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5A1DC51D-3F01-4506-BACC-39B132143036}" xr6:coauthVersionLast="34" xr6:coauthVersionMax="34" xr10:uidLastSave="{00000000-0000-0000-0000-000000000000}"/>
  <bookViews>
    <workbookView xWindow="0" yWindow="0" windowWidth="21600" windowHeight="9510"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Tablas!$C$1234:$C$1264</definedName>
    <definedName name="Armas_Arquetipo">Tablas!$B$849:$B$864</definedName>
    <definedName name="Armas_Desarrolladas">Tablas!$C$282:$C$443</definedName>
    <definedName name="Armas_Desarrolladas_10">Tablas!$B$869:$G$899</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'Elan y Personalización'!$V$10:$Z$12</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_Total">PDs!$X$15</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Tablas!$B$1299:$C$1318</definedName>
    <definedName name="Tabla_AlcanceFUE">Tablas!$B$1190:$C$1202</definedName>
    <definedName name="Tabla_Armaduras">Tablas!$C$1234:$Q$1264</definedName>
    <definedName name="Tabla_ArmasArquetípicas">Tablas!$B$849:$L$864</definedName>
    <definedName name="Tabla_ArmasEnormes">Tablas!$B$1293:$H$1295</definedName>
    <definedName name="Tabla_ArmasyEscudos">Tablas!$C$282:$X$443</definedName>
    <definedName name="Tabla_Ars_Magnus">Tablas!$D$1062:$Q$1115</definedName>
    <definedName name="Tabla_ArsMagnus">Tablas!$D$1062:$Q$1115</definedName>
    <definedName name="Tabla_Artes_Marciales">Tablas!$C$931:$W$1020</definedName>
    <definedName name="Tabla_ArtesM_Armas">Tablas!$D$1027:$Q$1057</definedName>
    <definedName name="Tabla_BonoStats">Tablas!$H$98:$J$117</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Tablas!$C$1455:$E$1465</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Tablas!$B$229:$D$236</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Tablas!$B$246:$C$253</definedName>
    <definedName name="Tabla_PatronesM">Tablas!$C$2289:$V$2304</definedName>
    <definedName name="Tabla_PenPorTipo">Tablas!$B$1403:$C$1406</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Tablas!$D$904:$I$925</definedName>
    <definedName name="Tabla_TablasArmas">Tablas!$D$825:$G$830</definedName>
    <definedName name="Tabla_TablasSobrenat">Tablas!$D$1120:$K$1122</definedName>
    <definedName name="Tabla_ValoresBase">Tablas!$B$257:$D$276</definedName>
    <definedName name="Tabla_Yelmos">Tablas!$C$1280:$P$1289</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Tablas!$B$257:$D$276</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Tablas!$D$513:$H$612</definedName>
    <definedName name="Ventajas_características">Tablas!$D$456:$H$464</definedName>
    <definedName name="Ventajas_características_Lista">Tablas!$D$456:$D$464</definedName>
    <definedName name="Ventajas_Legados">Tablas!$M$533:$Y$559</definedName>
    <definedName name="Ventajas_Lista">Tablas!$D$513:$D$612</definedName>
    <definedName name="VentajasyDesventajas_Lista">Tablas!$B$471:$B$777</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O16" i="4" l="1"/>
  <c r="N16" i="4"/>
  <c r="M16" i="4"/>
  <c r="L16" i="4"/>
  <c r="K16" i="4"/>
  <c r="J16" i="4"/>
  <c r="I16" i="4"/>
  <c r="AS28" i="4"/>
  <c r="AT28" i="4"/>
  <c r="AU28" i="4"/>
  <c r="AV28" i="4"/>
  <c r="AV32" i="4" s="1"/>
  <c r="AW28" i="4"/>
  <c r="AX28" i="4"/>
  <c r="AS29" i="4"/>
  <c r="AT29" i="4"/>
  <c r="AU29" i="4"/>
  <c r="AV29" i="4"/>
  <c r="AW29" i="4"/>
  <c r="AX29" i="4"/>
  <c r="AS30" i="4"/>
  <c r="AS32" i="4" s="1"/>
  <c r="AT30" i="4"/>
  <c r="AU30" i="4"/>
  <c r="AV30" i="4"/>
  <c r="AW30" i="4"/>
  <c r="AW32" i="4" s="1"/>
  <c r="AX30" i="4"/>
  <c r="AT32" i="4"/>
  <c r="AU32" i="4"/>
  <c r="AX32" i="4"/>
  <c r="L78" i="3"/>
  <c r="AD63" i="4"/>
  <c r="AD61" i="4"/>
  <c r="AD59" i="4"/>
  <c r="AD57" i="4"/>
  <c r="AD55" i="4"/>
  <c r="AA82" i="3"/>
  <c r="V82" i="3"/>
  <c r="T82" i="3"/>
  <c r="R82" i="3"/>
  <c r="P82" i="3"/>
  <c r="N82" i="3"/>
  <c r="L82" i="3"/>
  <c r="AA81" i="3"/>
  <c r="V81" i="3"/>
  <c r="T81" i="3"/>
  <c r="R81" i="3"/>
  <c r="P81" i="3"/>
  <c r="N81" i="3"/>
  <c r="L81" i="3"/>
  <c r="AA80" i="3"/>
  <c r="V80" i="3"/>
  <c r="T80" i="3"/>
  <c r="R80" i="3"/>
  <c r="P80" i="3"/>
  <c r="N80" i="3"/>
  <c r="L80" i="3"/>
  <c r="AA79" i="3"/>
  <c r="V79" i="3"/>
  <c r="T79" i="3"/>
  <c r="R79" i="3"/>
  <c r="P79" i="3"/>
  <c r="N79" i="3"/>
  <c r="L79" i="3"/>
  <c r="AA78" i="3"/>
  <c r="V78" i="3"/>
  <c r="T78" i="3"/>
  <c r="R78" i="3"/>
  <c r="P78" i="3"/>
  <c r="N78" i="3"/>
  <c r="G883" i="3"/>
  <c r="G882" i="3"/>
  <c r="G881" i="3"/>
  <c r="G880" i="3"/>
  <c r="G878" i="3"/>
  <c r="G877" i="3"/>
  <c r="G876" i="3"/>
  <c r="G875" i="3"/>
  <c r="G873" i="3"/>
  <c r="G872" i="3"/>
  <c r="G871" i="3"/>
  <c r="G870" i="3"/>
  <c r="AD52" i="3"/>
  <c r="AD51" i="3"/>
  <c r="AD50" i="3"/>
  <c r="V77" i="3"/>
  <c r="T77" i="3"/>
  <c r="R77" i="3"/>
  <c r="P77" i="3"/>
  <c r="N77" i="3"/>
  <c r="L77" i="3"/>
  <c r="V76" i="3"/>
  <c r="T76" i="3"/>
  <c r="R76" i="3"/>
  <c r="P76" i="3"/>
  <c r="N76" i="3"/>
  <c r="L76" i="3"/>
  <c r="T75" i="3"/>
  <c r="R75" i="3"/>
  <c r="P75" i="3"/>
  <c r="N75" i="3"/>
  <c r="L75" i="3"/>
  <c r="V75" i="3"/>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63" i="3"/>
  <c r="T63" i="3"/>
  <c r="R63" i="3"/>
  <c r="P63" i="3"/>
  <c r="N63" i="3"/>
  <c r="L63" i="3"/>
  <c r="V62" i="3"/>
  <c r="T62" i="3"/>
  <c r="R62" i="3"/>
  <c r="P62" i="3"/>
  <c r="N62" i="3"/>
  <c r="L62" i="3"/>
  <c r="V61" i="3"/>
  <c r="T61" i="3"/>
  <c r="R61" i="3"/>
  <c r="P61" i="3"/>
  <c r="N61" i="3"/>
  <c r="L61" i="3"/>
  <c r="V60" i="3"/>
  <c r="T60" i="3"/>
  <c r="R60" i="3"/>
  <c r="P60" i="3"/>
  <c r="N60" i="3"/>
  <c r="L60" i="3"/>
  <c r="V59" i="3"/>
  <c r="T59" i="3"/>
  <c r="R59" i="3"/>
  <c r="P59" i="3"/>
  <c r="N59" i="3"/>
  <c r="L59"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3" i="3"/>
  <c r="V42" i="3"/>
  <c r="V40" i="3"/>
  <c r="R111" i="3"/>
  <c r="T109" i="3"/>
  <c r="T108" i="3"/>
  <c r="T98" i="3"/>
  <c r="T97" i="3"/>
  <c r="T96" i="3"/>
  <c r="T95" i="3"/>
  <c r="T93" i="3"/>
  <c r="T91" i="3"/>
  <c r="T90" i="3"/>
  <c r="T38" i="3"/>
  <c r="T37" i="3"/>
  <c r="T36" i="3"/>
  <c r="T35" i="3"/>
  <c r="T34" i="3"/>
  <c r="T33" i="3"/>
  <c r="T32" i="3"/>
  <c r="T31" i="3"/>
  <c r="T30" i="3"/>
  <c r="T29" i="3"/>
  <c r="T28" i="3"/>
  <c r="T27" i="3"/>
  <c r="T25" i="3"/>
  <c r="T24" i="3"/>
  <c r="T23" i="3"/>
  <c r="T22" i="3"/>
  <c r="R109" i="3"/>
  <c r="R108" i="3"/>
  <c r="R98" i="3"/>
  <c r="R97" i="3"/>
  <c r="R96" i="3"/>
  <c r="R95" i="3"/>
  <c r="R93" i="3"/>
  <c r="R91" i="3"/>
  <c r="R90" i="3"/>
  <c r="R38" i="3"/>
  <c r="R37" i="3"/>
  <c r="R36" i="3"/>
  <c r="R35" i="3"/>
  <c r="R34" i="3"/>
  <c r="R33" i="3"/>
  <c r="R32" i="3"/>
  <c r="R31" i="3"/>
  <c r="R30" i="3"/>
  <c r="R29" i="3"/>
  <c r="R28" i="3"/>
  <c r="R27" i="3"/>
  <c r="R25" i="3"/>
  <c r="R24" i="3"/>
  <c r="R23" i="3"/>
  <c r="R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L83" i="3"/>
  <c r="AL126" i="3"/>
  <c r="AT176" i="3"/>
  <c r="AT175" i="3"/>
  <c r="AT174" i="3"/>
  <c r="AT173" i="3"/>
  <c r="AT172" i="3"/>
  <c r="AT171" i="3"/>
  <c r="AT170" i="3"/>
  <c r="AT169" i="3"/>
  <c r="AT168" i="3"/>
  <c r="AT167" i="3"/>
  <c r="AT166" i="3"/>
  <c r="AT165" i="3"/>
  <c r="AT164" i="3"/>
  <c r="AT163" i="3"/>
  <c r="AT162" i="3"/>
  <c r="AT161" i="3"/>
  <c r="AT160" i="3"/>
  <c r="AT159" i="3"/>
  <c r="AT158" i="3"/>
  <c r="AT157" i="3"/>
  <c r="AT156" i="3"/>
  <c r="AT155" i="3"/>
  <c r="AT154" i="3"/>
  <c r="AT153" i="3"/>
  <c r="AT152" i="3"/>
  <c r="AT151" i="3"/>
  <c r="AT150" i="3"/>
  <c r="AT149" i="3"/>
  <c r="AT148" i="3"/>
  <c r="AT147" i="3"/>
  <c r="AT146" i="3"/>
  <c r="AT145" i="3"/>
  <c r="AT144" i="3"/>
  <c r="AT143" i="3"/>
  <c r="AT142" i="3"/>
  <c r="AT141" i="3"/>
  <c r="AT140" i="3"/>
  <c r="AT139" i="3"/>
  <c r="AT138" i="3"/>
  <c r="AT137" i="3"/>
  <c r="AT136" i="3"/>
  <c r="AT135" i="3"/>
  <c r="AT134" i="3"/>
  <c r="AT133" i="3"/>
  <c r="AT132" i="3"/>
  <c r="AT131" i="3"/>
  <c r="AT130" i="3"/>
  <c r="AT129" i="3"/>
  <c r="AT128" i="3"/>
  <c r="AT127" i="3"/>
  <c r="AT126" i="3"/>
  <c r="AR176" i="3"/>
  <c r="AR175" i="3"/>
  <c r="AR174" i="3"/>
  <c r="AR173" i="3"/>
  <c r="AR172" i="3"/>
  <c r="AR171" i="3"/>
  <c r="AR170" i="3"/>
  <c r="AR169" i="3"/>
  <c r="AR168" i="3"/>
  <c r="AR167" i="3"/>
  <c r="AR166" i="3"/>
  <c r="AR165" i="3"/>
  <c r="AR164" i="3"/>
  <c r="AR163" i="3"/>
  <c r="AR162" i="3"/>
  <c r="AR161" i="3"/>
  <c r="AR160" i="3"/>
  <c r="AR159" i="3"/>
  <c r="AR158" i="3"/>
  <c r="AR157" i="3"/>
  <c r="AR156" i="3"/>
  <c r="AR155" i="3"/>
  <c r="AR154" i="3"/>
  <c r="AR153" i="3"/>
  <c r="AR152" i="3"/>
  <c r="AR151" i="3"/>
  <c r="AR150" i="3"/>
  <c r="AR149" i="3"/>
  <c r="AR148" i="3"/>
  <c r="AR147" i="3"/>
  <c r="AR146" i="3"/>
  <c r="AR145" i="3"/>
  <c r="AR144" i="3"/>
  <c r="AR143" i="3"/>
  <c r="AR142" i="3"/>
  <c r="AR141" i="3"/>
  <c r="AR140" i="3"/>
  <c r="AR139" i="3"/>
  <c r="AR138" i="3"/>
  <c r="AR137" i="3"/>
  <c r="AR136" i="3"/>
  <c r="AR135" i="3"/>
  <c r="AR134" i="3"/>
  <c r="AR133" i="3"/>
  <c r="AR132" i="3"/>
  <c r="AR131" i="3"/>
  <c r="AR130" i="3"/>
  <c r="AR129" i="3"/>
  <c r="AR128" i="3"/>
  <c r="AR127" i="3"/>
  <c r="AR126" i="3"/>
  <c r="AP176" i="3"/>
  <c r="AP175" i="3"/>
  <c r="AP174" i="3"/>
  <c r="AP173" i="3"/>
  <c r="AP172" i="3"/>
  <c r="AP171" i="3"/>
  <c r="AP170" i="3"/>
  <c r="AP169" i="3"/>
  <c r="AP168" i="3"/>
  <c r="AP167" i="3"/>
  <c r="AP166" i="3"/>
  <c r="AP165" i="3"/>
  <c r="AP164" i="3"/>
  <c r="AP163" i="3"/>
  <c r="AP162" i="3"/>
  <c r="AP161" i="3"/>
  <c r="AP160" i="3"/>
  <c r="AP159" i="3"/>
  <c r="AP158" i="3"/>
  <c r="AP157" i="3"/>
  <c r="AP156" i="3"/>
  <c r="AP155" i="3"/>
  <c r="AP154" i="3"/>
  <c r="AP153" i="3"/>
  <c r="AP152" i="3"/>
  <c r="AP151" i="3"/>
  <c r="AP150" i="3"/>
  <c r="AP149" i="3"/>
  <c r="AP148" i="3"/>
  <c r="AP147" i="3"/>
  <c r="AP146" i="3"/>
  <c r="AP145" i="3"/>
  <c r="AP144" i="3"/>
  <c r="AP143" i="3"/>
  <c r="AP142" i="3"/>
  <c r="AP141" i="3"/>
  <c r="AP140" i="3"/>
  <c r="AP139" i="3"/>
  <c r="AP138" i="3"/>
  <c r="AP137" i="3"/>
  <c r="AP136" i="3"/>
  <c r="AP135" i="3"/>
  <c r="AP134" i="3"/>
  <c r="AP133" i="3"/>
  <c r="AP132" i="3"/>
  <c r="AP131" i="3"/>
  <c r="AP130" i="3"/>
  <c r="AP129" i="3"/>
  <c r="AP128" i="3"/>
  <c r="AP127" i="3"/>
  <c r="AP126" i="3"/>
  <c r="AN176" i="3"/>
  <c r="AN175" i="3"/>
  <c r="AN174" i="3"/>
  <c r="AN173" i="3"/>
  <c r="AN172" i="3"/>
  <c r="AN171" i="3"/>
  <c r="AN170" i="3"/>
  <c r="AN169" i="3"/>
  <c r="AN168" i="3"/>
  <c r="AN167" i="3"/>
  <c r="AN166" i="3"/>
  <c r="AN165" i="3"/>
  <c r="AN164" i="3"/>
  <c r="AN163" i="3"/>
  <c r="AN162" i="3"/>
  <c r="AN161" i="3"/>
  <c r="AN160" i="3"/>
  <c r="AN159" i="3"/>
  <c r="AN158" i="3"/>
  <c r="AN157" i="3"/>
  <c r="AN156" i="3"/>
  <c r="AN155" i="3"/>
  <c r="AN154" i="3"/>
  <c r="AN153" i="3"/>
  <c r="AN152" i="3"/>
  <c r="AN151" i="3"/>
  <c r="AN150" i="3"/>
  <c r="AN149" i="3"/>
  <c r="AN148" i="3"/>
  <c r="AN147" i="3"/>
  <c r="AN146" i="3"/>
  <c r="AN145" i="3"/>
  <c r="AN144" i="3"/>
  <c r="AN143" i="3"/>
  <c r="AN142" i="3"/>
  <c r="AN141" i="3"/>
  <c r="AN140" i="3"/>
  <c r="AN139" i="3"/>
  <c r="AN138" i="3"/>
  <c r="AN137" i="3"/>
  <c r="AN136" i="3"/>
  <c r="AN135" i="3"/>
  <c r="AN134" i="3"/>
  <c r="AN133" i="3"/>
  <c r="AN132" i="3"/>
  <c r="AN131" i="3"/>
  <c r="AN130" i="3"/>
  <c r="AN129" i="3"/>
  <c r="AN128" i="3"/>
  <c r="AN127" i="3"/>
  <c r="AN126"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O117" i="3"/>
  <c r="Q117" i="3" s="1"/>
  <c r="S117" i="3" s="1"/>
  <c r="U117" i="3" s="1"/>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R185" i="3"/>
  <c r="AA184" i="3"/>
  <c r="Z13" i="3"/>
  <c r="P185" i="3"/>
  <c r="Z11" i="3"/>
  <c r="N185" i="3"/>
  <c r="Z9" i="3"/>
  <c r="L185" i="3"/>
  <c r="Z7" i="3"/>
  <c r="J123" i="3"/>
  <c r="L105" i="3"/>
  <c r="L87" i="3"/>
  <c r="L45" i="3"/>
  <c r="L44" i="3"/>
  <c r="L43" i="3"/>
  <c r="L42" i="3"/>
  <c r="L41" i="3"/>
  <c r="L40" i="3"/>
  <c r="L19" i="3"/>
  <c r="J185" i="3"/>
  <c r="L5" i="2"/>
  <c r="F36" i="5"/>
  <c r="Q103" i="11"/>
  <c r="F35" i="5"/>
  <c r="DX195" i="17"/>
  <c r="AP59" i="17"/>
  <c r="AP53" i="17"/>
  <c r="AP65" i="17"/>
  <c r="AO59" i="17"/>
  <c r="AM59" i="17"/>
  <c r="AK59" i="17"/>
  <c r="AI59" i="17"/>
  <c r="AO53" i="17"/>
  <c r="AM53" i="17"/>
  <c r="AK53" i="17"/>
  <c r="AI53" i="17"/>
  <c r="AL50" i="6"/>
  <c r="E2335" i="11"/>
  <c r="C2335" i="11"/>
  <c r="AD132" i="3"/>
  <c r="AD131" i="3"/>
  <c r="AD130" i="3"/>
  <c r="AD129" i="3"/>
  <c r="AD128" i="3"/>
  <c r="AD127" i="3"/>
  <c r="AD126" i="3"/>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1281" i="11"/>
  <c r="K1281" i="11"/>
  <c r="L1281" i="11"/>
  <c r="M1281" i="11"/>
  <c r="N1281" i="11"/>
  <c r="O1281" i="11"/>
  <c r="P1281" i="11"/>
  <c r="J1282" i="11"/>
  <c r="K1282" i="11"/>
  <c r="L1282" i="11"/>
  <c r="M1282" i="11"/>
  <c r="N1282" i="11"/>
  <c r="O1282" i="11"/>
  <c r="P1282" i="11"/>
  <c r="D1281" i="11"/>
  <c r="C1281" i="11"/>
  <c r="Q15" i="4"/>
  <c r="P15" i="4"/>
  <c r="O37" i="4"/>
  <c r="O36" i="4"/>
  <c r="AS11" i="4"/>
  <c r="AT11" i="4"/>
  <c r="AU11" i="4"/>
  <c r="AV11" i="4"/>
  <c r="AW11" i="4"/>
  <c r="AX11" i="4"/>
  <c r="AR11" i="4"/>
  <c r="AT13" i="4" a="1"/>
  <c r="AU13" i="4" a="1"/>
  <c r="AV13" i="4" a="1"/>
  <c r="AW13" i="4" a="1"/>
  <c r="AX13" i="4" a="1"/>
  <c r="AS13" i="4" a="1"/>
  <c r="AR13" i="4" a="1"/>
  <c r="AX26" i="4"/>
  <c r="AS23" i="4"/>
  <c r="AT23" i="4"/>
  <c r="AU23" i="4"/>
  <c r="AV23" i="4"/>
  <c r="AW23" i="4"/>
  <c r="AX23" i="4"/>
  <c r="AS16" i="4"/>
  <c r="AT16" i="4"/>
  <c r="AU16" i="4"/>
  <c r="AV16" i="4"/>
  <c r="AW16" i="4"/>
  <c r="AX16" i="4"/>
  <c r="AR16" i="4"/>
  <c r="AR23" i="4"/>
  <c r="G2040" i="11"/>
  <c r="G2041" i="11"/>
  <c r="I12" i="4"/>
  <c r="AR17" i="4" s="1"/>
  <c r="B870" i="11"/>
  <c r="B899" i="11"/>
  <c r="B898" i="11"/>
  <c r="B897" i="11"/>
  <c r="B896" i="11"/>
  <c r="B895" i="11"/>
  <c r="B894" i="11"/>
  <c r="B893" i="11"/>
  <c r="B892" i="11"/>
  <c r="B891" i="11"/>
  <c r="B890" i="11"/>
  <c r="B889" i="11"/>
  <c r="B888" i="11"/>
  <c r="B887" i="11"/>
  <c r="B886" i="11"/>
  <c r="B885" i="11"/>
  <c r="B884" i="11"/>
  <c r="B883" i="11"/>
  <c r="B882" i="11"/>
  <c r="B881" i="11"/>
  <c r="B880" i="11"/>
  <c r="B879" i="11"/>
  <c r="B878" i="11"/>
  <c r="B877" i="11"/>
  <c r="B876" i="11"/>
  <c r="B875" i="11"/>
  <c r="B874" i="11"/>
  <c r="B873" i="11"/>
  <c r="B872" i="11"/>
  <c r="B871" i="11"/>
  <c r="B869" i="11"/>
  <c r="I1559" i="11" l="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K28" i="11"/>
  <c r="F28" i="11"/>
  <c r="L28" i="11"/>
  <c r="P28" i="11"/>
  <c r="AN17" i="2" s="1"/>
  <c r="T28" i="11"/>
  <c r="G28" i="11"/>
  <c r="O28" i="11"/>
  <c r="AN16" i="2" s="1"/>
  <c r="M28" i="11"/>
  <c r="AN14" i="2" s="1"/>
  <c r="Q28" i="11"/>
  <c r="AN18" i="2" s="1"/>
  <c r="U28" i="11"/>
  <c r="H28" i="11"/>
  <c r="J28" i="11"/>
  <c r="AN11" i="2" s="1"/>
  <c r="N28" i="11"/>
  <c r="AN15" i="2" s="1"/>
  <c r="R28" i="11"/>
  <c r="AN13" i="2"/>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AL143" i="3" l="1"/>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P14" i="4"/>
  <c r="O14" i="4"/>
  <c r="AX19" i="4" s="1"/>
  <c r="N14" i="4"/>
  <c r="AW19" i="4" s="1"/>
  <c r="M14" i="4"/>
  <c r="AV19" i="4" s="1"/>
  <c r="L14" i="4"/>
  <c r="AU19" i="4" s="1"/>
  <c r="K14" i="4"/>
  <c r="AT19" i="4" s="1"/>
  <c r="J14" i="4"/>
  <c r="AS19" i="4" s="1"/>
  <c r="I14" i="4"/>
  <c r="AR19" i="4" s="1"/>
  <c r="F14" i="4"/>
  <c r="B14" i="4"/>
  <c r="R12" i="4"/>
  <c r="Q12" i="4"/>
  <c r="P12" i="4"/>
  <c r="O12" i="4"/>
  <c r="AX17" i="4" s="1"/>
  <c r="N12" i="4"/>
  <c r="AW17" i="4" s="1"/>
  <c r="M12" i="4"/>
  <c r="AV17" i="4" s="1"/>
  <c r="L12" i="4"/>
  <c r="AU17" i="4" s="1"/>
  <c r="K12" i="4"/>
  <c r="AT17" i="4" s="1"/>
  <c r="J12" i="4"/>
  <c r="AS17" i="4" s="1"/>
  <c r="F12" i="4"/>
  <c r="B12" i="4"/>
  <c r="Q43" i="4"/>
  <c r="Q38" i="4"/>
  <c r="Q32" i="4"/>
  <c r="Q27" i="4"/>
  <c r="M51" i="4"/>
  <c r="I46" i="4"/>
  <c r="M45" i="4"/>
  <c r="L45" i="4"/>
  <c r="K45" i="4"/>
  <c r="J45" i="4"/>
  <c r="I45" i="4"/>
  <c r="I43" i="4"/>
  <c r="I41" i="4"/>
  <c r="M40" i="4"/>
  <c r="L40" i="4"/>
  <c r="K40" i="4"/>
  <c r="J40" i="4"/>
  <c r="I40" i="4"/>
  <c r="I38" i="4"/>
  <c r="I35" i="4"/>
  <c r="M34" i="4"/>
  <c r="L34" i="4"/>
  <c r="K34" i="4"/>
  <c r="J34" i="4"/>
  <c r="I34" i="4"/>
  <c r="I32" i="4"/>
  <c r="I30" i="4"/>
  <c r="M29" i="4"/>
  <c r="L29" i="4"/>
  <c r="K29" i="4"/>
  <c r="J29" i="4"/>
  <c r="I29" i="4"/>
  <c r="I27" i="4"/>
  <c r="AY55" i="6"/>
  <c r="AY54" i="6"/>
  <c r="AY53" i="6"/>
  <c r="AY52" i="6"/>
  <c r="AY51" i="6"/>
  <c r="S18" i="14"/>
  <c r="AJ27" i="2"/>
  <c r="H33"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283" i="11"/>
  <c r="I283" i="11"/>
  <c r="J51" i="4" s="1"/>
  <c r="H283" i="11"/>
  <c r="I51" i="4" s="1"/>
  <c r="AN37" i="11"/>
  <c r="AN36" i="11"/>
  <c r="AN34" i="11"/>
  <c r="B3236" i="4"/>
  <c r="B3238" i="4"/>
  <c r="X90" i="3" l="1"/>
  <c r="J1558" i="11"/>
  <c r="B3" i="2"/>
  <c r="H1916" i="11"/>
  <c r="J1565" i="11"/>
  <c r="J1561" i="11"/>
  <c r="J1562" i="11"/>
  <c r="J1559" i="11"/>
  <c r="J1563" i="11"/>
  <c r="J1560" i="11"/>
  <c r="J1564" i="11"/>
  <c r="I1599" i="11"/>
  <c r="Y90" i="3"/>
  <c r="Y25" i="3"/>
  <c r="Y39" i="3"/>
  <c r="AJ10" i="2"/>
  <c r="J73" i="2"/>
  <c r="H64" i="5"/>
  <c r="H63" i="5"/>
  <c r="J64" i="5"/>
  <c r="J63" i="5"/>
  <c r="P64" i="5"/>
  <c r="P63" i="5"/>
  <c r="T185" i="4"/>
  <c r="B849" i="11"/>
  <c r="M1263" i="11"/>
  <c r="J1263" i="11"/>
  <c r="I1263" i="11"/>
  <c r="E1263" i="11"/>
  <c r="D1263" i="11"/>
  <c r="H1281" i="11"/>
  <c r="I1281" i="11"/>
  <c r="E1281" i="11"/>
  <c r="F1281" i="11"/>
  <c r="R64" i="5" l="1"/>
  <c r="AA26" i="2"/>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K25" i="11"/>
  <c r="J25" i="11"/>
  <c r="R25" i="11"/>
  <c r="N25" i="11" l="1"/>
  <c r="U19" i="1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F36" i="11" s="1"/>
  <c r="U36" i="11"/>
  <c r="T36" i="11"/>
  <c r="S36" i="11"/>
  <c r="R36" i="11"/>
  <c r="Q36" i="11"/>
  <c r="P36" i="11"/>
  <c r="O36" i="11"/>
  <c r="N36" i="11"/>
  <c r="M36" i="11"/>
  <c r="L36" i="11"/>
  <c r="K36" i="11"/>
  <c r="J36" i="11"/>
  <c r="I36" i="11"/>
  <c r="H36" i="11"/>
  <c r="G36" i="11"/>
  <c r="N33" i="11" l="1"/>
  <c r="N34" i="11"/>
  <c r="L33" i="11"/>
  <c r="M33" i="11"/>
  <c r="M34" i="11" s="1"/>
  <c r="L34" i="11"/>
  <c r="F34" i="11"/>
  <c r="F33" i="11"/>
  <c r="F35" i="11"/>
  <c r="K33" i="11" l="1"/>
  <c r="J46" i="5"/>
  <c r="J47" i="5"/>
  <c r="J48" i="5"/>
  <c r="J49" i="5"/>
  <c r="J50" i="5"/>
  <c r="J51" i="5"/>
  <c r="J52" i="5"/>
  <c r="J53" i="5"/>
  <c r="J54"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H200" i="17" s="1"/>
  <c r="T110" i="3"/>
  <c r="R110" i="3"/>
  <c r="P110" i="3"/>
  <c r="N110" i="3"/>
  <c r="L110" i="3"/>
  <c r="B773" i="11" l="1"/>
  <c r="AG57" i="9"/>
  <c r="AG56" i="9"/>
  <c r="AG55" i="9"/>
  <c r="AG53" i="9"/>
  <c r="AG52" i="9"/>
  <c r="AG51" i="9"/>
  <c r="AG47" i="9"/>
  <c r="X286" i="11"/>
  <c r="X284" i="11"/>
  <c r="X285" i="11"/>
  <c r="H1064" i="11" l="1"/>
  <c r="X15" i="3" l="1"/>
  <c r="AA183" i="3" l="1"/>
  <c r="Y12" i="1"/>
  <c r="V117" i="1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K20" i="4" l="1"/>
  <c r="AB24" i="2"/>
  <c r="AA24" i="2"/>
  <c r="AD16" i="4"/>
  <c r="AD15" i="4"/>
  <c r="AD14" i="4"/>
  <c r="AD13" i="4"/>
  <c r="AD12" i="4"/>
  <c r="AD11" i="4"/>
  <c r="L23" i="1" l="1"/>
  <c r="C2" i="1" s="1"/>
  <c r="F97" i="11"/>
  <c r="K19" i="4"/>
  <c r="AD56" i="3" l="1"/>
  <c r="AD62" i="3"/>
  <c r="AD52" i="4"/>
  <c r="X52" i="4"/>
  <c r="AD51" i="4"/>
  <c r="X51" i="4"/>
  <c r="AD50" i="4"/>
  <c r="X50" i="4"/>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AD58" i="3"/>
  <c r="C888" i="11"/>
  <c r="E888" i="11"/>
  <c r="C889" i="11"/>
  <c r="E889" i="11"/>
  <c r="C890" i="11"/>
  <c r="E890" i="11"/>
  <c r="C891" i="11"/>
  <c r="E891" i="11"/>
  <c r="C892" i="11"/>
  <c r="E892" i="11"/>
  <c r="C893" i="11"/>
  <c r="E893" i="11"/>
  <c r="C894" i="11"/>
  <c r="E894" i="11"/>
  <c r="C895" i="11"/>
  <c r="E895" i="11"/>
  <c r="G895" i="11"/>
  <c r="D896" i="11"/>
  <c r="E896" i="11"/>
  <c r="G896" i="11"/>
  <c r="C897" i="11"/>
  <c r="E897" i="11"/>
  <c r="G897" i="11"/>
  <c r="D898" i="11"/>
  <c r="E898" i="11"/>
  <c r="D899" i="11"/>
  <c r="E899" i="11"/>
  <c r="R58" i="3" l="1"/>
  <c r="P58" i="3"/>
  <c r="L58" i="3"/>
  <c r="V58" i="3"/>
  <c r="N58" i="3"/>
  <c r="T58" i="3"/>
  <c r="N57" i="3"/>
  <c r="T57" i="3"/>
  <c r="L57" i="3"/>
  <c r="P57" i="3"/>
  <c r="R57" i="3"/>
  <c r="X32" i="4"/>
  <c r="X34" i="4"/>
  <c r="X39" i="4"/>
  <c r="X43" i="4"/>
  <c r="X47" i="4"/>
  <c r="W983" i="11"/>
  <c r="W979" i="11"/>
  <c r="W975" i="11"/>
  <c r="W971" i="11"/>
  <c r="W967" i="11"/>
  <c r="W963" i="11"/>
  <c r="W959" i="11"/>
  <c r="W955" i="11"/>
  <c r="W951" i="11"/>
  <c r="W947" i="11"/>
  <c r="W943" i="11"/>
  <c r="W939" i="11"/>
  <c r="W935" i="11"/>
  <c r="W980" i="11"/>
  <c r="W968" i="11"/>
  <c r="W956" i="11"/>
  <c r="W940" i="11"/>
  <c r="W982" i="11"/>
  <c r="W978" i="11"/>
  <c r="W974" i="11"/>
  <c r="W970" i="11"/>
  <c r="W966" i="11"/>
  <c r="W962" i="11"/>
  <c r="W958" i="11"/>
  <c r="W954" i="11"/>
  <c r="W950" i="11"/>
  <c r="W946" i="11"/>
  <c r="W942" i="11"/>
  <c r="W938" i="11"/>
  <c r="W934" i="11"/>
  <c r="W981" i="11"/>
  <c r="W977" i="11"/>
  <c r="W973" i="11"/>
  <c r="W965" i="11"/>
  <c r="W957" i="11"/>
  <c r="W953" i="11"/>
  <c r="W945" i="11"/>
  <c r="W937" i="11"/>
  <c r="W976" i="11"/>
  <c r="W964" i="11"/>
  <c r="W952" i="11"/>
  <c r="W944" i="11"/>
  <c r="W932" i="11"/>
  <c r="T56" i="3" s="1"/>
  <c r="W985" i="11"/>
  <c r="W969" i="11"/>
  <c r="W961" i="11"/>
  <c r="W949" i="11"/>
  <c r="W941" i="11"/>
  <c r="W933" i="11"/>
  <c r="W984" i="11"/>
  <c r="W972" i="11"/>
  <c r="W960" i="11"/>
  <c r="W948" i="11"/>
  <c r="W936" i="11"/>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D897" i="11"/>
  <c r="F897" i="11" s="1"/>
  <c r="X36" i="4"/>
  <c r="X37" i="4"/>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H265" i="11"/>
  <c r="H264" i="11"/>
  <c r="H263" i="11"/>
  <c r="H262" i="11"/>
  <c r="H261" i="11"/>
  <c r="H260" i="11"/>
  <c r="H259" i="11"/>
  <c r="U283" i="11" s="1"/>
  <c r="I52" i="4" s="1"/>
  <c r="H258" i="11"/>
  <c r="H257" i="11"/>
  <c r="L56" i="3" l="1"/>
  <c r="R56" i="3"/>
  <c r="P56" i="3"/>
  <c r="N56" i="3"/>
  <c r="AU22" i="4"/>
  <c r="AV22" i="4"/>
  <c r="AT22" i="4"/>
  <c r="AS22" i="4"/>
  <c r="AW22" i="4"/>
  <c r="AR22" i="4"/>
  <c r="AX22" i="4"/>
  <c r="I61" i="4"/>
  <c r="J60" i="4"/>
  <c r="J57" i="4"/>
  <c r="R60" i="4"/>
  <c r="I60" i="4"/>
  <c r="I57" i="4"/>
  <c r="M60" i="4"/>
  <c r="M57" i="4"/>
  <c r="N61" i="4"/>
  <c r="K60" i="4"/>
  <c r="K57" i="4"/>
  <c r="P1019" i="11"/>
  <c r="P989" i="11"/>
  <c r="R286" i="11"/>
  <c r="L1297" i="11"/>
  <c r="K1297" i="11"/>
  <c r="J1297" i="11"/>
  <c r="M1296" i="11"/>
  <c r="M1294" i="11"/>
  <c r="L1295" i="11"/>
  <c r="R285" i="11"/>
  <c r="P286" i="11"/>
  <c r="T284" i="11"/>
  <c r="R284" i="11"/>
  <c r="P284" i="11"/>
  <c r="O286" i="11"/>
  <c r="O284" i="11"/>
  <c r="T286" i="11"/>
  <c r="O285" i="11"/>
  <c r="P285" i="11"/>
  <c r="T285"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L527" i="11"/>
  <c r="L526" i="11"/>
  <c r="L525" i="11"/>
  <c r="L524" i="11"/>
  <c r="L523" i="11"/>
  <c r="K524" i="11"/>
  <c r="K525" i="11"/>
  <c r="Y525" i="11" s="1"/>
  <c r="V179" i="3" s="1"/>
  <c r="K526" i="11"/>
  <c r="Y526" i="11" s="1"/>
  <c r="V180" i="3"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E887" i="11"/>
  <c r="E886" i="11"/>
  <c r="E885" i="11"/>
  <c r="E884" i="11"/>
  <c r="E883" i="11"/>
  <c r="E882" i="11"/>
  <c r="E881" i="11"/>
  <c r="E880" i="11"/>
  <c r="E879" i="11"/>
  <c r="E878" i="11"/>
  <c r="E877" i="11"/>
  <c r="E876" i="11"/>
  <c r="E875" i="11"/>
  <c r="S46" i="2" l="1"/>
  <c r="G3371" i="11" s="1"/>
  <c r="T181" i="3"/>
  <c r="T180" i="3"/>
  <c r="T179" i="3"/>
  <c r="T178" i="3"/>
  <c r="T177" i="3"/>
  <c r="S47" i="2" l="1"/>
  <c r="G3372" i="11" s="1"/>
  <c r="S48" i="2" l="1"/>
  <c r="S49" i="2" s="1"/>
  <c r="S50" i="2" s="1"/>
  <c r="S51" i="2" s="1"/>
  <c r="G3375" i="11"/>
  <c r="D436"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AO17" i="2" s="1"/>
  <c r="AQ17" i="2" s="1"/>
  <c r="G17" i="2" s="1"/>
  <c r="F712" i="11"/>
  <c r="AO16" i="2" s="1"/>
  <c r="F711" i="11"/>
  <c r="AO15" i="2" s="1"/>
  <c r="AQ15" i="2" s="1"/>
  <c r="G15" i="2" s="1"/>
  <c r="F710" i="11"/>
  <c r="AO14" i="2" s="1"/>
  <c r="F709" i="11"/>
  <c r="AO13" i="2" s="1"/>
  <c r="F708" i="11"/>
  <c r="F707" i="11"/>
  <c r="AO11" i="2" s="1"/>
  <c r="F705" i="11"/>
  <c r="F704" i="11"/>
  <c r="F703" i="11"/>
  <c r="F702" i="11"/>
  <c r="F701" i="11"/>
  <c r="F700" i="11"/>
  <c r="F699" i="11"/>
  <c r="F698" i="11"/>
  <c r="F697" i="11"/>
  <c r="F696" i="11"/>
  <c r="F695" i="11"/>
  <c r="V22" i="9" s="1"/>
  <c r="X22" i="9" s="1"/>
  <c r="F694" i="11"/>
  <c r="F693" i="11"/>
  <c r="AD59" i="1" s="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X94" i="3" s="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AA182" i="3" s="1"/>
  <c r="F574" i="11"/>
  <c r="X24" i="3" s="1"/>
  <c r="F573" i="11"/>
  <c r="X23" i="3" s="1"/>
  <c r="F572" i="11"/>
  <c r="X22" i="3" s="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O15" i="4" s="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85" i="4" l="1"/>
  <c r="V185" i="3"/>
  <c r="W90" i="3"/>
  <c r="I15" i="4"/>
  <c r="N15" i="4"/>
  <c r="J15" i="4"/>
  <c r="M15" i="4"/>
  <c r="L15" i="4"/>
  <c r="K15" i="4"/>
  <c r="AV20" i="4"/>
  <c r="AS20" i="4"/>
  <c r="AW20" i="4"/>
  <c r="AR20" i="4"/>
  <c r="AT20" i="4"/>
  <c r="AU20" i="4"/>
  <c r="AX20" i="4"/>
  <c r="AO18" i="2"/>
  <c r="AQ18" i="2" s="1"/>
  <c r="G18" i="2" s="1"/>
  <c r="AD140" i="3"/>
  <c r="L6" i="2"/>
  <c r="D283" i="11" s="1"/>
  <c r="J15" i="6"/>
  <c r="AD141" i="3"/>
  <c r="V14"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C70" i="1"/>
  <c r="C71" i="1"/>
  <c r="C72" i="1"/>
  <c r="C69" i="1"/>
  <c r="K26" i="1"/>
  <c r="M6" i="2" l="1"/>
  <c r="E57" i="10" s="1"/>
  <c r="AI57" i="1"/>
  <c r="AJ60" i="1"/>
  <c r="M283" i="11"/>
  <c r="E283" i="11"/>
  <c r="K8" i="3"/>
  <c r="L283"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I49" i="4"/>
  <c r="J2024" i="11" l="1"/>
  <c r="AT21" i="4" s="1"/>
  <c r="L2024" i="11"/>
  <c r="AV21" i="4" s="1"/>
  <c r="M2024" i="11"/>
  <c r="AW21" i="4" s="1"/>
  <c r="H2024" i="11"/>
  <c r="AR21" i="4" s="1"/>
  <c r="I2024" i="11"/>
  <c r="AS21" i="4" s="1"/>
  <c r="K2024" i="11"/>
  <c r="AU21" i="4" s="1"/>
  <c r="N2024" i="11"/>
  <c r="AX21" i="4" s="1"/>
  <c r="I3400" i="11"/>
  <c r="I3401" i="11" s="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L135" i="3" l="1"/>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50"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X97" i="3" s="1"/>
  <c r="Y98" i="3"/>
  <c r="Y96" i="3"/>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X98" i="3" l="1"/>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558" i="11"/>
  <c r="G559"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H65" i="18" s="1"/>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H68" i="18" s="1"/>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H66" i="18" s="1"/>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P19" i="2" l="1"/>
  <c r="AR9" i="8"/>
  <c r="AP16" i="2"/>
  <c r="AQ16" i="2" s="1"/>
  <c r="G16" i="2" s="1"/>
  <c r="R43" i="4"/>
  <c r="R38" i="4"/>
  <c r="R32" i="4"/>
  <c r="R27" i="4"/>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H11" i="8"/>
  <c r="AG63" i="1"/>
  <c r="W94" i="3"/>
  <c r="N13" i="10"/>
  <c r="E66" i="2"/>
  <c r="AH63" i="1"/>
  <c r="W91" i="3"/>
  <c r="L13" i="10"/>
  <c r="W37" i="3"/>
  <c r="W31" i="3"/>
  <c r="M427"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AH13" i="4"/>
  <c r="C3367" i="11" s="1"/>
  <c r="AH14" i="4"/>
  <c r="C3368" i="11" s="1"/>
  <c r="B3368" i="11" s="1"/>
  <c r="AH15" i="4"/>
  <c r="C3369" i="11" s="1"/>
  <c r="B3369" i="11" s="1"/>
  <c r="AH16" i="4"/>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F34" i="9" l="1"/>
  <c r="G34" i="9" s="1"/>
  <c r="B178" i="3"/>
  <c r="B179" i="3"/>
  <c r="B180" i="3"/>
  <c r="B181" i="3"/>
  <c r="B177" i="3"/>
  <c r="F35" i="9" l="1"/>
  <c r="G35" i="9" s="1"/>
  <c r="F36" i="9" l="1"/>
  <c r="G36" i="9" s="1"/>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E870" i="11"/>
  <c r="E871" i="11"/>
  <c r="G871" i="11"/>
  <c r="E872" i="11"/>
  <c r="G872" i="11"/>
  <c r="E873" i="11"/>
  <c r="G873" i="11"/>
  <c r="E874" i="11"/>
  <c r="G875" i="11"/>
  <c r="G876" i="11"/>
  <c r="G877" i="11"/>
  <c r="G878" i="11"/>
  <c r="G880" i="11"/>
  <c r="G881" i="11"/>
  <c r="G882" i="11"/>
  <c r="G883"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G1281" i="11"/>
  <c r="C1282" i="11"/>
  <c r="D1282" i="11"/>
  <c r="E1282" i="11"/>
  <c r="F1282" i="11"/>
  <c r="G1282" i="11"/>
  <c r="H1282" i="11"/>
  <c r="I1282"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B3401" i="11" s="1"/>
  <c r="C3402" i="11"/>
  <c r="B3402" i="11" s="1"/>
  <c r="X55" i="4"/>
  <c r="X57" i="4"/>
  <c r="R58" i="4"/>
  <c r="X59" i="4"/>
  <c r="X61" i="4"/>
  <c r="X63" i="4"/>
  <c r="Y5" i="3"/>
  <c r="Y7" i="3"/>
  <c r="Y9" i="3"/>
  <c r="Y11" i="3"/>
  <c r="Y13" i="3"/>
  <c r="AA13" i="3" s="1"/>
  <c r="V39" i="3"/>
  <c r="AD19" i="4"/>
  <c r="AD20" i="4"/>
  <c r="AD21" i="4"/>
  <c r="AD22" i="4"/>
  <c r="AD23" i="4"/>
  <c r="AD24" i="4"/>
  <c r="AD25" i="4"/>
  <c r="AD26" i="4"/>
  <c r="AD27" i="4"/>
  <c r="AD28" i="4"/>
  <c r="AD38" i="4"/>
  <c r="AD41" i="4"/>
  <c r="AD42" i="4"/>
  <c r="AD43" i="4"/>
  <c r="AD44" i="4"/>
  <c r="AD45" i="4"/>
  <c r="AD46" i="4"/>
  <c r="M83" i="3"/>
  <c r="O83" i="3" s="1"/>
  <c r="Q83" i="3" s="1"/>
  <c r="S83" i="3" s="1"/>
  <c r="U83" i="3" s="1"/>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Y183" i="3"/>
  <c r="Y184" i="3"/>
  <c r="E185"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N101" i="3" l="1"/>
  <c r="P101" i="3"/>
  <c r="Y524" i="11"/>
  <c r="V178" i="3" s="1"/>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N83" i="3"/>
  <c r="AA9" i="3"/>
  <c r="P83" i="3"/>
  <c r="T117" i="3"/>
  <c r="T101" i="3"/>
  <c r="T83" i="3"/>
  <c r="P117" i="3"/>
  <c r="R101" i="3"/>
  <c r="R83" i="3"/>
  <c r="H16" i="4"/>
  <c r="R13" i="4"/>
  <c r="N13" i="4"/>
  <c r="AW18" i="4" s="1"/>
  <c r="J13" i="4"/>
  <c r="AS18" i="4" s="1"/>
  <c r="K13" i="4"/>
  <c r="AT18" i="4" s="1"/>
  <c r="Q13" i="4"/>
  <c r="M13" i="4"/>
  <c r="AV18" i="4" s="1"/>
  <c r="I13" i="4"/>
  <c r="O13" i="4"/>
  <c r="B13" i="4"/>
  <c r="P13" i="4"/>
  <c r="L13" i="4"/>
  <c r="AU18" i="4" s="1"/>
  <c r="F13" i="4"/>
  <c r="H17" i="4"/>
  <c r="O25" i="2" s="1"/>
  <c r="K212" i="1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T185" i="3"/>
  <c r="E1463" i="11"/>
  <c r="B1463" i="11" s="1"/>
  <c r="E1460" i="11"/>
  <c r="X439" i="11"/>
  <c r="X434" i="11"/>
  <c r="X433" i="11"/>
  <c r="X432" i="11"/>
  <c r="X438" i="11"/>
  <c r="X437" i="11"/>
  <c r="X431" i="11"/>
  <c r="Y527" i="11"/>
  <c r="J55" i="2"/>
  <c r="U4" i="14"/>
  <c r="B2" i="2"/>
  <c r="J12" i="8"/>
  <c r="F16" i="8"/>
  <c r="E12" i="8" s="1"/>
  <c r="F612" i="11"/>
  <c r="B608" i="11"/>
  <c r="F610" i="11"/>
  <c r="B606" i="11"/>
  <c r="F611" i="11"/>
  <c r="B607" i="11"/>
  <c r="F609" i="11"/>
  <c r="B605" i="11"/>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AA179" i="3"/>
  <c r="AB179" i="3" s="1"/>
  <c r="AA178" i="3"/>
  <c r="AB178" i="3" s="1"/>
  <c r="AA180" i="3"/>
  <c r="AB180" i="3" s="1"/>
  <c r="Y520" i="11"/>
  <c r="V174" i="3" s="1"/>
  <c r="K3414" i="11"/>
  <c r="C3405" i="11"/>
  <c r="B3405" i="11" s="1"/>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G458" i="11"/>
  <c r="AE84" i="9"/>
  <c r="C2350" i="11"/>
  <c r="C2360" i="11"/>
  <c r="G462" i="11"/>
  <c r="X108" i="3"/>
  <c r="C2342" i="11"/>
  <c r="C2364" i="11"/>
  <c r="C2334" i="11"/>
  <c r="C2328" i="11"/>
  <c r="B2328" i="11" s="1"/>
  <c r="F23" i="4"/>
  <c r="Q104" i="11"/>
  <c r="N98"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R23" i="7"/>
  <c r="P558" i="11"/>
  <c r="P556" i="11"/>
  <c r="P554" i="11"/>
  <c r="P552" i="11"/>
  <c r="P550" i="11"/>
  <c r="P548" i="11"/>
  <c r="P546" i="11"/>
  <c r="P544" i="11"/>
  <c r="P542" i="11"/>
  <c r="P540" i="11"/>
  <c r="P538" i="11"/>
  <c r="P536" i="11"/>
  <c r="P53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559" i="11"/>
  <c r="P557" i="11"/>
  <c r="P539" i="11"/>
  <c r="P537" i="11"/>
  <c r="G509" i="11"/>
  <c r="G508" i="11"/>
  <c r="G504" i="11"/>
  <c r="G500" i="11"/>
  <c r="G505" i="11"/>
  <c r="G507" i="11"/>
  <c r="G499" i="11"/>
  <c r="G495" i="11"/>
  <c r="G576" i="11"/>
  <c r="G564" i="11"/>
  <c r="G703" i="11"/>
  <c r="V9" i="5"/>
  <c r="G497" i="11"/>
  <c r="P535" i="11"/>
  <c r="G526" i="11"/>
  <c r="G510" i="11"/>
  <c r="G506" i="11"/>
  <c r="G498" i="11"/>
  <c r="V97" i="3"/>
  <c r="F50" i="8"/>
  <c r="F45" i="8"/>
  <c r="AE5" i="8"/>
  <c r="AM47" i="4"/>
  <c r="L5" i="6"/>
  <c r="F57" i="2"/>
  <c r="K7" i="3"/>
  <c r="AE5" i="1"/>
  <c r="AH5" i="4"/>
  <c r="AM45" i="4"/>
  <c r="AM46" i="4"/>
  <c r="V96" i="3"/>
  <c r="V109" i="3"/>
  <c r="F27" i="2"/>
  <c r="G574" i="11"/>
  <c r="G573" i="11"/>
  <c r="G518" i="11"/>
  <c r="G750" i="11"/>
  <c r="I39" i="5"/>
  <c r="G572" i="11"/>
  <c r="F58" i="2"/>
  <c r="F59" i="2"/>
  <c r="F56" i="2"/>
  <c r="F60" i="2"/>
  <c r="L5" i="9"/>
  <c r="M12" i="10"/>
  <c r="M5" i="4"/>
  <c r="AC5" i="7"/>
  <c r="V31" i="3"/>
  <c r="V28" i="3"/>
  <c r="V23" i="3"/>
  <c r="V22" i="3"/>
  <c r="F39" i="8"/>
  <c r="AM37" i="4"/>
  <c r="L5" i="8"/>
  <c r="E16" i="4"/>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V32" i="3"/>
  <c r="V25" i="3"/>
  <c r="C2333" i="11"/>
  <c r="E2345" i="11"/>
  <c r="C2345" i="11"/>
  <c r="E2363" i="11"/>
  <c r="AE82" i="9"/>
  <c r="V38" i="3"/>
  <c r="C2332" i="11"/>
  <c r="E2332" i="11"/>
  <c r="V72" i="2"/>
  <c r="AA26" i="3"/>
  <c r="E2329" i="11"/>
  <c r="E2331" i="11"/>
  <c r="C2331" i="11"/>
  <c r="C25" i="4"/>
  <c r="AM44" i="4"/>
  <c r="E2346" i="11"/>
  <c r="C2346" i="11"/>
  <c r="E2341" i="11"/>
  <c r="C2341" i="11"/>
  <c r="E2358" i="11"/>
  <c r="C2358" i="11"/>
  <c r="B3381" i="11" l="1"/>
  <c r="K189" i="3"/>
  <c r="M189" i="3" s="1"/>
  <c r="AA181" i="3"/>
  <c r="AB181" i="3" s="1"/>
  <c r="V181" i="3"/>
  <c r="W39" i="3"/>
  <c r="AA39" i="3" s="1"/>
  <c r="AR18" i="4"/>
  <c r="AX18" i="4"/>
  <c r="R63" i="5"/>
  <c r="U435" i="11"/>
  <c r="M22" i="4"/>
  <c r="P14" i="10"/>
  <c r="U439" i="11"/>
  <c r="F3357" i="11"/>
  <c r="H3357" i="11" s="1"/>
  <c r="F3358" i="11"/>
  <c r="H3358"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L8" i="3"/>
  <c r="M99" i="11"/>
  <c r="N100" i="11"/>
  <c r="M100" i="11"/>
  <c r="M98" i="11"/>
  <c r="N99"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B2331" i="11"/>
  <c r="B2332" i="11" s="1"/>
  <c r="B2333" i="11" s="1"/>
  <c r="B2334" i="11" s="1"/>
  <c r="B2335" i="11" s="1"/>
  <c r="B2336" i="11" s="1"/>
  <c r="B2337" i="11" s="1"/>
  <c r="B2338" i="11" s="1"/>
  <c r="B2339" i="11" s="1"/>
  <c r="B2340" i="11" s="1"/>
  <c r="B2341" i="11" s="1"/>
  <c r="AA108" i="3"/>
  <c r="V117" i="3"/>
  <c r="V101" i="3"/>
  <c r="Z5" i="3"/>
  <c r="AA5" i="3" s="1"/>
  <c r="J189" i="3" s="1"/>
  <c r="G465" i="11"/>
  <c r="F449" i="11" s="1"/>
  <c r="F877" i="11"/>
  <c r="F871" i="11"/>
  <c r="F883" i="11"/>
  <c r="E25" i="4"/>
  <c r="G25" i="4"/>
  <c r="F25" i="4"/>
  <c r="C26" i="4"/>
  <c r="D25" i="4"/>
  <c r="F3360" i="11" l="1"/>
  <c r="H3360" i="11" s="1"/>
  <c r="AA177" i="3"/>
  <c r="AB177" i="3" s="1"/>
  <c r="V177" i="3"/>
  <c r="AX13" i="4"/>
  <c r="AX12" i="4"/>
  <c r="C29" i="5"/>
  <c r="C31" i="5" s="1"/>
  <c r="C12" i="8"/>
  <c r="F20" i="8" s="1"/>
  <c r="I16" i="8" s="1"/>
  <c r="X282" i="11"/>
  <c r="F3356" i="11"/>
  <c r="H3356" i="11" s="1"/>
  <c r="C449"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Z77" i="14" l="1"/>
  <c r="AX14" i="4"/>
  <c r="E38" i="10"/>
  <c r="C22" i="8"/>
  <c r="R13" i="10"/>
  <c r="AG142" i="18"/>
  <c r="AG143" i="18"/>
  <c r="AG8" i="18"/>
  <c r="AG68" i="18"/>
  <c r="AG65" i="18"/>
  <c r="AG66"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AA38" i="3"/>
  <c r="D22" i="5" s="1"/>
  <c r="R24" i="10" s="1"/>
  <c r="AA27" i="2"/>
  <c r="B3284" i="11"/>
  <c r="B3285" i="11"/>
  <c r="AA90" i="3"/>
  <c r="AA37" i="3"/>
  <c r="D20" i="5" s="1"/>
  <c r="P24" i="10" s="1"/>
  <c r="AA31" i="3"/>
  <c r="E20" i="5" s="1"/>
  <c r="P23" i="10" s="1"/>
  <c r="H17" i="2"/>
  <c r="H16" i="2"/>
  <c r="U141" i="3" s="1"/>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P37" i="7" l="1"/>
  <c r="W96" i="3"/>
  <c r="AA96" i="3" s="1"/>
  <c r="U134" i="3"/>
  <c r="U157" i="3"/>
  <c r="U155" i="3"/>
  <c r="G60" i="2"/>
  <c r="J60" i="2" s="1"/>
  <c r="U145" i="3"/>
  <c r="U139" i="3"/>
  <c r="U169" i="3"/>
  <c r="AA169" i="3" s="1"/>
  <c r="AB169" i="3" s="1"/>
  <c r="U151" i="3"/>
  <c r="U164" i="3"/>
  <c r="U153" i="3"/>
  <c r="AA153" i="3" s="1"/>
  <c r="AB153" i="3" s="1"/>
  <c r="U147" i="3"/>
  <c r="AA147" i="3" s="1"/>
  <c r="AB147" i="3" s="1"/>
  <c r="U149" i="3"/>
  <c r="AA149" i="3" s="1"/>
  <c r="AB149" i="3" s="1"/>
  <c r="U148" i="3"/>
  <c r="U143" i="3"/>
  <c r="U146" i="3"/>
  <c r="U137" i="3"/>
  <c r="U144" i="3"/>
  <c r="AA144" i="3" s="1"/>
  <c r="AB144" i="3" s="1"/>
  <c r="U138" i="3"/>
  <c r="U136" i="3"/>
  <c r="U152" i="3"/>
  <c r="U150" i="3"/>
  <c r="D980" i="11"/>
  <c r="E1018" i="11"/>
  <c r="W98" i="3"/>
  <c r="AA98" i="3" s="1"/>
  <c r="U133" i="3"/>
  <c r="U171" i="3"/>
  <c r="AA171" i="3" s="1"/>
  <c r="AB171" i="3" s="1"/>
  <c r="U165" i="3"/>
  <c r="U154" i="3"/>
  <c r="AA154" i="3" s="1"/>
  <c r="AB154" i="3" s="1"/>
  <c r="D982" i="11"/>
  <c r="W97" i="3"/>
  <c r="AA97" i="3" s="1"/>
  <c r="D981" i="11"/>
  <c r="W95" i="3"/>
  <c r="AA95" i="3" s="1"/>
  <c r="U176" i="3"/>
  <c r="AA176" i="3" s="1"/>
  <c r="AB176" i="3" s="1"/>
  <c r="U170" i="3"/>
  <c r="AA170" i="3" s="1"/>
  <c r="AB170" i="3" s="1"/>
  <c r="U135"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U140" i="3"/>
  <c r="U142" i="3"/>
  <c r="U160" i="3"/>
  <c r="B449" i="11"/>
  <c r="AK10" i="6"/>
  <c r="F34" i="10"/>
  <c r="D29" i="4"/>
  <c r="F29" i="4"/>
  <c r="G29" i="4"/>
  <c r="E29" i="4"/>
  <c r="C30" i="4"/>
  <c r="AH27" i="18" l="1"/>
  <c r="AG76" i="18"/>
  <c r="AH76" i="18" s="1"/>
  <c r="AG70" i="18"/>
  <c r="AH70" i="18" s="1"/>
  <c r="J31" i="2"/>
  <c r="J33" i="11"/>
  <c r="M28" i="6"/>
  <c r="Q32" i="10" s="1"/>
  <c r="AG145" i="18"/>
  <c r="AG69" i="18"/>
  <c r="B3213" i="11"/>
  <c r="F25" i="10" s="1"/>
  <c r="P5" i="20"/>
  <c r="AJ5" i="6"/>
  <c r="Q5" i="4"/>
  <c r="P5" i="9"/>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AN19" i="2" s="1"/>
  <c r="AO19" i="2" s="1"/>
  <c r="AQ19" i="2" s="1"/>
  <c r="J11" i="2" s="1"/>
  <c r="J13" i="6"/>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AR28" i="4" l="1"/>
  <c r="AR29" i="4"/>
  <c r="AR30" i="4"/>
  <c r="AT12" i="4"/>
  <c r="AT13" i="4"/>
  <c r="AW13" i="4"/>
  <c r="AW12" i="4"/>
  <c r="AV12" i="4"/>
  <c r="AV13" i="4"/>
  <c r="AS12" i="4"/>
  <c r="AS13" i="4"/>
  <c r="AU12" i="4"/>
  <c r="AU13" i="4"/>
  <c r="AR12" i="4"/>
  <c r="AR13" i="4"/>
  <c r="AQ11" i="2"/>
  <c r="G11" i="2" s="1"/>
  <c r="D23" i="2"/>
  <c r="W35" i="3"/>
  <c r="AA35" i="3" s="1"/>
  <c r="D16" i="5" s="1"/>
  <c r="J24" i="10" s="1"/>
  <c r="N16" i="2"/>
  <c r="H13" i="2"/>
  <c r="W109" i="3" s="1"/>
  <c r="AA109" i="3" s="1"/>
  <c r="H1093" i="11"/>
  <c r="W29" i="3"/>
  <c r="AA29" i="3" s="1"/>
  <c r="E16" i="5" s="1"/>
  <c r="J23" i="10" s="1"/>
  <c r="W185" i="3"/>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AR32" i="4" l="1"/>
  <c r="AV14" i="4"/>
  <c r="AT14" i="4"/>
  <c r="AW14" i="4"/>
  <c r="AR14" i="4"/>
  <c r="AS14" i="4"/>
  <c r="AU14" i="4"/>
  <c r="AP32" i="6"/>
  <c r="H13" i="10"/>
  <c r="W23" i="3"/>
  <c r="AA23" i="3" s="1"/>
  <c r="W93" i="3"/>
  <c r="AA93" i="3" s="1"/>
  <c r="Q13" i="6" s="1"/>
  <c r="U158" i="3"/>
  <c r="U163" i="3"/>
  <c r="U161" i="3"/>
  <c r="U174" i="3"/>
  <c r="W22" i="3"/>
  <c r="AA22" i="3" s="1"/>
  <c r="H1099" i="4" s="1"/>
  <c r="U173" i="3"/>
  <c r="AA173" i="3" s="1"/>
  <c r="AB173" i="3" s="1"/>
  <c r="U175" i="3"/>
  <c r="AA175" i="3" s="1"/>
  <c r="U132" i="3"/>
  <c r="U167" i="3"/>
  <c r="AA167" i="3" s="1"/>
  <c r="U172" i="3"/>
  <c r="U159" i="3"/>
  <c r="U168" i="3"/>
  <c r="AA168" i="3" s="1"/>
  <c r="L60" i="4"/>
  <c r="W36" i="3"/>
  <c r="AA36" i="3" s="1"/>
  <c r="D18" i="5" s="1"/>
  <c r="H24" i="10" s="1"/>
  <c r="AF32" i="1"/>
  <c r="H14" i="2"/>
  <c r="W25" i="3" s="1"/>
  <c r="W30" i="3"/>
  <c r="AA30" i="3" s="1"/>
  <c r="E18" i="5" s="1"/>
  <c r="H23" i="10" s="1"/>
  <c r="L51" i="4"/>
  <c r="D13" i="10"/>
  <c r="Q60" i="4"/>
  <c r="W28" i="3"/>
  <c r="AA28" i="3" s="1"/>
  <c r="E14" i="5" s="1"/>
  <c r="N23" i="10" s="1"/>
  <c r="M58" i="10"/>
  <c r="J13" i="10"/>
  <c r="W34" i="3"/>
  <c r="AA34" i="3" s="1"/>
  <c r="D14" i="5" s="1"/>
  <c r="N24" i="10" s="1"/>
  <c r="H12" i="2"/>
  <c r="K22" i="4"/>
  <c r="L22" i="4"/>
  <c r="Q12" i="8"/>
  <c r="P12" i="8"/>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F3346" i="11" l="1"/>
  <c r="H3346" i="11" s="1"/>
  <c r="AB167" i="3"/>
  <c r="F3347" i="11"/>
  <c r="H3347" i="11" s="1"/>
  <c r="AB168" i="3"/>
  <c r="Q71" i="2"/>
  <c r="AB175" i="3"/>
  <c r="F3354" i="11"/>
  <c r="H3354" i="11" s="1"/>
  <c r="M3320" i="11" s="1"/>
  <c r="N3321" i="11" s="1"/>
  <c r="P13" i="6"/>
  <c r="G33" i="10" s="1"/>
  <c r="Q64" i="2"/>
  <c r="Z67" i="14" s="1"/>
  <c r="J29" i="2"/>
  <c r="D22" i="2"/>
  <c r="W33" i="3"/>
  <c r="W27" i="3"/>
  <c r="Q69" i="2"/>
  <c r="Z72" i="14" s="1"/>
  <c r="F3352" i="11"/>
  <c r="H3352" i="11" s="1"/>
  <c r="H1104" i="11"/>
  <c r="H1101" i="11"/>
  <c r="H1095" i="11"/>
  <c r="H1102" i="11"/>
  <c r="H1105" i="11"/>
  <c r="H1083" i="11"/>
  <c r="H1099" i="11"/>
  <c r="H1092" i="11"/>
  <c r="H1079" i="11"/>
  <c r="Q63" i="2"/>
  <c r="H1075" i="4"/>
  <c r="H1089" i="11"/>
  <c r="H1097" i="11"/>
  <c r="H1070" i="11"/>
  <c r="H1073" i="11"/>
  <c r="H1071" i="11"/>
  <c r="H1107" i="11"/>
  <c r="H1075" i="11"/>
  <c r="H1076" i="11"/>
  <c r="H1095" i="4"/>
  <c r="H21" i="2"/>
  <c r="O55" i="4" s="1"/>
  <c r="H1097" i="4"/>
  <c r="H1105" i="4"/>
  <c r="K12" i="2"/>
  <c r="G56" i="2"/>
  <c r="J56" i="2" s="1"/>
  <c r="G57" i="2"/>
  <c r="J57" i="2" s="1"/>
  <c r="G58" i="2"/>
  <c r="J58" i="2" s="1"/>
  <c r="R55" i="4"/>
  <c r="D945" i="11"/>
  <c r="D939" i="11"/>
  <c r="D964" i="11"/>
  <c r="D427" i="11"/>
  <c r="D443" i="11"/>
  <c r="D943" i="11"/>
  <c r="D960" i="11"/>
  <c r="D968" i="11"/>
  <c r="U131" i="3"/>
  <c r="D954" i="11"/>
  <c r="D984" i="11"/>
  <c r="D934" i="11"/>
  <c r="D439" i="11"/>
  <c r="D958" i="11"/>
  <c r="D933" i="11"/>
  <c r="D941" i="11"/>
  <c r="D983" i="11"/>
  <c r="D932" i="11"/>
  <c r="D957" i="11"/>
  <c r="D961" i="11"/>
  <c r="D950" i="11"/>
  <c r="D985" i="11"/>
  <c r="D442" i="11"/>
  <c r="D967" i="11"/>
  <c r="D429" i="11"/>
  <c r="D433" i="11"/>
  <c r="D936" i="11"/>
  <c r="D441" i="11"/>
  <c r="D978" i="11"/>
  <c r="D440" i="11"/>
  <c r="D944" i="11"/>
  <c r="D431" i="11"/>
  <c r="D966" i="11"/>
  <c r="D942" i="11"/>
  <c r="D974" i="11"/>
  <c r="R49" i="4"/>
  <c r="D955" i="11"/>
  <c r="D969" i="11"/>
  <c r="D956" i="11"/>
  <c r="D946" i="11"/>
  <c r="D962" i="11"/>
  <c r="D435" i="11"/>
  <c r="D959" i="11"/>
  <c r="D979" i="11"/>
  <c r="AA25" i="3"/>
  <c r="H25" i="2" s="1"/>
  <c r="R16" i="4" s="1"/>
  <c r="U156" i="3"/>
  <c r="D948" i="11"/>
  <c r="D953" i="11"/>
  <c r="D432" i="11"/>
  <c r="D952" i="11"/>
  <c r="D935" i="11"/>
  <c r="D975" i="11"/>
  <c r="D940" i="11"/>
  <c r="D973" i="11"/>
  <c r="D372" i="11"/>
  <c r="D977" i="11"/>
  <c r="D963" i="11"/>
  <c r="D947" i="11"/>
  <c r="D972" i="11"/>
  <c r="D951" i="11"/>
  <c r="D971" i="11"/>
  <c r="D434" i="11"/>
  <c r="D976" i="11"/>
  <c r="D949" i="11"/>
  <c r="D938" i="11"/>
  <c r="D965" i="11"/>
  <c r="D937" i="11"/>
  <c r="D970" i="11"/>
  <c r="U185" i="3"/>
  <c r="Z185" i="3" s="1"/>
  <c r="N11" i="2" s="1"/>
  <c r="F12" i="10" s="1"/>
  <c r="G41" i="10"/>
  <c r="D71" i="1"/>
  <c r="K3353" i="11"/>
  <c r="K3306" i="11"/>
  <c r="K3308" i="11"/>
  <c r="E69" i="1"/>
  <c r="C35" i="4"/>
  <c r="D34" i="4"/>
  <c r="E34" i="4"/>
  <c r="F34" i="4"/>
  <c r="G34" i="4"/>
  <c r="Z74" i="14" l="1"/>
  <c r="Z75" i="14"/>
  <c r="H1109" i="11"/>
  <c r="O38" i="4"/>
  <c r="O27" i="4"/>
  <c r="O32" i="4"/>
  <c r="O43" i="4"/>
  <c r="O49" i="4"/>
  <c r="K11" i="2"/>
  <c r="N57" i="10"/>
  <c r="J14" i="10"/>
  <c r="N24" i="14"/>
  <c r="N23" i="14"/>
  <c r="L14" i="10"/>
  <c r="L16" i="2"/>
  <c r="AN20" i="2" s="1"/>
  <c r="AO20" i="2" s="1"/>
  <c r="AQ20" i="2" s="1"/>
  <c r="O58" i="2"/>
  <c r="R17" i="4"/>
  <c r="D25" i="2" s="1"/>
  <c r="N22" i="14"/>
  <c r="D14" i="10"/>
  <c r="G35" i="4"/>
  <c r="D35" i="4"/>
  <c r="E35" i="4"/>
  <c r="F35" i="4"/>
  <c r="C36" i="4"/>
  <c r="O23" i="2" l="1"/>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AD37" i="4" l="1"/>
  <c r="AD36" i="4" l="1"/>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O20"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P21" i="10"/>
  <c r="V984" i="11"/>
  <c r="D21" i="10"/>
  <c r="V978" i="11"/>
  <c r="N21" i="10"/>
  <c r="V1014" i="11"/>
  <c r="V1012" i="11"/>
  <c r="V1010" i="11"/>
  <c r="V975" i="11"/>
  <c r="V1019" i="11"/>
  <c r="V990" i="11"/>
  <c r="V992" i="11"/>
  <c r="D996" i="11" l="1"/>
  <c r="V996" i="11" s="1"/>
  <c r="D995" i="11"/>
  <c r="V995" i="11" s="1"/>
  <c r="I20" i="4"/>
  <c r="V1022" i="11" l="1"/>
  <c r="R20" i="4" s="1"/>
  <c r="G17" i="10"/>
  <c r="P979" i="11"/>
  <c r="P948" i="11"/>
  <c r="P1018" i="11"/>
  <c r="P1017" i="11"/>
  <c r="P1013" i="11"/>
  <c r="P1000" i="11"/>
  <c r="P997" i="11"/>
  <c r="P998" i="11"/>
  <c r="P1007" i="11"/>
  <c r="P1008" i="11"/>
  <c r="P996" i="11"/>
  <c r="P1020" i="11"/>
  <c r="P995" i="11"/>
  <c r="P991" i="11"/>
  <c r="P999" i="11"/>
  <c r="P1014" i="11"/>
  <c r="P990" i="11"/>
  <c r="P949" i="11"/>
  <c r="P973" i="11"/>
  <c r="E982" i="11"/>
  <c r="AD34" i="4"/>
  <c r="D19" i="10" l="1"/>
  <c r="N59" i="10"/>
  <c r="AA33" i="3"/>
  <c r="D12" i="5" s="1"/>
  <c r="AA27" i="3"/>
  <c r="E12" i="5" s="1"/>
  <c r="H11" i="2"/>
  <c r="D28" i="2" l="1"/>
  <c r="W24" i="3"/>
  <c r="AA24" i="3" s="1"/>
  <c r="AD23" i="3" s="1"/>
  <c r="L23" i="10"/>
  <c r="E24" i="5"/>
  <c r="F23" i="10" s="1"/>
  <c r="U126" i="3"/>
  <c r="U128" i="3"/>
  <c r="U129" i="3"/>
  <c r="U127" i="3"/>
  <c r="U162" i="3"/>
  <c r="L24" i="10"/>
  <c r="D24" i="5"/>
  <c r="U166" i="3"/>
  <c r="U130" i="3"/>
  <c r="AD35" i="4"/>
  <c r="N55" i="4" l="1"/>
  <c r="N27" i="4"/>
  <c r="N38" i="4"/>
  <c r="N49" i="4"/>
  <c r="Q49" i="4"/>
  <c r="P49" i="4"/>
  <c r="P43" i="4"/>
  <c r="P27" i="4"/>
  <c r="P38" i="4"/>
  <c r="P55" i="4"/>
  <c r="Q55" i="4"/>
  <c r="P32" i="4"/>
  <c r="H1080" i="11"/>
  <c r="H1082" i="11"/>
  <c r="H1072" i="11"/>
  <c r="P20" i="4"/>
  <c r="H1098" i="4"/>
  <c r="H1103" i="4"/>
  <c r="H23" i="2"/>
  <c r="F23" i="2"/>
  <c r="H1074" i="11"/>
  <c r="H1115" i="11"/>
  <c r="H1085" i="11"/>
  <c r="H1088" i="11"/>
  <c r="H1077" i="11"/>
  <c r="H1086" i="11"/>
  <c r="H1084" i="11"/>
  <c r="H1098" i="11"/>
  <c r="Q20" i="4"/>
  <c r="P969" i="11" s="1"/>
  <c r="H1081" i="11"/>
  <c r="H1078" i="11"/>
  <c r="H1091" i="11"/>
  <c r="H1114" i="11"/>
  <c r="H1108" i="11"/>
  <c r="H1087" i="11"/>
  <c r="H1103" i="11"/>
  <c r="O13" i="6"/>
  <c r="O12" i="8"/>
  <c r="N20" i="4"/>
  <c r="E26" i="3"/>
  <c r="R16" i="14" l="1"/>
  <c r="D16" i="10"/>
  <c r="P970" i="11"/>
  <c r="P1011" i="11"/>
  <c r="P1012" i="11"/>
  <c r="P1016" i="11"/>
  <c r="P1015" i="11"/>
  <c r="P1009" i="11"/>
  <c r="P1010" i="11"/>
  <c r="P987" i="11"/>
  <c r="P994" i="11"/>
  <c r="P993" i="11"/>
  <c r="P1005" i="11"/>
  <c r="P1006" i="11"/>
  <c r="P992" i="11"/>
  <c r="P988" i="11"/>
  <c r="P972" i="11"/>
  <c r="P982" i="11"/>
  <c r="G18" i="10"/>
  <c r="P978" i="11"/>
  <c r="Z66" i="14"/>
  <c r="AD33" i="4"/>
  <c r="AG173" i="3" l="1"/>
  <c r="AI173" i="3" s="1"/>
  <c r="K3352" i="11" s="1"/>
  <c r="AJ173" i="3" l="1"/>
  <c r="J3352" i="11"/>
  <c r="AJ171" i="3" l="1"/>
  <c r="AI171" i="3" l="1"/>
  <c r="K3350" i="11" s="1"/>
  <c r="AI165" i="3"/>
  <c r="K3344" i="11" s="1"/>
  <c r="AE117" i="3"/>
  <c r="AF160" i="3" s="1"/>
  <c r="AA160" i="3" s="1"/>
  <c r="AB160" i="3" s="1"/>
  <c r="AJ165" i="3" l="1"/>
  <c r="Q56" i="2"/>
  <c r="F3339" i="11"/>
  <c r="H3339" i="11" s="1"/>
  <c r="AF152" i="3"/>
  <c r="AA152" i="3" s="1"/>
  <c r="AB152" i="3" s="1"/>
  <c r="AF143" i="3"/>
  <c r="AA143" i="3" s="1"/>
  <c r="AB143" i="3" s="1"/>
  <c r="AF156" i="3"/>
  <c r="AA156" i="3" s="1"/>
  <c r="AB156" i="3" s="1"/>
  <c r="AF131" i="3"/>
  <c r="AA131" i="3" s="1"/>
  <c r="AB131" i="3" s="1"/>
  <c r="AF162" i="3"/>
  <c r="AA162" i="3" s="1"/>
  <c r="AB162" i="3" s="1"/>
  <c r="AF164" i="3"/>
  <c r="AA164" i="3" s="1"/>
  <c r="AB164" i="3" s="1"/>
  <c r="AF130" i="3"/>
  <c r="AA130" i="3" s="1"/>
  <c r="AB130" i="3" s="1"/>
  <c r="AF134" i="3"/>
  <c r="AA134" i="3" s="1"/>
  <c r="AB134" i="3" s="1"/>
  <c r="AF163" i="3"/>
  <c r="AA163" i="3" s="1"/>
  <c r="AB163" i="3" s="1"/>
  <c r="AF172" i="3"/>
  <c r="AA172" i="3" s="1"/>
  <c r="AB172" i="3" s="1"/>
  <c r="AF176" i="3"/>
  <c r="AF149" i="3"/>
  <c r="AF144" i="3"/>
  <c r="AF169" i="3"/>
  <c r="AF147" i="3"/>
  <c r="AF173" i="3"/>
  <c r="AF154" i="3"/>
  <c r="AF153" i="3"/>
  <c r="AF167" i="3"/>
  <c r="AF168" i="3"/>
  <c r="AF175" i="3"/>
  <c r="AF171" i="3"/>
  <c r="AF170" i="3"/>
  <c r="AF128" i="3"/>
  <c r="AA128" i="3" s="1"/>
  <c r="AB128" i="3" s="1"/>
  <c r="AF165" i="3"/>
  <c r="AA165" i="3" s="1"/>
  <c r="AB165" i="3" s="1"/>
  <c r="AF136" i="3"/>
  <c r="AA136" i="3" s="1"/>
  <c r="AB136" i="3" s="1"/>
  <c r="AF126" i="3"/>
  <c r="AA126" i="3" s="1"/>
  <c r="AB126" i="3" s="1"/>
  <c r="AF140" i="3"/>
  <c r="AA140" i="3" s="1"/>
  <c r="AB140" i="3" s="1"/>
  <c r="AF159" i="3"/>
  <c r="AA159" i="3" s="1"/>
  <c r="AB159" i="3" s="1"/>
  <c r="AF139" i="3"/>
  <c r="AA139" i="3" s="1"/>
  <c r="AB139" i="3" s="1"/>
  <c r="AF145" i="3"/>
  <c r="AA145" i="3" s="1"/>
  <c r="AB145" i="3" s="1"/>
  <c r="AF174" i="3"/>
  <c r="AA174" i="3" s="1"/>
  <c r="AB174" i="3" s="1"/>
  <c r="AF127" i="3"/>
  <c r="AA127" i="3" s="1"/>
  <c r="AB127" i="3" s="1"/>
  <c r="AF148" i="3"/>
  <c r="AA148" i="3" s="1"/>
  <c r="AB148" i="3" s="1"/>
  <c r="AF138" i="3"/>
  <c r="AA138" i="3" s="1"/>
  <c r="AB138" i="3" s="1"/>
  <c r="AF141" i="3"/>
  <c r="AA141" i="3" s="1"/>
  <c r="AB141" i="3" s="1"/>
  <c r="AF155" i="3"/>
  <c r="AA155" i="3" s="1"/>
  <c r="AB155" i="3" s="1"/>
  <c r="AF158" i="3"/>
  <c r="AA158" i="3" s="1"/>
  <c r="AB158" i="3" s="1"/>
  <c r="AF146" i="3"/>
  <c r="AA146" i="3" s="1"/>
  <c r="AB146" i="3" s="1"/>
  <c r="AF129" i="3"/>
  <c r="AA129" i="3" s="1"/>
  <c r="AB129" i="3" s="1"/>
  <c r="AF157" i="3"/>
  <c r="AA157" i="3" s="1"/>
  <c r="AB157" i="3" s="1"/>
  <c r="AF161" i="3"/>
  <c r="AA161" i="3" s="1"/>
  <c r="AB161" i="3" s="1"/>
  <c r="AF142" i="3"/>
  <c r="AA142" i="3" s="1"/>
  <c r="AB142" i="3" s="1"/>
  <c r="AF133" i="3"/>
  <c r="AA133" i="3" s="1"/>
  <c r="AB133" i="3" s="1"/>
  <c r="AF137" i="3"/>
  <c r="AA137" i="3" s="1"/>
  <c r="AB137" i="3" s="1"/>
  <c r="AF150" i="3"/>
  <c r="AA150" i="3" s="1"/>
  <c r="AB150" i="3" s="1"/>
  <c r="AF151" i="3"/>
  <c r="AA151" i="3" s="1"/>
  <c r="AB151" i="3" s="1"/>
  <c r="AF166" i="3"/>
  <c r="AA166" i="3" s="1"/>
  <c r="AB166" i="3" s="1"/>
  <c r="AF135" i="3"/>
  <c r="AA135" i="3" s="1"/>
  <c r="AB135" i="3" s="1"/>
  <c r="AF132" i="3"/>
  <c r="AA132" i="3" s="1"/>
  <c r="AB132" i="3" s="1"/>
  <c r="P937" i="11" l="1"/>
  <c r="H1100" i="11"/>
  <c r="H1094" i="11"/>
  <c r="H1100" i="4"/>
  <c r="P939" i="11"/>
  <c r="P940" i="11"/>
  <c r="P961" i="11"/>
  <c r="P960" i="11"/>
  <c r="P933" i="11"/>
  <c r="V57" i="3" s="1"/>
  <c r="AD32" i="4" s="1"/>
  <c r="P952" i="11"/>
  <c r="P951" i="11"/>
  <c r="P956" i="11"/>
  <c r="P958" i="11"/>
  <c r="P1004" i="11"/>
  <c r="P1003" i="11"/>
  <c r="Q29" i="2"/>
  <c r="P957" i="11"/>
  <c r="F3312" i="11"/>
  <c r="H3312" i="11" s="1"/>
  <c r="F3308" i="11"/>
  <c r="H3308" i="11" s="1"/>
  <c r="M3335" i="11" s="1"/>
  <c r="N3336" i="11" s="1"/>
  <c r="Q25" i="2"/>
  <c r="Q37" i="2"/>
  <c r="F3320" i="11"/>
  <c r="H3320" i="11" s="1"/>
  <c r="Q70" i="2"/>
  <c r="Z73" i="14" s="1"/>
  <c r="F3353" i="11"/>
  <c r="H3353" i="11" s="1"/>
  <c r="P975" i="11"/>
  <c r="Q36" i="2"/>
  <c r="P974" i="11"/>
  <c r="P976" i="11"/>
  <c r="H1066" i="11"/>
  <c r="P1002" i="11"/>
  <c r="P1001" i="11"/>
  <c r="F3319" i="11"/>
  <c r="H3319" i="11" s="1"/>
  <c r="M3306" i="11" s="1"/>
  <c r="N3307" i="11" s="1"/>
  <c r="F3307" i="11"/>
  <c r="H3307" i="11" s="1"/>
  <c r="Q24" i="2"/>
  <c r="Q30" i="2"/>
  <c r="F3313" i="11"/>
  <c r="H3313" i="11" s="1"/>
  <c r="M3328" i="11" s="1"/>
  <c r="N3329" i="11" s="1"/>
  <c r="Q27" i="2"/>
  <c r="F3310" i="11"/>
  <c r="H3310" i="11" s="1"/>
  <c r="M3347" i="11" s="1"/>
  <c r="N3348" i="11" s="1"/>
  <c r="Q47" i="2"/>
  <c r="F3330" i="11"/>
  <c r="H3330" i="11" s="1"/>
  <c r="M3336" i="11" s="1"/>
  <c r="N3337" i="11" s="1"/>
  <c r="Q38" i="2"/>
  <c r="F3321" i="11"/>
  <c r="H3321" i="11" s="1"/>
  <c r="Q42" i="2"/>
  <c r="F3325" i="11"/>
  <c r="H3325" i="11" s="1"/>
  <c r="Q34" i="2"/>
  <c r="F3317" i="11"/>
  <c r="H3317" i="11" s="1"/>
  <c r="M3315" i="11" s="1"/>
  <c r="N3316" i="11" s="1"/>
  <c r="F3324" i="11"/>
  <c r="H3324" i="11" s="1"/>
  <c r="Q41" i="2"/>
  <c r="P953" i="11"/>
  <c r="P955" i="11"/>
  <c r="Q22" i="2"/>
  <c r="P954" i="11"/>
  <c r="F3305" i="11"/>
  <c r="H3305" i="11" s="1"/>
  <c r="M3305" i="11" s="1"/>
  <c r="Q26" i="2"/>
  <c r="F3309" i="11"/>
  <c r="H3309" i="11" s="1"/>
  <c r="P964" i="11"/>
  <c r="P935" i="11"/>
  <c r="P963" i="11"/>
  <c r="P943" i="11"/>
  <c r="Q52" i="2"/>
  <c r="P942" i="11"/>
  <c r="P967" i="11"/>
  <c r="P941" i="11"/>
  <c r="P936" i="11"/>
  <c r="P962" i="11"/>
  <c r="F3335" i="11"/>
  <c r="H3335" i="11" s="1"/>
  <c r="P938" i="11"/>
  <c r="Q62" i="2"/>
  <c r="F3345" i="11"/>
  <c r="H3345" i="11" s="1"/>
  <c r="Q46" i="2"/>
  <c r="F3329" i="11"/>
  <c r="H3329" i="11" s="1"/>
  <c r="M3332" i="11" s="1"/>
  <c r="N3333" i="11" s="1"/>
  <c r="Q57" i="2"/>
  <c r="F3340" i="11"/>
  <c r="H3340" i="11" s="1"/>
  <c r="Q54" i="2"/>
  <c r="F3337" i="11"/>
  <c r="H3337" i="11" s="1"/>
  <c r="Q44" i="2"/>
  <c r="F3327" i="11"/>
  <c r="H3327" i="11" s="1"/>
  <c r="Q35" i="2"/>
  <c r="F3318" i="11"/>
  <c r="H3318" i="11" s="1"/>
  <c r="Q32" i="2"/>
  <c r="F3315" i="11"/>
  <c r="P932" i="11"/>
  <c r="V56" i="3" s="1"/>
  <c r="P959" i="11"/>
  <c r="P944" i="11"/>
  <c r="P985" i="11"/>
  <c r="P945" i="11"/>
  <c r="P983" i="11"/>
  <c r="Q68" i="2"/>
  <c r="P984" i="11"/>
  <c r="P946" i="11"/>
  <c r="P934" i="11"/>
  <c r="P950" i="11"/>
  <c r="F3351" i="11"/>
  <c r="H3351" i="11" s="1"/>
  <c r="Q60" i="2"/>
  <c r="F3343" i="11"/>
  <c r="H3343" i="11" s="1"/>
  <c r="Q39" i="2"/>
  <c r="F3322" i="11"/>
  <c r="H3322" i="11" s="1"/>
  <c r="Q28" i="2"/>
  <c r="F3311" i="11"/>
  <c r="H3311" i="11" s="1"/>
  <c r="Q31" i="2"/>
  <c r="F3314" i="11"/>
  <c r="H3314" i="11" s="1"/>
  <c r="Q33" i="2"/>
  <c r="F3316" i="11"/>
  <c r="H3316" i="11" s="1"/>
  <c r="Q53" i="2"/>
  <c r="F3336" i="11"/>
  <c r="H3336" i="11" s="1"/>
  <c r="Q51" i="2"/>
  <c r="F3334" i="11"/>
  <c r="H3334" i="11" s="1"/>
  <c r="M3325" i="11" s="1"/>
  <c r="N3326" i="11" s="1"/>
  <c r="P965" i="11"/>
  <c r="P966" i="11"/>
  <c r="Q23" i="2"/>
  <c r="F3306" i="11"/>
  <c r="H3306" i="11" s="1"/>
  <c r="Q55" i="2"/>
  <c r="F3338" i="11"/>
  <c r="H3338" i="11" s="1"/>
  <c r="M3321" i="11" s="1"/>
  <c r="N3322" i="11" s="1"/>
  <c r="Q61" i="2"/>
  <c r="F3344" i="11"/>
  <c r="H3344" i="11" s="1"/>
  <c r="M3310" i="11" s="1"/>
  <c r="N3311" i="11" s="1"/>
  <c r="Q59" i="2"/>
  <c r="F3342" i="11"/>
  <c r="H3342" i="11" s="1"/>
  <c r="M3352" i="11" s="1"/>
  <c r="N3353" i="11" s="1"/>
  <c r="Q58" i="2"/>
  <c r="F3341" i="11"/>
  <c r="H3341" i="11" s="1"/>
  <c r="M3348" i="11" s="1"/>
  <c r="N3349" i="11" s="1"/>
  <c r="Q48" i="2"/>
  <c r="F3331" i="11"/>
  <c r="H3331" i="11" s="1"/>
  <c r="M3338" i="11" s="1"/>
  <c r="N3339" i="11" s="1"/>
  <c r="M3344" i="11" l="1"/>
  <c r="N3345" i="11" s="1"/>
  <c r="M3311" i="11"/>
  <c r="N3312" i="11" s="1"/>
  <c r="M3329" i="11"/>
  <c r="N3330" i="11" s="1"/>
  <c r="M3340" i="11"/>
  <c r="N3341" i="11" s="1"/>
  <c r="M3318" i="11"/>
  <c r="N3319" i="11" s="1"/>
  <c r="M3319" i="11"/>
  <c r="N3320" i="11" s="1"/>
  <c r="M3355" i="11"/>
  <c r="N3356" i="11" s="1"/>
  <c r="M3356" i="11"/>
  <c r="N3357" i="11" s="1"/>
  <c r="M3323" i="11"/>
  <c r="N3324" i="11" s="1"/>
  <c r="M3324" i="11"/>
  <c r="N3325" i="11" s="1"/>
  <c r="M3316" i="11"/>
  <c r="N3317" i="11" s="1"/>
  <c r="M3317" i="11"/>
  <c r="N3318" i="11" s="1"/>
  <c r="M3353" i="11"/>
  <c r="N3354" i="11" s="1"/>
  <c r="M3354" i="11"/>
  <c r="N3355" i="11" s="1"/>
  <c r="M3343" i="11"/>
  <c r="N3344" i="11" s="1"/>
  <c r="M3313" i="11"/>
  <c r="N3314" i="11" s="1"/>
  <c r="M3314" i="11"/>
  <c r="N3315" i="11" s="1"/>
  <c r="M3322" i="11"/>
  <c r="N3323" i="11" s="1"/>
  <c r="M3330" i="11"/>
  <c r="N3331" i="11" s="1"/>
  <c r="M3331" i="11"/>
  <c r="N3332" i="11" s="1"/>
  <c r="M3308" i="11"/>
  <c r="N3309" i="11" s="1"/>
  <c r="M3309" i="11"/>
  <c r="N3310" i="11" s="1"/>
  <c r="M3349" i="11"/>
  <c r="N3350" i="11" s="1"/>
  <c r="M3350" i="11"/>
  <c r="N3351" i="11" s="1"/>
  <c r="M3351" i="11"/>
  <c r="N3352" i="11" s="1"/>
  <c r="M3345" i="11"/>
  <c r="N3346" i="11" s="1"/>
  <c r="M3346" i="11"/>
  <c r="N3347" i="11" s="1"/>
  <c r="M3312" i="11"/>
  <c r="N3313" i="11" s="1"/>
  <c r="M3333" i="11"/>
  <c r="N3334" i="11" s="1"/>
  <c r="M3334" i="11"/>
  <c r="N3335" i="11" s="1"/>
  <c r="M3326" i="11"/>
  <c r="N3327" i="11" s="1"/>
  <c r="M3327" i="11"/>
  <c r="N3328" i="11" s="1"/>
  <c r="M3339" i="11"/>
  <c r="N3340" i="11" s="1"/>
  <c r="M3337" i="11"/>
  <c r="N3338" i="11" s="1"/>
  <c r="AD31" i="4"/>
  <c r="V83" i="3"/>
  <c r="H3315" i="11"/>
  <c r="M3341" i="11" s="1"/>
  <c r="N3342" i="11" s="1"/>
  <c r="Z65" i="14"/>
  <c r="B3305" i="11"/>
  <c r="N3306" i="11"/>
  <c r="M3342" i="11" l="1"/>
  <c r="N3343" i="11" s="1"/>
  <c r="O3360" i="11" s="1"/>
  <c r="O3323" i="11"/>
  <c r="B3323" i="11" s="1"/>
  <c r="O3309" i="11"/>
  <c r="B3309" i="11" s="1"/>
  <c r="O3307" i="11"/>
  <c r="B3307" i="11" s="1"/>
  <c r="O3337" i="11"/>
  <c r="B3337" i="11" s="1"/>
  <c r="O3325" i="11"/>
  <c r="B3325" i="11" s="1"/>
  <c r="O3313" i="11"/>
  <c r="B3313" i="11" s="1"/>
  <c r="O3318" i="11"/>
  <c r="B3318" i="11" s="1"/>
  <c r="O3356" i="11"/>
  <c r="B3356" i="11" s="1"/>
  <c r="O3321" i="11"/>
  <c r="B3321" i="11" s="1"/>
  <c r="O3332" i="11"/>
  <c r="B3332" i="11" s="1"/>
  <c r="O3308" i="11"/>
  <c r="B3308" i="11" s="1"/>
  <c r="O3334" i="11"/>
  <c r="B3334" i="11" s="1"/>
  <c r="O3322" i="11"/>
  <c r="B3322" i="11" s="1"/>
  <c r="O3350" i="11"/>
  <c r="B3350" i="11" s="1"/>
  <c r="O3310" i="11"/>
  <c r="B3310" i="11" s="1"/>
  <c r="O3333" i="11"/>
  <c r="B3333" i="11" s="1"/>
  <c r="O3359" i="11"/>
  <c r="O3358" i="11"/>
  <c r="O3341" i="11"/>
  <c r="B3341" i="11" s="1"/>
  <c r="O3339" i="11"/>
  <c r="B3339" i="11" s="1"/>
  <c r="O3306" i="11"/>
  <c r="B3306" i="11" s="1"/>
  <c r="O3331" i="11"/>
  <c r="B3331" i="11" s="1"/>
  <c r="O3357" i="11"/>
  <c r="O3335" i="11"/>
  <c r="B333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52" i="11"/>
  <c r="B3352" i="11" s="1"/>
  <c r="O3338" i="11"/>
  <c r="B3338" i="11" s="1"/>
  <c r="O3329" i="11"/>
  <c r="B3329" i="11" s="1"/>
  <c r="O3328" i="11"/>
  <c r="B3328" i="11" s="1"/>
  <c r="O3330" i="11"/>
  <c r="B3330" i="11" s="1"/>
  <c r="O3316" i="11"/>
  <c r="B3316" i="11" s="1"/>
  <c r="O3353" i="11"/>
  <c r="B3353" i="11" s="1"/>
  <c r="O3340" i="11"/>
  <c r="B3340" i="11" s="1"/>
  <c r="O3345" i="11" l="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D72" i="1"/>
  <c r="V25" i="9"/>
  <c r="AE115" i="3"/>
  <c r="C61" i="10" l="1"/>
  <c r="E72" i="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<sst xmlns="http://schemas.openxmlformats.org/spreadsheetml/2006/main" count="30253" uniqueCount="9954">
  <si>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</si>
  <si>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</si>
  <si>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</si>
  <si>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</si>
  <si>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</si>
  <si>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</si>
  <si>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</si>
  <si>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</si>
  <si>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</si>
  <si>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</si>
  <si>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</si>
  <si>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</si>
  <si>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</si>
  <si>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</si>
  <si>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</si>
  <si>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</si>
  <si>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</si>
  <si>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</si>
  <si>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</si>
  <si>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</si>
  <si>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</si>
  <si>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</si>
  <si>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</si>
  <si>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</si>
  <si>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</si>
  <si>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</si>
  <si>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</si>
  <si>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</si>
  <si>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</si>
  <si>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</si>
  <si>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</si>
  <si>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</si>
  <si>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</si>
  <si>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</si>
  <si>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</si>
  <si>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</si>
  <si>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</si>
  <si>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</si>
  <si>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</si>
  <si>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</si>
  <si>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</si>
  <si>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</si>
  <si>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</si>
  <si>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</si>
  <si>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</si>
  <si>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</si>
  <si>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</si>
  <si>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</si>
  <si>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</si>
  <si>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</si>
  <si>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</si>
  <si>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</si>
  <si>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</si>
  <si>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</si>
  <si>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</si>
  <si>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</si>
  <si>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</si>
  <si>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</si>
  <si>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</si>
  <si>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</si>
  <si>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</si>
  <si>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</si>
  <si>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</si>
  <si>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</si>
  <si>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</si>
  <si>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</si>
  <si>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</si>
  <si>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</si>
  <si>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</si>
  <si>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</si>
  <si>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</si>
  <si>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</si>
  <si>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</si>
  <si>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</si>
  <si>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</si>
  <si>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</si>
  <si>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</si>
  <si>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</si>
  <si>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</si>
  <si>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</si>
  <si>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</si>
  <si>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</si>
  <si>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</si>
  <si>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</si>
  <si>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</si>
  <si>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</si>
  <si>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</si>
  <si>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</si>
  <si>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</si>
  <si>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</si>
  <si>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</si>
  <si>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</si>
  <si>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</si>
  <si>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</si>
  <si>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</si>
  <si>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</si>
  <si>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</si>
  <si>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</si>
  <si>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</si>
  <si>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</si>
  <si>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</si>
  <si>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</si>
  <si>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</si>
  <si>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</si>
  <si>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</si>
  <si>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</si>
  <si>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</si>
  <si>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</si>
  <si>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</si>
  <si>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</si>
  <si>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</si>
  <si>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</si>
  <si>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</si>
  <si>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</si>
  <si>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</si>
  <si>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</si>
  <si>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</si>
  <si>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</si>
  <si>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</si>
  <si>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</si>
  <si>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</si>
  <si>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</si>
  <si>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</si>
  <si>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</si>
  <si>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</si>
  <si>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</si>
  <si>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</si>
  <si>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</si>
  <si>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</si>
  <si>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</si>
  <si>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</si>
  <si>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</si>
  <si>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</si>
  <si>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</si>
  <si>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</si>
  <si>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</si>
  <si>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</si>
  <si>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</si>
  <si>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</si>
  <si>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</si>
  <si>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</si>
  <si>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</si>
  <si>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</si>
  <si>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</si>
  <si>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</si>
  <si>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</si>
  <si>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</si>
  <si>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</si>
  <si>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</si>
  <si>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</si>
  <si>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</si>
  <si>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</si>
  <si>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</si>
  <si>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</si>
  <si>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</si>
  <si>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</si>
  <si>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</si>
  <si>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</si>
  <si>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</si>
  <si>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</si>
  <si>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</si>
  <si>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</si>
  <si>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</si>
  <si>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</si>
  <si>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</si>
  <si>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</si>
  <si>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</si>
  <si>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</si>
  <si>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</si>
  <si>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</si>
  <si>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</si>
  <si>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</si>
  <si>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</si>
  <si>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</si>
  <si>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</si>
  <si>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</si>
  <si>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</si>
  <si>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</si>
  <si>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</si>
  <si>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</si>
  <si>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</si>
  <si>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</si>
  <si>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</si>
  <si>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</si>
  <si>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</si>
  <si>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</si>
  <si>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</si>
  <si>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</si>
  <si>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</si>
  <si>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</si>
  <si>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</si>
  <si>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</si>
  <si>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</si>
  <si>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</si>
  <si>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</si>
  <si>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</si>
  <si>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</si>
  <si>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</si>
  <si>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</si>
  <si>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</si>
  <si>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</si>
  <si>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</si>
  <si>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</si>
  <si>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</si>
  <si>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</si>
  <si>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</si>
  <si>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</si>
  <si>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</si>
  <si>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</si>
  <si>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</si>
  <si>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</si>
  <si>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</si>
  <si>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</si>
  <si>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</si>
  <si>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</si>
  <si>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</si>
  <si>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</si>
  <si>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</si>
  <si>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</si>
  <si>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</si>
  <si>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</si>
  <si>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</si>
  <si>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</si>
  <si>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</si>
  <si>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</si>
  <si>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</si>
  <si>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</si>
  <si>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</si>
  <si>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</si>
  <si>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</si>
  <si>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</si>
  <si>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</si>
  <si>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</si>
  <si>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</si>
  <si>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</si>
  <si>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</si>
  <si>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</si>
  <si>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</si>
  <si>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</si>
  <si>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</si>
  <si>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</si>
  <si>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</si>
  <si>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</si>
  <si>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</si>
  <si>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</si>
  <si>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</si>
  <si>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</si>
  <si>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</si>
  <si>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</si>
  <si>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</si>
  <si>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</si>
  <si>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</si>
  <si>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</si>
  <si>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</si>
  <si>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</si>
  <si>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</si>
  <si>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</si>
  <si>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</si>
  <si>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</si>
  <si>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</si>
  <si>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</si>
  <si>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</si>
  <si>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</si>
  <si>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</si>
  <si>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</si>
  <si>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</si>
  <si>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</si>
  <si>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</si>
  <si>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</si>
  <si>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</si>
  <si>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</si>
  <si>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</si>
  <si>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</si>
  <si>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</si>
  <si>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</si>
  <si>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</si>
  <si>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</si>
  <si>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</si>
  <si>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</si>
  <si>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</si>
  <si>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</si>
  <si>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</si>
  <si>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</si>
  <si>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</si>
  <si>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</si>
  <si>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</si>
  <si>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</si>
  <si>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</si>
  <si>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</si>
  <si>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</si>
  <si>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</si>
  <si>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</si>
  <si>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</si>
  <si>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</si>
  <si>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</si>
  <si>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</si>
  <si>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</si>
  <si>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</si>
  <si>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</si>
  <si>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</si>
  <si>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</si>
  <si>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</si>
  <si>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</si>
  <si>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</si>
  <si>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</si>
  <si>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</si>
  <si>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</si>
  <si>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</si>
  <si>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</si>
  <si>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</si>
  <si>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</si>
  <si>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</si>
  <si>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</si>
  <si>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</si>
  <si>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</si>
  <si>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</si>
  <si>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</si>
  <si>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</si>
  <si>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</si>
  <si>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</si>
  <si>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</si>
  <si>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</si>
  <si>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</si>
  <si>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</si>
  <si>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</si>
  <si>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</si>
  <si>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</si>
  <si>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</si>
  <si>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</si>
  <si>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</si>
  <si>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</si>
  <si>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</si>
  <si>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</si>
  <si>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</si>
  <si>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</si>
  <si>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</si>
  <si>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</si>
  <si>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</si>
  <si>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</si>
  <si>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</si>
  <si>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</si>
  <si>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</si>
  <si>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</si>
  <si>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</si>
  <si>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</si>
  <si>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</si>
  <si>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</si>
  <si>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</si>
  <si>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</si>
  <si>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</si>
  <si>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</si>
  <si>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</si>
  <si>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</si>
  <si>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</si>
  <si>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</si>
  <si>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</si>
  <si>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</si>
  <si>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</si>
  <si>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</si>
  <si>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</si>
  <si>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</si>
  <si>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</si>
  <si>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</si>
  <si>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</si>
  <si>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</si>
  <si>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</si>
  <si>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</si>
  <si>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</si>
  <si>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</si>
  <si>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</si>
  <si>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</si>
  <si>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</si>
  <si>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</si>
  <si>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</si>
  <si>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</si>
  <si>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</si>
  <si>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</si>
  <si>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</si>
  <si>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</si>
  <si>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</si>
  <si>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</si>
  <si>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</si>
  <si>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</si>
  <si>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</si>
  <si>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</si>
  <si>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</si>
  <si>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</si>
  <si>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</si>
  <si>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</si>
  <si>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</si>
  <si>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</si>
  <si>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</si>
  <si>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</si>
  <si>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</si>
  <si>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</si>
  <si>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</si>
  <si>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</si>
  <si>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</si>
  <si>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</si>
  <si>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</si>
  <si>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</si>
  <si>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</si>
  <si>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</si>
  <si>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</si>
  <si>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</si>
  <si>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</si>
  <si>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</si>
  <si>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</si>
  <si>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</si>
  <si>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</si>
  <si>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</si>
  <si>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</si>
  <si>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</si>
  <si>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</si>
  <si>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</si>
  <si>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</si>
  <si>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</si>
  <si>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</si>
  <si>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</si>
  <si>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</si>
  <si>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</si>
  <si>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</si>
  <si>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</si>
  <si>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</si>
  <si>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</si>
  <si>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</si>
  <si>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</si>
  <si>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</si>
  <si>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</si>
  <si>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</si>
  <si>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</si>
  <si>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</si>
  <si>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</si>
  <si>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</si>
  <si>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</si>
  <si>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</si>
  <si>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</si>
  <si>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</si>
  <si>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</si>
  <si>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</si>
  <si>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</si>
  <si>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</si>
  <si>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</si>
  <si>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</si>
  <si>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</si>
  <si>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</si>
  <si>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</si>
  <si>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</si>
  <si>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</si>
  <si>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</si>
  <si>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</si>
  <si>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</si>
  <si>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</si>
  <si>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</si>
  <si>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</si>
  <si>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</si>
  <si>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</si>
  <si>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</si>
  <si>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</si>
  <si>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</si>
  <si>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</si>
  <si>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</si>
  <si>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</si>
  <si>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</si>
  <si>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</si>
  <si>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</si>
  <si>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</si>
  <si>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</si>
  <si>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</si>
  <si>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</si>
  <si>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</si>
  <si>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</si>
  <si>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</si>
  <si>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</si>
  <si>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</si>
  <si>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</si>
  <si>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</si>
  <si>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</si>
  <si>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</si>
  <si>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</si>
  <si>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</si>
  <si>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</si>
  <si>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</si>
  <si>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</si>
  <si>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</si>
  <si>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</si>
  <si>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</si>
  <si>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</si>
  <si>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</si>
  <si>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</si>
  <si>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</si>
  <si>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</si>
  <si>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</si>
  <si>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</si>
  <si>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</si>
  <si>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</si>
  <si>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</si>
  <si>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</si>
  <si>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</si>
  <si>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</si>
  <si>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</si>
  <si>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</si>
  <si>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</si>
  <si>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</si>
  <si>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</si>
  <si>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</si>
  <si>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</si>
  <si>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</si>
  <si>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</si>
  <si>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</si>
  <si>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</si>
  <si>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</si>
  <si>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</si>
  <si>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</si>
  <si>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</si>
  <si>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</si>
  <si>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</si>
  <si>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</si>
  <si>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</si>
  <si>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</si>
  <si>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</si>
  <si>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</si>
  <si>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</si>
  <si>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</si>
  <si>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</si>
  <si>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</si>
  <si>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</si>
  <si>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</si>
  <si>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</si>
  <si>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</si>
  <si>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</si>
  <si>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</si>
  <si>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</si>
  <si>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</si>
  <si>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</si>
  <si>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</si>
  <si>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</si>
  <si>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</si>
  <si>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</si>
  <si>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</si>
  <si>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</si>
  <si>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</si>
  <si>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</si>
  <si>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</si>
  <si>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</si>
  <si>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</si>
  <si>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</si>
  <si>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</si>
  <si>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</si>
  <si>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</si>
  <si>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</si>
  <si>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</si>
  <si>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</si>
  <si>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</si>
  <si>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</si>
  <si>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</si>
  <si>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</si>
  <si>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</si>
  <si>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</si>
  <si>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</si>
  <si>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</si>
  <si>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</si>
  <si>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</si>
  <si>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</si>
  <si>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</si>
  <si>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</si>
  <si>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</si>
  <si>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</si>
  <si>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</si>
  <si>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</si>
  <si>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</si>
  <si>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</si>
  <si>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</si>
  <si>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</si>
  <si>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</si>
  <si>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</si>
  <si>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</si>
  <si>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</si>
  <si>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</si>
  <si>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</si>
  <si>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</si>
  <si>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</si>
  <si>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</si>
  <si>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</si>
  <si>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</si>
  <si>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</si>
  <si>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</si>
  <si>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</si>
  <si>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</si>
  <si>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</si>
  <si>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</si>
  <si>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</si>
  <si>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</si>
  <si>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</si>
  <si>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</si>
  <si>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</si>
  <si>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</si>
  <si>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</si>
  <si>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</si>
  <si>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</si>
  <si>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</si>
  <si>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</si>
  <si>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</si>
  <si>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</si>
  <si>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</si>
  <si>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</si>
  <si>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</si>
  <si>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</si>
  <si>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</si>
  <si>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</si>
  <si>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</si>
  <si>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</si>
  <si>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</si>
  <si>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</si>
  <si>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</si>
  <si>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</si>
  <si>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</si>
  <si>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</si>
  <si>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</si>
  <si>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</si>
  <si>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</si>
  <si>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</si>
  <si>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</si>
  <si>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</si>
  <si>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</si>
  <si>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</si>
  <si>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</si>
  <si>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</si>
  <si>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</si>
  <si>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</si>
  <si>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</si>
  <si>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</si>
  <si>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</si>
  <si>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</si>
  <si>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</si>
  <si>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</si>
  <si>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</si>
  <si>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</si>
  <si>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</si>
  <si>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</si>
  <si>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</si>
  <si>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</si>
  <si>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</si>
  <si>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</si>
  <si>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</si>
  <si>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</si>
  <si>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</si>
  <si>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</si>
  <si>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</si>
  <si>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</si>
  <si>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</si>
  <si>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</si>
  <si>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</si>
  <si>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</si>
  <si>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</si>
  <si>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</si>
  <si>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</si>
  <si>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</si>
  <si>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</si>
  <si>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</si>
  <si>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</si>
  <si>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</si>
  <si>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</si>
  <si>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</si>
  <si>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</si>
  <si>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</si>
  <si>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</si>
  <si>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</si>
  <si>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</si>
  <si>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</si>
  <si>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</si>
  <si>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</si>
  <si>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</si>
  <si>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</si>
  <si>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</si>
  <si>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</si>
  <si>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</si>
  <si>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</si>
  <si>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</si>
  <si>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</si>
  <si>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</si>
  <si>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</si>
  <si>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</si>
  <si>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</si>
  <si>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</si>
  <si>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</si>
  <si>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</si>
  <si>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</si>
  <si>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</si>
  <si>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</si>
  <si>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</si>
  <si>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</si>
  <si>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</si>
  <si>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</si>
  <si>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</si>
  <si>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</si>
  <si>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</si>
  <si>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</si>
  <si>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</si>
  <si>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</si>
  <si>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</si>
  <si>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</si>
  <si>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</si>
  <si>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</si>
  <si>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</si>
  <si>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</si>
  <si>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</si>
  <si>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</si>
  <si>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</si>
  <si>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</si>
  <si>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</si>
  <si>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</si>
  <si>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</si>
  <si>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</si>
  <si>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</si>
  <si>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</si>
  <si>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</si>
  <si>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</si>
  <si>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</si>
  <si>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</si>
  <si>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</si>
  <si>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</si>
  <si>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</si>
  <si>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</si>
  <si>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</si>
  <si>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</si>
  <si>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</si>
  <si>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</si>
  <si>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</si>
  <si>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</si>
  <si>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</si>
  <si>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</si>
  <si>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</si>
  <si>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</si>
  <si>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</si>
  <si>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</si>
  <si>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</si>
  <si>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</si>
  <si>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</si>
  <si>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</si>
  <si>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</si>
  <si>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</si>
  <si>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</si>
  <si>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</si>
  <si>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</si>
  <si>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</si>
  <si>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</si>
  <si>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</si>
  <si>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</si>
  <si>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</si>
  <si>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</si>
  <si>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</si>
  <si>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</si>
  <si>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</si>
  <si>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</si>
  <si>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</si>
  <si>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</si>
  <si>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</si>
  <si>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</si>
  <si>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</si>
  <si>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</si>
  <si>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</si>
  <si>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</si>
  <si>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</si>
  <si>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</si>
  <si>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</si>
  <si>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</si>
  <si>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</si>
  <si>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</si>
  <si>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</si>
  <si>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</si>
  <si>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</si>
  <si>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</si>
  <si>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</si>
  <si>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</si>
  <si>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</si>
  <si>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</si>
  <si>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</si>
  <si>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</si>
  <si>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</si>
  <si>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</si>
  <si>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</si>
  <si>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</si>
  <si>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</si>
  <si>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</si>
  <si>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</si>
  <si>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</si>
  <si>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</si>
  <si>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</si>
  <si>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</si>
  <si>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</si>
  <si>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</si>
  <si>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</si>
  <si>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</si>
  <si>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</si>
  <si>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</si>
  <si>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</si>
  <si>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</si>
  <si>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</si>
  <si>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</si>
  <si>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</si>
  <si>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</si>
  <si>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</si>
  <si>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</si>
  <si>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</si>
  <si>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</si>
  <si>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</si>
  <si>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</si>
  <si>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</si>
  <si>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</si>
  <si>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</si>
  <si>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</si>
  <si>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</si>
  <si>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</si>
  <si>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</si>
  <si>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</si>
  <si>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</si>
  <si>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</si>
  <si>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</si>
  <si>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</si>
  <si>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</si>
  <si>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</si>
  <si>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</si>
  <si>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</si>
  <si>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</si>
  <si>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</si>
  <si>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</si>
  <si>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</si>
  <si>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</si>
  <si>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</si>
  <si>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</si>
  <si>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</si>
  <si>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</si>
  <si>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</si>
  <si>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</si>
  <si>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</si>
  <si>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</si>
  <si>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</si>
  <si>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</si>
  <si>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</si>
  <si>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</si>
  <si>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</si>
  <si>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</si>
  <si>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</si>
  <si>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</si>
  <si>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</si>
  <si>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</si>
  <si>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</si>
  <si>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</si>
  <si>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</si>
  <si>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</si>
  <si>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</si>
  <si>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</si>
  <si>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</si>
  <si>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</si>
  <si>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</si>
  <si>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</si>
  <si>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</si>
  <si>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</si>
  <si>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</si>
  <si>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</si>
  <si>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</si>
  <si>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</si>
  <si>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</si>
  <si>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</si>
  <si>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</si>
  <si>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</si>
  <si>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</si>
  <si>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</si>
  <si>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</si>
  <si>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</si>
  <si>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</si>
  <si>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</si>
  <si>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</si>
  <si>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</si>
  <si>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</si>
  <si>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</si>
  <si>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</si>
  <si>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</si>
  <si>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</si>
  <si>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</si>
  <si>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</si>
  <si>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</si>
  <si>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</si>
  <si>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</si>
  <si>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</si>
  <si>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</si>
  <si>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</si>
  <si>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</si>
  <si>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</si>
  <si>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</si>
  <si>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</si>
  <si>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</si>
  <si>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</si>
  <si>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</si>
  <si>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</si>
  <si>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</si>
  <si>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</si>
  <si>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</si>
  <si>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</si>
  <si>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</si>
  <si>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</si>
  <si>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</si>
  <si>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</si>
  <si>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</si>
  <si>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</si>
  <si>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</si>
  <si>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</si>
  <si>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</si>
  <si>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</si>
  <si>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</si>
  <si>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</si>
  <si>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</si>
  <si>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</si>
  <si>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</si>
  <si>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</si>
  <si>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</si>
  <si>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</si>
  <si>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</si>
  <si>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</si>
  <si>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</si>
  <si>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</si>
  <si>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</si>
  <si>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</si>
  <si>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</si>
  <si>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</si>
  <si>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</si>
  <si>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</si>
  <si>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</si>
  <si>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</si>
  <si>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</si>
  <si>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</si>
  <si>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</si>
  <si>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</si>
  <si>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</si>
  <si>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</si>
  <si>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</si>
  <si>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</si>
  <si>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</si>
  <si>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</si>
  <si>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</si>
  <si>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</si>
  <si>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</si>
  <si>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</si>
  <si>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</si>
  <si>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</si>
  <si>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</si>
  <si>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</si>
  <si>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</si>
  <si>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</si>
  <si>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</si>
  <si>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</si>
  <si>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</si>
  <si>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</si>
  <si>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</si>
  <si>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</si>
  <si>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</si>
  <si>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</si>
  <si>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</si>
  <si>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</si>
  <si>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</si>
  <si>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</si>
  <si>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</si>
  <si>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</si>
  <si>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</si>
  <si>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</si>
  <si>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</si>
  <si>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</si>
  <si>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</si>
  <si>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</si>
  <si>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</si>
  <si>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</si>
  <si>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</si>
  <si>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</si>
  <si>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</si>
  <si>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</si>
  <si>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</si>
  <si>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</si>
  <si>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</si>
  <si>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</si>
  <si>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</si>
  <si>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</si>
  <si>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</si>
  <si>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</si>
  <si>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</si>
  <si>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</si>
  <si>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</si>
  <si>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</si>
  <si>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</si>
  <si>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</si>
  <si>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</si>
  <si>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</si>
  <si>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</si>
  <si>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</si>
  <si>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</si>
  <si>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</si>
  <si>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</si>
  <si>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</si>
  <si>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</si>
  <si>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</si>
  <si>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</si>
  <si>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</si>
  <si>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</si>
  <si>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</si>
  <si>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</si>
  <si>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</si>
  <si>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</si>
  <si>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</si>
  <si>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</si>
  <si>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</si>
  <si>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</si>
  <si>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</si>
  <si>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</si>
  <si>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</si>
  <si>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</si>
  <si>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</si>
  <si>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</si>
  <si>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</si>
  <si>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</si>
  <si>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</si>
  <si>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</si>
  <si>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</si>
  <si>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</si>
  <si>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</si>
  <si>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</si>
  <si>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</si>
  <si>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</si>
  <si>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</si>
  <si>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</si>
  <si>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</si>
  <si>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</si>
  <si>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</si>
  <si>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</si>
  <si>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</si>
  <si>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</si>
  <si>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</si>
  <si>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</si>
  <si>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</si>
  <si>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</si>
  <si>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</si>
  <si>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</si>
  <si>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</si>
  <si>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</si>
  <si>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</si>
  <si>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</si>
  <si>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</si>
  <si>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</si>
  <si>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</si>
  <si>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</si>
  <si>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</si>
  <si>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</si>
  <si>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</si>
  <si>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</si>
  <si>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</si>
  <si>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</si>
  <si>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</si>
  <si>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</si>
  <si>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</si>
  <si>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</si>
  <si>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</si>
  <si>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</si>
  <si>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</si>
  <si>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</si>
  <si>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</si>
  <si>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</si>
  <si>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</si>
  <si>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</si>
  <si>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</si>
  <si>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</si>
  <si>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</si>
  <si>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</si>
  <si>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</si>
  <si>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</si>
  <si>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</si>
  <si>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</si>
  <si>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</si>
  <si>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</si>
  <si>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</si>
  <si>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</si>
  <si>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</si>
  <si>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</si>
  <si>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</si>
  <si>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</si>
  <si>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</si>
  <si>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</si>
  <si>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</si>
  <si>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</si>
  <si>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</si>
  <si>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</si>
  <si>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</si>
  <si>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</si>
  <si>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</si>
  <si>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</si>
  <si>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</si>
  <si>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</si>
  <si>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</si>
  <si>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</si>
  <si>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</si>
  <si>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</si>
  <si>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</si>
  <si>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</si>
  <si>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</si>
  <si>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</si>
  <si>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</si>
  <si>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</si>
  <si>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</si>
  <si>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</si>
  <si>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</si>
  <si>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</si>
  <si>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</si>
  <si>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</si>
  <si>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</si>
  <si>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</si>
  <si>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</si>
  <si>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</si>
  <si>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</si>
  <si>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</si>
  <si>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</si>
  <si>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</si>
  <si>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</si>
  <si>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</si>
  <si>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</si>
  <si>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</si>
  <si>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</si>
  <si>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</si>
  <si>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</si>
  <si>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</si>
  <si>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</si>
  <si>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</si>
  <si>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</si>
  <si>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</si>
  <si>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</si>
  <si>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</si>
  <si>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</si>
  <si>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</si>
  <si>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</si>
  <si>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</si>
  <si>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</si>
  <si>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</si>
  <si>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</si>
  <si>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</si>
  <si>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</si>
  <si>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</si>
  <si>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</si>
  <si>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</si>
  <si>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</si>
  <si>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</si>
  <si>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</si>
  <si>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</si>
  <si>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</si>
  <si>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</si>
  <si>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</si>
  <si>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</si>
  <si>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</si>
  <si>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</si>
  <si>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</si>
  <si>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</si>
  <si>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</si>
  <si>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</si>
  <si>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</si>
  <si>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</si>
  <si>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</si>
  <si>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</si>
  <si>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</si>
  <si>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</si>
  <si>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</si>
  <si>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</si>
  <si>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</si>
  <si>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</si>
  <si>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</si>
  <si>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</si>
  <si>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</si>
  <si>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</si>
  <si>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</si>
  <si>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</si>
  <si>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</si>
  <si>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</si>
  <si>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</si>
  <si>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</si>
  <si>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</si>
  <si>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</si>
  <si>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</si>
  <si>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</si>
  <si>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</si>
  <si>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</si>
  <si>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</si>
  <si>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</si>
  <si>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</si>
  <si>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</si>
  <si>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</si>
  <si>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</si>
  <si>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</si>
  <si>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</si>
  <si>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</si>
  <si>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</si>
  <si>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</si>
  <si>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</si>
  <si>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</si>
  <si>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</si>
  <si>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</si>
  <si>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</si>
  <si>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</si>
  <si>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</si>
  <si>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</si>
  <si>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</si>
  <si>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</si>
  <si>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</si>
  <si>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</si>
  <si>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</si>
  <si>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</si>
  <si>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</si>
  <si>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</si>
  <si>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</si>
  <si>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</si>
  <si>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</si>
  <si>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</si>
  <si>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</si>
  <si>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</si>
  <si>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</si>
  <si>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</si>
  <si>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</si>
  <si>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</si>
  <si>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</si>
  <si>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</si>
  <si>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</si>
  <si>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</si>
  <si>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</si>
  <si>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</si>
  <si>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</si>
  <si>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</si>
  <si>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</si>
  <si>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</si>
  <si>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</si>
  <si>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</si>
  <si>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</si>
  <si>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</si>
  <si>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</si>
  <si>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</si>
  <si>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</si>
  <si>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</si>
  <si>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</si>
  <si>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</si>
  <si>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</si>
  <si>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</si>
  <si>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</si>
  <si>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</si>
  <si>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</si>
  <si>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</si>
  <si>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</si>
  <si>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</si>
  <si>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</si>
  <si>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</si>
  <si>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</si>
  <si>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</si>
  <si>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</si>
  <si>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</si>
  <si>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</si>
  <si>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</si>
  <si>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</si>
  <si>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</si>
  <si>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</si>
  <si>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</si>
  <si>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</si>
  <si>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</si>
  <si>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</si>
  <si>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</si>
  <si>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</si>
  <si>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</si>
  <si>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</si>
  <si>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</si>
  <si>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</si>
  <si>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</si>
  <si>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</si>
  <si>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</si>
  <si>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</si>
  <si>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</si>
  <si>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</si>
  <si>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</si>
  <si>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</si>
  <si>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</si>
  <si>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</si>
  <si>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</si>
  <si>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</si>
  <si>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</si>
  <si>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</si>
  <si>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</si>
  <si>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</si>
  <si>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</si>
  <si>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</si>
  <si>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</si>
  <si>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</si>
  <si>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</si>
  <si>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</si>
  <si>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</si>
  <si>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</si>
  <si>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</si>
  <si>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</si>
  <si>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</si>
  <si>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</si>
  <si>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</si>
  <si>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</si>
  <si>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</si>
  <si>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</si>
  <si>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</si>
  <si>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</si>
  <si>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</si>
  <si>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</si>
  <si>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</si>
  <si>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</si>
  <si>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</si>
  <si>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</si>
  <si>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</si>
  <si>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</si>
  <si>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</si>
  <si>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</si>
  <si>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</si>
  <si>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</si>
  <si>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</si>
  <si>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</si>
  <si>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</si>
  <si>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</si>
  <si>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</si>
  <si>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</si>
  <si>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</si>
  <si>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</si>
  <si>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</si>
  <si>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</si>
  <si>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</si>
  <si>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</si>
  <si>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</si>
  <si>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</si>
  <si>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</si>
  <si>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</si>
  <si>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</si>
  <si>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</si>
  <si>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</si>
  <si>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</si>
  <si>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</si>
  <si>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</si>
  <si>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</si>
  <si>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</si>
  <si>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</si>
  <si>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</si>
  <si>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</si>
  <si>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</si>
  <si>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</si>
  <si>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</si>
  <si>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</si>
  <si>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</si>
  <si>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</si>
  <si>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</si>
  <si>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</si>
  <si>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</si>
  <si>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</si>
  <si>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</si>
  <si>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</si>
  <si>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</si>
  <si>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</si>
  <si>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</si>
  <si>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</si>
  <si>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</si>
  <si>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</si>
  <si>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</si>
  <si>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</si>
  <si>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</si>
  <si>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</si>
  <si>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</si>
  <si>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</si>
  <si>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</si>
  <si>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</si>
  <si>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</si>
  <si>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</si>
  <si>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</si>
  <si>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</si>
  <si>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</si>
  <si>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</si>
  <si>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</si>
  <si>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</si>
  <si>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</si>
  <si>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</si>
  <si>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</si>
  <si>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</si>
  <si>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</si>
  <si>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</si>
  <si>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</si>
  <si>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</si>
  <si>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</si>
  <si>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</si>
  <si>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</si>
  <si>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</si>
  <si>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</si>
  <si>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</si>
  <si>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</si>
  <si>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</si>
  <si>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</si>
  <si>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</si>
  <si>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</si>
  <si>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</si>
  <si>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</si>
  <si>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</si>
  <si>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</si>
  <si>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</si>
  <si>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</si>
  <si>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</si>
  <si>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</si>
  <si>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</si>
  <si>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</si>
  <si>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</si>
  <si>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</si>
  <si>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</si>
  <si>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</si>
  <si>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</si>
  <si>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</si>
  <si>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</si>
  <si>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</si>
  <si>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</si>
  <si>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</si>
  <si>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</si>
  <si>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</si>
  <si>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</si>
  <si>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</si>
  <si>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</si>
  <si>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</si>
  <si>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</si>
  <si>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</si>
  <si>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</si>
  <si>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</si>
  <si>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</si>
  <si>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</si>
  <si>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</si>
  <si>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</si>
  <si>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</si>
  <si>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</si>
  <si>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</si>
  <si>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</si>
  <si>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</si>
  <si>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</si>
  <si>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</si>
  <si>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</si>
  <si>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</si>
  <si>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</si>
  <si>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</si>
  <si>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</si>
  <si>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</si>
  <si>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</si>
  <si>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</si>
  <si>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</si>
  <si>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</si>
  <si>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</si>
  <si>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</si>
  <si>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</si>
  <si>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</si>
  <si>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</si>
  <si>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</si>
  <si>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</si>
  <si>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</si>
  <si>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</si>
  <si>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</si>
  <si>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</si>
  <si>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</si>
  <si>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</si>
  <si>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</si>
  <si>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</si>
  <si>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</si>
  <si>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</si>
  <si>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</si>
  <si>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</si>
  <si>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</si>
  <si>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</si>
  <si>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</si>
  <si>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</si>
  <si>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</si>
  <si>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</si>
  <si>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</si>
  <si>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</si>
  <si>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</si>
  <si>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</si>
  <si>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</si>
  <si>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</si>
  <si>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</si>
  <si>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</si>
  <si>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</si>
  <si>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</si>
  <si>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</si>
  <si>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</si>
  <si>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</si>
  <si>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</si>
  <si>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</si>
  <si>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</si>
  <si>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</si>
  <si>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</si>
  <si>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</si>
  <si>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</si>
  <si>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</si>
  <si>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</si>
  <si>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</si>
  <si>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</si>
  <si>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</si>
  <si>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</si>
  <si>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</si>
  <si>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</si>
  <si>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</si>
  <si>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</si>
  <si>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</si>
  <si>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</si>
  <si>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</si>
  <si>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</si>
  <si>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</si>
  <si>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</si>
  <si>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</si>
  <si>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</si>
  <si>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</si>
  <si>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</si>
  <si>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</si>
  <si>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</si>
  <si>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</si>
  <si>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</si>
  <si>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</si>
  <si>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</si>
  <si>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</si>
  <si>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</si>
  <si>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</si>
  <si>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</si>
  <si>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</si>
  <si>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</si>
  <si>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</si>
  <si>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</si>
  <si>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</si>
  <si>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</si>
  <si>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</si>
  <si>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</si>
  <si>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</si>
  <si>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</si>
  <si>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</si>
  <si>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</si>
  <si>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</si>
  <si>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</si>
  <si>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</si>
  <si>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</si>
  <si>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</si>
  <si>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</si>
  <si>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</si>
  <si>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</si>
  <si>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</si>
  <si>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</si>
  <si>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</si>
  <si>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</si>
  <si>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</si>
  <si>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</si>
  <si>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</si>
  <si>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</si>
  <si>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</si>
  <si>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</si>
  <si>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</si>
  <si>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</si>
  <si>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</si>
  <si>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</si>
  <si>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</si>
  <si>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</si>
  <si>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</si>
  <si>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</si>
  <si>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</si>
  <si>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</si>
  <si>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</si>
  <si>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</si>
  <si>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</si>
  <si>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</si>
  <si>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</si>
  <si>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</si>
  <si>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</si>
  <si>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</si>
  <si>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</si>
  <si>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</si>
  <si>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</si>
  <si>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</si>
  <si>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</si>
  <si>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</si>
  <si>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</si>
  <si>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</si>
  <si>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</si>
  <si>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</si>
  <si>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</si>
  <si>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</si>
  <si>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</si>
  <si>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</si>
  <si>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</si>
  <si>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</si>
  <si>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</si>
  <si>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</si>
  <si>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</si>
  <si>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</si>
  <si>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</si>
  <si>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</si>
  <si>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</si>
  <si>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</si>
  <si>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</si>
  <si>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</si>
  <si>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</si>
  <si>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</si>
  <si>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</si>
  <si>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</si>
  <si>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</si>
  <si>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</si>
  <si>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</si>
  <si>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</si>
  <si>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</si>
  <si>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</si>
  <si>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</si>
  <si>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</si>
  <si>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</si>
  <si>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</si>
  <si>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</si>
  <si>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</si>
  <si>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</si>
  <si>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</si>
  <si>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</si>
  <si>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</si>
  <si>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</si>
  <si>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</si>
  <si>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</si>
  <si>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</si>
  <si>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</si>
  <si>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</si>
  <si>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</si>
  <si>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</si>
  <si>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</si>
  <si>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</si>
  <si>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</si>
  <si>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</si>
  <si>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</si>
  <si>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</si>
  <si>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</si>
  <si>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</si>
  <si>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</si>
  <si>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</si>
  <si>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</si>
  <si>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</si>
  <si>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</si>
  <si>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</si>
  <si>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</si>
  <si>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</si>
  <si>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</si>
  <si>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</si>
  <si>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</si>
  <si>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</si>
  <si>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</si>
  <si>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</si>
  <si>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</si>
  <si>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</si>
  <si>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</si>
  <si>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</si>
  <si>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</si>
  <si>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</si>
  <si>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</si>
  <si>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</si>
  <si>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</si>
  <si>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</si>
  <si>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</si>
  <si>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</si>
  <si>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</si>
  <si>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</si>
  <si>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</si>
  <si>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</si>
  <si>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</si>
  <si>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</si>
  <si>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</si>
  <si>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</si>
  <si>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</si>
  <si>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</si>
  <si>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</si>
  <si>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</si>
  <si>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</si>
  <si>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</si>
  <si>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</si>
  <si>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</si>
  <si>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</si>
  <si>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</si>
  <si>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</si>
  <si>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</si>
  <si>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</si>
  <si>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</si>
  <si>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</si>
  <si>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</si>
  <si>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</si>
  <si>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</si>
  <si>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</si>
  <si>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</si>
  <si>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</si>
  <si>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</si>
  <si>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</si>
  <si>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</si>
  <si>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</si>
  <si>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</si>
  <si>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</si>
  <si>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</si>
  <si>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</si>
  <si>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</si>
  <si>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</si>
  <si>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</si>
  <si>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</si>
  <si>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</si>
  <si>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</si>
  <si>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</si>
  <si>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</si>
  <si>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</si>
  <si>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</si>
  <si>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</si>
  <si>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</si>
  <si>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</si>
  <si>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</si>
  <si>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</si>
  <si>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</si>
  <si>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</si>
  <si>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</si>
  <si>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</si>
  <si>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</si>
  <si>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</si>
  <si>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</si>
  <si>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</si>
  <si>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</si>
  <si>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</si>
  <si>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</si>
  <si>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</si>
  <si>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</si>
  <si>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</si>
  <si>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</si>
  <si>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</si>
  <si>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</si>
  <si>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</si>
  <si>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</si>
  <si>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</si>
  <si>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</si>
  <si>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</si>
  <si>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</si>
  <si>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</si>
  <si>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</si>
  <si>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</si>
  <si>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</si>
  <si>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</si>
  <si>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</si>
  <si>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</si>
  <si>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</si>
  <si>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</si>
  <si>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</si>
  <si>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</si>
  <si>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</si>
  <si>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</si>
  <si>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</si>
  <si>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</si>
  <si>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</si>
  <si>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</si>
  <si>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</si>
  <si>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</si>
  <si>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</si>
  <si>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</si>
  <si>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</si>
  <si>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</si>
  <si>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</si>
  <si>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</si>
  <si>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</si>
  <si>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</si>
  <si>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</si>
  <si>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</si>
  <si>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</si>
  <si>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</si>
  <si>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</si>
  <si>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</si>
  <si>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</si>
  <si>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</si>
  <si>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</si>
  <si>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</si>
  <si>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</si>
  <si>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</si>
  <si>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</si>
  <si>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</si>
  <si>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</si>
  <si>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</si>
  <si>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</si>
  <si>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</si>
  <si>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</si>
  <si>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</si>
  <si>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</si>
  <si>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</si>
  <si>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</si>
  <si>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</si>
  <si>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</si>
  <si>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</si>
  <si>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</si>
  <si>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</si>
  <si>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</si>
  <si>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</si>
  <si>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</si>
  <si>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</si>
  <si>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</si>
  <si>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</si>
  <si>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</si>
  <si>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</si>
  <si>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</si>
  <si>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</si>
  <si>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</si>
  <si>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</si>
  <si>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</si>
  <si>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</si>
  <si>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</si>
  <si>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</si>
  <si>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</si>
  <si>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</si>
  <si>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</si>
  <si>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</si>
  <si>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</si>
  <si>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</si>
  <si>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</si>
  <si>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</si>
  <si>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</si>
  <si>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</si>
  <si>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</si>
  <si>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</si>
  <si>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</si>
  <si>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</si>
  <si>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</si>
  <si>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</si>
  <si>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</si>
  <si>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</si>
  <si>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</si>
  <si>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</si>
  <si>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</si>
  <si>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</si>
  <si>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</si>
  <si>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</si>
  <si>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</si>
  <si>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</si>
  <si>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</si>
  <si>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</si>
  <si>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</si>
  <si>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</si>
  <si>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</si>
  <si>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</si>
  <si>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</si>
  <si>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</si>
  <si>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</si>
  <si>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</si>
  <si>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</si>
  <si>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</si>
  <si>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</si>
  <si>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</si>
  <si>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</si>
  <si>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</si>
  <si>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</si>
  <si>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</si>
  <si>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</si>
  <si>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</si>
  <si>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</si>
  <si>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</si>
  <si>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</si>
  <si>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</si>
  <si>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</si>
  <si>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</si>
  <si>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</si>
  <si>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</si>
  <si>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</si>
  <si>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</si>
  <si>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</si>
  <si>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</si>
  <si>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</si>
  <si>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</si>
  <si>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</si>
  <si>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</si>
  <si>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</si>
  <si>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</si>
  <si>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</si>
  <si>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</si>
  <si>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</si>
  <si>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</si>
  <si>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</si>
  <si>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</si>
  <si>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</si>
  <si>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</si>
  <si>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</si>
  <si>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</si>
  <si>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</si>
  <si>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</si>
  <si>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</si>
  <si>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</si>
  <si>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</si>
  <si>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</si>
  <si>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</si>
  <si>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</si>
  <si>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</si>
  <si>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</si>
  <si>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</si>
  <si>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</si>
  <si>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</si>
  <si>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</si>
  <si>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</si>
  <si>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</si>
  <si>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</si>
  <si>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</si>
  <si>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</si>
  <si>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</si>
  <si>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</si>
  <si>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</si>
  <si>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</si>
  <si>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</si>
  <si>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</si>
  <si>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</si>
  <si>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</si>
  <si>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</si>
  <si>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</si>
  <si>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</si>
  <si>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</si>
  <si>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</si>
  <si>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</si>
  <si>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</si>
  <si>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</si>
  <si>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</si>
  <si>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</si>
  <si>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</si>
  <si>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</si>
  <si>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</si>
  <si>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</si>
  <si>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</si>
  <si>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</si>
  <si>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</si>
  <si>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</si>
  <si>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</si>
  <si>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</si>
  <si>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</si>
  <si>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</si>
  <si>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</si>
  <si>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</si>
  <si>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</si>
  <si>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</si>
  <si>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</si>
  <si>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</si>
  <si>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</si>
  <si>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</si>
  <si>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</si>
  <si>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</si>
  <si>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</si>
  <si>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</si>
  <si>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</si>
  <si>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</si>
  <si>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</si>
  <si>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</si>
  <si>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</si>
  <si>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</si>
  <si>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</si>
  <si>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</si>
  <si>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</si>
  <si>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</si>
  <si>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</si>
  <si>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</si>
  <si>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</si>
  <si>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</si>
  <si>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</si>
  <si>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</si>
  <si>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</si>
  <si>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</si>
  <si>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</si>
  <si>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</si>
  <si>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</si>
  <si>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</si>
  <si>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</si>
  <si>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</si>
  <si>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</si>
  <si>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</si>
  <si>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</si>
  <si>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</si>
  <si>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</si>
  <si>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</si>
  <si>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</si>
  <si>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</si>
  <si>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</si>
  <si>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</si>
  <si>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</si>
  <si>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</si>
  <si>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</si>
  <si>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</si>
  <si>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</si>
  <si>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</si>
  <si>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</si>
  <si>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</si>
  <si>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</si>
  <si>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</si>
  <si>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</si>
  <si>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</si>
  <si>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</si>
  <si>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</si>
  <si>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</si>
  <si>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</si>
  <si>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</si>
  <si>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</si>
  <si>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</si>
  <si>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</si>
  <si>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</si>
  <si>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</si>
  <si>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</si>
  <si>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</si>
  <si>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</si>
  <si>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</si>
  <si>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</si>
  <si>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</si>
  <si>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</si>
  <si>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</si>
  <si>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</si>
  <si>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</si>
  <si>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</si>
  <si>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</si>
  <si>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</si>
  <si>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</si>
  <si>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</si>
  <si>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</si>
  <si>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</si>
  <si>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</si>
  <si>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</si>
  <si>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</si>
  <si>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</si>
  <si>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</si>
  <si>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</si>
  <si>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</si>
  <si>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</si>
  <si>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</si>
  <si>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</si>
  <si>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</si>
  <si>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</si>
  <si>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</si>
  <si>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</si>
  <si>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</si>
  <si>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</si>
  <si>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</si>
  <si>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</si>
  <si>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</si>
  <si>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</si>
  <si>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</si>
  <si>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</si>
  <si>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</si>
  <si>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</si>
  <si>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</si>
  <si>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</si>
  <si>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</si>
  <si>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</si>
  <si>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</si>
  <si>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</si>
  <si>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</si>
  <si>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</si>
  <si>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</si>
  <si>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</si>
  <si>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</si>
  <si>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</si>
  <si>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</si>
  <si>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</si>
  <si>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</si>
  <si>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</si>
  <si>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</si>
  <si>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</si>
  <si>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</si>
  <si>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</si>
  <si>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</si>
  <si>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</si>
  <si>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</si>
  <si>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</si>
  <si>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</si>
  <si>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</si>
  <si>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</si>
  <si>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</si>
  <si>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</si>
  <si>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</si>
  <si>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</si>
  <si>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</si>
  <si>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</si>
  <si>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</si>
  <si>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</si>
  <si>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</si>
  <si>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</si>
  <si>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</si>
  <si>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</si>
  <si>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</si>
  <si>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</si>
  <si>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</si>
  <si>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</si>
  <si>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</si>
  <si>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</si>
  <si>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</si>
  <si>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</si>
  <si>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</si>
  <si>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</si>
  <si>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</si>
  <si>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</si>
  <si>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</si>
  <si>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</si>
  <si>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</si>
  <si>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</si>
  <si>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</si>
  <si>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</si>
  <si>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</si>
  <si>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</si>
  <si>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</si>
  <si>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</si>
  <si>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</si>
  <si>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</si>
  <si>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</si>
  <si>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</si>
  <si>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</si>
  <si>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</si>
  <si>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</si>
  <si>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</si>
  <si>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</si>
  <si>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</si>
  <si>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</si>
  <si>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</si>
  <si>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</si>
  <si>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</si>
  <si>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</si>
  <si>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</si>
  <si>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</si>
  <si>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</si>
  <si>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</si>
  <si>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</si>
  <si>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</si>
  <si>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</si>
  <si>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</si>
  <si>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</si>
  <si>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</si>
  <si>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</si>
  <si>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</si>
  <si>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</si>
  <si>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</si>
  <si>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</si>
  <si>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</si>
  <si>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</si>
  <si>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</si>
  <si>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</si>
  <si>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</si>
  <si>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</si>
  <si>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</si>
  <si>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</si>
  <si>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</si>
  <si>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</si>
  <si>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</si>
  <si>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</si>
  <si>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</si>
  <si>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</si>
  <si>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</si>
  <si>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</si>
  <si>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</si>
  <si>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</si>
  <si>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</si>
  <si>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</si>
  <si>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</si>
  <si>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</si>
  <si>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</si>
  <si>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</si>
  <si>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</si>
  <si>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</si>
  <si>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</si>
  <si>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</si>
  <si>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</si>
  <si>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</si>
  <si>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</si>
  <si>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</si>
  <si>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</si>
  <si>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</si>
  <si>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</si>
  <si>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</si>
  <si>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</si>
  <si>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</si>
  <si>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</si>
  <si>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</si>
  <si>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</si>
  <si>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</si>
  <si>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</si>
  <si>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</si>
  <si>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</si>
  <si>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</si>
  <si>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</si>
  <si>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</si>
  <si>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</si>
  <si>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</si>
  <si>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</si>
  <si>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</si>
  <si>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</si>
  <si>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</si>
  <si>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</si>
  <si>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</si>
  <si>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</si>
  <si>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</si>
  <si>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</si>
  <si>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</si>
  <si>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</si>
  <si>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</si>
  <si>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</si>
  <si>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</si>
  <si>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</si>
  <si>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</si>
  <si>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</si>
  <si>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</si>
  <si>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</si>
  <si>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</si>
  <si>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</si>
  <si>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</si>
  <si>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</si>
  <si>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</si>
  <si>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</si>
  <si>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</si>
  <si>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</si>
  <si>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</si>
  <si>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</si>
  <si>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</si>
  <si>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</si>
  <si>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</si>
  <si>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</si>
  <si>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</si>
  <si>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</si>
  <si>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</si>
  <si>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</si>
  <si>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</si>
  <si>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</si>
  <si>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</si>
  <si>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</si>
  <si>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</si>
  <si>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</si>
  <si>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</si>
  <si>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</si>
  <si>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</si>
  <si>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</si>
  <si>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</si>
  <si>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</si>
  <si>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</si>
  <si>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</si>
  <si>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</si>
  <si>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</si>
  <si>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</si>
  <si>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</si>
  <si>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</si>
  <si>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</si>
  <si>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</si>
  <si>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</si>
  <si>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</si>
  <si>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</si>
  <si>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</si>
  <si>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</si>
  <si>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</si>
  <si>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</si>
  <si>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</si>
  <si>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</si>
  <si>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</si>
  <si>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</si>
  <si>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</si>
  <si>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</si>
  <si>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</si>
  <si>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</si>
  <si>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</si>
  <si>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</si>
  <si>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</si>
  <si>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</si>
  <si>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</si>
  <si>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</si>
  <si>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</si>
  <si>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</si>
  <si>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</si>
  <si>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</si>
  <si>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</si>
  <si>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</si>
  <si>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</si>
  <si>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</si>
  <si>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</si>
  <si>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</si>
  <si>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</si>
  <si>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</si>
  <si>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</si>
  <si>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</si>
  <si>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</si>
  <si>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</si>
  <si>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</si>
  <si>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</si>
  <si>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</si>
  <si>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</si>
  <si>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</si>
  <si>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</si>
  <si>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</si>
  <si>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</si>
  <si>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</si>
  <si>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</si>
  <si>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</si>
  <si>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</si>
  <si>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</si>
  <si>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</si>
  <si>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</si>
  <si>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</si>
  <si>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</si>
  <si>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</si>
  <si>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</si>
  <si>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</si>
  <si>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</si>
  <si>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</si>
  <si>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</si>
  <si>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</si>
  <si>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</si>
  <si>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</si>
  <si>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</si>
  <si>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</si>
  <si>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</si>
  <si>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</si>
  <si>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</si>
  <si>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</si>
  <si>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</si>
  <si>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</si>
  <si>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</si>
  <si>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</si>
  <si>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</si>
  <si>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</si>
  <si>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</si>
  <si>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</si>
  <si>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</si>
  <si>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</si>
  <si>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</si>
  <si>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</si>
  <si>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</si>
  <si>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</si>
  <si>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</si>
  <si>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</si>
  <si>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</si>
  <si>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</si>
  <si>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</si>
  <si>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</si>
  <si>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</si>
  <si>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</si>
  <si>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</si>
  <si>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</si>
  <si>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</si>
  <si>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</si>
  <si>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</si>
  <si>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</si>
  <si>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</si>
  <si>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</si>
  <si>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</si>
  <si>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</si>
  <si>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</si>
  <si>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</si>
  <si>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</si>
  <si>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</si>
  <si>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</si>
  <si>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</si>
  <si>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</si>
  <si>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</si>
  <si>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</si>
  <si>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</si>
  <si>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</si>
  <si>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</si>
  <si>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</si>
  <si>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</si>
  <si>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</si>
  <si>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</si>
  <si>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</si>
  <si>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</si>
  <si>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</si>
  <si>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</si>
  <si>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</si>
  <si>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</si>
  <si>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</si>
  <si>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</si>
  <si>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</si>
  <si>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</si>
  <si>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</si>
  <si>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</si>
  <si>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</si>
  <si>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</si>
  <si>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</si>
  <si>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</si>
  <si>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</si>
  <si>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</si>
  <si>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</si>
  <si>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</si>
  <si>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</si>
  <si>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</si>
  <si>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</si>
  <si>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</si>
  <si>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</si>
  <si>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</si>
  <si>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</si>
  <si>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</si>
  <si>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</si>
  <si>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</si>
  <si>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</si>
  <si>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</si>
  <si>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</si>
  <si>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</si>
  <si>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</si>
  <si>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</si>
  <si>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</si>
  <si>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</si>
  <si>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</si>
  <si>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</si>
  <si>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</si>
  <si>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</si>
  <si>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</si>
  <si>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</si>
  <si>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</si>
  <si>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</si>
  <si>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</si>
  <si>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</si>
  <si>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</si>
  <si>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</si>
  <si>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</si>
  <si>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</si>
  <si>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</si>
  <si>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</si>
  <si>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</si>
  <si>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</si>
  <si>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</si>
  <si>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</si>
  <si>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</si>
  <si>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</si>
  <si>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</si>
  <si>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</si>
  <si>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</si>
  <si>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</si>
  <si>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</si>
  <si>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</si>
  <si>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</si>
  <si>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</si>
  <si>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</si>
  <si>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</si>
  <si>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</si>
  <si>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</si>
  <si>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</si>
  <si>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</si>
  <si>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</si>
  <si>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</si>
  <si>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</si>
  <si>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</si>
  <si>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</si>
  <si>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</si>
  <si>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</si>
  <si>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</si>
  <si>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</si>
  <si>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</si>
  <si>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</si>
  <si>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</si>
  <si>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</si>
  <si>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</si>
  <si>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</si>
  <si>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</si>
  <si>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</si>
  <si>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</si>
  <si>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</si>
  <si>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</si>
  <si>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</si>
  <si>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</si>
  <si>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</si>
  <si>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</si>
  <si>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</si>
  <si>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</si>
  <si>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</si>
  <si>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</si>
  <si>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</si>
  <si>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</si>
  <si>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</si>
  <si>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</si>
  <si>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</si>
  <si>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</si>
  <si>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</si>
  <si>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</si>
  <si>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</si>
  <si>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</si>
  <si>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</si>
  <si>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</si>
  <si>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</si>
  <si>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</si>
  <si>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</si>
  <si>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</si>
  <si>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</si>
  <si>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</si>
  <si>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</si>
  <si>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</si>
  <si>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</si>
  <si>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</si>
  <si>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</si>
  <si>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</si>
  <si>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</si>
  <si>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</si>
  <si>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</si>
  <si>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</si>
  <si>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</si>
  <si>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</si>
  <si>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</si>
  <si>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</si>
  <si>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</si>
  <si>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</si>
  <si>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</si>
  <si>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</si>
  <si>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</si>
  <si>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</si>
  <si>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</si>
  <si>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</si>
  <si>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</si>
  <si>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</si>
  <si>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</si>
  <si>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</si>
  <si>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</si>
  <si>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</si>
  <si>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</si>
  <si>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</si>
  <si>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</si>
  <si>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</si>
  <si>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</si>
  <si>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</si>
  <si>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</si>
  <si>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</si>
  <si>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</si>
  <si>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</si>
  <si>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</si>
  <si>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</si>
  <si>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</si>
  <si>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</si>
  <si>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</si>
  <si>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</si>
  <si>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</si>
  <si>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</si>
  <si>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</si>
  <si>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</si>
  <si>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</si>
  <si>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</si>
  <si>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</si>
  <si>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</si>
  <si>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</si>
  <si>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</si>
  <si>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</si>
  <si>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</si>
  <si>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</si>
  <si>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</si>
  <si>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</si>
  <si>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</si>
  <si>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</si>
  <si>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</si>
  <si>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</si>
  <si>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</si>
  <si>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</si>
  <si>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</si>
  <si>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</si>
  <si>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</si>
  <si>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</si>
  <si>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</si>
  <si>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</si>
  <si>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</si>
  <si>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</si>
  <si>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</si>
  <si>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</si>
  <si>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</si>
  <si>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</si>
  <si>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</si>
  <si>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</si>
  <si>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</si>
  <si>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</si>
  <si>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</si>
  <si>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</si>
  <si>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</si>
  <si>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</si>
  <si>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</si>
  <si>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</si>
  <si>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</si>
  <si>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</si>
  <si>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</si>
  <si>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</si>
  <si>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</si>
  <si>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</si>
  <si>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</si>
  <si>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</si>
  <si>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</si>
  <si>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</si>
  <si>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</si>
  <si>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</si>
  <si>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</si>
  <si>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</si>
  <si>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</si>
  <si>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</si>
  <si>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</si>
  <si>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</si>
  <si>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</si>
  <si>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</si>
  <si>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</si>
  <si>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</si>
  <si>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</si>
  <si>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</si>
  <si>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</si>
  <si>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</si>
  <si>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</si>
  <si>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</si>
  <si>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</si>
  <si>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</si>
  <si>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</si>
  <si>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</si>
  <si>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</si>
  <si>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</si>
  <si>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</si>
  <si>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</si>
  <si>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</si>
  <si>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</si>
  <si>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</si>
  <si>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</si>
  <si>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</si>
  <si>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</si>
  <si>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</si>
  <si>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</si>
  <si>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</si>
  <si>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</si>
  <si>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</si>
  <si>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</si>
  <si>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</si>
  <si>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</si>
  <si>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</si>
  <si>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</si>
  <si>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</si>
  <si>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</si>
  <si>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</si>
  <si>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</si>
  <si>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</si>
  <si>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</si>
  <si>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</si>
  <si>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</si>
  <si>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</si>
  <si>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</si>
  <si>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</si>
  <si>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</si>
  <si>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</si>
  <si>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</si>
  <si>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</si>
  <si>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</si>
  <si>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</si>
  <si>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</si>
  <si>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</si>
  <si>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</si>
  <si>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</si>
  <si>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</si>
  <si>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</si>
  <si>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</si>
  <si>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</si>
  <si>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</si>
  <si>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</si>
  <si>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</si>
  <si>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</si>
  <si>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</si>
  <si>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</si>
  <si>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</si>
  <si>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</si>
  <si>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</si>
  <si>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</si>
  <si>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</si>
  <si>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</si>
  <si>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</si>
  <si>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</si>
  <si>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</si>
  <si>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</si>
  <si>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</si>
  <si>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</si>
  <si>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</si>
  <si>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</si>
  <si>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</si>
  <si>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</si>
  <si>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</si>
  <si>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</si>
  <si>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</si>
  <si>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</si>
  <si>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</si>
  <si>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</si>
  <si>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</si>
  <si>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</si>
  <si>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</si>
  <si>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</si>
  <si>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</si>
  <si>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</si>
  <si>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</si>
  <si>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</si>
  <si>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</si>
  <si>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</si>
  <si>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</si>
  <si>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</si>
  <si>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</si>
  <si>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</si>
  <si>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</si>
  <si>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</si>
  <si>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</si>
  <si>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</si>
  <si>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</si>
  <si>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</si>
  <si>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</si>
  <si>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</si>
  <si>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</si>
  <si>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</si>
  <si>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</si>
  <si>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</si>
  <si>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</si>
  <si>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</si>
  <si>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</si>
  <si>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</si>
  <si>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</si>
  <si>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</si>
  <si>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</si>
  <si>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</si>
  <si>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</si>
  <si>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</si>
  <si>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</si>
  <si>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</si>
  <si>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</si>
  <si>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</si>
  <si>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</si>
  <si>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</si>
  <si>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</si>
  <si>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</si>
  <si>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</si>
  <si>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</si>
  <si>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</si>
  <si>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</si>
  <si>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</si>
  <si>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</si>
  <si>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</si>
  <si>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</si>
  <si>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</si>
  <si>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</si>
  <si>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</si>
  <si>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</si>
  <si>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</si>
  <si>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</si>
  <si>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</si>
  <si>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</si>
  <si>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</si>
  <si>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</si>
  <si>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</si>
  <si>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</si>
  <si>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</si>
  <si>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</si>
  <si>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</si>
  <si>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</si>
  <si>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</si>
  <si>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</si>
  <si>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</si>
  <si>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</si>
  <si>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</si>
  <si>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</si>
  <si>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</si>
  <si>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</si>
  <si>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</si>
  <si>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</si>
  <si>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</si>
  <si>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</si>
  <si>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</si>
  <si>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</si>
  <si>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</si>
  <si>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</si>
  <si>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</si>
  <si>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</si>
  <si>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</si>
  <si>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</si>
  <si>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</si>
  <si>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</si>
  <si>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</si>
  <si>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</si>
  <si>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</si>
  <si>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</si>
  <si>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</si>
  <si>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</si>
  <si>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</si>
  <si>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</si>
  <si>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</si>
  <si>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</si>
  <si>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</si>
  <si>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</si>
  <si>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</si>
  <si>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</si>
  <si>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</si>
  <si>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</si>
  <si>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</si>
  <si>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</si>
  <si>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</si>
  <si>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</si>
  <si>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</si>
  <si>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</si>
  <si>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</si>
  <si>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</si>
  <si>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</si>
  <si>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</si>
  <si>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</si>
  <si>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</si>
  <si>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</si>
  <si>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</si>
  <si>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</si>
  <si>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</si>
  <si>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</si>
  <si>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</si>
  <si>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</si>
  <si>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</si>
  <si>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</si>
  <si>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</si>
  <si>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</si>
  <si>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</si>
  <si>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</si>
  <si>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</si>
  <si>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</si>
  <si>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</si>
  <si>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</si>
  <si>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</si>
  <si>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</si>
  <si>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</si>
  <si>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</si>
  <si>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</si>
  <si>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</si>
  <si>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</si>
  <si>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</si>
  <si>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</si>
  <si>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</si>
  <si>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</si>
  <si>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</si>
  <si>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</si>
  <si>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</si>
  <si>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</si>
  <si>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</si>
  <si>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</si>
  <si>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</si>
  <si>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</si>
  <si>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</si>
  <si>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</si>
  <si>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</si>
  <si>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</si>
  <si>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</si>
  <si>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</si>
  <si>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</si>
  <si>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</si>
  <si>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</si>
  <si>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</si>
  <si>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</si>
  <si>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</si>
  <si>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</si>
  <si>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</si>
  <si>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</si>
  <si>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</si>
  <si>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</si>
  <si>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</si>
  <si>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</si>
  <si>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</si>
  <si>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</si>
  <si>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</si>
  <si>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</si>
  <si>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</si>
  <si>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</si>
  <si>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</si>
  <si>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</si>
  <si>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</si>
  <si>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</si>
  <si>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</si>
  <si>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</si>
  <si>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</si>
  <si>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</si>
  <si>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</si>
  <si>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</si>
  <si>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</si>
  <si>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</si>
  <si>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</si>
  <si>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</si>
  <si>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</si>
  <si>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</si>
  <si>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</si>
  <si>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</si>
  <si>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</si>
  <si>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</si>
  <si>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</si>
  <si>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</si>
  <si>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</si>
  <si>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</si>
  <si>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</si>
  <si>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</si>
  <si>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</si>
  <si>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</si>
  <si>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</si>
  <si>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</si>
  <si>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</si>
  <si>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</si>
  <si>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</si>
  <si>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</si>
  <si>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</si>
  <si>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</si>
  <si>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</si>
  <si>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</si>
  <si>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</si>
  <si>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</si>
  <si>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</si>
  <si>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</si>
  <si>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</si>
  <si>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</si>
  <si>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</si>
  <si>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</si>
  <si>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</si>
  <si>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</si>
  <si>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</si>
  <si>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</si>
  <si>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</si>
  <si>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</si>
  <si>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</si>
  <si>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</si>
  <si>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</si>
  <si>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</si>
  <si>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</si>
  <si>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</si>
  <si>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</si>
  <si>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</si>
  <si>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</si>
  <si>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</si>
  <si>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</si>
  <si>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</si>
  <si>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</si>
  <si>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</si>
  <si>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</si>
  <si>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</si>
  <si>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</si>
  <si>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</si>
  <si>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</si>
  <si>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</si>
  <si>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</si>
  <si>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</si>
  <si>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</si>
  <si>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</si>
  <si>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</si>
  <si>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</si>
  <si>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</si>
  <si>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</si>
  <si>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</si>
  <si>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</si>
  <si>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</si>
  <si>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</si>
  <si>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</si>
  <si>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</si>
  <si>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</si>
  <si>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</si>
  <si>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</si>
  <si>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</si>
  <si>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</si>
  <si>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</si>
  <si>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</si>
  <si>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</si>
  <si>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</si>
  <si>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</si>
  <si>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</si>
  <si>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</si>
  <si>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</si>
  <si>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</si>
  <si>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</si>
  <si>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</si>
  <si>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</si>
  <si>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</si>
  <si>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</si>
  <si>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</si>
  <si>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</si>
  <si>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</si>
  <si>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</si>
  <si>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</si>
  <si>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</si>
  <si>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</si>
  <si>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</si>
  <si>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</si>
  <si>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</si>
  <si>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</si>
  <si>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</si>
  <si>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</si>
  <si>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</si>
  <si>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</si>
  <si>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</si>
  <si>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</si>
  <si>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</si>
  <si>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</si>
  <si>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</si>
  <si>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</si>
  <si>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</si>
  <si>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</si>
  <si>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</si>
  <si>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</si>
  <si>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</si>
  <si>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</si>
  <si>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</si>
  <si>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</si>
  <si>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</si>
  <si>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</si>
  <si>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</si>
  <si>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</si>
  <si>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</si>
  <si>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</si>
  <si>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</si>
  <si>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</si>
  <si>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</si>
  <si>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</si>
  <si>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</si>
  <si>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</si>
  <si>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</si>
  <si>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</si>
  <si>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</si>
  <si>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</si>
  <si>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</si>
  <si>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</si>
  <si>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</si>
  <si>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</si>
  <si>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</si>
  <si>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</si>
  <si>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</si>
  <si>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</si>
  <si>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</si>
  <si>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</si>
  <si>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</si>
  <si>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</si>
  <si>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</si>
  <si>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</si>
  <si>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</si>
  <si>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</si>
  <si>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</si>
  <si>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</si>
  <si>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</si>
  <si>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</si>
  <si>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</si>
  <si>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</si>
  <si>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</si>
  <si>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</si>
  <si>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</si>
  <si>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</si>
  <si>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</si>
  <si>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</si>
  <si>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</si>
  <si>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</si>
  <si>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</si>
  <si>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</si>
  <si>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</si>
  <si>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</si>
  <si>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</si>
  <si>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</si>
  <si>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</si>
  <si>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</si>
  <si>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</si>
  <si>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</si>
  <si>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</si>
  <si>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</si>
  <si>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</si>
  <si>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</si>
  <si>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</si>
  <si>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</si>
  <si>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</si>
  <si>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</si>
  <si>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</si>
  <si>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</si>
  <si>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</si>
  <si>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</si>
  <si>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</si>
  <si>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</si>
  <si>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</si>
  <si>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</si>
  <si>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</si>
  <si>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</si>
  <si>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</si>
  <si>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</si>
  <si>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</si>
  <si>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</si>
  <si>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</si>
  <si>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</si>
  <si>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</si>
  <si>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</si>
  <si>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</si>
  <si>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</si>
  <si>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</si>
  <si>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</si>
  <si>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</si>
  <si>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</si>
  <si>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</si>
  <si>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</si>
  <si>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</si>
  <si>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</si>
  <si>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</si>
  <si>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</si>
  <si>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</si>
  <si>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</si>
  <si>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</si>
  <si>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</si>
  <si>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</si>
  <si>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</si>
  <si>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</si>
  <si>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</si>
  <si>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</si>
  <si>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</si>
  <si>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</si>
  <si>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</si>
  <si>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</si>
  <si>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</si>
  <si>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</si>
  <si>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</si>
  <si>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</si>
  <si>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</si>
  <si>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</si>
  <si>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</si>
  <si>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</si>
  <si>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</si>
  <si>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</si>
  <si>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</si>
  <si>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</si>
  <si>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</si>
  <si>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</si>
  <si>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</si>
  <si>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</si>
  <si>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</si>
  <si>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</si>
  <si>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</si>
  <si>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</si>
  <si>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</si>
  <si>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</si>
  <si>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</si>
  <si>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</si>
  <si>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</si>
  <si>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</si>
  <si>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</si>
  <si>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</si>
  <si>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</si>
  <si>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</si>
  <si>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</si>
  <si>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</si>
  <si>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</si>
  <si>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</si>
  <si>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</si>
  <si>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</si>
  <si>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</si>
  <si>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</si>
  <si>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</si>
  <si>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</si>
  <si>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</si>
  <si>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</si>
  <si>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</si>
  <si>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</si>
  <si>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</si>
  <si>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</si>
  <si>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</si>
  <si>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</si>
  <si>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</si>
  <si>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</si>
  <si>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</si>
  <si>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</si>
  <si>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</si>
  <si>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</si>
  <si>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</si>
  <si>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</si>
  <si>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</si>
  <si>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</si>
  <si>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</si>
  <si>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</si>
  <si>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</si>
  <si>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</si>
  <si>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</si>
  <si>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</si>
  <si>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</si>
  <si>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</si>
  <si>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</si>
  <si>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</si>
  <si>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</si>
  <si>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</si>
  <si>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</si>
  <si>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</si>
  <si>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</si>
  <si>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</si>
  <si>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</si>
  <si>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</si>
  <si>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</si>
  <si>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</si>
  <si>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</si>
  <si>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</si>
  <si>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</si>
  <si>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</si>
  <si>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</si>
  <si>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</si>
  <si>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</si>
  <si>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</si>
  <si>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</si>
  <si>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</si>
  <si>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</si>
  <si>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</si>
  <si>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</si>
  <si>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</si>
  <si>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</si>
  <si>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</si>
  <si>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</si>
  <si>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</si>
  <si>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</si>
  <si>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</si>
  <si>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</si>
  <si>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</si>
  <si>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</si>
  <si>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</si>
  <si>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</si>
  <si>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</si>
  <si>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</si>
  <si>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</si>
  <si>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</si>
  <si>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</si>
  <si>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</si>
  <si>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</si>
  <si>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</si>
  <si>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</si>
  <si>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</si>
  <si>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</si>
  <si>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</si>
  <si>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</si>
  <si>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</si>
  <si>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</si>
  <si>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</si>
  <si>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</si>
  <si>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</si>
  <si>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</si>
  <si>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</si>
  <si>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</si>
  <si>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</si>
  <si>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</si>
  <si>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</si>
  <si>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</si>
  <si>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</si>
  <si>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</si>
  <si>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</si>
  <si>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</si>
  <si>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</si>
  <si>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</si>
  <si>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</si>
  <si>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</si>
  <si>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</si>
  <si>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</si>
  <si>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</si>
  <si>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</si>
  <si>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</si>
  <si>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</si>
  <si>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</si>
  <si>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</si>
  <si>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</si>
  <si>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</si>
  <si>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</si>
  <si>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</si>
  <si>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</si>
  <si>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</si>
  <si>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</si>
  <si>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</si>
  <si>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</si>
  <si>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</si>
  <si>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</si>
  <si>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</si>
  <si>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</si>
  <si>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</si>
  <si>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</si>
  <si>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</si>
  <si>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</si>
  <si>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</si>
  <si>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</si>
  <si>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</si>
  <si>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</si>
  <si>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</si>
  <si>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</si>
  <si>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</si>
  <si>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</si>
  <si>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</si>
  <si>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</si>
  <si>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</si>
  <si>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</si>
  <si>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</si>
  <si>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</si>
  <si>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</si>
  <si>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</si>
  <si>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</si>
  <si>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</si>
  <si>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</si>
  <si>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</si>
  <si>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</si>
  <si>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</si>
  <si>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</si>
  <si>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</si>
  <si>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</si>
  <si>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</si>
  <si>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</si>
  <si>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</si>
  <si>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</si>
  <si>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</si>
  <si>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</si>
  <si>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</si>
  <si>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</si>
  <si>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</si>
  <si>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</si>
  <si>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</si>
  <si>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</si>
  <si>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</si>
  <si>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</si>
  <si>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</si>
  <si>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</si>
  <si>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</si>
  <si>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</si>
  <si>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</si>
  <si>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</si>
  <si>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</si>
  <si>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</si>
  <si>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</si>
  <si>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</si>
  <si>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</si>
  <si>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</si>
  <si>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</si>
  <si>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</si>
  <si>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</si>
  <si>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</si>
  <si>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</si>
  <si>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</si>
  <si>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</si>
  <si>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</si>
  <si>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</si>
  <si>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</si>
  <si>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</si>
  <si>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</si>
  <si>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</si>
  <si>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</si>
  <si>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</si>
  <si>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</si>
  <si>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</si>
  <si>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</si>
  <si>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</si>
  <si>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</si>
  <si>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</si>
  <si>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</si>
  <si>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</si>
  <si>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</si>
  <si>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</si>
  <si>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</si>
  <si>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</si>
  <si>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</si>
  <si>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</si>
  <si>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</si>
  <si>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</si>
  <si>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</si>
  <si>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</si>
  <si>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</si>
  <si>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</si>
  <si>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</si>
  <si>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</si>
  <si>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</si>
  <si>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</si>
  <si>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</si>
  <si>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</si>
  <si>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</si>
  <si>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</si>
  <si>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</si>
  <si>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</si>
  <si>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</si>
  <si>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</si>
  <si>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</si>
  <si>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</si>
  <si>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</si>
  <si>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</si>
  <si>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</si>
  <si>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</si>
  <si>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</si>
  <si>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</si>
  <si>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</si>
  <si>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</si>
  <si>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</si>
  <si>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</si>
  <si>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</si>
  <si>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</si>
  <si>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</si>
  <si>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</si>
  <si>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</si>
  <si>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</si>
  <si>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</si>
  <si>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</si>
  <si>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</si>
  <si>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</si>
  <si>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</si>
  <si>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</si>
  <si>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</si>
  <si>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</si>
  <si>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</si>
  <si>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</si>
  <si>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</si>
  <si>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</si>
  <si>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</si>
  <si>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</si>
  <si>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</si>
  <si>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</si>
  <si>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</si>
  <si>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</si>
  <si>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</si>
  <si>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</si>
  <si>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</si>
  <si>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</si>
  <si>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</si>
  <si>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</si>
  <si>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</si>
  <si>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</si>
  <si>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</si>
  <si>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</si>
  <si>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</si>
  <si>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</si>
  <si>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</si>
  <si>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</si>
  <si>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</si>
  <si>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</si>
  <si>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</si>
  <si>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</si>
  <si>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</si>
  <si>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</si>
  <si>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</si>
  <si>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</si>
  <si>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</si>
  <si>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</si>
  <si>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</si>
  <si>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</si>
  <si>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</si>
  <si>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</si>
  <si>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</si>
  <si>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</si>
  <si>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</si>
  <si>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</si>
  <si>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</si>
  <si>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</si>
  <si>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</si>
  <si>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</si>
  <si>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</si>
  <si>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</si>
  <si>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</si>
  <si>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</si>
  <si>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</si>
  <si>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</si>
  <si>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</si>
  <si>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</si>
  <si>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</si>
  <si>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</si>
  <si>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</si>
  <si>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</si>
  <si>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</si>
  <si>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</si>
  <si>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</si>
  <si>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</si>
  <si>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</si>
  <si>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</si>
  <si>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</si>
  <si>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</si>
  <si>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</si>
  <si>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</si>
  <si>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</si>
  <si>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</si>
  <si>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</si>
  <si>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</si>
  <si>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</si>
  <si>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</si>
  <si>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</si>
  <si>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</si>
  <si>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</si>
  <si>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</si>
  <si>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</si>
  <si>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</si>
  <si>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</si>
  <si>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</si>
  <si>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</si>
  <si>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</si>
  <si>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</si>
  <si>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</si>
  <si>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</si>
  <si>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</si>
  <si>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</si>
  <si>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</si>
  <si>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</si>
  <si>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</si>
  <si>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</si>
  <si>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</si>
  <si>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</si>
  <si>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</si>
  <si>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</si>
  <si>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</si>
  <si>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</si>
  <si>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</si>
  <si>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</si>
  <si>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</si>
  <si>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</si>
  <si>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</si>
  <si>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</si>
  <si>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</si>
  <si>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</si>
  <si>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</si>
  <si>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</si>
  <si>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</si>
  <si>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</si>
  <si>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</si>
  <si>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</si>
  <si>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</si>
  <si>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</si>
  <si>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</si>
  <si>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</si>
  <si>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</si>
  <si>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</si>
  <si>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</si>
  <si>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</si>
  <si>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</si>
  <si>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</si>
  <si>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</si>
  <si>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</si>
  <si>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</si>
  <si>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</si>
  <si>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</si>
  <si>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</si>
  <si>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</si>
  <si>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</si>
  <si>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</si>
  <si>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</si>
  <si>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</si>
  <si>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</si>
  <si>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</si>
  <si>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</si>
  <si>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</si>
  <si>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</si>
  <si>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</si>
  <si>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</si>
  <si>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</si>
  <si>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</si>
  <si>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</si>
  <si>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</si>
  <si>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</si>
  <si>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</si>
  <si>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</si>
  <si>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</si>
  <si>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</si>
  <si>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</si>
  <si>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</si>
  <si>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</si>
  <si>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</si>
  <si>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</si>
  <si>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</si>
  <si>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</si>
  <si>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</si>
  <si>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</si>
  <si>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</si>
  <si>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</si>
  <si>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</si>
  <si>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</si>
  <si>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</si>
  <si>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</si>
  <si>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</si>
  <si>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</si>
  <si>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</si>
  <si>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</si>
  <si>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</si>
  <si>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</si>
  <si>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</si>
  <si>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</si>
  <si>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</si>
  <si>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</si>
  <si>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</si>
  <si>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</si>
  <si>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</si>
  <si>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</si>
  <si>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</si>
  <si>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</si>
  <si>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</si>
  <si>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</si>
  <si>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</si>
  <si>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</si>
  <si>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</si>
  <si>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</si>
  <si>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</si>
  <si>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</si>
  <si>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</si>
  <si>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</si>
  <si>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</si>
  <si>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</si>
  <si>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</si>
  <si>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</si>
  <si>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</si>
  <si>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</si>
  <si>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</si>
  <si>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</si>
  <si>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</si>
  <si>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</si>
  <si>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</si>
  <si>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</si>
  <si>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</si>
  <si>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</si>
  <si>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</si>
  <si>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</si>
  <si>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</si>
  <si>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</si>
  <si>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</si>
  <si>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</si>
  <si>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</si>
  <si>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</si>
  <si>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</si>
  <si>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</si>
  <si>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</si>
  <si>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</si>
  <si>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</si>
  <si>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</si>
  <si>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</si>
  <si>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</si>
  <si>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</si>
  <si>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</si>
  <si>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</si>
  <si>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</si>
  <si>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</si>
  <si>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</si>
  <si>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</si>
  <si>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</si>
  <si>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</si>
  <si>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</si>
  <si>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</si>
  <si>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</si>
  <si>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</si>
  <si>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</si>
  <si>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</si>
  <si>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</si>
  <si>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</si>
  <si>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</si>
  <si>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</si>
  <si>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</si>
  <si>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</si>
  <si>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</si>
  <si>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</si>
  <si>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</si>
  <si>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</si>
  <si>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</si>
  <si>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</si>
  <si>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</si>
  <si>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</si>
  <si>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</si>
  <si>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</si>
  <si>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</si>
  <si>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</si>
  <si>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</si>
  <si>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</si>
  <si>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</si>
  <si>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</si>
  <si>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</si>
  <si>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</si>
  <si>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</si>
  <si>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</si>
  <si>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</si>
  <si>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</si>
  <si>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</si>
  <si>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</si>
  <si>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</si>
  <si>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</si>
  <si>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</si>
  <si>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</si>
  <si>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</si>
  <si>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</si>
  <si>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</si>
  <si>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</si>
  <si>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</si>
  <si>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</si>
  <si>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</si>
  <si>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</si>
  <si>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</si>
  <si>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</si>
  <si>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</si>
  <si>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</si>
  <si>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</si>
  <si>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</si>
  <si>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</si>
  <si>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</si>
  <si>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</si>
  <si>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</si>
  <si>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</si>
  <si>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</si>
  <si>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</si>
  <si>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</si>
  <si>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</si>
  <si>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</si>
  <si>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</si>
  <si>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</si>
  <si>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</si>
  <si>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</si>
  <si>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</si>
  <si>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</si>
  <si>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</si>
  <si>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</si>
  <si>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</si>
  <si>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</si>
  <si>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</si>
  <si>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</si>
  <si>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</si>
  <si>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</si>
  <si>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</si>
  <si>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</si>
  <si>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</si>
  <si>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</si>
  <si>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</si>
  <si>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</si>
  <si>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</si>
  <si>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</si>
  <si>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</si>
  <si>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</si>
  <si>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</si>
  <si>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</si>
  <si>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</si>
  <si>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</si>
  <si>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</si>
  <si>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</si>
  <si>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</si>
  <si>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</si>
  <si>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</si>
  <si>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</si>
  <si>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</si>
  <si>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</si>
  <si>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</si>
  <si>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</si>
  <si>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</si>
  <si>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</si>
  <si>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</si>
  <si>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</si>
  <si>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</si>
  <si>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</si>
  <si>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</si>
  <si>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</si>
  <si>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</si>
  <si>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</si>
  <si>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</si>
  <si>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</si>
  <si>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</si>
  <si>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</si>
  <si>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</si>
  <si>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</si>
  <si>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</si>
  <si>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</si>
  <si>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</si>
  <si>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</si>
  <si>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</si>
  <si>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</si>
  <si>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</si>
  <si>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</si>
  <si>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</si>
  <si>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</si>
  <si>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</si>
  <si>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</si>
  <si>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</si>
  <si>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</si>
  <si>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</si>
  <si>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</si>
  <si>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</si>
  <si>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</si>
  <si>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</si>
  <si>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</si>
  <si>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</si>
  <si>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</si>
  <si>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</si>
  <si>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</si>
  <si>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</si>
  <si>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</si>
  <si>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</si>
  <si>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</si>
  <si>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</si>
  <si>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</si>
  <si>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</si>
  <si>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</si>
  <si>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</si>
  <si>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</si>
  <si>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</si>
  <si>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</si>
  <si>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</si>
  <si>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</si>
  <si>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</si>
  <si>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</si>
  <si>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</si>
  <si>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</si>
  <si>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</si>
  <si>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</si>
  <si>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</si>
  <si>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</si>
  <si>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</si>
  <si>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</si>
  <si>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</si>
  <si>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</si>
  <si>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</si>
  <si>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</si>
  <si>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</si>
  <si>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</si>
  <si>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</si>
  <si>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</si>
  <si>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</si>
  <si>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</si>
  <si>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</si>
  <si>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</si>
  <si>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</si>
  <si>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</si>
  <si>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</si>
  <si>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</si>
  <si>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</si>
  <si>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</si>
  <si>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</si>
  <si>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</si>
  <si>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</si>
  <si>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</si>
  <si>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</si>
  <si>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</si>
  <si>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</si>
  <si>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</si>
  <si>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</si>
  <si>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</si>
  <si>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</si>
  <si>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</si>
  <si>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</si>
  <si>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</si>
  <si>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</si>
  <si>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</si>
  <si>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</si>
  <si>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</si>
  <si>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</si>
  <si>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</si>
  <si>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</si>
  <si>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</si>
  <si>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</si>
  <si>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</si>
  <si>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</si>
  <si>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</si>
  <si>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</si>
  <si>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</si>
  <si>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</si>
  <si>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</si>
  <si>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</si>
  <si>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</si>
  <si>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</si>
  <si>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</si>
  <si>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</si>
  <si>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</si>
  <si>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</si>
  <si>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</si>
  <si>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</si>
  <si>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</si>
  <si>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</si>
  <si>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</si>
  <si>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</si>
  <si>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</si>
  <si>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</si>
  <si>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</si>
  <si>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</si>
  <si>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</si>
  <si>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</si>
  <si>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</si>
  <si>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</si>
  <si>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</si>
  <si>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</si>
  <si>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</si>
  <si>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</si>
  <si>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</si>
  <si>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</si>
  <si>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</si>
  <si>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</si>
  <si>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</si>
  <si>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</si>
  <si>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</si>
  <si>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</si>
  <si>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</si>
  <si>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</si>
  <si>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</si>
  <si>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</si>
  <si>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</si>
  <si>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</si>
  <si>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</si>
  <si>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</si>
  <si>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</si>
  <si>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</si>
  <si>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</si>
  <si>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</si>
  <si>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</si>
  <si>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</si>
  <si>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</si>
  <si>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</si>
  <si>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</si>
  <si>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</si>
  <si>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</si>
  <si>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</si>
  <si>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</si>
  <si>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</si>
  <si>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</si>
  <si>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</si>
  <si>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</si>
  <si>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</si>
  <si>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</si>
  <si>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</si>
  <si>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</si>
  <si>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</si>
  <si>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</si>
  <si>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</si>
  <si>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</si>
  <si>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</si>
  <si>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</si>
  <si>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</si>
  <si>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</si>
  <si>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</si>
  <si>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</si>
  <si>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</si>
  <si>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</si>
  <si>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</si>
  <si>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</si>
  <si>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</si>
  <si>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</si>
  <si>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</si>
  <si>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</si>
  <si>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</si>
  <si>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</si>
  <si>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</si>
  <si>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</si>
  <si>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</si>
  <si>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</si>
  <si>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</si>
  <si>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</si>
  <si>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</si>
  <si>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</si>
  <si>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</si>
  <si>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</si>
  <si>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</si>
  <si>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</si>
  <si>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</si>
  <si>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</si>
  <si>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</si>
  <si>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</si>
  <si>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</si>
  <si>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</si>
  <si>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</si>
  <si>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</si>
  <si>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</si>
  <si>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</si>
  <si>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</si>
  <si>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</si>
  <si>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</si>
  <si>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</si>
  <si>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</si>
  <si>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</si>
  <si>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</si>
  <si>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</si>
  <si>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</si>
  <si>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</si>
  <si>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</si>
  <si>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</si>
  <si>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</si>
  <si>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</si>
  <si>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</si>
  <si>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</si>
  <si>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</si>
  <si>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</si>
  <si>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</si>
  <si>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</si>
  <si>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</si>
  <si>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</si>
  <si>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</si>
  <si>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</si>
  <si>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</si>
  <si>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</si>
  <si>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</si>
  <si>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</si>
  <si>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</si>
  <si>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</si>
  <si>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</si>
  <si>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</si>
  <si>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</si>
  <si>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</si>
  <si>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</si>
  <si>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</si>
  <si>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</si>
  <si>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</si>
  <si>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</si>
  <si>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</si>
  <si>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</si>
  <si>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</si>
  <si>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</si>
  <si>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</si>
  <si>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</si>
  <si>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</si>
  <si>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</si>
  <si>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</si>
  <si>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</si>
  <si>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</si>
  <si>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</si>
  <si>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</si>
  <si>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</si>
  <si>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</si>
  <si>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</si>
  <si>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</si>
  <si>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</si>
  <si>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</si>
  <si>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</si>
  <si>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</si>
  <si>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</si>
  <si>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</si>
  <si>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</si>
  <si>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</si>
  <si>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</si>
  <si>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</si>
  <si>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</si>
  <si>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</si>
  <si>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</si>
  <si>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</si>
  <si>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</si>
  <si>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</si>
  <si>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</si>
  <si>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</si>
  <si>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</si>
  <si>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</si>
  <si>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</si>
  <si>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</si>
  <si>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</si>
  <si>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</si>
  <si>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</si>
  <si>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</si>
  <si>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</si>
  <si>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</si>
  <si>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</si>
  <si>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</si>
  <si>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</si>
  <si>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</si>
  <si>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</si>
  <si>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</si>
  <si>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</si>
  <si>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</si>
  <si>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</si>
  <si>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</si>
  <si>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</si>
  <si>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</si>
  <si>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</si>
  <si>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</si>
  <si>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</si>
  <si>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</si>
  <si>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</si>
  <si>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</si>
  <si>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</si>
  <si>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</si>
  <si>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</si>
  <si>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</si>
  <si>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</si>
  <si>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</si>
  <si>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</si>
  <si>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</si>
  <si>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</si>
  <si>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</si>
  <si>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</si>
  <si>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</si>
  <si>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</si>
  <si>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</si>
  <si>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</si>
  <si>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</si>
  <si>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</si>
  <si>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</si>
  <si>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</si>
  <si>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</si>
  <si>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</si>
  <si>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</si>
  <si>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</si>
  <si>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</si>
  <si>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</si>
  <si>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</si>
  <si>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</si>
  <si>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</si>
  <si>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</si>
  <si>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</si>
  <si>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</si>
  <si>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</si>
  <si>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</si>
  <si>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</si>
  <si>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</si>
  <si>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</si>
  <si>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</si>
  <si>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</si>
  <si>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</si>
  <si>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</si>
  <si>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</si>
  <si>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</si>
  <si>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</si>
  <si>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</si>
  <si>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</si>
  <si>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</si>
  <si>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</si>
  <si>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</si>
  <si>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</si>
  <si>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</si>
  <si>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</si>
  <si>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</si>
  <si>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</si>
  <si>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</si>
  <si>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</si>
  <si>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</si>
  <si>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</si>
  <si>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</si>
  <si>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</si>
  <si>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</si>
  <si>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</si>
  <si>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</si>
  <si>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</si>
  <si>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</si>
  <si>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</si>
  <si>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</si>
  <si>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</si>
  <si>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</si>
  <si>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</si>
  <si>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</si>
  <si>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</si>
  <si>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</si>
  <si>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</si>
  <si>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</si>
  <si>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</si>
  <si>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</si>
  <si>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</si>
  <si>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</si>
  <si>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</si>
  <si>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</si>
  <si>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</si>
  <si>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</si>
  <si>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</si>
  <si>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</si>
  <si>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</si>
  <si>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</si>
  <si>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</si>
  <si>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</si>
  <si>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</si>
  <si>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</si>
  <si>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</si>
  <si>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</si>
  <si>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</si>
  <si>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</si>
  <si>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</si>
  <si>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</si>
  <si>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</si>
  <si>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</si>
  <si>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</si>
  <si>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</si>
  <si>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</si>
  <si>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</si>
  <si>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</si>
  <si>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</si>
  <si>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</si>
  <si>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</si>
  <si>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</si>
  <si>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</si>
  <si>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</si>
  <si>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</si>
  <si>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</si>
  <si>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</si>
  <si>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</si>
  <si>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</si>
  <si>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</si>
  <si>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</si>
  <si>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</si>
  <si>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</si>
  <si>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</si>
  <si>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</si>
  <si>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</si>
  <si>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</si>
  <si>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</si>
  <si>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</si>
  <si>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</si>
  <si>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</si>
  <si>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</si>
  <si>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</si>
  <si>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</si>
  <si>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</si>
  <si>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</si>
  <si>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</si>
  <si>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</si>
  <si>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</si>
  <si>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</si>
  <si>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</si>
  <si>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</si>
  <si>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</si>
  <si>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</si>
  <si>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</si>
  <si>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</si>
  <si>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</si>
  <si>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</si>
  <si>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</si>
  <si>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</si>
  <si>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</si>
  <si>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</si>
  <si>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</si>
  <si>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</si>
  <si>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</si>
  <si>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</si>
  <si>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</si>
  <si>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</si>
  <si>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</si>
  <si>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</si>
  <si>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</si>
  <si>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</si>
  <si>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</si>
  <si>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</si>
  <si>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</si>
  <si>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</si>
  <si>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</si>
  <si>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</si>
  <si>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</si>
  <si>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</si>
  <si>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</si>
  <si>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</si>
  <si>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</si>
  <si>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</si>
  <si>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</si>
  <si>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</si>
  <si>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</si>
  <si>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</si>
  <si>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</si>
  <si>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</si>
  <si>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</si>
  <si>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</si>
  <si>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</si>
  <si>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</si>
  <si>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</si>
  <si>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</si>
  <si>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</si>
  <si>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</si>
  <si>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</si>
  <si>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</si>
  <si>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</si>
  <si>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</si>
  <si>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</si>
  <si>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</si>
  <si>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</si>
  <si>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</si>
  <si>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</si>
  <si>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</si>
  <si>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</si>
  <si>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</si>
  <si>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</si>
  <si>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</si>
  <si>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</si>
  <si>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</si>
  <si>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</si>
  <si>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</si>
  <si>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</si>
  <si>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</si>
  <si>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</si>
  <si>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</si>
  <si>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</si>
  <si>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</si>
  <si>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</si>
  <si>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</si>
  <si>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</si>
  <si>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</si>
  <si>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</si>
  <si>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</si>
  <si>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</si>
  <si>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</si>
  <si>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</si>
  <si>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</si>
  <si>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</si>
  <si>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</si>
  <si>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</si>
  <si>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</si>
  <si>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</si>
  <si>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</si>
  <si>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</si>
  <si>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</si>
  <si>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</si>
  <si>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</si>
  <si>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</si>
  <si>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</si>
  <si>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</si>
  <si>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</si>
  <si>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</si>
  <si>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</si>
  <si>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</si>
  <si>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</si>
  <si>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</si>
  <si>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</si>
  <si>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</si>
  <si>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</si>
  <si>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</si>
  <si>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</si>
  <si>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</si>
  <si>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</si>
  <si>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</si>
  <si>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</si>
  <si>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</si>
  <si>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</si>
  <si>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</si>
  <si>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</si>
  <si>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</si>
  <si>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</si>
  <si>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</si>
  <si>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</si>
  <si>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</si>
  <si>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</si>
  <si>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</si>
  <si>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</si>
  <si>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</si>
  <si>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</si>
  <si>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</si>
  <si>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</si>
  <si>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</si>
  <si>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</si>
  <si>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</si>
  <si>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</si>
  <si>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</si>
  <si>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</si>
  <si>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</si>
  <si>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</si>
  <si>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</si>
  <si>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</si>
  <si>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</si>
  <si>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</si>
  <si>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</si>
  <si>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</si>
  <si>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</si>
  <si>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</si>
  <si>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</si>
  <si>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</si>
  <si>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</si>
  <si>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</si>
  <si>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</si>
  <si>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</si>
  <si>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</si>
  <si>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</si>
  <si>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</si>
  <si>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</si>
  <si>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</si>
  <si>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</si>
  <si>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</si>
  <si>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</si>
  <si>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</si>
  <si>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</si>
  <si>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</si>
  <si>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</si>
  <si>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</si>
  <si>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</si>
  <si>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</si>
  <si>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</si>
  <si>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</si>
  <si>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</si>
  <si>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</si>
  <si>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</si>
  <si>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</si>
  <si>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</si>
  <si>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</si>
  <si>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</si>
  <si>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</si>
  <si>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</si>
  <si>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</si>
  <si>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</si>
  <si>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</si>
  <si>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</si>
  <si>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</si>
  <si>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</si>
  <si>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</si>
  <si>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</si>
  <si>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</si>
  <si>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</si>
  <si>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</si>
  <si>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</si>
  <si>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</si>
  <si>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</si>
  <si>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</si>
  <si>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</si>
  <si>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</si>
  <si>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</si>
  <si>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</si>
  <si>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</si>
  <si>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</si>
  <si>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</si>
  <si>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</si>
  <si>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</si>
  <si>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</si>
  <si>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</si>
  <si>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</si>
  <si>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</si>
  <si>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</si>
  <si>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</si>
  <si>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</si>
  <si>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</si>
  <si>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</si>
  <si>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</si>
  <si>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</si>
  <si>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</si>
  <si>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</si>
  <si>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</si>
  <si>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</si>
  <si>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</si>
  <si>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</si>
  <si>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</si>
  <si>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</si>
  <si>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</si>
  <si>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</si>
  <si>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</si>
  <si>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</si>
  <si>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</si>
  <si>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</si>
  <si>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</si>
  <si>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</si>
  <si>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</si>
  <si>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</si>
  <si>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</si>
  <si>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</si>
  <si>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</si>
  <si>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</si>
  <si>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</si>
  <si>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</si>
  <si>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</si>
  <si>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</si>
  <si>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</si>
  <si>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</si>
  <si>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</si>
  <si>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</si>
  <si>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</si>
  <si>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</si>
  <si>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</si>
  <si>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</si>
  <si>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</si>
  <si>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</si>
  <si>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</si>
  <si>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</si>
  <si>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</si>
  <si>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</si>
  <si>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</si>
  <si>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</si>
  <si>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</si>
  <si>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</si>
  <si>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</si>
  <si>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</si>
  <si>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</si>
  <si>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</si>
  <si>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</si>
  <si>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</si>
  <si>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</si>
  <si>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</si>
  <si>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</si>
  <si>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</si>
  <si>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</si>
  <si>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</si>
  <si>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</si>
  <si>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</si>
  <si>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</si>
  <si>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</si>
  <si>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</si>
  <si>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</si>
  <si>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</si>
  <si>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</si>
  <si>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</si>
  <si>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</si>
  <si>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</si>
  <si>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</si>
  <si>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</si>
  <si>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</si>
  <si>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</si>
  <si>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</si>
  <si>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</si>
  <si>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</si>
  <si>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</si>
  <si>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</si>
  <si>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</si>
  <si>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</si>
  <si>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</si>
  <si>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</si>
  <si>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</si>
  <si>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</si>
  <si>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</si>
  <si>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</si>
  <si>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</si>
  <si>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</si>
  <si>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</si>
  <si>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</si>
  <si>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</si>
  <si>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</si>
  <si>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</si>
  <si>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</si>
  <si>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</si>
  <si>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</si>
  <si>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</si>
  <si>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</si>
  <si>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</si>
  <si>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</si>
  <si>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</si>
  <si>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</si>
  <si>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</si>
  <si>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</si>
  <si>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</si>
  <si>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</si>
  <si>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</si>
  <si>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</si>
  <si>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</si>
  <si>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</si>
  <si>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</si>
  <si>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</si>
  <si>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</si>
  <si>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</si>
  <si>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</si>
  <si>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</si>
  <si>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</si>
  <si>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</si>
  <si>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</si>
  <si>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</si>
  <si>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</si>
  <si>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</si>
  <si>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</si>
  <si>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</si>
  <si>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</si>
  <si>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</si>
  <si>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</si>
  <si>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</si>
  <si>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</si>
  <si>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</si>
  <si>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</si>
  <si>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</si>
  <si>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</si>
  <si>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</si>
  <si>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</si>
  <si>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</si>
  <si>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</si>
  <si>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</si>
  <si>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</si>
  <si>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</si>
  <si>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</si>
  <si>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</si>
  <si>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</si>
  <si>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</si>
  <si>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</si>
  <si>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</si>
  <si>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</si>
  <si>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</si>
  <si>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</si>
  <si>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</si>
  <si>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</si>
  <si>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</si>
  <si>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</si>
  <si>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</si>
  <si>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</si>
  <si>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</si>
  <si>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</si>
  <si>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</si>
  <si>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</si>
  <si>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</si>
  <si>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</si>
  <si>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</si>
  <si>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</si>
  <si>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</si>
  <si>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</si>
  <si>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</si>
  <si>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</si>
  <si>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</si>
  <si>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</si>
  <si>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</si>
  <si>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</si>
  <si>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</si>
  <si>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</si>
  <si>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</si>
  <si>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</si>
  <si>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</si>
  <si>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</si>
  <si>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</si>
  <si>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</si>
  <si>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</si>
  <si>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</si>
  <si>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</si>
  <si>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</si>
  <si>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</si>
  <si>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</si>
  <si>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</si>
  <si>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</si>
  <si>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</si>
  <si>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</si>
  <si>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</si>
  <si>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</si>
  <si>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</si>
  <si>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</si>
  <si>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</si>
  <si>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</si>
  <si>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</si>
  <si>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</si>
  <si>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</si>
  <si>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</si>
  <si>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</si>
  <si>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</si>
  <si>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</si>
  <si>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</si>
  <si>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</si>
  <si>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</si>
  <si>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</si>
  <si>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</si>
  <si>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</si>
  <si>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</si>
  <si>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</si>
  <si>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</si>
  <si>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</si>
  <si>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</si>
  <si>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</si>
  <si>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</si>
  <si>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</si>
  <si>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</si>
  <si>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</si>
  <si>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</si>
  <si>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</si>
  <si>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</si>
  <si>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</si>
  <si>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</si>
  <si>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</si>
  <si>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</si>
  <si>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</si>
  <si>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</si>
  <si>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</si>
  <si>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</si>
  <si>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</si>
  <si>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</si>
  <si>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</si>
  <si>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</si>
  <si>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</si>
  <si>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</si>
  <si>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</si>
  <si>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</si>
  <si>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</si>
  <si>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</si>
  <si>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</si>
  <si>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</si>
  <si>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</si>
  <si>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</si>
  <si>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</si>
  <si>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</si>
  <si>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</si>
  <si>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</si>
  <si>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</si>
  <si>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</si>
  <si>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</si>
  <si>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</si>
  <si>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</si>
  <si>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</si>
  <si>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</si>
  <si>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</si>
  <si>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</si>
  <si>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</si>
  <si>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</si>
  <si>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</si>
  <si>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</si>
  <si>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</si>
  <si>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</si>
  <si>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</si>
  <si>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</si>
  <si>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</si>
  <si>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</si>
  <si>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</si>
  <si>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</si>
  <si>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</si>
  <si>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</si>
  <si>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</si>
  <si>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</si>
  <si>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</si>
  <si>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</si>
  <si>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</si>
  <si>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</si>
  <si>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</si>
  <si>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</si>
  <si>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</si>
  <si>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</si>
  <si>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</si>
  <si>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</si>
  <si>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</si>
  <si>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</si>
  <si>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</si>
  <si>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</si>
  <si>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</si>
  <si>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</si>
  <si>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</si>
  <si>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</si>
  <si>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</si>
  <si>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</si>
  <si>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</si>
  <si>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</si>
  <si>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</si>
  <si>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</si>
  <si>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</si>
  <si>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</si>
  <si>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</si>
  <si>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</si>
  <si>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</si>
  <si>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</si>
  <si>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</si>
  <si>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</si>
  <si>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</si>
  <si>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</si>
  <si>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</si>
  <si>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</si>
  <si>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</si>
  <si>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</si>
  <si>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</si>
  <si>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</si>
  <si>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</si>
  <si>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</si>
  <si>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</si>
  <si>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</si>
  <si>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</si>
  <si>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</si>
  <si>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</si>
  <si>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</si>
  <si>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</si>
  <si>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</si>
  <si>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</si>
  <si>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</si>
  <si>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</si>
  <si>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</si>
  <si>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</si>
  <si>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</si>
  <si>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</si>
  <si>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</si>
  <si>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</si>
  <si>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</si>
  <si>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</si>
  <si>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</si>
  <si>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</si>
  <si>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</si>
  <si>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</si>
  <si>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</si>
  <si>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</si>
  <si>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</si>
  <si>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</si>
  <si>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</si>
  <si>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</si>
  <si>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</si>
  <si>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</si>
  <si>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</si>
  <si>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</si>
  <si>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</si>
  <si>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</si>
  <si>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</si>
  <si>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</si>
  <si>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</si>
  <si>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</si>
  <si>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</si>
  <si>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</si>
  <si>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</si>
  <si>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</si>
  <si>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</si>
  <si>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</si>
  <si>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</si>
  <si>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</si>
  <si>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</si>
  <si>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</si>
  <si>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</si>
  <si>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</si>
  <si>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</si>
  <si>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</si>
  <si>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</si>
  <si>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</si>
  <si>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</si>
  <si>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</si>
  <si>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</si>
  <si>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</si>
  <si>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</si>
  <si>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</si>
  <si>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</si>
  <si>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</si>
  <si>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</si>
  <si>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</si>
  <si>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</si>
  <si>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</si>
  <si>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</si>
  <si>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</si>
  <si>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</si>
  <si>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</si>
  <si>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</si>
  <si>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</si>
  <si>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</si>
  <si>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</si>
  <si>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</si>
  <si>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</si>
  <si>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</si>
  <si>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</si>
  <si>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</si>
  <si>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</si>
  <si>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</si>
  <si>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</si>
  <si>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</si>
  <si>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</si>
  <si>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</si>
  <si>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</si>
  <si>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</si>
  <si>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</si>
  <si>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</si>
  <si>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</si>
  <si>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</si>
  <si>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</si>
  <si>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</si>
  <si>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</si>
  <si>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</si>
  <si>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</si>
  <si>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</si>
  <si>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</si>
  <si>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</si>
  <si>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</si>
  <si>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</si>
  <si>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</si>
  <si>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</si>
  <si>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</si>
  <si>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</si>
  <si>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</si>
  <si>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</si>
  <si>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</si>
  <si>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</si>
  <si>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</si>
  <si>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</si>
  <si>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</si>
  <si>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</si>
  <si>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</si>
  <si>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</si>
  <si>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</si>
  <si>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</si>
  <si>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</si>
  <si>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</si>
  <si>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</si>
  <si>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</si>
  <si>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</si>
  <si>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</si>
  <si>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</si>
  <si>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</si>
  <si>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</si>
  <si>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</si>
  <si>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</si>
  <si>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</si>
  <si>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</si>
  <si>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</si>
  <si>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</si>
  <si>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</si>
  <si>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</si>
  <si>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</si>
  <si>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</si>
  <si>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</si>
  <si>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</si>
  <si>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</si>
  <si>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</si>
  <si>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</si>
  <si>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</si>
  <si>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</si>
  <si>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</si>
  <si>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</si>
  <si>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</si>
  <si>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</si>
  <si>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</si>
  <si>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</si>
  <si>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</si>
  <si>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</si>
  <si>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</si>
  <si>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</si>
  <si>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</si>
  <si>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</si>
  <si>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</si>
  <si>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</si>
  <si>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</si>
  <si>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</si>
  <si>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</si>
  <si>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</si>
  <si>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</si>
  <si>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</si>
  <si>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</si>
  <si>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</si>
  <si>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</si>
  <si>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</si>
  <si>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</si>
  <si>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</si>
  <si>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</si>
  <si>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</si>
  <si>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</si>
  <si>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</si>
  <si>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</si>
  <si>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</si>
  <si>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</si>
  <si>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</si>
  <si>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</si>
  <si>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</si>
  <si>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</si>
  <si>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</si>
  <si>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</si>
  <si>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</si>
  <si>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</si>
  <si>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</si>
  <si>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</si>
  <si>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</si>
  <si>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</si>
  <si>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</si>
  <si>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</si>
  <si>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</si>
  <si>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</si>
  <si>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</si>
  <si>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</si>
  <si>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</si>
  <si>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</si>
  <si>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</si>
  <si>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</si>
  <si>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</si>
  <si>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</si>
  <si>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</si>
  <si>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</si>
  <si>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</si>
  <si>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</si>
  <si>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</si>
  <si>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</si>
  <si>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</si>
  <si>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</si>
  <si>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</si>
  <si>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</si>
  <si>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</si>
  <si>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</si>
  <si>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</si>
  <si>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</si>
  <si>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</si>
  <si>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</si>
  <si>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</si>
  <si>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</si>
  <si>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</si>
  <si>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</si>
  <si>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</si>
  <si>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</si>
  <si>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</si>
  <si>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</si>
  <si>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</si>
  <si>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</si>
  <si>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</si>
  <si>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</si>
  <si>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</si>
  <si>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</si>
  <si>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</si>
  <si>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</si>
  <si>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</si>
  <si>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</si>
  <si>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</si>
  <si>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</si>
  <si>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</si>
  <si>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</si>
  <si>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</si>
  <si>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</si>
  <si>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</si>
  <si>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</si>
  <si>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</si>
  <si>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</si>
  <si>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</si>
  <si>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</si>
  <si>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</si>
  <si>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</si>
  <si>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</si>
  <si>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</si>
  <si>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</si>
  <si>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</si>
  <si>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</si>
  <si>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</si>
  <si>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</si>
  <si>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</si>
  <si>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</si>
  <si>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</si>
  <si>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</si>
  <si>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</si>
  <si>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</si>
  <si>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</si>
  <si>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</si>
  <si>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</si>
  <si>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</si>
  <si>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</si>
  <si>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</si>
  <si>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</si>
  <si>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</si>
  <si>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</si>
  <si>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</si>
  <si>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</si>
  <si>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</si>
  <si>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</si>
  <si>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</si>
  <si>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</si>
  <si>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</si>
  <si>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</si>
  <si>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</si>
  <si>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</si>
  <si>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</si>
  <si>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</si>
  <si>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</si>
  <si>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</si>
  <si>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</si>
  <si>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</si>
  <si>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</si>
  <si>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</si>
  <si>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</si>
  <si>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</si>
  <si>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</si>
  <si>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</si>
  <si>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</si>
  <si>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</si>
  <si>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</si>
  <si>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</si>
  <si>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</si>
  <si>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</si>
  <si>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</si>
  <si>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</si>
  <si>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</si>
  <si>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</si>
  <si>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</si>
  <si>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</si>
  <si>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</si>
  <si>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</si>
  <si>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</si>
  <si>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</si>
  <si>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</si>
  <si>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</si>
  <si>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</si>
  <si>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</si>
  <si>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</si>
  <si>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</si>
  <si>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</si>
  <si>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</si>
  <si>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</si>
  <si>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</si>
  <si>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</si>
  <si>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</si>
  <si>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</si>
  <si>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</si>
  <si>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</si>
  <si>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</si>
  <si>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</si>
  <si>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</si>
  <si>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</si>
  <si>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</si>
  <si>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</si>
  <si>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</si>
  <si>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</si>
  <si>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</si>
  <si>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</si>
  <si>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</si>
  <si>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</si>
  <si>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</si>
  <si>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</si>
  <si>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</si>
  <si>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</si>
  <si>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</si>
  <si>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</si>
  <si>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</si>
  <si>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</si>
  <si>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</si>
  <si>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</si>
  <si>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</si>
  <si>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</si>
  <si>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</si>
  <si>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</si>
  <si>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</si>
  <si>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</si>
  <si>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</si>
  <si>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</si>
  <si>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</si>
  <si>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</si>
  <si>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</si>
  <si>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</si>
  <si>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</si>
  <si>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</si>
  <si>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</si>
  <si>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</si>
  <si>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</si>
  <si>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</si>
  <si>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</si>
  <si>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</si>
  <si>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</si>
  <si>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</si>
  <si>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</si>
  <si>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</si>
  <si>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</si>
  <si>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</si>
  <si>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</si>
  <si>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</si>
  <si>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</si>
  <si>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</si>
  <si>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</si>
  <si>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</si>
  <si>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</si>
  <si>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</si>
  <si>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</si>
  <si>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</si>
  <si>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</si>
  <si>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</si>
  <si>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</si>
  <si>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</si>
  <si>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</si>
  <si>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</si>
  <si>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</si>
  <si>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</si>
  <si>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</si>
  <si>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</si>
  <si>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</si>
  <si>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</si>
  <si>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</si>
  <si>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</si>
  <si>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</si>
  <si>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</si>
  <si>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</si>
  <si>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</si>
  <si>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</si>
  <si>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</si>
  <si>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</si>
  <si>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</si>
  <si>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</si>
  <si>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</si>
  <si>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</si>
  <si>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</si>
  <si>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</si>
  <si>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</si>
  <si>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</si>
  <si>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</si>
  <si>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</si>
  <si>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</si>
  <si>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</si>
  <si>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</si>
  <si>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</si>
  <si>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</si>
  <si>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</si>
  <si>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</si>
  <si>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</si>
  <si>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</si>
  <si>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</si>
  <si>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</si>
  <si>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</si>
  <si>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</si>
  <si>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</si>
  <si>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</si>
  <si>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</si>
  <si>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</si>
  <si>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</si>
  <si>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</si>
  <si>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</si>
  <si>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</si>
  <si>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</si>
  <si>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</si>
  <si>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</si>
  <si>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</si>
  <si>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</si>
  <si>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</si>
  <si>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</si>
  <si>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</si>
  <si>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</si>
  <si>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</si>
  <si>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</si>
  <si>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</si>
  <si>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</si>
  <si>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</si>
  <si>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</si>
  <si>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</si>
  <si>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</si>
  <si>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</si>
  <si>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</si>
  <si>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</si>
  <si>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</si>
  <si>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</si>
  <si>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</si>
  <si>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</si>
  <si>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</si>
  <si>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</si>
  <si>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</si>
  <si>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</si>
  <si>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</si>
  <si>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</si>
  <si>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</si>
  <si>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</si>
  <si>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</si>
  <si>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</si>
  <si>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</si>
  <si>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</si>
  <si>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</si>
  <si>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</si>
  <si>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</si>
  <si>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</si>
  <si>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</si>
  <si>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</si>
  <si>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</si>
  <si>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</si>
  <si>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</si>
  <si>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</si>
  <si>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</si>
  <si>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</si>
  <si>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</si>
  <si>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</si>
  <si>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</si>
  <si>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</si>
  <si>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</si>
  <si>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</si>
  <si>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</si>
  <si>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</si>
  <si>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</si>
  <si>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</si>
  <si>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</si>
  <si>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</si>
  <si>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</si>
  <si>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</si>
  <si>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</si>
  <si>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</si>
  <si>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</si>
  <si>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</si>
  <si>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</si>
  <si>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</si>
  <si>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</si>
  <si>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</si>
  <si>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</si>
  <si>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</si>
  <si>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</si>
  <si>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</si>
  <si>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</si>
  <si>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</si>
  <si>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</si>
  <si>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</si>
  <si>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</si>
  <si>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</si>
  <si>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</si>
  <si>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</si>
  <si>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</si>
  <si>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</si>
  <si>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</si>
  <si>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</si>
  <si>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</si>
  <si>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</si>
  <si>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</si>
  <si>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</si>
  <si>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</si>
  <si>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</si>
  <si>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</si>
  <si>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</si>
  <si>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</si>
  <si>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</si>
  <si>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</si>
  <si>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</si>
  <si>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</si>
  <si>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</si>
  <si>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</si>
  <si>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</si>
  <si>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</si>
  <si>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</si>
  <si>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</si>
  <si>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</si>
  <si>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</si>
  <si>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</si>
  <si>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</si>
  <si>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</si>
  <si>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</si>
  <si>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</si>
  <si>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</si>
  <si>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</si>
  <si>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</si>
  <si>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</si>
  <si>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</si>
  <si>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</si>
  <si>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</si>
  <si>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</si>
  <si>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</si>
  <si>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</si>
  <si>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</si>
  <si>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</si>
  <si>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</si>
  <si>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</si>
  <si>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</si>
  <si>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</si>
  <si>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</si>
  <si>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</si>
  <si>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</si>
  <si>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</si>
  <si>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</si>
  <si>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</si>
  <si>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</si>
  <si>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</si>
  <si>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</si>
  <si>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</si>
  <si>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</si>
  <si>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</si>
  <si>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</si>
  <si>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</si>
  <si>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</si>
  <si>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</si>
  <si>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</si>
  <si>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</si>
  <si>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</si>
  <si>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</si>
  <si>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</si>
  <si>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</si>
  <si>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</si>
  <si>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</si>
  <si>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</si>
  <si>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</si>
  <si>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</si>
  <si>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</si>
  <si>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</si>
  <si>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</si>
  <si>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</si>
  <si>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</si>
  <si>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</si>
  <si>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</si>
  <si>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</si>
  <si>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</si>
  <si>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</si>
  <si>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</si>
  <si>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</si>
  <si>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</si>
  <si>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</si>
  <si>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</si>
  <si>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</si>
  <si>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</si>
  <si>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</si>
  <si>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</si>
  <si>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</si>
  <si>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</si>
  <si>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</si>
  <si>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</si>
  <si>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</si>
  <si>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</si>
  <si>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</si>
  <si>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</si>
  <si>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</si>
  <si>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</si>
  <si>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</si>
  <si>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</si>
  <si>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</si>
  <si>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</si>
  <si>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</si>
  <si>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</si>
  <si>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</si>
  <si>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</si>
  <si>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</si>
  <si>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</si>
  <si>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</si>
  <si>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</si>
  <si>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</si>
  <si>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</si>
  <si>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</si>
  <si>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</si>
  <si>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</si>
  <si>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</si>
  <si>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</si>
  <si>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</si>
  <si>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</si>
  <si>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</si>
  <si>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</si>
  <si>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</si>
  <si>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</si>
  <si>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</si>
  <si>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</si>
  <si>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</si>
  <si>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</si>
  <si>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</si>
  <si>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</si>
  <si>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</si>
  <si>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</si>
  <si>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</si>
  <si>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</si>
  <si>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</si>
  <si>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</si>
  <si>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</si>
  <si>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</si>
  <si>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</si>
  <si>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</si>
  <si>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</si>
  <si>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</si>
  <si>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</si>
  <si>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</si>
  <si>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</si>
  <si>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</si>
  <si>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</si>
  <si>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</si>
  <si>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</si>
  <si>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</si>
  <si>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</si>
  <si>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</si>
  <si>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</si>
  <si>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</si>
  <si>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</si>
  <si>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</si>
  <si>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</si>
  <si>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</si>
  <si>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</si>
  <si>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</si>
  <si>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</si>
  <si>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</si>
  <si>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</si>
  <si>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</si>
  <si>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</si>
  <si>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</si>
  <si>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</si>
  <si>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</si>
  <si>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</si>
  <si>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</si>
  <si>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</si>
  <si>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</si>
  <si>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</si>
  <si>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</si>
  <si>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</si>
  <si>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</si>
  <si>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</si>
  <si>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</si>
  <si>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</si>
  <si>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</si>
  <si>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</si>
  <si>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</si>
  <si>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</si>
  <si>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</si>
  <si>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</si>
  <si>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</si>
  <si>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</si>
  <si>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</si>
  <si>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</si>
  <si>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</si>
  <si>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</si>
  <si>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</si>
  <si>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</si>
  <si>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</si>
  <si>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</si>
  <si>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</si>
  <si>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</si>
  <si>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</si>
  <si>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</si>
  <si>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</si>
  <si>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</si>
  <si>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</si>
  <si>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</si>
  <si>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</si>
  <si>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</si>
  <si>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</si>
  <si>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</si>
  <si>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</si>
  <si>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</si>
  <si>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</si>
  <si>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</si>
  <si>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</si>
  <si>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</si>
  <si>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</si>
  <si>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</si>
  <si>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</si>
  <si>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</si>
  <si>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</si>
  <si>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</si>
  <si>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</si>
  <si>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</si>
  <si>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</si>
  <si>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</si>
  <si>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</si>
  <si>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</si>
  <si>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</si>
  <si>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</si>
  <si>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</si>
  <si>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</si>
  <si>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</si>
  <si>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</si>
  <si>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</si>
  <si>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</si>
  <si>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</si>
  <si>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</si>
  <si>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</si>
  <si>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</si>
  <si>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</si>
  <si>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</si>
  <si>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</si>
  <si>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</si>
  <si>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</si>
  <si>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</si>
  <si>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</si>
  <si>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</si>
  <si>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</si>
  <si>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</si>
  <si>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</si>
  <si>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</si>
  <si>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</si>
  <si>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</si>
  <si>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</si>
  <si>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</si>
  <si>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</si>
  <si>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</si>
  <si>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</si>
  <si>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</si>
  <si>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</si>
  <si>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</si>
  <si>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</si>
  <si>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</si>
  <si>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</si>
  <si>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</si>
  <si>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</si>
  <si>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</si>
  <si>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</si>
  <si>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</si>
  <si>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</si>
  <si>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</si>
  <si>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</si>
  <si>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</si>
  <si>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</si>
  <si>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</si>
  <si>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</si>
  <si>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</si>
  <si>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</si>
  <si>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</si>
  <si>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</si>
  <si>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</si>
  <si>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</si>
  <si>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</si>
  <si>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</si>
  <si>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</si>
  <si>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</si>
  <si>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</si>
  <si>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</si>
  <si>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</si>
  <si>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</si>
  <si>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</si>
  <si>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</si>
  <si>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</si>
  <si>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</si>
  <si>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</si>
  <si>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</si>
  <si>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</si>
  <si>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</si>
  <si>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</si>
  <si>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</si>
  <si>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</si>
  <si>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</si>
  <si>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</si>
  <si>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</si>
  <si>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</si>
  <si>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</si>
  <si>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</si>
  <si>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</si>
  <si>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</si>
  <si>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</si>
  <si>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</si>
  <si>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</si>
  <si>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</si>
  <si>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</si>
  <si>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</si>
  <si>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</si>
  <si>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</si>
  <si>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</si>
  <si>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</si>
  <si>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</si>
  <si>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</si>
  <si>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</si>
  <si>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</si>
  <si>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</si>
  <si>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</si>
  <si>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</si>
  <si>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</si>
  <si>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</si>
  <si>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</si>
  <si>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</si>
  <si>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</si>
  <si>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</si>
  <si>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</si>
  <si>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</si>
  <si>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</si>
  <si>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</si>
  <si>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</si>
  <si>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</si>
  <si>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</si>
  <si>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</si>
  <si>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</si>
  <si>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</si>
  <si>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</si>
  <si>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</si>
  <si>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</si>
  <si>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</si>
  <si>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</si>
  <si>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</si>
  <si>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</si>
  <si>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</si>
  <si>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</si>
  <si>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</si>
  <si>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</si>
  <si>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</si>
  <si>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</si>
  <si>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</si>
  <si>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</si>
  <si>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</si>
  <si>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</si>
  <si>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</si>
  <si>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</si>
  <si>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</si>
  <si>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</si>
  <si>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</si>
  <si>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</si>
  <si>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</si>
  <si>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</si>
  <si>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</si>
  <si>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</si>
  <si>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</si>
  <si>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</si>
  <si>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</si>
  <si>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</si>
  <si>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</si>
  <si>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</si>
  <si>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</si>
  <si>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</si>
  <si>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</si>
  <si>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</si>
  <si>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</si>
  <si>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</si>
  <si>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</si>
  <si>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</si>
  <si>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</si>
  <si>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</si>
  <si>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</si>
  <si>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</si>
  <si>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</si>
  <si>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</si>
  <si>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</si>
  <si>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</si>
  <si>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</si>
  <si>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</si>
  <si>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</si>
  <si>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</si>
  <si>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</si>
  <si>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</si>
  <si>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</si>
  <si>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</si>
  <si>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</si>
  <si>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</si>
  <si>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</si>
  <si>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</si>
  <si>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</si>
  <si>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</si>
  <si>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</si>
  <si>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</si>
  <si>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</si>
  <si>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</si>
  <si>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</si>
  <si>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</si>
  <si>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</si>
  <si>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</si>
  <si>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</si>
  <si>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</si>
  <si>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</si>
  <si>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</si>
  <si>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</si>
  <si>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</si>
  <si>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</si>
  <si>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</si>
  <si>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</si>
  <si>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</si>
  <si>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</si>
  <si>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</si>
  <si>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</si>
  <si>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</si>
  <si>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</si>
  <si>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</si>
  <si>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</si>
  <si>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</si>
  <si>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</si>
  <si>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</si>
  <si>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</si>
  <si>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</si>
  <si>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</si>
  <si>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</si>
  <si>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</si>
  <si>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</si>
  <si>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</si>
  <si>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</si>
  <si>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</si>
  <si>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</si>
  <si>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</si>
  <si>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</si>
  <si>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</si>
  <si>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</si>
  <si>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</si>
  <si>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</si>
  <si>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</si>
  <si>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</si>
  <si>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</si>
  <si>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</si>
  <si>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</si>
  <si>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</si>
  <si>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</si>
  <si>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</si>
  <si>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</si>
  <si>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</si>
  <si>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</si>
  <si>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</si>
  <si>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</si>
  <si>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</si>
  <si>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</si>
  <si>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</si>
  <si>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</si>
  <si>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</si>
  <si>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</si>
  <si>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</si>
  <si>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</si>
  <si>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</si>
  <si>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</si>
  <si>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</si>
  <si>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</si>
  <si>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</si>
  <si>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</si>
  <si>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</si>
  <si>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</si>
  <si>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</si>
  <si>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</si>
  <si>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</si>
  <si>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</si>
  <si>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</si>
  <si>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</si>
  <si>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</si>
  <si>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</si>
  <si>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</si>
  <si>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</si>
  <si>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</si>
  <si>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</si>
  <si>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</si>
  <si>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</si>
  <si>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</si>
  <si>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</si>
  <si>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</si>
  <si>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</si>
  <si>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</si>
  <si>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</si>
  <si>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</si>
  <si>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</si>
  <si>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</si>
  <si>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</si>
  <si>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</si>
  <si>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</si>
  <si>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</si>
  <si>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</si>
  <si>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</si>
  <si>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</si>
  <si>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</si>
  <si>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</si>
  <si>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</si>
  <si>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</si>
  <si>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</si>
  <si>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</si>
  <si>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</si>
  <si>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</si>
  <si>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</si>
  <si>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</si>
  <si>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</si>
  <si>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</si>
  <si>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</si>
  <si>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</si>
  <si>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</si>
  <si>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</si>
  <si>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</si>
  <si>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</si>
  <si>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</si>
  <si>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</si>
  <si>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</si>
  <si>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</si>
  <si>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</si>
  <si>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</si>
  <si>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</si>
  <si>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</si>
  <si>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</si>
  <si>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</si>
  <si>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</si>
  <si>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</si>
  <si>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</si>
  <si>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</si>
  <si>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</si>
  <si>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</si>
  <si>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</si>
  <si>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</si>
  <si>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</si>
  <si>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</si>
  <si>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</si>
  <si>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</si>
  <si>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</si>
  <si>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</si>
  <si>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</si>
  <si>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</si>
  <si>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</si>
  <si>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</si>
  <si>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</si>
  <si>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</si>
  <si>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</si>
  <si>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</si>
  <si>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</si>
  <si>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</si>
  <si>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</si>
  <si>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</si>
  <si>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</si>
  <si>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</si>
  <si>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</si>
  <si>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</si>
  <si>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</si>
  <si>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</si>
  <si>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</si>
  <si>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</si>
  <si>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</si>
  <si>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</si>
  <si>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</si>
  <si>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</si>
  <si>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</si>
  <si>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</si>
  <si>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</si>
  <si>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</si>
  <si>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</si>
  <si>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</si>
  <si>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</si>
  <si>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</si>
  <si>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</si>
  <si>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</si>
  <si>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</si>
  <si>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</si>
  <si>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</si>
  <si>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</si>
  <si>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</si>
  <si>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</si>
  <si>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</si>
  <si>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</si>
  <si>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</si>
  <si>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</si>
  <si>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</si>
  <si>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</si>
  <si>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</si>
  <si>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</si>
  <si>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</si>
  <si>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</si>
  <si>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</si>
  <si>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</si>
  <si>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</si>
  <si>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</si>
  <si>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</si>
  <si>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</si>
  <si>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</si>
  <si>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</si>
  <si>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</si>
  <si>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</si>
  <si>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</si>
  <si>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</si>
  <si>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</si>
  <si>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</si>
  <si>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</si>
  <si>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</si>
  <si>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</si>
  <si>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</si>
  <si>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</si>
  <si>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</si>
  <si>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</si>
  <si>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</si>
  <si>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</si>
  <si>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</si>
  <si>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</si>
  <si>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</si>
  <si>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</si>
  <si>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</si>
  <si>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</si>
  <si>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</si>
  <si>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</si>
  <si>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</si>
  <si>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</si>
  <si>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</si>
  <si>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</si>
  <si>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</si>
  <si>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</si>
  <si>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</si>
  <si>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</si>
  <si>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</si>
  <si>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</si>
  <si>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</si>
  <si>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</si>
  <si>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</si>
  <si>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</si>
  <si>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</si>
  <si>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</si>
  <si>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</si>
  <si>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</si>
  <si>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</si>
  <si>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</si>
  <si>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</si>
  <si>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</si>
  <si>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</si>
  <si>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</si>
  <si>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</si>
  <si>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</si>
  <si>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</si>
  <si>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</si>
  <si>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</si>
  <si>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</si>
  <si>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</si>
  <si>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</si>
  <si>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</si>
  <si>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</si>
  <si>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</si>
  <si>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</si>
  <si>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</si>
  <si>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</si>
  <si>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</si>
  <si>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</si>
  <si>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</si>
  <si>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</si>
  <si>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</si>
  <si>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</si>
  <si>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</si>
  <si>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</si>
  <si>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</si>
  <si>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</si>
  <si>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</si>
  <si>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</si>
  <si>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</si>
  <si>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</si>
  <si>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</si>
  <si>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</si>
  <si>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</si>
  <si>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</si>
  <si>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</si>
  <si>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</si>
  <si>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</si>
  <si>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</si>
  <si>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</si>
  <si>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</si>
  <si>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</si>
  <si>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</si>
  <si>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</si>
  <si>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</si>
  <si>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</si>
  <si>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</si>
  <si>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</si>
  <si>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</si>
  <si>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</si>
  <si>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</si>
  <si>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</si>
  <si>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</si>
  <si>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</si>
  <si>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</si>
  <si>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</si>
  <si>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</si>
  <si>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</si>
  <si>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</si>
  <si>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</si>
  <si>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</si>
  <si>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</si>
  <si>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</si>
  <si>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</si>
  <si>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</si>
  <si>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</si>
  <si>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</si>
  <si>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</si>
  <si>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</si>
  <si>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</si>
  <si>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</si>
  <si>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</si>
  <si>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</si>
  <si>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</si>
  <si>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</si>
  <si>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</si>
  <si>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</si>
  <si>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</si>
  <si>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</si>
  <si>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</si>
  <si>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</si>
  <si>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</si>
  <si>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</si>
  <si>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</si>
  <si>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</si>
  <si>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</si>
  <si>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</si>
  <si>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</si>
  <si>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</si>
  <si>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</si>
  <si>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</si>
  <si>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</si>
  <si>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</si>
  <si>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</si>
  <si>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</si>
  <si>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</si>
  <si>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</si>
  <si>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</si>
  <si>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</si>
  <si>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</si>
  <si>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</si>
  <si>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</si>
  <si>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</si>
  <si>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</si>
  <si>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</si>
  <si>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</si>
  <si>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</si>
  <si>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</si>
  <si>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</si>
  <si>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</si>
  <si>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</si>
  <si>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</si>
  <si>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</si>
  <si>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</si>
  <si>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</si>
  <si>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</si>
  <si>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</si>
  <si>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</si>
  <si>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</si>
  <si>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</si>
  <si>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</si>
  <si>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</si>
  <si>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</si>
  <si>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</si>
  <si>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</si>
  <si>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</si>
  <si>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</si>
  <si>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</si>
  <si>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</si>
  <si>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</si>
  <si>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</si>
  <si>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</si>
  <si>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</si>
  <si>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</si>
  <si>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</si>
  <si>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</si>
  <si>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</si>
  <si>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</si>
  <si>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</si>
  <si>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</si>
  <si>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</si>
  <si>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</si>
  <si>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</si>
  <si>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</si>
  <si>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</si>
  <si>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</si>
  <si>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</si>
  <si>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</si>
  <si>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</si>
  <si>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</si>
  <si>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</si>
  <si>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</si>
  <si>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</si>
  <si>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</si>
  <si>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</si>
  <si>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</si>
  <si>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</si>
  <si>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</si>
  <si>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</si>
  <si>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</si>
  <si>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</si>
  <si>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</si>
  <si>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</si>
  <si>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</si>
  <si>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</si>
  <si>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</si>
  <si>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</si>
  <si>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</si>
  <si>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</si>
  <si>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</si>
  <si>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</si>
  <si>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</si>
  <si>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</si>
  <si>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</si>
  <si>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</si>
  <si>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</si>
  <si>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</si>
  <si>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</si>
  <si>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</si>
  <si>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</si>
  <si>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</si>
  <si>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</si>
  <si>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</si>
  <si>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</si>
  <si>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</si>
  <si>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</si>
  <si>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</si>
  <si>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</si>
  <si>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</si>
  <si>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</si>
  <si>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</si>
  <si>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</si>
  <si>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</si>
  <si>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</si>
  <si>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</si>
  <si>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</si>
  <si>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</si>
  <si>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</si>
  <si>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</si>
  <si>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</si>
  <si>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</si>
  <si>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</si>
  <si>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</si>
  <si>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</si>
  <si>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</si>
  <si>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</si>
  <si>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</si>
  <si>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</si>
  <si>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</si>
  <si>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</si>
  <si>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</si>
  <si>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</si>
  <si>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</si>
  <si>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</si>
  <si>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</si>
  <si>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</si>
  <si>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</si>
  <si>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</si>
  <si>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</si>
  <si>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</si>
  <si>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</si>
  <si>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</si>
  <si>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</si>
  <si>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</si>
  <si>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</si>
  <si>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</si>
  <si>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</si>
  <si>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</si>
  <si>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</si>
  <si>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</si>
  <si>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</si>
  <si>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</si>
  <si>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</si>
  <si>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</si>
  <si>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</si>
  <si>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</si>
  <si>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</si>
  <si>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</si>
  <si>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</si>
  <si>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</si>
  <si>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</si>
  <si>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</si>
  <si>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</si>
  <si>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</si>
  <si>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</si>
  <si>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</si>
  <si>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</si>
  <si>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</si>
  <si>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</si>
  <si>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</si>
  <si>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</si>
  <si>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</si>
  <si>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</si>
  <si>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</si>
  <si>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</si>
  <si>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</si>
  <si>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</si>
  <si>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</si>
  <si>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</si>
  <si>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</si>
  <si>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</si>
  <si>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</si>
  <si>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</si>
  <si>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</si>
  <si>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</si>
  <si>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</si>
  <si>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</si>
  <si>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</si>
  <si>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</si>
  <si>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</si>
  <si>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</si>
  <si>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</si>
  <si>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</si>
  <si>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</si>
  <si>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</si>
  <si>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</si>
  <si>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</si>
  <si>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</si>
  <si>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</si>
  <si>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</si>
  <si>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</si>
  <si>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</si>
  <si>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</si>
  <si>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</si>
  <si>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</si>
  <si>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</si>
  <si>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</si>
  <si>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</si>
  <si>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</si>
  <si>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</si>
  <si>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</si>
  <si>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</si>
  <si>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</si>
  <si>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</si>
  <si>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</si>
  <si>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</si>
  <si>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</si>
  <si>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</si>
  <si>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</si>
  <si>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</si>
  <si>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</si>
  <si>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</si>
  <si>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</si>
  <si>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</si>
  <si>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</si>
  <si>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</si>
  <si>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</si>
  <si>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</si>
  <si>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</si>
  <si>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</si>
  <si>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</si>
  <si>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</si>
  <si>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</si>
  <si>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</si>
  <si>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</si>
  <si>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</si>
  <si>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</si>
  <si>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</si>
  <si>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</si>
  <si>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</si>
  <si>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</si>
  <si>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</si>
  <si>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</si>
  <si>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</si>
  <si>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</si>
  <si>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</si>
  <si>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</si>
  <si>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</si>
  <si>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</si>
  <si>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</si>
  <si>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</si>
  <si>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</si>
  <si>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</si>
  <si>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</si>
  <si>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</si>
  <si>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</si>
  <si>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</si>
  <si>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</si>
  <si>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</si>
  <si>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</si>
  <si>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</si>
  <si>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</si>
  <si>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</si>
  <si>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</si>
  <si>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</si>
  <si>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</si>
  <si>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</si>
  <si>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</si>
  <si>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</si>
  <si>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</si>
  <si>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</si>
  <si>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</si>
  <si>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</si>
  <si>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</si>
  <si>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</si>
  <si>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</si>
  <si>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</si>
  <si>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</si>
  <si>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</si>
  <si>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</si>
  <si>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</si>
  <si>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</si>
  <si>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</si>
  <si>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</si>
  <si>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</si>
  <si>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</si>
  <si>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</si>
  <si>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</si>
  <si>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</si>
  <si>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</si>
  <si>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</si>
  <si>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</si>
  <si>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</si>
  <si>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</si>
  <si>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</si>
  <si>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</si>
  <si>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</si>
  <si>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</si>
  <si>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</si>
  <si>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</si>
  <si>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</si>
  <si>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</si>
  <si>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</si>
  <si>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</si>
  <si>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</si>
  <si>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</si>
  <si>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</si>
  <si>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</si>
  <si>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</si>
  <si>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</si>
  <si>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</si>
  <si>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</si>
  <si>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</si>
  <si>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</si>
  <si>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</si>
  <si>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</si>
  <si>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</si>
  <si>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</si>
  <si>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</si>
  <si>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</si>
  <si>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</si>
  <si>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</si>
  <si>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</si>
  <si>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</si>
  <si>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</si>
  <si>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</si>
  <si>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</si>
  <si>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</si>
  <si>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</si>
  <si>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</si>
  <si>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</si>
  <si>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</si>
  <si>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</si>
  <si>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</si>
  <si>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</si>
  <si>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</si>
  <si>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</si>
  <si>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</si>
  <si>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</si>
  <si>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</si>
  <si>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</si>
  <si>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</si>
  <si>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</si>
  <si>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</si>
  <si>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</si>
  <si>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</si>
  <si>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</si>
  <si>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</si>
  <si>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</si>
  <si>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</si>
  <si>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</si>
  <si>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</si>
  <si>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</si>
  <si>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</si>
  <si>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</si>
  <si>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</si>
  <si>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</si>
  <si>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</si>
  <si>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</si>
  <si>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</si>
  <si>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</si>
  <si>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</si>
  <si>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</si>
  <si>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</si>
  <si>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</si>
  <si>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</si>
  <si>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</si>
  <si>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</si>
  <si>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</si>
  <si>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</si>
  <si>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</si>
  <si>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</si>
  <si>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</si>
  <si>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</si>
  <si>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</si>
  <si>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</si>
  <si>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</si>
  <si>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</si>
  <si>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</si>
  <si>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</si>
  <si>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</si>
  <si>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</si>
  <si>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</si>
  <si>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</si>
  <si>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</si>
  <si>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</si>
  <si>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</si>
  <si>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</si>
  <si>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</si>
  <si>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</si>
  <si>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</si>
  <si>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</si>
  <si>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</si>
  <si>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</si>
  <si>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</si>
  <si>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</si>
  <si>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</si>
  <si>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</si>
  <si>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</si>
  <si>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</si>
  <si>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</si>
  <si>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</si>
  <si>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</si>
  <si>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</si>
  <si>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</si>
  <si>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</si>
  <si>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</si>
  <si>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</si>
  <si>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</si>
  <si>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</si>
  <si>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</si>
  <si>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</si>
  <si>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</si>
  <si>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</si>
  <si>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</si>
  <si>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</si>
  <si>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</si>
  <si>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</si>
  <si>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</si>
  <si>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</si>
  <si>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</si>
  <si>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</si>
  <si>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</si>
  <si>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</si>
  <si>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</si>
  <si>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</si>
  <si>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</si>
  <si>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</si>
  <si>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</si>
  <si>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</si>
  <si>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</si>
  <si>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</si>
  <si>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</si>
  <si>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</si>
  <si>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</si>
  <si>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</si>
  <si>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</si>
  <si>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</si>
  <si>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</si>
  <si>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</si>
  <si>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</si>
  <si>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</si>
  <si>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</si>
  <si>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</si>
  <si>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</si>
  <si>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</si>
  <si>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</si>
  <si>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</si>
  <si>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</si>
  <si>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</si>
  <si>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</si>
  <si>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</si>
  <si>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</si>
  <si>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</si>
  <si>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</si>
  <si>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</si>
  <si>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</si>
  <si>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</si>
  <si>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</si>
  <si>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</si>
  <si>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</si>
  <si>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</si>
  <si>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</si>
  <si>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</si>
  <si>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</si>
  <si>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</si>
  <si>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</si>
  <si>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</si>
  <si>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</si>
  <si>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</si>
  <si>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</si>
  <si>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</si>
  <si>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</si>
  <si>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</si>
  <si>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</si>
  <si>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</si>
  <si>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</si>
  <si>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</si>
  <si>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</si>
  <si>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</si>
  <si>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</si>
  <si>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</si>
  <si>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</si>
  <si>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</si>
  <si>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</si>
  <si>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</si>
  <si>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</si>
  <si>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</si>
  <si>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</si>
  <si>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</si>
  <si>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</si>
  <si>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</si>
  <si>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</si>
  <si>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</si>
  <si>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</si>
  <si>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</si>
  <si>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</si>
  <si>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</si>
  <si>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</si>
  <si>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</si>
  <si>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</si>
  <si>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</si>
  <si>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</si>
  <si>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</si>
  <si>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</si>
  <si>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</si>
  <si>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</si>
  <si>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</si>
  <si>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</si>
  <si>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</si>
  <si>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</si>
  <si>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</si>
  <si>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</si>
  <si>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</si>
  <si>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</si>
  <si>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</si>
  <si>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</si>
  <si>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</si>
  <si>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</si>
  <si>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</si>
  <si>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</si>
  <si>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</si>
  <si>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</si>
  <si>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</si>
  <si>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</si>
  <si>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</si>
  <si>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</si>
  <si>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</si>
  <si>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</si>
  <si>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</si>
  <si>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</si>
  <si>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</si>
  <si>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</si>
  <si>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</si>
  <si>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</si>
  <si>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</si>
  <si>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</si>
  <si>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</si>
  <si>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</si>
  <si>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</si>
  <si>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</si>
  <si>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</si>
  <si>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</si>
  <si>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</si>
  <si>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</si>
  <si>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</si>
  <si>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</si>
  <si>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</si>
  <si>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</si>
  <si>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</si>
  <si>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</si>
  <si>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</si>
  <si>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</si>
  <si>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</si>
  <si>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</si>
  <si>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</si>
  <si>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</si>
  <si>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</si>
  <si>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</si>
  <si>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</si>
  <si>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</si>
  <si>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</si>
  <si>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</si>
  <si>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</si>
  <si>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</si>
  <si>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</si>
  <si>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</si>
  <si>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</si>
  <si>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</si>
  <si>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</si>
  <si>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</si>
  <si>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</si>
  <si>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</si>
  <si>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</si>
  <si>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</si>
  <si>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</si>
  <si>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</si>
  <si>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</si>
  <si>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</si>
  <si>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</si>
  <si>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</si>
  <si>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</si>
  <si>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</si>
  <si>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</si>
  <si>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</si>
  <si>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</si>
  <si>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</si>
  <si>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</si>
  <si>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</si>
  <si>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</si>
  <si>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</si>
  <si>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</si>
  <si>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</si>
  <si>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</si>
  <si>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</si>
  <si>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</si>
  <si>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</si>
  <si>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</si>
  <si>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</si>
  <si>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</si>
  <si>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</si>
  <si>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</si>
  <si>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</si>
  <si>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</si>
  <si>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</si>
  <si>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</si>
  <si>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</si>
  <si>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</si>
  <si>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</si>
  <si>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</si>
  <si>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</si>
  <si>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</si>
  <si>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</si>
  <si>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</si>
  <si>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</si>
  <si>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</si>
  <si>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</si>
  <si>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</si>
  <si>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</si>
  <si>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</si>
  <si>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</si>
  <si>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</si>
  <si>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</si>
  <si>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</si>
  <si>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</si>
  <si>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</si>
  <si>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</si>
  <si>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</si>
  <si>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</si>
  <si>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</si>
  <si>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</si>
  <si>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</si>
  <si>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</si>
  <si>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</si>
  <si>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</si>
  <si>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</si>
  <si>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</si>
  <si>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</si>
  <si>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</si>
  <si>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</si>
  <si>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</si>
  <si>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</si>
  <si>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</si>
  <si>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</si>
  <si>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</si>
  <si>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</si>
  <si>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</si>
  <si>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</si>
  <si>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</si>
  <si>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</si>
  <si>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</si>
  <si>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</si>
  <si>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</si>
  <si>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</si>
  <si>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</si>
  <si>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</si>
  <si>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</si>
  <si>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</si>
  <si>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</si>
  <si>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</si>
  <si>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</si>
  <si>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</si>
  <si>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</si>
  <si>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</si>
  <si>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</si>
  <si>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</si>
  <si>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</si>
  <si>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</si>
  <si>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</si>
  <si>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</si>
  <si>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</si>
  <si>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</si>
  <si>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</si>
  <si>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</si>
  <si>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</si>
  <si>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</si>
  <si>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</si>
  <si>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</si>
  <si>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</si>
  <si>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</si>
  <si>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</si>
  <si>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</si>
  <si>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</si>
  <si>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</si>
  <si>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</si>
  <si>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</si>
  <si>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</si>
  <si>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</si>
  <si>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</si>
  <si>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</si>
  <si>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</si>
  <si>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</si>
  <si>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</si>
  <si>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</si>
  <si>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</si>
  <si>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</si>
  <si>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</si>
  <si>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</si>
  <si>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</si>
  <si>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</si>
  <si>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</si>
  <si>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</si>
  <si>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</si>
  <si>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</si>
  <si>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</si>
  <si>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</si>
  <si>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</si>
  <si>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</si>
  <si>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</si>
  <si>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</si>
  <si>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</si>
  <si>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</si>
  <si>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</si>
  <si>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</si>
  <si>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</si>
  <si>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</si>
  <si>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</si>
  <si>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</si>
  <si>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</si>
  <si>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</si>
  <si>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</si>
  <si>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</si>
  <si>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</si>
  <si>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</si>
  <si>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</si>
  <si>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</si>
  <si>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</si>
  <si>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</si>
  <si>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</si>
  <si>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</si>
  <si>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</si>
  <si>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</si>
  <si>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</si>
  <si>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</si>
  <si>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</si>
  <si>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</si>
  <si>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</si>
  <si>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</si>
  <si>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</si>
  <si>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</si>
  <si>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</si>
  <si>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</si>
  <si>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</si>
  <si>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</si>
  <si>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</si>
  <si>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</si>
  <si>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</si>
  <si>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</si>
  <si>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</si>
  <si>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</si>
  <si>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</si>
  <si>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</si>
  <si>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</si>
  <si>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</si>
  <si>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</si>
  <si>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</si>
  <si>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</si>
  <si>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</si>
  <si>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</si>
  <si>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</si>
  <si>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</si>
  <si>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</si>
  <si>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</si>
  <si>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</si>
  <si>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</si>
  <si>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</si>
  <si>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</si>
  <si>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</si>
  <si>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</si>
  <si>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</si>
  <si>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</si>
  <si>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</si>
  <si>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</si>
  <si>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</si>
  <si>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</si>
  <si>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</si>
  <si>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</si>
  <si>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</si>
  <si>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</si>
  <si>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</si>
  <si>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</si>
  <si>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</si>
  <si>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</si>
  <si>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</si>
  <si>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</si>
  <si>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</si>
  <si>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</si>
  <si>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</si>
  <si>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</si>
  <si>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</si>
  <si>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</si>
  <si>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</si>
  <si>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</si>
  <si>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</si>
  <si>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</si>
  <si>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</si>
  <si>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</si>
  <si>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</si>
  <si>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</si>
  <si>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</si>
  <si>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</si>
  <si>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</si>
  <si>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</si>
  <si>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</si>
  <si>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</si>
  <si>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</si>
  <si>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</si>
  <si>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</si>
  <si>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</si>
  <si>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</si>
  <si>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</si>
  <si>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</si>
  <si>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</si>
  <si>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</si>
  <si>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</si>
  <si>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</si>
  <si>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</si>
  <si>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</si>
  <si>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</si>
  <si>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</si>
  <si>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</si>
  <si>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</si>
  <si>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</si>
  <si>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</si>
  <si>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</si>
  <si>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</si>
  <si>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</si>
  <si>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</si>
  <si>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</si>
  <si>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</si>
  <si>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</si>
  <si>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</si>
  <si>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</si>
  <si>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</si>
  <si>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</si>
  <si>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</si>
  <si>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</si>
  <si>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</si>
  <si>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</si>
  <si>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</si>
  <si>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</si>
  <si>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</si>
  <si>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</si>
  <si>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</si>
  <si>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</si>
  <si>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</si>
  <si>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</si>
  <si>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</si>
  <si>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</si>
  <si>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</si>
  <si>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</si>
  <si>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</si>
  <si>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</si>
  <si>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</si>
  <si>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</si>
  <si>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</si>
  <si>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</si>
  <si>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</si>
  <si>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</si>
  <si>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</si>
  <si>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</si>
  <si>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</si>
  <si>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</si>
  <si>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</si>
  <si>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</si>
  <si>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</si>
  <si>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</si>
  <si>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</si>
  <si>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</si>
  <si>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</si>
  <si>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</si>
  <si>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</si>
  <si>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</si>
  <si>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</si>
  <si>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</si>
  <si>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</si>
  <si>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</si>
  <si>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</si>
  <si>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</si>
  <si>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</si>
  <si>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</si>
  <si>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</si>
  <si>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</si>
  <si>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</si>
  <si>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</si>
  <si>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</si>
  <si>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</si>
  <si>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</si>
  <si>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</si>
  <si>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</si>
  <si>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</si>
  <si>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</si>
  <si>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</si>
  <si>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</si>
  <si>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</si>
  <si>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</si>
  <si>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</si>
  <si>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</si>
  <si>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</si>
  <si>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</si>
  <si>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</si>
  <si>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</si>
  <si>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</si>
  <si>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</si>
  <si>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</si>
  <si>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</si>
  <si>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</si>
  <si>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</si>
  <si>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</si>
  <si>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</si>
  <si>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</si>
  <si>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</si>
  <si>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</si>
  <si>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</si>
  <si>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</si>
  <si>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</si>
  <si>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</si>
  <si>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</si>
  <si>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</si>
  <si>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</si>
  <si>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</si>
  <si>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</si>
  <si>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</si>
  <si>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</si>
  <si>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</si>
  <si>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</si>
  <si>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</si>
  <si>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</si>
  <si>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</si>
  <si>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</si>
  <si>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</si>
  <si>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</si>
  <si>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</si>
  <si>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</si>
  <si>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</si>
  <si>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</si>
  <si>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</si>
  <si>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</si>
  <si>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</si>
  <si>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</si>
  <si>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</si>
  <si>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</si>
  <si>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</si>
  <si>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</si>
  <si>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</si>
  <si>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</si>
  <si>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</si>
  <si>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</si>
  <si>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</si>
  <si>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</si>
  <si>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</si>
  <si>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</si>
  <si>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</si>
  <si>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</si>
  <si>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</si>
  <si>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</si>
  <si>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</si>
  <si>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</si>
  <si>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</si>
  <si>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</si>
  <si>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</si>
  <si>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</si>
  <si>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</si>
  <si>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</si>
  <si>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</si>
  <si>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</si>
  <si>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</si>
  <si>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</si>
  <si>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</si>
  <si>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</si>
  <si>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</si>
  <si>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</si>
  <si>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</si>
  <si>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</si>
  <si>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</si>
  <si>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</si>
  <si>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</si>
  <si>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</si>
  <si>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</si>
  <si>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</si>
  <si>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</si>
  <si>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</si>
  <si>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</si>
  <si>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</si>
  <si>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</si>
  <si>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</si>
  <si>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</si>
  <si>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</si>
  <si>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</si>
  <si>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</si>
  <si>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</si>
  <si>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</si>
  <si>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</si>
  <si>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</si>
  <si>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</si>
  <si>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</si>
  <si>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</si>
  <si>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</si>
  <si>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</si>
  <si>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</si>
  <si>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</si>
  <si>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</si>
  <si>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</si>
  <si>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</si>
  <si>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</si>
  <si>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</si>
  <si>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</si>
  <si>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</si>
  <si>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</si>
  <si>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</si>
  <si>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</si>
  <si>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</si>
  <si>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</si>
  <si>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</si>
  <si>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</si>
  <si>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</si>
  <si>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</si>
  <si>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</si>
  <si>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</si>
  <si>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</si>
  <si>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</si>
  <si>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</si>
  <si>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</si>
  <si>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</si>
  <si>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</si>
  <si>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</si>
  <si>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</si>
  <si>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</si>
  <si>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</si>
  <si>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</si>
  <si>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</si>
  <si>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</si>
  <si>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</si>
  <si>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</si>
  <si>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</si>
  <si>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</si>
  <si>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</si>
  <si>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</si>
  <si>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</si>
  <si>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</si>
  <si>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</si>
  <si>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</si>
  <si>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</si>
  <si>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</si>
  <si>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</si>
  <si>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</si>
  <si>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</si>
  <si>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</si>
  <si>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</si>
  <si>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</si>
  <si>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</si>
  <si>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</si>
  <si>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</si>
  <si>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</si>
  <si>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</si>
  <si>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</si>
  <si>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</si>
  <si>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</si>
  <si>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</si>
  <si>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</si>
  <si>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</si>
  <si>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</si>
  <si>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</si>
  <si>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</si>
  <si>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</si>
  <si>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</si>
  <si>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</si>
  <si>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</si>
  <si>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</si>
  <si>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</si>
  <si>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</si>
  <si>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</si>
  <si>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</si>
  <si>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</si>
  <si>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</si>
  <si>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</si>
  <si>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</si>
  <si>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</si>
  <si>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</si>
  <si>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</si>
  <si>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</si>
  <si>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</si>
  <si>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</si>
  <si>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</si>
  <si>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</si>
  <si>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</si>
  <si>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</si>
  <si>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</si>
  <si>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</si>
  <si>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</si>
  <si>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</si>
  <si>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</si>
  <si>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</si>
  <si>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</si>
  <si>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</si>
  <si>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</si>
  <si>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</si>
  <si>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</si>
  <si>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</si>
  <si>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</si>
  <si>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</si>
  <si>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</si>
  <si>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</si>
  <si>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</si>
  <si>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</si>
  <si>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</si>
  <si>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</si>
  <si>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</si>
  <si>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</si>
  <si>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</si>
  <si>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</si>
  <si>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</si>
  <si>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</si>
  <si>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</si>
  <si>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</si>
  <si>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</si>
  <si>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</si>
  <si>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</si>
  <si>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</si>
  <si>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</si>
  <si>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</si>
  <si>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</si>
  <si>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</si>
  <si>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</si>
  <si>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</si>
  <si>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</si>
  <si>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</si>
  <si>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</si>
  <si>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</si>
  <si>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</si>
  <si>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</si>
  <si>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</si>
  <si>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</si>
  <si>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</si>
  <si>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</si>
  <si>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</si>
  <si>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</si>
  <si>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</si>
  <si>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</si>
  <si>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</si>
  <si>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</si>
  <si>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</si>
  <si>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</si>
  <si>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</si>
  <si>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</si>
  <si>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</si>
  <si>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</si>
  <si>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</si>
  <si>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</si>
  <si>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</si>
  <si>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</si>
  <si>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</si>
  <si>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</si>
  <si>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</si>
  <si>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</si>
  <si>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</si>
  <si>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</si>
  <si>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</si>
  <si>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</si>
  <si>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</si>
  <si>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</si>
  <si>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</si>
  <si>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</si>
  <si>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</si>
  <si>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</si>
  <si>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</si>
  <si>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</si>
  <si>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</si>
  <si>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</si>
  <si>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</si>
  <si>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</si>
  <si>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</si>
  <si>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</si>
  <si>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</si>
  <si>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</si>
  <si>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</si>
  <si>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</si>
  <si>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</si>
  <si>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</si>
  <si>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</si>
  <si>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</si>
  <si>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</si>
  <si>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</si>
  <si>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</si>
  <si>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</si>
  <si>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</si>
  <si>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</si>
  <si>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</si>
  <si>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</si>
  <si>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</si>
  <si>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</si>
  <si>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</si>
  <si>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</si>
  <si>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</si>
  <si>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</si>
  <si>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</si>
  <si>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</si>
  <si>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</si>
  <si>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</si>
  <si>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</si>
  <si>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</si>
  <si>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</si>
  <si>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</si>
  <si>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</si>
  <si>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</si>
  <si>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</si>
  <si>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</si>
  <si>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</si>
  <si>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</si>
  <si>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</si>
  <si>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</si>
  <si>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</si>
  <si>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</si>
  <si>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</si>
  <si>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</si>
  <si>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</si>
  <si>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</si>
  <si>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</si>
  <si>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</si>
  <si>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</si>
  <si>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</si>
  <si>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</si>
  <si>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</si>
  <si>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</si>
  <si>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</si>
  <si>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</si>
  <si>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</si>
  <si>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</si>
  <si>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</si>
  <si>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</si>
  <si>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</si>
  <si>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</si>
  <si>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</si>
  <si>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</si>
  <si>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</si>
  <si>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</si>
  <si>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</si>
  <si>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</si>
  <si>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</si>
  <si>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</si>
  <si>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</si>
  <si>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</si>
  <si>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</si>
  <si>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</si>
  <si>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</si>
  <si>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</si>
  <si>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</si>
  <si>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</si>
  <si>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</si>
  <si>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</si>
  <si>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</si>
  <si>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</si>
  <si>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</si>
  <si>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</si>
  <si>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</si>
  <si>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</si>
  <si>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</si>
  <si>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</si>
  <si>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</si>
  <si>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</si>
  <si>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</si>
  <si>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</si>
  <si>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</si>
  <si>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</si>
  <si>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</si>
  <si>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</si>
  <si>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</si>
  <si>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</si>
  <si>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</si>
  <si>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</si>
  <si>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</si>
  <si>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</si>
  <si>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</si>
  <si>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</si>
  <si>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</si>
  <si>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</si>
  <si>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</si>
  <si>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</si>
  <si>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</si>
  <si>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</si>
  <si>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</si>
  <si>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</si>
  <si>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</si>
  <si>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</si>
  <si>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</si>
  <si>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</si>
  <si>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</si>
  <si>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</si>
  <si>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</si>
  <si>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</si>
  <si>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</si>
  <si>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</si>
  <si>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</si>
  <si>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</si>
  <si>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</si>
  <si>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</si>
  <si>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</si>
  <si>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</si>
  <si>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</si>
  <si>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</si>
  <si>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</si>
  <si>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</si>
  <si>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</si>
  <si>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</si>
  <si>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</si>
  <si>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</si>
  <si>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</si>
  <si>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</si>
  <si>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</si>
  <si>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</si>
  <si>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</si>
  <si>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</si>
  <si>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</si>
  <si>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</si>
  <si>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</si>
  <si>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</si>
  <si>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</si>
  <si>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</si>
  <si>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</si>
  <si>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</si>
  <si>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</si>
  <si>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</si>
  <si>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</si>
  <si>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</si>
  <si>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</si>
  <si>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</si>
  <si>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</si>
  <si>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</si>
  <si>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</si>
  <si>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</si>
  <si>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</si>
  <si>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</si>
  <si>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</si>
  <si>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</si>
  <si>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</si>
  <si>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</si>
  <si>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</si>
  <si>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</si>
  <si>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</si>
  <si>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</si>
  <si>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</si>
  <si>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</si>
  <si>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</si>
  <si>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</si>
  <si>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</si>
  <si>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</si>
  <si>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</si>
  <si>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</si>
  <si>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</si>
  <si>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</si>
  <si>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</si>
  <si>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</si>
  <si>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</si>
  <si>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</si>
  <si>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</si>
  <si>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</si>
  <si>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</si>
  <si>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</si>
  <si>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</si>
  <si>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</si>
  <si>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</si>
  <si>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</si>
  <si>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</si>
  <si>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</si>
  <si>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</si>
  <si>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</si>
  <si>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</si>
  <si>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</si>
  <si>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</si>
  <si>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</si>
  <si>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</si>
  <si>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</si>
  <si>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</si>
  <si>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</si>
  <si>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</si>
  <si>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</si>
  <si>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</si>
  <si>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</si>
  <si>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</si>
  <si>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</si>
  <si>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</si>
  <si>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</si>
  <si>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</si>
  <si>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</si>
  <si>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</si>
  <si>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</si>
  <si>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</si>
  <si>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</si>
  <si>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</si>
  <si>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</si>
  <si>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</si>
  <si>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</si>
  <si>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</si>
  <si>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</si>
  <si>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</si>
  <si>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</si>
  <si>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</si>
  <si>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</si>
  <si>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</si>
  <si>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</si>
  <si>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</si>
  <si>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</si>
  <si>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</si>
  <si>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</si>
  <si>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</si>
  <si>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</si>
  <si>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</si>
  <si>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</si>
  <si>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</si>
  <si>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</si>
  <si>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</si>
  <si>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</si>
  <si>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</si>
  <si>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</si>
  <si>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</si>
  <si>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</si>
  <si>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</si>
  <si>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</si>
  <si>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</si>
  <si>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</si>
  <si>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</si>
  <si>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</si>
  <si>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</si>
  <si>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</si>
  <si>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</si>
  <si>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</si>
  <si>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</si>
  <si>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</si>
  <si>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</si>
  <si>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</si>
  <si>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</si>
  <si>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</si>
  <si>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</si>
  <si>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</si>
  <si>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</si>
  <si>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</si>
  <si>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</si>
  <si>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</si>
  <si>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</si>
  <si>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</si>
  <si>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</si>
  <si>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</si>
  <si>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</si>
  <si>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</si>
  <si>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</si>
  <si>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</si>
  <si>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</si>
  <si>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</si>
  <si>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</si>
  <si>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</si>
  <si>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</si>
  <si>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</si>
  <si>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</si>
  <si>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</si>
  <si>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</si>
  <si>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</si>
  <si>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</si>
  <si>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</si>
  <si>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</si>
  <si>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</si>
  <si>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</si>
  <si>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</si>
  <si>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</si>
  <si>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</si>
  <si>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</si>
  <si>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</si>
  <si>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</si>
  <si>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</si>
  <si>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</si>
  <si>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</si>
  <si>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</si>
  <si>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</si>
  <si>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</si>
  <si>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</si>
  <si>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</si>
  <si>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</si>
  <si>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</si>
  <si>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</si>
  <si>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</si>
  <si>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</si>
  <si>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</si>
  <si>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</si>
  <si>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</si>
  <si>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</si>
  <si>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</si>
  <si>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</si>
  <si>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</si>
  <si>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</si>
  <si>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</si>
  <si>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</si>
  <si>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</si>
  <si>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</si>
  <si>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</si>
  <si>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</si>
  <si>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</si>
  <si>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</si>
  <si>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</si>
  <si>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</si>
  <si>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</si>
  <si>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</si>
  <si>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</si>
  <si>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</si>
  <si>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</si>
  <si>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</si>
  <si>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</si>
  <si>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</si>
  <si>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</si>
  <si>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</si>
  <si>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</si>
  <si>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</si>
  <si>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</si>
  <si>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</si>
  <si>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</si>
  <si>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</si>
  <si>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</si>
  <si>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</si>
  <si>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</si>
  <si>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</si>
  <si>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</si>
  <si>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</si>
  <si>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</si>
  <si>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</si>
  <si>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</si>
  <si>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</si>
  <si>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</si>
  <si>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</si>
  <si>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</si>
  <si>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</si>
  <si>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</si>
  <si>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</si>
  <si>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</si>
  <si>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</si>
  <si>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</si>
  <si>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</si>
  <si>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</si>
  <si>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</si>
  <si>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</si>
  <si>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</si>
  <si>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</si>
  <si>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</si>
  <si>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</si>
  <si>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</si>
  <si>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</si>
  <si>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</si>
  <si>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</si>
  <si>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</si>
  <si>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</si>
  <si>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</si>
  <si>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</si>
  <si>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</si>
  <si>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</si>
  <si>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</si>
  <si>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</si>
  <si>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</si>
  <si>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</si>
  <si>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</si>
  <si>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</si>
  <si>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</si>
  <si>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</si>
  <si>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</si>
  <si>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</si>
  <si>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</si>
  <si>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</si>
  <si>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</si>
  <si>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</si>
  <si>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</si>
  <si>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</si>
  <si>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</si>
  <si>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</si>
  <si>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</si>
  <si>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</si>
  <si>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</si>
  <si>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</si>
  <si>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</si>
  <si>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</si>
  <si>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</si>
  <si>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</si>
  <si>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</si>
  <si>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</si>
  <si>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</si>
  <si>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</si>
  <si>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</si>
  <si>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</si>
  <si>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</si>
  <si>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</si>
  <si>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</si>
  <si>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</si>
  <si>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</si>
  <si>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</si>
  <si>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</si>
  <si>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</si>
  <si>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</si>
  <si>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</si>
  <si>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</si>
  <si>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</si>
  <si>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</si>
  <si>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</si>
  <si>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</si>
  <si>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</si>
  <si>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</si>
  <si>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</si>
  <si>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</si>
  <si>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</si>
  <si>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</si>
  <si>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</si>
  <si>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</si>
  <si>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</si>
  <si>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</si>
  <si>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</si>
  <si>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</si>
  <si>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</si>
  <si>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</si>
  <si>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</si>
  <si>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</si>
  <si>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</si>
  <si>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</si>
  <si>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</si>
  <si>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</si>
  <si>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</si>
  <si>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</si>
  <si>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</si>
  <si>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</si>
  <si>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</si>
  <si>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</si>
  <si>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</si>
  <si>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</si>
  <si>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</si>
  <si>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</si>
  <si>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</si>
  <si>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</si>
  <si>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</si>
  <si>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</si>
  <si>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</si>
  <si>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</si>
  <si>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</si>
  <si>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</si>
  <si>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</si>
  <si>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</si>
  <si>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</si>
  <si>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</si>
  <si>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</si>
  <si>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</si>
  <si>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</si>
  <si>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</si>
  <si>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</si>
  <si>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</si>
  <si>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</si>
  <si>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</si>
  <si>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</si>
  <si>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</si>
  <si>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</si>
  <si>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</si>
  <si>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</si>
  <si>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</si>
  <si>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</si>
  <si>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</si>
  <si>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</si>
  <si>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</si>
  <si>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</si>
  <si>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</si>
  <si>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</si>
  <si>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</si>
  <si>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</si>
  <si>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</si>
  <si>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</si>
  <si>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</si>
  <si>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</si>
  <si>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</si>
  <si>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</si>
  <si>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</si>
  <si>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</si>
  <si>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</si>
  <si>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</si>
  <si>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</si>
  <si>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</si>
  <si>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</si>
  <si>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</si>
  <si>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</si>
  <si>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</si>
  <si>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</si>
  <si>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</si>
  <si>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</si>
  <si>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</si>
  <si>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</si>
  <si>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</si>
  <si>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</si>
  <si>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</si>
  <si>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</si>
  <si>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</si>
  <si>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</si>
  <si>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</si>
  <si>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</si>
  <si>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</si>
  <si>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</si>
  <si>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</si>
  <si>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</si>
  <si>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</si>
  <si>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</si>
  <si>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</si>
  <si>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</si>
  <si>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</si>
  <si>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</si>
  <si>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</si>
  <si>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</si>
  <si>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</si>
  <si>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</si>
  <si>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</si>
  <si>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</si>
  <si>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</si>
  <si>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</si>
  <si>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</si>
  <si>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</si>
  <si>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</si>
  <si>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</si>
  <si>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</si>
  <si>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</si>
  <si>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</si>
  <si>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</si>
  <si>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</si>
  <si>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</si>
  <si>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</si>
  <si>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</si>
  <si>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</si>
  <si>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</si>
  <si>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</si>
  <si>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</si>
  <si>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</si>
  <si>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</si>
  <si>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</si>
  <si>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</si>
  <si>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</si>
  <si>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</si>
  <si>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</si>
  <si>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</si>
  <si>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</si>
  <si>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</si>
  <si>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</si>
  <si>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</si>
  <si>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</si>
  <si>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</si>
  <si>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</si>
  <si>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</si>
  <si>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</si>
  <si>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</si>
  <si>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</si>
  <si>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</si>
  <si>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</si>
  <si>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</si>
  <si>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</si>
  <si>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</si>
  <si>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</si>
  <si>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</si>
  <si>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</si>
  <si>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</si>
  <si>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</si>
  <si>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</si>
  <si>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</si>
  <si>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</si>
  <si>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</si>
  <si>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</si>
  <si>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</si>
  <si>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</si>
  <si>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</si>
  <si>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</si>
  <si>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</si>
  <si>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</si>
  <si>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</si>
  <si>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</si>
  <si>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</si>
  <si>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</si>
  <si>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</si>
  <si>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</si>
  <si>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</si>
  <si>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</si>
  <si>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</si>
  <si>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</si>
  <si>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</si>
  <si>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</si>
  <si>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</si>
  <si>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</si>
  <si>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</si>
  <si>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</si>
  <si>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</si>
  <si>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</si>
  <si>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</si>
  <si>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</si>
  <si>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</si>
  <si>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</si>
  <si>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</si>
  <si>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</si>
  <si>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</si>
  <si>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</si>
  <si>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</si>
  <si>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</si>
  <si>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</si>
  <si>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</si>
  <si>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</si>
  <si>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</si>
  <si>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</si>
  <si>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</si>
  <si>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</si>
  <si>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</si>
  <si>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</si>
  <si>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</si>
  <si>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</si>
  <si>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</si>
  <si>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</si>
  <si>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</si>
  <si>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</si>
  <si>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</si>
  <si>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</si>
  <si>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</si>
  <si>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</si>
  <si>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</si>
  <si>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</si>
  <si>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</si>
  <si>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</si>
  <si>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</si>
  <si>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</si>
  <si>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</si>
  <si>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</si>
  <si>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</si>
  <si>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</si>
  <si>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</si>
  <si>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</si>
  <si>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</si>
  <si>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</si>
  <si>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</si>
  <si>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</si>
  <si>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</si>
  <si>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</si>
  <si>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</si>
  <si>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</si>
  <si>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</si>
  <si>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</si>
  <si>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</si>
  <si>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</si>
  <si>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</si>
  <si>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</si>
  <si>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</si>
  <si>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</si>
  <si>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</si>
  <si>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</si>
  <si>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</si>
  <si>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</si>
  <si>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</si>
  <si>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</si>
  <si>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</si>
  <si>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</si>
  <si>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</si>
  <si>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</si>
  <si>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</si>
  <si>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</si>
  <si>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</si>
  <si>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</si>
  <si>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</si>
  <si>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</si>
  <si>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</si>
  <si>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</si>
  <si>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</si>
  <si>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</si>
  <si>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</si>
  <si>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</si>
  <si>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</si>
  <si>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</si>
  <si>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</si>
  <si>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</si>
  <si>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</si>
  <si>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</si>
  <si>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</si>
  <si>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</si>
  <si>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</si>
  <si>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</si>
  <si>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</si>
  <si>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</si>
  <si>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</si>
  <si>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</si>
  <si>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</si>
  <si>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</si>
  <si>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</si>
  <si>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</si>
  <si>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</si>
  <si>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</si>
  <si>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</si>
  <si>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</si>
  <si>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</si>
  <si>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</si>
  <si>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</si>
  <si>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</si>
  <si>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</si>
  <si>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</si>
  <si>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</si>
  <si>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</si>
  <si>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</si>
  <si>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</si>
  <si>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</si>
  <si>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</si>
  <si>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</si>
  <si>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</si>
  <si>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</si>
  <si>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</si>
  <si>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</si>
  <si>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</si>
  <si>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</si>
  <si>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</si>
  <si>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</si>
  <si>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</si>
  <si>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</si>
  <si>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</si>
  <si>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</si>
  <si>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</si>
  <si>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</si>
  <si>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</si>
  <si>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</si>
  <si>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</si>
  <si>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</si>
  <si>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</si>
  <si>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</si>
  <si>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</si>
  <si>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</si>
  <si>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</si>
  <si>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</si>
  <si>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</si>
  <si>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</si>
  <si>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</si>
  <si>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</si>
  <si>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</si>
  <si>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</si>
  <si>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</si>
  <si>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</si>
  <si>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</si>
  <si>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</si>
  <si>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</si>
  <si>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</si>
  <si>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</si>
  <si>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</si>
  <si>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</si>
  <si>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</si>
  <si>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</si>
  <si>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</si>
  <si>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</si>
  <si>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</si>
  <si>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</si>
  <si>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</si>
  <si>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</si>
  <si>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</si>
  <si>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</si>
  <si>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</si>
  <si>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</si>
  <si>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</si>
  <si>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</si>
  <si>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</si>
  <si>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</si>
  <si>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</si>
  <si>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</si>
  <si>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</si>
  <si>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</si>
  <si>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</si>
  <si>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</si>
  <si>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</si>
  <si>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</si>
  <si>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</si>
  <si>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</si>
  <si>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</si>
  <si>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</si>
  <si>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</si>
  <si>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</si>
  <si>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</si>
  <si>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</si>
  <si>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</si>
  <si>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</si>
  <si>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</si>
  <si>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</si>
  <si>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</si>
  <si>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</si>
  <si>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</si>
  <si>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</si>
  <si>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</si>
  <si>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</si>
  <si>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</si>
  <si>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</si>
  <si>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</si>
  <si>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</si>
  <si>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</si>
  <si>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</si>
  <si>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</si>
  <si>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</si>
  <si>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</si>
  <si>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</si>
  <si>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</si>
  <si>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</si>
  <si>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</si>
  <si>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</si>
  <si>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</si>
  <si>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</si>
  <si>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</si>
  <si>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</si>
  <si>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</si>
  <si>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</si>
  <si>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</si>
  <si>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</si>
  <si>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</si>
  <si>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</si>
  <si>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</si>
  <si>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</si>
  <si>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</si>
  <si>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</si>
  <si>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</si>
  <si>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</si>
  <si>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</si>
  <si>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</si>
  <si>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</si>
  <si>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</si>
  <si>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</si>
  <si>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</si>
  <si>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</si>
  <si>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</si>
  <si>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</si>
  <si>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</si>
  <si>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</si>
  <si>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</si>
  <si>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</si>
  <si>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</si>
  <si>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</si>
  <si>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</si>
  <si>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</si>
  <si>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</si>
  <si>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</si>
  <si>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</si>
  <si>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</si>
  <si>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</si>
  <si>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</si>
  <si>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</si>
  <si>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</si>
  <si>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</si>
  <si>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</si>
  <si>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</si>
  <si>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</si>
  <si>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</si>
  <si>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</si>
  <si>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</si>
  <si>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</si>
  <si>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</si>
  <si>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</si>
  <si>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</si>
  <si>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</si>
  <si>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</si>
  <si>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</si>
  <si>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</si>
  <si>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</si>
  <si>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</si>
  <si>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</si>
  <si>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</si>
  <si>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</si>
  <si>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</si>
  <si>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</si>
  <si>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</si>
  <si>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</si>
  <si>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</si>
  <si>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</si>
  <si>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</si>
  <si>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</si>
  <si>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</si>
  <si>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</si>
  <si>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</si>
  <si>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</si>
  <si>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</si>
  <si>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</si>
  <si>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</si>
  <si>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</si>
  <si>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</si>
  <si>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</si>
  <si>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</si>
  <si>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</si>
  <si>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</si>
  <si>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</si>
  <si>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</si>
  <si>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</si>
  <si>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</si>
  <si>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</si>
  <si>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</si>
  <si>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</si>
  <si>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</si>
  <si>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</si>
  <si>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</si>
  <si>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</si>
  <si>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</si>
  <si>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</si>
  <si>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</si>
  <si>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</si>
  <si>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</si>
  <si>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</si>
  <si>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</si>
  <si>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</si>
  <si>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</si>
  <si>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</si>
  <si>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</si>
  <si>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</si>
  <si>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</si>
  <si>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</si>
  <si>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</si>
  <si>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</si>
  <si>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</si>
  <si>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</si>
  <si>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</si>
  <si>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</si>
  <si>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</si>
  <si>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</si>
  <si>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</si>
  <si>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</si>
  <si>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</si>
  <si>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</si>
  <si>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</si>
  <si>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</si>
  <si>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</si>
  <si>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</si>
  <si>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</si>
  <si>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</si>
  <si>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</si>
  <si>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</si>
  <si>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</si>
  <si>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</si>
  <si>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</si>
  <si>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</si>
  <si>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</si>
  <si>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</si>
  <si>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</si>
  <si>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</si>
  <si>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</si>
  <si>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</si>
  <si>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</si>
  <si>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</si>
  <si>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</si>
  <si>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</si>
  <si>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</si>
  <si>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</si>
  <si>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</si>
  <si>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</si>
  <si>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</si>
  <si>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</si>
  <si>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</si>
  <si>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</si>
  <si>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</si>
  <si>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</si>
  <si>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</si>
  <si>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</si>
  <si>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</si>
  <si>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</si>
  <si>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</si>
  <si>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</si>
  <si>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</si>
  <si>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</si>
  <si>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</si>
  <si>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</si>
  <si>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</si>
  <si>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</si>
  <si>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</si>
  <si>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</si>
  <si>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</si>
  <si>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</si>
  <si>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</si>
  <si>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</si>
  <si>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</si>
  <si>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</si>
  <si>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</si>
  <si>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</si>
  <si>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</si>
  <si>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</si>
  <si>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</si>
  <si>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</si>
  <si>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</si>
  <si>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</si>
  <si>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</si>
  <si>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</si>
  <si>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</si>
  <si>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</si>
  <si>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</si>
  <si>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</si>
  <si>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</si>
  <si>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</si>
  <si>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</si>
  <si>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</si>
  <si>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</si>
  <si>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</si>
  <si>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</si>
  <si>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</si>
  <si>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</si>
  <si>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</si>
  <si>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</si>
  <si>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</si>
  <si>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</si>
  <si>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</si>
  <si>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</si>
  <si>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</si>
  <si>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</si>
  <si>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</si>
  <si>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</si>
  <si>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</si>
  <si>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</si>
  <si>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</si>
  <si>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</si>
  <si>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</si>
  <si>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</si>
  <si>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</si>
  <si>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</si>
  <si>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</si>
  <si>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</si>
  <si>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</si>
  <si>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</si>
  <si>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</si>
  <si>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</si>
  <si>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</si>
  <si>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</si>
  <si>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</si>
  <si>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</si>
  <si>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</si>
  <si>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</si>
  <si>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</si>
  <si>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</si>
  <si>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</si>
  <si>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</si>
  <si>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</si>
  <si>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</si>
  <si>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</si>
  <si>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</si>
  <si>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</si>
  <si>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</si>
  <si>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</si>
  <si>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</si>
  <si>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</si>
  <si>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</si>
  <si>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</si>
  <si>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</si>
  <si>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</si>
  <si>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</si>
  <si>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</si>
  <si>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</si>
  <si>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</si>
  <si>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</si>
  <si>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</si>
  <si>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</si>
  <si>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</si>
  <si>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</si>
  <si>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</si>
  <si>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</si>
  <si>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</si>
  <si>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</si>
  <si>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</si>
  <si>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</si>
  <si>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</si>
  <si>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</si>
  <si>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</si>
  <si>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</si>
  <si>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</si>
  <si>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</si>
  <si>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</si>
  <si>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</si>
  <si>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</si>
  <si>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</si>
  <si>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</si>
  <si>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</si>
  <si>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</si>
  <si>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</si>
  <si>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</si>
  <si>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</si>
  <si>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</si>
  <si>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</si>
  <si>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</si>
  <si>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</si>
  <si>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</si>
  <si>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</si>
  <si>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</si>
  <si>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</si>
  <si>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</si>
  <si>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</si>
  <si>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</si>
  <si>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</si>
  <si>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</si>
  <si>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</si>
  <si>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</si>
  <si>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</si>
  <si>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</si>
  <si>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</si>
  <si>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</si>
  <si>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</si>
  <si>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</si>
  <si>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</si>
  <si>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</si>
  <si>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</si>
  <si>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</si>
  <si>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</si>
  <si>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</si>
  <si>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</si>
  <si>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</si>
  <si>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</si>
  <si>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</si>
  <si>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</si>
  <si>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</si>
  <si>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</si>
  <si>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</si>
  <si>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</si>
  <si>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</si>
  <si>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</si>
  <si>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</si>
  <si>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</si>
  <si>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</si>
  <si>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</si>
  <si>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</si>
  <si>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</si>
  <si>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</si>
  <si>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</si>
  <si>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</si>
  <si>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</si>
  <si>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</si>
  <si>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</si>
  <si>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</si>
  <si>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</si>
  <si>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</si>
  <si>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</si>
  <si>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</si>
  <si>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</si>
  <si>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</si>
  <si>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</si>
  <si>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</si>
  <si>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</si>
  <si>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</si>
  <si>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</si>
  <si>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</si>
  <si>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</si>
  <si>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</si>
  <si>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</si>
  <si>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</si>
  <si>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</si>
  <si>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</si>
  <si>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</si>
  <si>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</si>
  <si>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</si>
  <si>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</si>
  <si>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</si>
  <si>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</si>
  <si>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</si>
  <si>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</si>
  <si>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</si>
  <si>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</si>
  <si>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</si>
  <si>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</si>
  <si>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</si>
  <si>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</si>
  <si>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</si>
  <si>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</si>
  <si>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</si>
  <si>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</si>
  <si>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</si>
  <si>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</si>
  <si>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</si>
  <si>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</si>
  <si>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</si>
  <si>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</si>
  <si>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</si>
  <si>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</si>
  <si>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</si>
  <si>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</si>
  <si>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</si>
  <si>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</si>
  <si>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</si>
  <si>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</si>
  <si>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</si>
  <si>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</si>
  <si>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</si>
  <si>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</si>
  <si>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</si>
  <si>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</si>
  <si>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</si>
  <si>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</si>
  <si>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</si>
  <si>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</si>
  <si>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</si>
  <si>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</si>
  <si>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</si>
  <si>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</si>
  <si>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</si>
  <si>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</si>
  <si>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</si>
  <si>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</si>
  <si>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</si>
  <si>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</si>
  <si>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</si>
  <si>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</si>
  <si>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</si>
  <si>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</si>
  <si>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</si>
  <si>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</si>
  <si>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</si>
  <si>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</si>
  <si>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</si>
  <si>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</si>
  <si>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</si>
  <si>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</si>
  <si>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</si>
  <si>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</si>
  <si>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</si>
  <si>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</si>
  <si>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</si>
  <si>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</si>
  <si>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</si>
  <si>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</si>
  <si>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</si>
  <si>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</si>
  <si>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</si>
  <si>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</si>
  <si>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</si>
  <si>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</si>
  <si>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</si>
  <si>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</si>
  <si>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</si>
  <si>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</si>
  <si>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</si>
  <si>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</si>
  <si>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</si>
  <si>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</si>
  <si>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</si>
  <si>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</si>
  <si>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</si>
  <si>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</si>
  <si>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</si>
  <si>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</si>
  <si>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</si>
  <si>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</si>
  <si>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</si>
  <si>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</si>
  <si>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</si>
  <si>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</si>
  <si>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</si>
  <si>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</si>
  <si>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</si>
  <si>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</si>
  <si>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</si>
  <si>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</si>
  <si>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</si>
  <si>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</si>
  <si>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</si>
  <si>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</si>
  <si>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</si>
  <si>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</si>
  <si>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</si>
  <si>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</si>
  <si>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</si>
  <si>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</si>
  <si>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</si>
  <si>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</si>
  <si>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</si>
  <si>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</si>
  <si>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</si>
  <si>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</si>
  <si>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</si>
  <si>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</si>
  <si>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</si>
  <si>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</si>
  <si>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</si>
  <si>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</si>
  <si>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</si>
  <si>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</si>
  <si>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</si>
  <si>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</si>
  <si>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</si>
  <si>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</si>
  <si>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</si>
  <si>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</si>
  <si>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</si>
  <si>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</si>
  <si>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</si>
  <si>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</si>
  <si>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</si>
  <si>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</si>
  <si>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</si>
  <si>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</si>
  <si>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</si>
  <si>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</si>
  <si>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</si>
  <si>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</si>
  <si>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</si>
  <si>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</si>
  <si>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</si>
  <si>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</si>
  <si>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</si>
  <si>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</si>
  <si>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</si>
  <si>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</si>
  <si>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</si>
  <si>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</si>
  <si>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</si>
  <si>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</si>
  <si>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</si>
  <si>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</si>
  <si>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</si>
  <si>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</si>
  <si>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</si>
  <si>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</si>
  <si>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</si>
  <si>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</si>
  <si>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</si>
  <si>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</si>
  <si>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</si>
  <si>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</si>
  <si>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</si>
  <si>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</si>
  <si>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</si>
  <si>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</si>
  <si>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</si>
  <si>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</si>
  <si>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</si>
  <si>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</si>
  <si>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</si>
  <si>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</si>
  <si>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</si>
  <si>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</si>
  <si>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</si>
  <si>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</si>
  <si>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</si>
  <si>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</si>
  <si>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</si>
  <si>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</si>
  <si>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</si>
  <si>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</si>
  <si>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</si>
  <si>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</si>
  <si>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</si>
  <si>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</si>
  <si>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</si>
  <si>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</si>
  <si>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</si>
  <si>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</si>
  <si>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</si>
  <si>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</si>
  <si>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</si>
  <si>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</si>
  <si>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</si>
  <si>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</si>
  <si>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</si>
  <si>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</si>
  <si>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</si>
  <si>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</si>
  <si>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</si>
  <si>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</si>
  <si>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</si>
  <si>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</si>
  <si>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</si>
  <si>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</si>
  <si>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</si>
  <si>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</si>
  <si>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</si>
  <si>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</si>
  <si>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</si>
  <si>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</si>
  <si>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</si>
  <si>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</si>
  <si>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</si>
  <si>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</si>
  <si>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</si>
  <si>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</si>
  <si>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</si>
  <si>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</si>
  <si>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</si>
  <si>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</si>
  <si>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</si>
  <si>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</si>
  <si>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</si>
  <si>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</si>
  <si>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</si>
  <si>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</si>
  <si>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</si>
  <si>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</si>
  <si>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</si>
  <si>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</si>
  <si>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</si>
  <si>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</si>
  <si>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</si>
  <si>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</si>
  <si>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</si>
  <si>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</si>
  <si>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</si>
  <si>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</si>
  <si>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</si>
  <si>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</si>
  <si>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</si>
  <si>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</si>
  <si>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</si>
  <si>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</si>
  <si>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</si>
  <si>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</si>
  <si>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</si>
  <si>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</si>
  <si>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</si>
  <si>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</si>
  <si>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</si>
  <si>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</si>
  <si>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</si>
  <si>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</si>
  <si>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</si>
  <si>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</si>
  <si>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</si>
  <si>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</si>
  <si>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</si>
  <si>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</si>
  <si>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</si>
  <si>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</si>
  <si>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</si>
  <si>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</si>
  <si>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</si>
  <si>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</si>
  <si>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</si>
  <si>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</si>
  <si>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</si>
  <si>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</si>
  <si>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</si>
  <si>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</si>
  <si>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</si>
  <si>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</si>
  <si>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</si>
  <si>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</si>
  <si>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</si>
  <si>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</si>
  <si>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</si>
  <si>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</si>
  <si>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</si>
  <si>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</si>
  <si>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</si>
  <si>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</si>
  <si>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</si>
  <si>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</si>
  <si>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</si>
  <si>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</si>
  <si>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</si>
  <si>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</si>
  <si>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</si>
  <si>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</si>
  <si>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</si>
  <si>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</si>
  <si>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</si>
  <si>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</si>
  <si>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</si>
  <si>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</si>
  <si>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</si>
  <si>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</si>
  <si>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</si>
  <si>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</si>
  <si>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</si>
  <si>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</si>
  <si>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</si>
  <si>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</si>
  <si>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</si>
  <si>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</si>
  <si>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</si>
  <si>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</si>
  <si>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</si>
  <si>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</si>
  <si>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</si>
  <si>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</si>
  <si>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</si>
  <si>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</si>
  <si>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</si>
  <si>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</si>
  <si>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</si>
  <si>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</si>
  <si>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</si>
  <si>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</si>
  <si>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</si>
  <si>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</si>
  <si>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</si>
  <si>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</si>
  <si>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</si>
  <si>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</si>
  <si>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</si>
  <si>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</si>
  <si>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</si>
  <si>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</si>
  <si>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</si>
  <si>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</si>
  <si>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</si>
  <si>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</si>
  <si>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</si>
  <si>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</si>
  <si>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</si>
  <si>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</si>
  <si>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</si>
  <si>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</si>
  <si>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</si>
  <si>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</si>
  <si>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</si>
  <si>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</si>
  <si>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</si>
  <si>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</si>
  <si>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</si>
  <si>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</si>
  <si>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</si>
  <si>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</si>
  <si>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</si>
  <si>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</si>
  <si>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</si>
  <si>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</si>
  <si>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</si>
  <si>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</si>
  <si>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</si>
  <si>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</si>
  <si>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</si>
  <si>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</si>
  <si>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</si>
  <si>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</si>
  <si>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</si>
  <si>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</si>
  <si>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</si>
  <si>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</si>
  <si>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</si>
  <si>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</si>
  <si>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</si>
  <si>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</si>
  <si>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</si>
  <si>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</si>
  <si>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</si>
  <si>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</si>
  <si>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</si>
  <si>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</si>
  <si>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</si>
  <si>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</si>
  <si>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</si>
  <si>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</si>
  <si>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</si>
  <si>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</si>
  <si>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</si>
  <si>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</si>
  <si>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</si>
  <si>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</si>
  <si>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</si>
  <si>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</si>
  <si>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</si>
  <si>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</si>
  <si>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</si>
  <si>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</si>
  <si>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</si>
  <si>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</si>
  <si>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</si>
  <si>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</si>
  <si>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</si>
  <si>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</si>
  <si>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</si>
  <si>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</si>
  <si>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</si>
  <si>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</si>
  <si>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</si>
  <si>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</si>
  <si>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</si>
  <si>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</si>
  <si>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</si>
  <si>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</si>
  <si>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</si>
  <si>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</si>
  <si>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</si>
  <si>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</si>
  <si>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</si>
  <si>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</si>
  <si>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</si>
  <si>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</si>
  <si>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</si>
  <si>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</si>
  <si>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</si>
  <si>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</si>
  <si>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</si>
  <si>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</si>
  <si>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</si>
  <si>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</si>
  <si>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</si>
  <si>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</si>
  <si>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</si>
  <si>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</si>
  <si>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</si>
  <si>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</si>
  <si>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</si>
  <si>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</si>
  <si>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</si>
  <si>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</si>
  <si>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</si>
  <si>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</si>
  <si>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</si>
  <si>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</si>
  <si>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</si>
  <si>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</si>
  <si>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</si>
  <si>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</si>
  <si>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</si>
  <si>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</si>
  <si>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</si>
  <si>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</si>
  <si>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</si>
  <si>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</si>
  <si>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</si>
  <si>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</si>
  <si>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</si>
  <si>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</si>
  <si>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</si>
  <si>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</si>
  <si>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</si>
  <si>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</si>
  <si>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</si>
  <si>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</si>
  <si>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</si>
  <si>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</si>
  <si>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</si>
  <si>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</si>
  <si>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</si>
  <si>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</si>
  <si>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</si>
  <si>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</si>
  <si>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</si>
  <si>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</si>
  <si>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</si>
  <si>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</si>
  <si>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</si>
  <si>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</si>
  <si>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</si>
  <si>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</si>
  <si>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</si>
  <si>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</si>
  <si>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</si>
  <si>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</si>
  <si>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</si>
  <si>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</si>
  <si>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</si>
  <si>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</si>
  <si>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</si>
  <si>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</si>
  <si>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</si>
  <si>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</si>
  <si>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</si>
  <si>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</si>
  <si>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</si>
  <si>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</si>
  <si>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</si>
  <si>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</si>
  <si>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</si>
  <si>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</si>
  <si>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</si>
  <si>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</si>
  <si>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</si>
  <si>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</si>
  <si>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</si>
  <si>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</si>
  <si>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</si>
  <si>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</si>
  <si>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</si>
  <si>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</si>
  <si>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</si>
  <si>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</si>
  <si>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</si>
  <si>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</si>
  <si>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</si>
  <si>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</si>
  <si>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</si>
  <si>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</si>
  <si>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</si>
  <si>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</si>
  <si>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</si>
  <si>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</si>
  <si>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</si>
  <si>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</si>
  <si>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</si>
  <si>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</si>
  <si>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</si>
  <si>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</si>
  <si>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</si>
  <si>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</si>
  <si>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</si>
  <si>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</si>
  <si>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</si>
  <si>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</si>
  <si>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</si>
  <si>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</si>
  <si>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</si>
  <si>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</si>
  <si>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</si>
  <si>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</si>
  <si>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</si>
  <si>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</si>
  <si>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</si>
  <si>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</si>
  <si>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</si>
  <si>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</si>
  <si>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</si>
  <si>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</si>
  <si>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</si>
  <si>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</si>
  <si>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</si>
  <si>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</si>
  <si>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</si>
  <si>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</si>
  <si>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</si>
  <si>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</si>
  <si>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</si>
  <si>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</si>
  <si>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</si>
  <si>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</si>
  <si>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</si>
  <si>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</si>
  <si>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</si>
  <si>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</si>
  <si>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</si>
  <si>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</si>
  <si>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</si>
  <si>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</si>
  <si>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</si>
  <si>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</si>
  <si>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</si>
  <si>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</si>
  <si>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</si>
  <si>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</si>
  <si>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</si>
  <si>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</si>
  <si>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</si>
  <si>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</si>
  <si>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</si>
  <si>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</si>
  <si>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</si>
  <si>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</si>
  <si>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</si>
  <si>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</si>
  <si>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</si>
  <si>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</si>
  <si>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</si>
  <si>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</si>
  <si>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</si>
  <si>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</si>
  <si>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</si>
  <si>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</si>
  <si>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</si>
  <si>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</si>
  <si>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</si>
  <si>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</si>
  <si>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</si>
  <si>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</si>
  <si>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</si>
  <si>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</si>
  <si>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</si>
  <si>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</si>
  <si>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</si>
  <si>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</si>
  <si>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</si>
  <si>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</si>
  <si>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</si>
  <si>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</si>
  <si>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</si>
  <si>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</si>
  <si>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</si>
  <si>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</si>
  <si>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</si>
  <si>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</si>
  <si>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</si>
  <si>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</si>
  <si>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</si>
  <si>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</si>
  <si>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</si>
  <si>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</si>
  <si>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</si>
  <si>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</si>
  <si>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</si>
  <si>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</si>
  <si>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</si>
  <si>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</si>
  <si>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</si>
  <si>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</si>
  <si>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</si>
  <si>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</si>
  <si>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</si>
  <si>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</si>
  <si>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</si>
  <si>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</si>
  <si>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</si>
  <si>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</si>
  <si>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</si>
  <si>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</si>
  <si>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</si>
  <si>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</si>
  <si>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</si>
  <si>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</si>
  <si>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</si>
  <si>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</si>
  <si>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</si>
  <si>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</si>
  <si>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</si>
  <si>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</si>
  <si>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</si>
  <si>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</si>
  <si>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</si>
  <si>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</si>
  <si>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</si>
  <si>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</si>
  <si>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</si>
  <si>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</si>
  <si>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</si>
  <si>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</si>
  <si>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</si>
  <si>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</si>
  <si>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</si>
  <si>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</si>
  <si>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</si>
  <si>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</si>
  <si>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</si>
  <si>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</si>
  <si>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</si>
  <si>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</si>
  <si>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</si>
  <si>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</si>
  <si>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</si>
  <si>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</si>
  <si>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</si>
  <si>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</si>
  <si>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</si>
  <si>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</si>
  <si>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</si>
  <si>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</si>
  <si>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</si>
  <si>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</si>
  <si>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</si>
  <si>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</si>
  <si>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</si>
  <si>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</si>
  <si>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</si>
  <si>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</si>
  <si>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</si>
  <si>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</si>
  <si>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</si>
  <si>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</si>
  <si>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</si>
  <si>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</si>
  <si>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</si>
  <si>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</si>
  <si>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</si>
  <si>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</si>
  <si>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</si>
  <si>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</si>
  <si>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</si>
  <si>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</si>
  <si>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</si>
  <si>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</si>
  <si>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</si>
  <si>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</si>
  <si>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</si>
  <si>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</si>
  <si>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</si>
  <si>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</si>
  <si>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</si>
  <si>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</si>
  <si>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</si>
  <si>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</si>
  <si>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</si>
  <si>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</si>
  <si>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</si>
  <si>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</si>
  <si>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</si>
  <si>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</si>
  <si>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</si>
  <si>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</si>
  <si>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</si>
  <si>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</si>
  <si>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</si>
  <si>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</si>
  <si>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</si>
  <si>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</si>
  <si>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</si>
  <si>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</si>
  <si>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</si>
  <si>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</si>
  <si>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</si>
  <si>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</si>
  <si>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</si>
  <si>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</si>
  <si>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</si>
  <si>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</si>
  <si>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</si>
  <si>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</si>
  <si>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</si>
  <si>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</si>
  <si>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</si>
  <si>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</si>
  <si>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</si>
  <si>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</si>
  <si>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</si>
  <si>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</si>
  <si>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</si>
  <si>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</si>
  <si>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</si>
  <si>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</si>
  <si>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</si>
  <si>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</si>
  <si>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</si>
  <si>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</si>
  <si>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</si>
  <si>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</si>
  <si>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</si>
  <si>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</si>
  <si>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</si>
  <si>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</si>
  <si>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</si>
  <si>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</si>
  <si>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</si>
  <si>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</si>
  <si>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</si>
  <si>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</si>
  <si>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</si>
  <si>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</si>
  <si>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</si>
  <si>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</si>
  <si>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</si>
  <si>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</si>
  <si>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</si>
  <si>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</si>
  <si>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</si>
  <si>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</si>
  <si>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</si>
  <si>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</si>
  <si>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</si>
  <si>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</si>
  <si>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</si>
  <si>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</si>
  <si>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</si>
  <si>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</si>
  <si>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</si>
  <si>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</si>
  <si>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</si>
  <si>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</si>
  <si>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</si>
  <si>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</si>
  <si>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</si>
  <si>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</si>
  <si>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</si>
  <si>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</si>
  <si>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</si>
  <si>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</si>
  <si>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</si>
  <si>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</si>
  <si>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</si>
  <si>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</si>
  <si>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</si>
  <si>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</si>
  <si>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</si>
  <si>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</si>
  <si>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</si>
  <si>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</si>
  <si>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</si>
  <si>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</si>
  <si>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</si>
  <si>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</si>
  <si>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</si>
  <si>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</si>
  <si>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</si>
  <si>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</si>
  <si>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</si>
  <si>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</si>
  <si>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</si>
  <si>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</si>
  <si>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</si>
  <si>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</si>
  <si>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</si>
  <si>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</si>
  <si>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</si>
  <si>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</si>
  <si>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</si>
  <si>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</si>
  <si>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</si>
  <si>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</si>
  <si>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</si>
  <si>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</si>
  <si>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</si>
  <si>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</si>
  <si>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</si>
  <si>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</si>
  <si>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</si>
  <si>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</si>
  <si>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</si>
  <si>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</si>
  <si>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</si>
  <si>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</si>
  <si>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</si>
  <si>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</si>
  <si>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</si>
  <si>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</si>
  <si>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</si>
  <si>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</si>
  <si>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</si>
  <si>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</si>
  <si>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</si>
  <si>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</si>
  <si>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</si>
  <si>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</si>
  <si>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</si>
  <si>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</si>
  <si>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</si>
  <si>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</si>
  <si>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</si>
  <si>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</si>
  <si>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</si>
  <si>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</si>
  <si>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</si>
  <si>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</si>
  <si>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</si>
  <si>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</si>
  <si>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</si>
  <si>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</si>
  <si>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</si>
  <si>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</si>
  <si>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</si>
  <si>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</si>
  <si>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</si>
  <si>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</si>
  <si>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</si>
  <si>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</si>
  <si>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</si>
  <si>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</si>
  <si>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</si>
  <si>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</si>
  <si>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</si>
  <si>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</si>
  <si>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</si>
  <si>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</si>
  <si>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</si>
  <si>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</si>
  <si>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</si>
  <si>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</si>
  <si>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</si>
  <si>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</si>
  <si>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</si>
  <si>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</si>
  <si>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</si>
  <si>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</si>
  <si>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</si>
  <si>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</si>
  <si>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</si>
  <si>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</si>
  <si>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</si>
  <si>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</si>
  <si>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</si>
  <si>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</si>
  <si>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</si>
  <si>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</si>
  <si>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</si>
  <si>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</si>
  <si>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</si>
  <si>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</si>
  <si>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</si>
  <si>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</si>
  <si>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</si>
  <si>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</si>
  <si>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</si>
  <si>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</si>
  <si>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</si>
  <si>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</si>
  <si>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</si>
  <si>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</si>
  <si>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</si>
  <si>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</si>
  <si>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</si>
  <si>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</si>
  <si>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</si>
  <si>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</si>
  <si>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</si>
  <si>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</si>
  <si>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</si>
  <si>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</si>
  <si>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</si>
  <si>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</si>
  <si>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</si>
  <si>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</si>
  <si>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</si>
  <si>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</si>
  <si>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</si>
  <si>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</si>
  <si>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</si>
  <si>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</si>
  <si>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</si>
  <si>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</si>
  <si>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</si>
  <si>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</si>
  <si>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</si>
  <si>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</si>
  <si>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</si>
  <si>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</si>
  <si>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</si>
  <si>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</si>
  <si>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</si>
  <si>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</si>
  <si>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</si>
  <si>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</si>
  <si>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</si>
  <si>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</si>
  <si>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</si>
  <si>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</si>
  <si>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</si>
  <si>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</si>
  <si>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</si>
  <si>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</si>
  <si>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</si>
  <si>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</si>
  <si>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</si>
  <si>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</si>
  <si>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</si>
  <si>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</si>
  <si>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</si>
  <si>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</si>
  <si>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</si>
  <si>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</si>
  <si>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</si>
  <si>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</si>
  <si>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</si>
  <si>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</si>
  <si>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</si>
  <si>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</si>
  <si>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</si>
  <si>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</si>
  <si>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</si>
  <si>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</si>
  <si>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</si>
  <si>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</si>
  <si>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</si>
  <si>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</si>
  <si>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</si>
  <si>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</si>
  <si>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</si>
  <si>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</si>
  <si>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</si>
  <si>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</si>
  <si>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</si>
  <si>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</si>
  <si>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</si>
  <si>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</si>
  <si>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</si>
  <si>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</si>
  <si>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</si>
  <si>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</si>
  <si>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</si>
  <si>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</si>
  <si>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</si>
  <si>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</si>
  <si>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</si>
  <si>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</si>
  <si>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</si>
  <si>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</si>
  <si>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</si>
  <si>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</si>
  <si>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</si>
  <si>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</si>
  <si>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</si>
  <si>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</si>
  <si>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</si>
  <si>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</si>
  <si>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</si>
  <si>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</si>
  <si>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</si>
  <si>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</si>
  <si>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</si>
  <si>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</si>
  <si>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</si>
  <si>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</si>
  <si>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</si>
  <si>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</si>
  <si>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</si>
  <si>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</si>
  <si>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</si>
  <si>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</si>
  <si>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</si>
  <si>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</si>
  <si>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</si>
  <si>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</si>
  <si>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</si>
  <si>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</si>
  <si>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</si>
  <si>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</si>
  <si>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</si>
  <si>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</si>
  <si>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</si>
  <si>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</si>
  <si>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</si>
  <si>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</si>
  <si>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</si>
  <si>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</si>
  <si>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</si>
  <si>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</si>
  <si>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</si>
  <si>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</si>
  <si>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</si>
  <si>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</si>
  <si>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</si>
  <si>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</si>
  <si>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</si>
  <si>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</si>
  <si>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</si>
  <si>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</si>
  <si>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</si>
  <si>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</si>
  <si>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</si>
  <si>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</si>
  <si>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</si>
  <si>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</si>
  <si>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</si>
  <si>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</si>
  <si>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</si>
  <si>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</si>
  <si>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</si>
  <si>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</si>
  <si>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</si>
  <si>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</si>
  <si>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</si>
  <si>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</si>
  <si>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</si>
  <si>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</si>
  <si>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</si>
  <si>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</si>
  <si>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</si>
  <si>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</si>
  <si>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</si>
  <si>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</si>
  <si>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</si>
  <si>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</si>
  <si>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</si>
  <si>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</si>
  <si>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</si>
  <si>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</si>
  <si>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</si>
  <si>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</si>
  <si>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</si>
  <si>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</si>
  <si>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</si>
  <si>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</si>
  <si>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</si>
  <si>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</si>
  <si>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</si>
  <si>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</si>
  <si>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</si>
  <si>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</si>
  <si>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</si>
  <si>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</si>
  <si>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</si>
  <si>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</si>
  <si>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</si>
  <si>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</si>
  <si>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</si>
  <si>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</si>
  <si>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</si>
  <si>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</si>
  <si>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</si>
  <si>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</si>
  <si>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</si>
  <si>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</si>
  <si>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</si>
  <si>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</si>
  <si>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</si>
  <si>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</si>
  <si>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</si>
  <si>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</si>
  <si>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</si>
  <si>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</si>
  <si>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</si>
  <si>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</si>
  <si>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</si>
  <si>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</si>
  <si>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</si>
  <si>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</si>
  <si>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</si>
  <si>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</si>
  <si>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</si>
  <si>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</si>
  <si>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</si>
  <si>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</si>
  <si>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</si>
  <si>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</si>
  <si>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</si>
  <si>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</si>
  <si>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</si>
  <si>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</si>
  <si>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</si>
  <si>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</si>
  <si>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</si>
  <si>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</si>
  <si>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</si>
  <si>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</si>
  <si>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</si>
  <si>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</si>
  <si>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</si>
  <si>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</si>
  <si>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</si>
  <si>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</si>
  <si>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</si>
  <si>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</si>
  <si>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</si>
  <si>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</si>
  <si>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</si>
  <si>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</si>
  <si>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</si>
  <si>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</si>
  <si>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</si>
  <si>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</si>
  <si>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</si>
  <si>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</si>
  <si>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</si>
  <si>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</si>
  <si>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</si>
  <si>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</si>
  <si>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</si>
  <si>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</si>
  <si>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</si>
  <si>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</si>
  <si>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</si>
  <si>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</si>
  <si>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</si>
  <si>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</si>
  <si>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</si>
  <si>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</si>
  <si>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</si>
  <si>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</si>
  <si>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</si>
  <si>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</si>
  <si>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</si>
  <si>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</si>
  <si>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</si>
  <si>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</si>
  <si>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</si>
  <si>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</si>
  <si>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</si>
  <si>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</si>
  <si>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</si>
  <si>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</si>
  <si>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</si>
  <si>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</si>
  <si>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</si>
  <si>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</si>
  <si>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</si>
  <si>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</si>
  <si>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</si>
  <si>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</si>
  <si>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</si>
  <si>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</si>
  <si>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</si>
  <si>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</si>
  <si>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</si>
  <si>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</si>
  <si>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</si>
  <si>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</si>
  <si>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</si>
  <si>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</si>
  <si>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</si>
  <si>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</si>
  <si>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</si>
  <si>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</si>
  <si>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</si>
  <si>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</si>
  <si>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</si>
  <si>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</si>
  <si>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</si>
  <si>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</si>
  <si>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</si>
  <si>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</si>
  <si>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</si>
  <si>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</si>
  <si>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</si>
  <si>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</si>
  <si>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</si>
  <si>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</si>
  <si>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</si>
  <si>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</si>
  <si>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</si>
  <si>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</si>
  <si>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</si>
  <si>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</si>
  <si>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</si>
  <si>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</si>
  <si>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</si>
  <si>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</si>
  <si>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</si>
  <si>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</si>
  <si>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</si>
  <si>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</si>
  <si>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</si>
  <si>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</si>
  <si>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</si>
  <si>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</si>
  <si>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</si>
  <si>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</si>
  <si>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</si>
  <si>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</si>
  <si>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</si>
  <si>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</si>
  <si>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</si>
  <si>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</si>
  <si>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</si>
  <si>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</si>
  <si>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</si>
  <si>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</si>
  <si>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</si>
  <si>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</si>
  <si>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</si>
  <si>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</si>
  <si>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</si>
  <si>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</si>
  <si>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</si>
  <si>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</si>
  <si>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</si>
  <si>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</si>
  <si>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</si>
  <si>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</si>
  <si>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</si>
  <si>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</si>
  <si>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</si>
  <si>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</si>
  <si>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</si>
  <si>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</si>
  <si>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</si>
  <si>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</si>
  <si>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</si>
  <si>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</si>
  <si>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</si>
  <si>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</si>
  <si>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</si>
  <si>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</si>
  <si>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</si>
  <si>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</si>
  <si>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</si>
  <si>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</si>
  <si>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</si>
  <si>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</si>
  <si>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</si>
  <si>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</si>
  <si>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</si>
  <si>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</si>
  <si>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</si>
  <si>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</si>
  <si>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</si>
  <si>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</si>
  <si>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</si>
  <si>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</si>
  <si>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</si>
  <si>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</si>
  <si>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</si>
  <si>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</si>
  <si>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</si>
  <si>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</si>
  <si>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</si>
  <si>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</si>
  <si>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</si>
  <si>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</si>
  <si>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</si>
  <si>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</si>
  <si>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</si>
  <si>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</si>
  <si>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</si>
  <si>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</si>
  <si>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</si>
  <si>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</si>
  <si>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</si>
  <si>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</si>
  <si>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</si>
  <si>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</si>
  <si>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</si>
  <si>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</si>
  <si>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</si>
  <si>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</si>
  <si>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</si>
  <si>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</si>
  <si>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</si>
  <si>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</si>
  <si>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</si>
  <si>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</si>
  <si>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</si>
  <si>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</si>
  <si>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</si>
  <si>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</si>
  <si>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</si>
  <si>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</si>
  <si>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</si>
  <si>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</si>
  <si>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</si>
  <si>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</si>
  <si>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</si>
  <si>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</si>
  <si>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</si>
  <si>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</si>
  <si>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</si>
  <si>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</si>
  <si>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</si>
  <si>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</si>
  <si>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</si>
  <si>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</si>
  <si>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</si>
  <si>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</si>
  <si>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</si>
  <si>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</si>
  <si>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</si>
  <si>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</si>
  <si>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</si>
  <si>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</si>
  <si>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</si>
  <si>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</si>
  <si>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</si>
  <si>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</si>
  <si>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</si>
  <si>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</si>
  <si>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</si>
  <si>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</si>
  <si>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</si>
  <si>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</si>
  <si>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</si>
  <si>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</si>
  <si>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</si>
  <si>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</si>
  <si>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</si>
  <si>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</si>
  <si>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</si>
  <si>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</si>
  <si>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</si>
  <si>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</si>
  <si>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</si>
  <si>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</si>
  <si>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</si>
  <si>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</si>
  <si>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</si>
  <si>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</si>
  <si>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</si>
  <si>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</si>
  <si>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</si>
  <si>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</si>
  <si>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</si>
  <si>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</si>
  <si>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</si>
  <si>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</si>
  <si>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</si>
  <si>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</si>
  <si>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</si>
  <si>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</si>
  <si>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</si>
  <si>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</si>
  <si>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</si>
  <si>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</si>
  <si>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</si>
  <si>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</si>
  <si>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</si>
  <si>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</si>
  <si>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</si>
  <si>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</si>
  <si>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</si>
  <si>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</si>
  <si>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</si>
  <si>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</si>
  <si>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</si>
  <si>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</si>
  <si>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</si>
  <si>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</si>
  <si>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</si>
  <si>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</si>
  <si>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</si>
  <si>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</si>
  <si>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</si>
  <si>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</si>
  <si>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</si>
  <si>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</si>
  <si>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</si>
  <si>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</si>
  <si>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</si>
  <si>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</si>
  <si>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</si>
  <si>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</si>
  <si>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</si>
  <si>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</si>
  <si>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</si>
  <si>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</si>
  <si>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</si>
  <si>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</si>
  <si>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</si>
  <si>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</si>
  <si>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</si>
  <si>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</si>
  <si>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</si>
  <si>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</si>
  <si>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</si>
  <si>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</si>
  <si>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</si>
  <si>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</si>
  <si>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</si>
  <si>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</si>
  <si>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</si>
  <si>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</si>
  <si>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</si>
  <si>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</si>
  <si>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</si>
  <si>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</si>
  <si>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</si>
  <si>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</si>
  <si>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</si>
  <si>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</si>
  <si>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</si>
  <si>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</si>
  <si>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</si>
  <si>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</si>
  <si>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</si>
  <si>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</si>
  <si>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</si>
  <si>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</si>
  <si>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</si>
  <si>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</si>
  <si>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</si>
  <si>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</si>
  <si>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</si>
  <si>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</si>
  <si>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</si>
  <si>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</si>
  <si>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</si>
  <si>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</si>
  <si>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</si>
  <si>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</si>
  <si>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</si>
  <si>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</si>
  <si>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</si>
  <si>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</si>
  <si>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</si>
  <si>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</si>
  <si>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</si>
  <si>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</si>
  <si>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</si>
  <si>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</si>
  <si>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</si>
  <si>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</si>
  <si>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</si>
  <si>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</si>
  <si>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</si>
  <si>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</si>
  <si>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</si>
  <si>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</si>
  <si>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</si>
  <si>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</si>
  <si>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</si>
  <si>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</si>
  <si>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</si>
  <si>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</si>
  <si>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</si>
  <si>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</si>
  <si>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</si>
  <si>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</si>
  <si>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</si>
  <si>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</si>
  <si>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</si>
  <si>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</si>
  <si>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</si>
  <si>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</si>
  <si>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</si>
  <si>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</si>
  <si>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</si>
  <si>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</si>
  <si>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</si>
  <si>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</si>
  <si>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</si>
  <si>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</si>
  <si>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</si>
  <si>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</si>
  <si>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</si>
  <si>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</si>
  <si>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</si>
  <si>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</si>
  <si>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</si>
  <si>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</si>
  <si>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</si>
  <si>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</si>
  <si>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</si>
  <si>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</si>
  <si>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</si>
  <si>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</si>
  <si>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</si>
  <si>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</si>
  <si>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</si>
  <si>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</si>
  <si>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</si>
  <si>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</si>
  <si>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</si>
  <si>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</si>
  <si>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</si>
  <si>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</si>
  <si>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</si>
  <si>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</si>
  <si>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</si>
  <si>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</si>
  <si>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</si>
  <si>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</si>
  <si>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</si>
  <si>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</si>
  <si>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</si>
  <si>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</si>
  <si>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</si>
  <si>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</si>
  <si>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</si>
  <si>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</si>
  <si>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</si>
  <si>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</si>
  <si>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</si>
  <si>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</si>
  <si>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</si>
  <si>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</si>
  <si>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</si>
  <si>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</si>
  <si>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</si>
  <si>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</si>
  <si>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</si>
  <si>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</si>
  <si>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</si>
  <si>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</si>
  <si>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</si>
  <si>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</si>
  <si>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</si>
  <si>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</si>
  <si>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</si>
  <si>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</si>
  <si>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</si>
  <si>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</si>
  <si>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</si>
  <si>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</si>
  <si>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</si>
  <si>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</si>
  <si>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</si>
  <si>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</si>
  <si>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</si>
  <si>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</si>
  <si>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</si>
  <si>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</si>
  <si>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</si>
  <si>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</si>
  <si>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</si>
  <si>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</si>
  <si>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</si>
  <si>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</si>
  <si>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</si>
  <si>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</si>
  <si>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</si>
  <si>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</si>
  <si>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</si>
  <si>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</si>
  <si>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</si>
  <si>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</si>
  <si>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</si>
  <si>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</si>
  <si>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</si>
  <si>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</si>
  <si>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</si>
  <si>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</si>
  <si>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</si>
  <si>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</si>
  <si>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</si>
  <si>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</si>
  <si>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</si>
  <si>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</si>
  <si>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</si>
  <si>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</si>
  <si>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</si>
  <si>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</si>
  <si>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</si>
  <si>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</si>
  <si>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</si>
  <si>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</si>
  <si>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</si>
  <si>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</si>
  <si>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</si>
  <si>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</si>
  <si>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</si>
  <si>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</si>
  <si>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</si>
  <si>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</si>
  <si>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</si>
  <si>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</si>
  <si>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</si>
  <si>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</si>
  <si>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</si>
  <si>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</si>
  <si>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</si>
  <si>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</si>
  <si>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</si>
  <si>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</si>
  <si>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</si>
  <si>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</si>
  <si>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</si>
  <si>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</si>
  <si>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</si>
  <si>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</si>
  <si>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</si>
  <si>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</si>
  <si>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</si>
  <si>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</si>
  <si>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</si>
  <si>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</si>
  <si>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</si>
  <si>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</si>
  <si>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</si>
  <si>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</si>
  <si>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</si>
  <si>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</si>
  <si>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</si>
  <si>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</si>
  <si>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</si>
  <si>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</si>
  <si>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total</t>
  </si>
  <si>
    <t>max</t>
  </si>
  <si>
    <t>arm1</t>
  </si>
  <si>
    <t>arm2</t>
  </si>
  <si>
    <t>arm3</t>
  </si>
  <si>
    <t>armNat</t>
  </si>
  <si>
    <t>PodMon</t>
  </si>
  <si>
    <t>ArMarc</t>
  </si>
  <si>
    <t>&lt;- esto está mejor que la original</t>
  </si>
  <si>
    <t>Acum</t>
  </si>
  <si>
    <t>todo/2</t>
  </si>
  <si>
    <t>&lt;-arm. Arcana funciona mejor asi</t>
  </si>
  <si>
    <t>&gt; CONJUROS, POD. PSI</t>
  </si>
  <si>
    <t>Sumado sin Inc. Hab (para T.mov)</t>
  </si>
  <si>
    <t>HD final</t>
  </si>
  <si>
    <t>CosteAcumKi</t>
  </si>
  <si>
    <t>CosteDesconvocar</t>
  </si>
  <si>
    <t>CosteSubterfugio</t>
  </si>
  <si>
    <t>CosteCreativas</t>
  </si>
  <si>
    <t>CosteCat2</t>
  </si>
  <si>
    <t>CosteCat3</t>
  </si>
  <si>
    <t>CosteCat1</t>
  </si>
  <si>
    <t>CosteCat5</t>
  </si>
  <si>
    <t>CosteCat4</t>
  </si>
  <si>
    <t>AMONOO</t>
  </si>
  <si>
    <t>2mayor</t>
  </si>
  <si>
    <t>3mayor</t>
  </si>
  <si>
    <t>TA total</t>
  </si>
  <si>
    <t>Armadura Natural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</si>
</sst>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s>
  <fills count="59">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91">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107" xfId="0" applyFont="1" applyFill="1" applyBorder="1" applyAlignment="1" applyProtection="1"/>
    <xf numFmtId="0" fontId="154" fillId="13" borderId="0" xfId="0" applyFont="1" applyFill="1" applyProtection="1"/>
    <xf numFmtId="0" fontId="155"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3" fillId="9" borderId="350"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1" xfId="0" applyNumberFormat="1" applyFont="1" applyFill="1" applyBorder="1" applyAlignment="1" applyProtection="1">
      <alignment horizontal="center" vertical="center"/>
    </xf>
    <xf numFmtId="0" fontId="14" fillId="4" borderId="321"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1" xfId="0" applyNumberFormat="1" applyFont="1" applyFill="1" applyBorder="1" applyAlignment="1" applyProtection="1">
      <alignment horizontal="center" vertical="center"/>
    </xf>
    <xf numFmtId="49" fontId="14" fillId="57" borderId="352"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4"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1"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4" borderId="14" xfId="0" applyFont="1" applyFill="1" applyBorder="1" applyAlignment="1" applyProtection="1">
      <alignment horizontal="left"/>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46"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7" fillId="56" borderId="331" xfId="0" applyFont="1" applyFill="1" applyBorder="1" applyAlignment="1">
      <alignment horizontal="right" vertical="center" wrapText="1"/>
    </xf>
    <xf numFmtId="0" fontId="147"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5" fillId="54" borderId="99" xfId="0" applyFont="1" applyFill="1" applyBorder="1" applyAlignment="1">
      <alignment horizontal="center" vertical="center" wrapText="1"/>
    </xf>
    <xf numFmtId="0" fontId="145" fillId="54" borderId="100"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xf numFmtId="0" fontId="29" fillId="4" borderId="53"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vertical="center"/>
    </xf>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61" xfId="0" applyFont="1" applyFill="1" applyBorder="1" applyAlignment="1" applyProtection="1"/>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37" fillId="8" borderId="0" xfId="0" applyFont="1" applyFill="1" applyAlignment="1" applyProtection="1">
      <alignment wrapText="1"/>
    </xf>
    <xf numFmtId="0" fontId="137" fillId="4" borderId="13" xfId="0" applyFont="1" applyFill="1" applyBorder="1" applyAlignment="1" applyProtection="1">
      <alignment wrapText="1"/>
    </xf>
    <xf numFmtId="0" fontId="158" fillId="4" borderId="0" xfId="0" applyFont="1" applyFill="1" applyBorder="1" applyAlignment="1" applyProtection="1"/>
    <xf numFmtId="0" fontId="137" fillId="4" borderId="15" xfId="0" applyFont="1" applyFill="1" applyBorder="1" applyAlignment="1" applyProtection="1">
      <alignment wrapText="1"/>
    </xf>
    <xf numFmtId="0" fontId="159" fillId="4" borderId="0" xfId="0" applyFont="1" applyFill="1" applyBorder="1" applyAlignment="1" applyProtection="1">
      <alignment vertical="center" textRotation="90"/>
    </xf>
    <xf numFmtId="0" fontId="156" fillId="4" borderId="0" xfId="0" applyFont="1" applyFill="1" applyBorder="1" applyAlignment="1" applyProtection="1">
      <alignment vertical="center"/>
    </xf>
    <xf numFmtId="0" fontId="137" fillId="4" borderId="0" xfId="0" applyFont="1" applyFill="1" applyBorder="1" applyAlignment="1" applyProtection="1"/>
    <xf numFmtId="0" fontId="156" fillId="4" borderId="0" xfId="0" applyFont="1" applyFill="1" applyBorder="1" applyAlignment="1" applyProtection="1">
      <alignment horizontal="center" vertical="center"/>
    </xf>
    <xf numFmtId="0" fontId="160" fillId="4" borderId="0" xfId="0" applyFont="1" applyFill="1" applyBorder="1" applyAlignment="1" applyProtection="1">
      <alignment horizontal="center" vertical="center"/>
    </xf>
    <xf numFmtId="0" fontId="157" fillId="4" borderId="0" xfId="0" applyFont="1" applyFill="1" applyBorder="1" applyAlignment="1" applyProtection="1">
      <alignment horizontal="center" vertical="center"/>
    </xf>
    <xf numFmtId="0" fontId="157" fillId="4" borderId="0" xfId="0" applyFont="1" applyFill="1" applyBorder="1" applyAlignment="1" applyProtection="1">
      <alignment vertical="center"/>
    </xf>
    <xf numFmtId="0" fontId="161" fillId="4" borderId="0" xfId="0" applyFont="1" applyFill="1" applyBorder="1" applyAlignment="1" applyProtection="1">
      <alignment horizontal="center" vertical="center"/>
    </xf>
    <xf numFmtId="0" fontId="137" fillId="4" borderId="0" xfId="0" applyFont="1" applyFill="1" applyBorder="1" applyAlignment="1" applyProtection="1">
      <alignment vertical="center"/>
    </xf>
    <xf numFmtId="0" fontId="137" fillId="4" borderId="17" xfId="0" applyFont="1" applyFill="1" applyBorder="1" applyAlignment="1" applyProtection="1">
      <alignment wrapText="1"/>
    </xf>
    <xf numFmtId="0" fontId="137"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62" fillId="23" borderId="268" xfId="0" applyFont="1" applyFill="1" applyBorder="1" applyAlignment="1" applyProtection="1">
      <alignment horizontal="center"/>
    </xf>
    <xf numFmtId="0" fontId="162" fillId="23" borderId="269" xfId="0" applyFont="1" applyFill="1" applyBorder="1" applyAlignment="1" applyProtection="1"/>
    <xf numFmtId="0" fontId="162" fillId="23" borderId="268" xfId="0" applyFont="1" applyFill="1" applyBorder="1" applyAlignment="1" applyProtection="1"/>
    <xf numFmtId="0" fontId="162" fillId="23" borderId="0" xfId="0" applyFont="1" applyFill="1" applyBorder="1" applyAlignment="1" applyProtection="1">
      <alignment horizont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alignment horizontal="center" vertical="center"/>
    </xf>
    <xf numFmtId="0" fontId="38" fillId="13" borderId="107" xfId="0" applyFont="1" applyFill="1" applyBorder="1" applyAlignment="1" applyProtection="1"/>
    <xf numFmtId="0" fontId="38" fillId="13" borderId="103" xfId="0" applyFont="1" applyFill="1" applyBorder="1" applyAlignment="1" applyProtection="1"/>
    <xf numFmtId="0" fontId="163" fillId="4" borderId="0" xfId="0" applyFont="1" applyFill="1" applyAlignment="1" applyProtection="1">
      <alignment horizontal="left"/>
    </xf>
    <xf numFmtId="0" fontId="163"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16" fillId="9" borderId="16" xfId="0" applyFont="1" applyFill="1" applyBorder="1" applyAlignment="1" applyProtection="1">
      <alignment vertical="center"/>
    </xf>
    <xf numFmtId="0" fontId="0" fillId="8" borderId="0" xfId="0" applyFont="1" applyFill="1" applyAlignment="1" applyProtection="1">
      <alignment horizontal="left" wrapText="1"/>
    </xf>
    <xf numFmtId="0" fontId="0" fillId="4" borderId="11" xfId="0" applyFont="1" applyFill="1" applyBorder="1" applyAlignment="1" applyProtection="1">
      <alignment horizontal="left" wrapText="1"/>
    </xf>
    <xf numFmtId="0" fontId="0" fillId="4" borderId="14" xfId="0" applyFont="1" applyFill="1" applyBorder="1" applyAlignment="1" applyProtection="1">
      <alignment horizontal="left" wrapText="1"/>
    </xf>
    <xf numFmtId="0" fontId="0" fillId="8" borderId="16" xfId="0" applyFont="1" applyFill="1" applyBorder="1" applyAlignment="1" applyProtection="1">
      <alignment horizontal="left"/>
    </xf>
    <xf numFmtId="0" fontId="10" fillId="4" borderId="14" xfId="0" applyFont="1" applyFill="1" applyBorder="1" applyAlignment="1" applyProtection="1">
      <alignment horizontal="left"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1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11" dataDxfId="810">
  <autoFilter ref="A14:A25" xr:uid="{00000000-0009-0000-0100-000012000000}"/>
  <tableColumns count="1">
    <tableColumn id="1" xr3:uid="{00000000-0010-0000-0000-000001000000}" name="Habilidad_de_Ataque" dataDxfId="8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8" dataDxfId="807">
  <autoFilter ref="A26:A33" xr:uid="{00000000-0009-0000-0100-000013000000}"/>
  <tableColumns count="1">
    <tableColumn id="1" xr3:uid="{00000000-0010-0000-0100-000001000000}" name="Habilidad_de_Ataque_Completa" dataDxfId="80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05" dataDxfId="804">
  <autoFilter ref="A34:A42" xr:uid="{00000000-0009-0000-0100-000014000000}"/>
  <tableColumns count="1">
    <tableColumn id="1" xr3:uid="{00000000-0010-0000-0200-000001000000}" name="Ataque_Predeterminado" dataDxfId="8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02" dataDxfId="801">
  <autoFilter ref="A43:A54" xr:uid="{00000000-0009-0000-0100-000015000000}"/>
  <tableColumns count="1">
    <tableColumn id="1" xr3:uid="{00000000-0010-0000-0300-000001000000}" name="Habilidad_de_Contraataque" dataDxfId="8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99" dataDxfId="798">
  <autoFilter ref="A55:A61" xr:uid="{00000000-0009-0000-0100-000016000000}"/>
  <tableColumns count="1">
    <tableColumn id="1" xr3:uid="{00000000-0010-0000-0400-000001000000}" name="Maniobras_de_Combate_y_Apuntar" dataDxfId="79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96" dataDxfId="795">
  <autoFilter ref="A62:A65" xr:uid="{00000000-0009-0000-0100-000017000000}"/>
  <tableColumns count="1">
    <tableColumn id="1" xr3:uid="{00000000-0010-0000-0500-000001000000}" name="Maniobras_de_Combate_y_Apuntar_Reales" dataDxfId="7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93" dataDxfId="792">
  <autoFilter ref="A66:A69" xr:uid="{00000000-0009-0000-0100-000018000000}"/>
  <tableColumns count="1">
    <tableColumn id="1" xr3:uid="{00000000-0010-0000-0600-000001000000}" name="Ataque_Indirecto" dataDxfId="7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90" dataDxfId="789">
  <autoFilter ref="A70:A78" xr:uid="{00000000-0009-0000-0100-000019000000}"/>
  <tableColumns count="1">
    <tableColumn id="1" xr3:uid="{00000000-0010-0000-0700-000001000000}" name="Camuflar_Ataque" dataDxfId="7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7" dataDxfId="786">
  <autoFilter ref="A80:A91" xr:uid="{00000000-0009-0000-0100-00001A000000}"/>
  <tableColumns count="1">
    <tableColumn id="1" xr3:uid="{00000000-0010-0000-0800-000001000000}" name="Habilidad_de_Parada" dataDxfId="78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84" dataDxfId="783">
  <autoFilter ref="A92:A99" xr:uid="{00000000-0009-0000-0100-00001B000000}"/>
  <tableColumns count="1">
    <tableColumn id="1" xr3:uid="{00000000-0010-0000-0900-000001000000}" name="Habilidad_de_Parada_Completa" dataDxfId="78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81" dataDxfId="780">
  <autoFilter ref="A100:A111" xr:uid="{00000000-0009-0000-0100-00001C000000}"/>
  <tableColumns count="1">
    <tableColumn id="1" xr3:uid="{00000000-0010-0000-0A00-000001000000}" name="Habilidad_de_Parada_Limitada" dataDxfId="77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8" dataDxfId="777">
  <autoFilter ref="A112:A123" xr:uid="{00000000-0009-0000-0100-00001D000000}"/>
  <tableColumns count="1">
    <tableColumn id="1" xr3:uid="{00000000-0010-0000-0B00-000001000000}" name="Habilidad_de_Esquiva" dataDxfId="77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75" dataDxfId="774">
  <autoFilter ref="A124:A131" xr:uid="{00000000-0009-0000-0100-00001E000000}"/>
  <tableColumns count="1">
    <tableColumn id="1" xr3:uid="{00000000-0010-0000-0C00-000001000000}" name="Habilidad_de_Esquiva_Completa" dataDxfId="7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72" dataDxfId="771">
  <autoFilter ref="A132:A143" xr:uid="{00000000-0009-0000-0100-00001F000000}"/>
  <tableColumns count="1">
    <tableColumn id="1" xr3:uid="{00000000-0010-0000-0D00-000001000000}" name="Habilidad_de_Esquiva_Limitada" dataDxfId="77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69" dataDxfId="768">
  <autoFilter ref="A144:A152" xr:uid="{00000000-0009-0000-0100-000020000000}"/>
  <tableColumns count="1">
    <tableColumn id="1" xr3:uid="{00000000-0010-0000-0E00-000001000000}" name="Defensa_Predeterminada" dataDxfId="76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66" dataDxfId="765">
  <autoFilter ref="A153:A171" xr:uid="{00000000-0009-0000-0100-000021000000}"/>
  <tableColumns count="1">
    <tableColumn id="1" xr3:uid="{00000000-0010-0000-0F00-000001000000}" name="Aumento_de_Daño" dataDxfId="76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63" dataDxfId="762">
  <autoFilter ref="A172:A179" xr:uid="{00000000-0009-0000-0100-000022000000}"/>
  <tableColumns count="1">
    <tableColumn id="1" xr3:uid="{00000000-0010-0000-1000-000001000000}" name="Aumento_de_Daño_Real" dataDxfId="7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60" dataDxfId="759">
  <autoFilter ref="A180:A183" xr:uid="{00000000-0009-0000-0100-000023000000}"/>
  <tableColumns count="1">
    <tableColumn id="1" xr3:uid="{00000000-0010-0000-1100-000001000000}" name="Multiplicador_al_Daño" dataDxfId="75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7" dataDxfId="756">
  <autoFilter ref="A184:A187" xr:uid="{00000000-0009-0000-0100-000024000000}"/>
  <tableColumns count="1">
    <tableColumn id="1" xr3:uid="{00000000-0010-0000-1200-000001000000}" name="Multiplicador_al_Daño_Real" dataDxfId="75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54" dataDxfId="753">
  <autoFilter ref="A188:A195" xr:uid="{00000000-0009-0000-0100-000026000000}"/>
  <tableColumns count="1">
    <tableColumn id="1" xr3:uid="{00000000-0010-0000-1300-000001000000}" name="Sustitución_de_Daño" dataDxfId="75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51" dataDxfId="750">
  <autoFilter ref="A196:A202" xr:uid="{00000000-0009-0000-0100-000027000000}"/>
  <tableColumns count="1">
    <tableColumn id="1" xr3:uid="{00000000-0010-0000-1400-000001000000}" name="Sustitución_de_Daño_Real" dataDxfId="74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8" dataDxfId="747">
  <autoFilter ref="A204:A216" xr:uid="{00000000-0009-0000-0100-000028000000}"/>
  <tableColumns count="1">
    <tableColumn id="1" xr3:uid="{00000000-0010-0000-1500-000001000000}" name="Ataque_Adicional" dataDxfId="74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45" dataDxfId="744">
  <autoFilter ref="A217:A227" xr:uid="{00000000-0009-0000-0100-000029000000}"/>
  <tableColumns count="1">
    <tableColumn id="1" xr3:uid="{00000000-0010-0000-1600-000001000000}" name="Ataque_Adicional_Limitado" dataDxfId="74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42" dataDxfId="741">
  <autoFilter ref="A228:A238" xr:uid="{00000000-0009-0000-0100-00002A000000}"/>
  <tableColumns count="1">
    <tableColumn id="1" xr3:uid="{00000000-0010-0000-1700-000001000000}" name="Defensas_Adicionales" dataDxfId="74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39" dataDxfId="738">
  <autoFilter ref="A239:A249" xr:uid="{00000000-0009-0000-0100-00002B000000}"/>
  <tableColumns count="1">
    <tableColumn id="1" xr3:uid="{00000000-0010-0000-1800-000001000000}" name="Acciones_Adicionales" dataDxfId="73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36" dataDxfId="735">
  <autoFilter ref="A251:A259" xr:uid="{00000000-0009-0000-0100-00002C000000}"/>
  <tableColumns count="1">
    <tableColumn id="1" xr3:uid="{00000000-0010-0000-1900-000001000000}" name="Incrementar_Turno" dataDxfId="73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33" dataDxfId="732">
  <autoFilter ref="A260:A261" xr:uid="{00000000-0009-0000-0100-00002D000000}"/>
  <tableColumns count="1">
    <tableColumn id="1" xr3:uid="{00000000-0010-0000-1A00-000001000000}" name="Recuperar_Acción" dataDxfId="73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30" dataDxfId="729">
  <autoFilter ref="A262:A264" xr:uid="{00000000-0009-0000-0100-00002E000000}"/>
  <tableColumns count="1">
    <tableColumn id="1" xr3:uid="{00000000-0010-0000-1B00-000001000000}" name="Previsión" dataDxfId="72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7" dataDxfId="726">
  <autoFilter ref="A266:A281" xr:uid="{00000000-0009-0000-0100-00002F000000}"/>
  <tableColumns count="1">
    <tableColumn id="1" xr3:uid="{00000000-0010-0000-1C00-000001000000}" name="Ataque_a_Distancia" dataDxfId="72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24" dataDxfId="723">
  <autoFilter ref="A282:A290" xr:uid="{00000000-0009-0000-0100-000030000000}"/>
  <tableColumns count="1">
    <tableColumn id="1" xr3:uid="{00000000-0010-0000-1D00-000001000000}" name="Ataque_a_Distancia_Real" dataDxfId="72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21" dataDxfId="720">
  <autoFilter ref="A291:A302" xr:uid="{00000000-0009-0000-0100-000031000000}"/>
  <tableColumns count="1">
    <tableColumn id="1" xr3:uid="{00000000-0010-0000-1E00-000001000000}" name="Ataque_con_Área" dataDxfId="71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8" dataDxfId="717">
  <autoFilter ref="A303:A311" xr:uid="{00000000-0009-0000-0100-000032000000}"/>
  <tableColumns count="1">
    <tableColumn id="1" xr3:uid="{00000000-0010-0000-1F00-000001000000}" name="Ataque_con_Área_Real" dataDxfId="71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15" dataDxfId="714">
  <autoFilter ref="A312:A320" xr:uid="{00000000-0009-0000-0100-000033000000}"/>
  <tableColumns count="1">
    <tableColumn id="1" xr3:uid="{00000000-0010-0000-2000-000001000000}" name="Parada_en_Área" dataDxfId="71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12" dataDxfId="711">
  <autoFilter ref="A321:A331" xr:uid="{00000000-0009-0000-0100-000034000000}"/>
  <tableColumns count="1">
    <tableColumn id="1" xr3:uid="{00000000-0010-0000-2100-000001000000}" name="Transporte_Automático" dataDxfId="71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09" dataDxfId="708">
  <autoFilter ref="A333:A341" xr:uid="{00000000-0009-0000-0100-000035000000}"/>
  <tableColumns count="1">
    <tableColumn id="1" xr3:uid="{00000000-0010-0000-2200-000001000000}" name="Aumentar_Rotura" dataDxfId="70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06" dataDxfId="705">
  <autoFilter ref="A342:A349" xr:uid="{00000000-0009-0000-0100-000036000000}"/>
  <tableColumns count="1">
    <tableColumn id="1" xr3:uid="{00000000-0010-0000-2300-000001000000}" name="Aumentar_Entereza" dataDxfId="70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03" dataDxfId="702">
  <autoFilter ref="A350:A359" xr:uid="{00000000-0009-0000-0100-000037000000}"/>
  <tableColumns count="1">
    <tableColumn id="1" xr3:uid="{00000000-0010-0000-2400-000001000000}" name="Destruir_Armadura" dataDxfId="70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00" dataDxfId="699">
  <autoFilter ref="A360:A374" xr:uid="{00000000-0009-0000-0100-000038000000}"/>
  <tableColumns count="1">
    <tableColumn id="1" xr3:uid="{00000000-0010-0000-2500-000001000000}" name="Armadura" dataDxfId="69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7" dataDxfId="696">
  <autoFilter ref="A376:A381" xr:uid="{00000000-0009-0000-0100-000039000000}"/>
  <tableColumns count="1">
    <tableColumn id="1" xr3:uid="{00000000-0010-0000-2600-000001000000}" name="Incremento_de_Movimiento" dataDxfId="69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94" dataDxfId="693">
  <autoFilter ref="A382:A388" xr:uid="{00000000-0009-0000-0100-00003A000000}"/>
  <tableColumns count="1">
    <tableColumn id="1" xr3:uid="{00000000-0010-0000-2700-000001000000}" name="Incremento_de_Habilidad" dataDxfId="69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91" dataDxfId="690">
  <autoFilter ref="A389:A397" xr:uid="{00000000-0009-0000-0100-00003B000000}"/>
  <tableColumns count="1">
    <tableColumn id="1" xr3:uid="{00000000-0010-0000-2800-000001000000}" name="Capacidad_Incrementada_AGI" dataDxfId="68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8" dataDxfId="687">
  <autoFilter ref="A398:A406" xr:uid="{00000000-0009-0000-0100-00003C000000}"/>
  <tableColumns count="1">
    <tableColumn id="1" xr3:uid="{00000000-0010-0000-2900-000001000000}" name="Capacidad_Incrementada_FUE" dataDxfId="68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85" dataDxfId="684">
  <autoFilter ref="A407:A415" xr:uid="{00000000-0009-0000-0100-00003D000000}"/>
  <tableColumns count="1">
    <tableColumn id="1" xr3:uid="{00000000-0010-0000-2A00-000001000000}" name="Capacidad_Incrementada_DES" dataDxfId="68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82" dataDxfId="681">
  <autoFilter ref="A416:A427" xr:uid="{00000000-0009-0000-0100-00003E000000}"/>
  <tableColumns count="1">
    <tableColumn id="1" xr3:uid="{00000000-0010-0000-2B00-000001000000}" name="Incremento_de_Resistencia_Física" dataDxfId="68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79" dataDxfId="678">
  <autoFilter ref="A428:A436" xr:uid="{00000000-0009-0000-0100-00003F000000}"/>
  <tableColumns count="1">
    <tableColumn id="1" xr3:uid="{00000000-0010-0000-2C00-000001000000}" name="Incremento_de_Resistencia_Mágica" dataDxfId="67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76" dataDxfId="675">
  <autoFilter ref="A437:A445" xr:uid="{00000000-0009-0000-0100-000040000000}"/>
  <tableColumns count="1">
    <tableColumn id="1" xr3:uid="{00000000-0010-0000-2D00-000001000000}" name="Incremento_de_Resistencia_Psíquica" dataDxfId="67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73" dataDxfId="672">
  <autoFilter ref="A446:A453" xr:uid="{00000000-0009-0000-0100-000041000000}"/>
  <tableColumns count="1">
    <tableColumn id="1" xr3:uid="{00000000-0010-0000-2E00-000001000000}" name="Habilidades_Perceptivas" dataDxfId="67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0" dataDxfId="669">
  <autoFilter ref="A455:A456" xr:uid="{00000000-0009-0000-0100-000042000000}"/>
  <tableColumns count="1">
    <tableColumn id="1" xr3:uid="{00000000-0010-0000-2F00-000001000000}" name="Ataque_capaz_de_Dañar_Energía" dataDxfId="66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7" dataDxfId="666">
  <autoFilter ref="A457:A458" xr:uid="{00000000-0009-0000-0100-000043000000}"/>
  <tableColumns count="1">
    <tableColumn id="1" xr3:uid="{00000000-0010-0000-3000-000001000000}" name="Ataque_Elemental" dataDxfId="66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4" dataDxfId="663">
  <autoFilter ref="A459:A471" xr:uid="{00000000-0009-0000-0100-000044000000}"/>
  <tableColumns count="1">
    <tableColumn id="1" xr3:uid="{00000000-0010-0000-3100-000001000000}" name="Armas_Físicas_de_Ki" dataDxfId="66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61" dataDxfId="660">
  <autoFilter ref="A472:A473" xr:uid="{00000000-0009-0000-0100-000045000000}"/>
  <tableColumns count="1">
    <tableColumn id="1" xr3:uid="{00000000-0010-0000-3200-000001000000}" name="Ataque_Sobrenatural" dataDxfId="65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8" dataDxfId="657">
  <autoFilter ref="A474:A480" xr:uid="{00000000-0009-0000-0100-000046000000}"/>
  <tableColumns count="1">
    <tableColumn id="1" xr3:uid="{00000000-0010-0000-3300-000001000000}" name="Absorción_de_Ki" dataDxfId="65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5" dataDxfId="654">
  <autoFilter ref="A481:A492" xr:uid="{00000000-0009-0000-0100-000047000000}"/>
  <tableColumns count="1">
    <tableColumn id="1" xr3:uid="{00000000-0010-0000-3400-000001000000}" name="Apresamiento" dataDxfId="65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52" dataDxfId="651">
  <autoFilter ref="A493:A494" xr:uid="{00000000-0009-0000-0100-000048000000}"/>
  <tableColumns count="1">
    <tableColumn id="1" xr3:uid="{00000000-0010-0000-3500-000001000000}" name="Choque_Físico" dataDxfId="65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49" dataDxfId="648">
  <autoFilter ref="A495:A508" xr:uid="{00000000-0009-0000-0100-000049000000}"/>
  <tableColumns count="1">
    <tableColumn id="1" xr3:uid="{00000000-0010-0000-3600-000001000000}" name="Acumulación" dataDxfId="64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46" dataDxfId="645">
  <autoFilter ref="A509:A532" xr:uid="{00000000-0009-0000-0100-00004A000000}"/>
  <tableColumns count="1">
    <tableColumn id="1" xr3:uid="{00000000-0010-0000-3700-000001000000}" name="Espejismo" dataDxfId="64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43" dataDxfId="642">
  <autoFilter ref="A533:A547" xr:uid="{00000000-0009-0000-0100-00004B000000}"/>
  <tableColumns count="1">
    <tableColumn id="1" xr3:uid="{00000000-0010-0000-3800-000001000000}" name="Escudo_de_Energía" dataDxfId="64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40" dataDxfId="639">
  <autoFilter ref="A548:A604" xr:uid="{00000000-0009-0000-0100-00004C000000}"/>
  <tableColumns count="1">
    <tableColumn id="1" xr3:uid="{00000000-0010-0000-3900-000001000000}" name="Estados_Sobrenaturales" dataDxfId="63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7" dataDxfId="636">
  <autoFilter ref="A605:A616" xr:uid="{00000000-0009-0000-0100-00004D000000}"/>
  <tableColumns count="1">
    <tableColumn id="1" xr3:uid="{00000000-0010-0000-3A00-000001000000}" name="Impacto" dataDxfId="63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34" dataDxfId="633">
  <autoFilter ref="A617:A628" xr:uid="{00000000-0009-0000-0100-00004E000000}"/>
  <tableColumns count="1">
    <tableColumn id="1" xr3:uid="{00000000-0010-0000-3B00-000001000000}" name="Interrupción" dataDxfId="63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31" dataDxfId="630">
  <autoFilter ref="A629:A635" xr:uid="{00000000-0009-0000-0100-00004F000000}"/>
  <tableColumns count="1">
    <tableColumn id="1" xr3:uid="{00000000-0010-0000-3C00-000001000000}" name="Intangibilidad" dataDxfId="62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8" dataDxfId="627">
  <autoFilter ref="A636:A641" xr:uid="{00000000-0009-0000-0100-000050000000}"/>
  <tableColumns count="1">
    <tableColumn id="1" xr3:uid="{00000000-0010-0000-3D00-000001000000}" name="Marca" dataDxfId="62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25" dataDxfId="624">
  <autoFilter ref="A642:A655" xr:uid="{00000000-0009-0000-0100-000051000000}"/>
  <tableColumns count="1">
    <tableColumn id="1" xr3:uid="{00000000-0010-0000-3E00-000001000000}" name="Potenciar_Crítico" dataDxfId="62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22" dataDxfId="621">
  <autoFilter ref="A656:A665" xr:uid="{00000000-0009-0000-0100-000052000000}"/>
  <tableColumns count="1">
    <tableColumn id="1" xr3:uid="{00000000-0010-0000-3F00-000001000000}" name="Potenciar_Crítico_Real" dataDxfId="62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19" dataDxfId="618">
  <autoFilter ref="A666:A671" xr:uid="{00000000-0009-0000-0100-000053000000}"/>
  <tableColumns count="1">
    <tableColumn id="1" xr3:uid="{00000000-0010-0000-4000-000001000000}" name="Reflectar_el_Ataque" dataDxfId="6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10"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10" customWidth="1"/>
    <col min="22" max="24" width="5" style="1910" customWidth="1"/>
    <col min="25" max="36" width="5.7109375" style="1910"/>
    <col min="37" max="37" width="6" style="1910"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15"/>
      <c r="C2" s="2024"/>
      <c r="D2" s="2024"/>
      <c r="E2" s="2024"/>
      <c r="F2" s="2024"/>
      <c r="G2" s="2024"/>
      <c r="H2" s="2024"/>
      <c r="I2" s="2024"/>
      <c r="J2" s="2024"/>
      <c r="K2" s="2024"/>
      <c r="L2" s="2024"/>
      <c r="M2" s="2024"/>
      <c r="N2" s="2024"/>
      <c r="O2" s="2024"/>
      <c r="P2" s="2024"/>
      <c r="Q2" s="2024"/>
      <c r="R2" s="2024"/>
      <c r="S2" s="2026"/>
      <c r="T2" s="52"/>
    </row>
    <row r="3" spans="1:24" ht="12" customHeight="1" thickBot="1" x14ac:dyDescent="0.25">
      <c r="A3" s="50"/>
      <c r="B3" s="2516"/>
      <c r="C3" s="2958"/>
      <c r="D3" s="2958"/>
      <c r="E3" s="2958"/>
      <c r="F3" s="2958"/>
      <c r="G3" s="2958"/>
      <c r="H3" s="2958"/>
      <c r="I3" s="53"/>
      <c r="J3" s="53"/>
      <c r="K3" s="53"/>
      <c r="L3" s="53"/>
      <c r="M3" s="53"/>
      <c r="N3" s="53"/>
      <c r="O3" s="53"/>
      <c r="P3" s="53"/>
      <c r="Q3" s="53"/>
      <c r="R3" s="54"/>
      <c r="S3" s="2027"/>
      <c r="T3" s="52"/>
    </row>
    <row r="4" spans="1:24" ht="12" customHeight="1" thickBot="1" x14ac:dyDescent="0.25">
      <c r="A4" s="50"/>
      <c r="B4" s="2516"/>
      <c r="C4" s="2958"/>
      <c r="D4" s="2958"/>
      <c r="E4" s="2958"/>
      <c r="F4" s="2958"/>
      <c r="G4" s="2958"/>
      <c r="H4" s="2958"/>
      <c r="I4" s="57"/>
      <c r="J4" s="57"/>
      <c r="K4" s="2959" t="str">
        <f>IF(General!$G$22=0,"",General!$G$22)</f>
        <v/>
      </c>
      <c r="L4" s="2959"/>
      <c r="M4" s="2959"/>
      <c r="N4" s="2959"/>
      <c r="O4" s="2959"/>
      <c r="P4" s="2959"/>
      <c r="Q4" s="2959"/>
      <c r="R4" s="17"/>
      <c r="S4" s="2028"/>
      <c r="T4" s="58"/>
    </row>
    <row r="5" spans="1:24" ht="12" customHeight="1" thickBot="1" x14ac:dyDescent="0.25">
      <c r="A5" s="50"/>
      <c r="B5" s="2516"/>
      <c r="C5" s="2958"/>
      <c r="D5" s="2958"/>
      <c r="E5" s="2958"/>
      <c r="F5" s="2958"/>
      <c r="G5" s="2958"/>
      <c r="H5" s="2958"/>
      <c r="I5" s="57"/>
      <c r="J5" s="57"/>
      <c r="K5" s="2959"/>
      <c r="L5" s="2959"/>
      <c r="M5" s="2959"/>
      <c r="N5" s="2959"/>
      <c r="O5" s="2959"/>
      <c r="P5" s="2959"/>
      <c r="Q5" s="2959"/>
      <c r="R5" s="60"/>
      <c r="S5" s="2027"/>
      <c r="T5" s="58"/>
    </row>
    <row r="6" spans="1:24" ht="12" customHeight="1" thickBot="1" x14ac:dyDescent="0.25">
      <c r="A6" s="50"/>
      <c r="B6" s="2516"/>
      <c r="C6" s="2958"/>
      <c r="D6" s="2958"/>
      <c r="E6" s="2958"/>
      <c r="F6" s="2958"/>
      <c r="G6" s="2958"/>
      <c r="H6" s="2958"/>
      <c r="I6" s="57"/>
      <c r="J6" s="57"/>
      <c r="K6" s="2959"/>
      <c r="L6" s="2959"/>
      <c r="M6" s="2959"/>
      <c r="N6" s="2959"/>
      <c r="O6" s="2959"/>
      <c r="P6" s="2959"/>
      <c r="Q6" s="2959"/>
      <c r="R6" s="60"/>
      <c r="S6" s="2027"/>
      <c r="T6" s="58"/>
    </row>
    <row r="7" spans="1:24" ht="12" customHeight="1" thickBot="1" x14ac:dyDescent="0.25">
      <c r="A7" s="50"/>
      <c r="B7" s="2516"/>
      <c r="C7" s="2958"/>
      <c r="D7" s="2958"/>
      <c r="E7" s="2958"/>
      <c r="F7" s="2958"/>
      <c r="G7" s="2958"/>
      <c r="H7" s="2958"/>
      <c r="I7" s="57"/>
      <c r="J7" s="57"/>
      <c r="K7" s="2959"/>
      <c r="L7" s="2959"/>
      <c r="M7" s="2959"/>
      <c r="N7" s="2959"/>
      <c r="O7" s="2959"/>
      <c r="P7" s="2959"/>
      <c r="Q7" s="2959"/>
      <c r="R7" s="60"/>
      <c r="S7" s="2027"/>
      <c r="T7" s="58"/>
    </row>
    <row r="8" spans="1:24" ht="12" customHeight="1" thickBot="1" x14ac:dyDescent="0.25">
      <c r="A8" s="50"/>
      <c r="B8" s="2516"/>
      <c r="C8" s="2958"/>
      <c r="D8" s="2958"/>
      <c r="E8" s="2958"/>
      <c r="F8" s="2958"/>
      <c r="G8" s="2958"/>
      <c r="H8" s="2958"/>
      <c r="I8" s="64"/>
      <c r="J8" s="64"/>
      <c r="K8" s="64"/>
      <c r="L8" s="64"/>
      <c r="M8" s="64"/>
      <c r="N8" s="64"/>
      <c r="O8" s="64"/>
      <c r="P8" s="64"/>
      <c r="Q8" s="64"/>
      <c r="R8" s="65"/>
      <c r="S8" s="2027"/>
      <c r="T8" s="58"/>
    </row>
    <row r="9" spans="1:24" ht="12" customHeight="1" thickBot="1" x14ac:dyDescent="0.25">
      <c r="A9" s="50"/>
      <c r="B9" s="2516"/>
      <c r="C9" s="73"/>
      <c r="D9" s="73"/>
      <c r="E9" s="73"/>
      <c r="F9" s="73"/>
      <c r="G9" s="73"/>
      <c r="H9" s="73"/>
      <c r="I9" s="73"/>
      <c r="J9" s="73"/>
      <c r="K9" s="73"/>
      <c r="L9" s="73"/>
      <c r="M9" s="73"/>
      <c r="N9" s="73"/>
      <c r="O9" s="73"/>
      <c r="P9" s="73"/>
      <c r="Q9" s="73"/>
      <c r="R9" s="73"/>
      <c r="S9" s="2027"/>
      <c r="T9" s="58"/>
    </row>
    <row r="10" spans="1:24" ht="12" customHeight="1" x14ac:dyDescent="0.2">
      <c r="A10" s="50"/>
      <c r="B10" s="2516"/>
      <c r="C10" s="1941"/>
      <c r="D10" s="1775"/>
      <c r="E10" s="1775"/>
      <c r="F10" s="1775"/>
      <c r="G10" s="1775"/>
      <c r="H10" s="1775"/>
      <c r="I10" s="1775"/>
      <c r="J10" s="1775"/>
      <c r="K10" s="1775"/>
      <c r="L10" s="1775"/>
      <c r="M10" s="1775"/>
      <c r="N10" s="1775"/>
      <c r="O10" s="1775"/>
      <c r="P10" s="1775"/>
      <c r="Q10" s="1775"/>
      <c r="R10" s="1942"/>
      <c r="S10" s="2027"/>
      <c r="T10" s="58"/>
      <c r="V10" s="2994" t="s">
        <v>9720</v>
      </c>
      <c r="W10" s="2995"/>
      <c r="X10" s="2996"/>
    </row>
    <row r="11" spans="1:24" ht="12" customHeight="1" thickBot="1" x14ac:dyDescent="0.25">
      <c r="A11" s="50"/>
      <c r="B11" s="2517"/>
      <c r="C11" s="1943" t="s">
        <v>2171</v>
      </c>
      <c r="D11" s="439" t="str">
        <f>(PDs!X5+PDs!X7+PDs!X9+PDs!X11+PDs!X13)&amp;IF(Principal!AA27=0,""," + "&amp;Principal!AA27)</f>
        <v>1 + 2</v>
      </c>
      <c r="E11" s="440"/>
      <c r="F11" s="294"/>
      <c r="G11" s="294"/>
      <c r="H11" s="294"/>
      <c r="I11" s="294"/>
      <c r="J11" s="2499" t="s">
        <v>2216</v>
      </c>
      <c r="K11" s="2965" t="str">
        <f>Principal!K7</f>
        <v>Natural, Turak  10</v>
      </c>
      <c r="L11" s="2965"/>
      <c r="M11" s="2965"/>
      <c r="N11" s="2965"/>
      <c r="O11" s="2965"/>
      <c r="P11" s="2965"/>
      <c r="Q11" s="2965"/>
      <c r="R11" s="2500"/>
      <c r="S11" s="2027"/>
      <c r="T11" s="58"/>
      <c r="V11" s="2997"/>
      <c r="W11" s="2998"/>
      <c r="X11" s="2999"/>
    </row>
    <row r="12" spans="1:24" ht="12" customHeight="1" x14ac:dyDescent="0.2">
      <c r="A12" s="50"/>
      <c r="B12" s="2517"/>
      <c r="C12" s="2960" t="s">
        <v>2732</v>
      </c>
      <c r="D12" s="2961"/>
      <c r="E12" s="2961"/>
      <c r="F12" s="2962">
        <f>Principal!N11</f>
        <v>115</v>
      </c>
      <c r="G12" s="2962"/>
      <c r="H12" s="294"/>
      <c r="I12" s="294"/>
      <c r="J12" s="294"/>
      <c r="K12" s="2963" t="s">
        <v>2170</v>
      </c>
      <c r="L12" s="2963"/>
      <c r="M12" s="2964" t="str">
        <f>Principal!L5</f>
        <v>Hechicero</v>
      </c>
      <c r="N12" s="2964"/>
      <c r="O12" s="2964"/>
      <c r="P12" s="294"/>
      <c r="Q12" s="294"/>
      <c r="R12" s="1944"/>
      <c r="S12" s="2027"/>
      <c r="T12" s="58"/>
      <c r="V12" s="2983"/>
      <c r="W12" s="2984"/>
      <c r="X12" s="2985"/>
    </row>
    <row r="13" spans="1:24" ht="12" customHeight="1" x14ac:dyDescent="0.2">
      <c r="A13" s="50"/>
      <c r="B13" s="2517"/>
      <c r="C13" s="2495" t="s">
        <v>2733</v>
      </c>
      <c r="D13" s="2498">
        <f>FUE</f>
        <v>8</v>
      </c>
      <c r="E13" s="2496" t="s">
        <v>2734</v>
      </c>
      <c r="F13" s="2498">
        <f>DES</f>
        <v>8</v>
      </c>
      <c r="G13" s="2496" t="s">
        <v>2735</v>
      </c>
      <c r="H13" s="2498">
        <f>AGI</f>
        <v>8</v>
      </c>
      <c r="I13" s="2496" t="s">
        <v>2736</v>
      </c>
      <c r="J13" s="2498">
        <f>CON</f>
        <v>8</v>
      </c>
      <c r="K13" s="2496" t="s">
        <v>2737</v>
      </c>
      <c r="L13" s="2498">
        <f>POD</f>
        <v>8</v>
      </c>
      <c r="M13" s="2496" t="s">
        <v>2738</v>
      </c>
      <c r="N13" s="2498">
        <f>INT</f>
        <v>7</v>
      </c>
      <c r="O13" s="2496" t="s">
        <v>2739</v>
      </c>
      <c r="P13" s="2498">
        <f>VOL</f>
        <v>8</v>
      </c>
      <c r="Q13" s="2496" t="s">
        <v>2740</v>
      </c>
      <c r="R13" s="2500">
        <f>PER</f>
        <v>8</v>
      </c>
      <c r="S13" s="2027"/>
      <c r="T13" s="58"/>
      <c r="V13" s="2986"/>
      <c r="W13" s="2987"/>
      <c r="X13" s="2988"/>
    </row>
    <row r="14" spans="1:24" ht="12" customHeight="1" x14ac:dyDescent="0.2">
      <c r="A14" s="50"/>
      <c r="B14" s="2517"/>
      <c r="C14" s="1945" t="s">
        <v>2741</v>
      </c>
      <c r="D14" s="2498">
        <f>Principal!J56</f>
        <v>40</v>
      </c>
      <c r="E14" s="441" t="s">
        <v>2742</v>
      </c>
      <c r="F14" s="2498">
        <f>Principal!J59</f>
        <v>40</v>
      </c>
      <c r="G14" s="441" t="s">
        <v>2743</v>
      </c>
      <c r="H14" s="2498">
        <f>Principal!J60</f>
        <v>40</v>
      </c>
      <c r="I14" s="441" t="s">
        <v>2744</v>
      </c>
      <c r="J14" s="2498">
        <f>Principal!J58</f>
        <v>40</v>
      </c>
      <c r="K14" s="441" t="s">
        <v>2745</v>
      </c>
      <c r="L14" s="2498">
        <f>Principal!J57</f>
        <v>40</v>
      </c>
      <c r="M14" s="61"/>
      <c r="N14" s="441" t="s">
        <v>2719</v>
      </c>
      <c r="O14" s="61"/>
      <c r="P14" s="2498">
        <f>Presencia_final</f>
        <v>30</v>
      </c>
      <c r="Q14" s="61"/>
      <c r="R14" s="1777"/>
      <c r="S14" s="2027"/>
      <c r="T14" s="58"/>
      <c r="V14" s="2986"/>
      <c r="W14" s="2987"/>
      <c r="X14" s="2988"/>
    </row>
    <row r="15" spans="1:24" ht="4.5" customHeight="1" x14ac:dyDescent="0.2">
      <c r="A15" s="50"/>
      <c r="B15" s="2517"/>
      <c r="C15" s="1946"/>
      <c r="D15" s="61"/>
      <c r="E15" s="61"/>
      <c r="F15" s="61"/>
      <c r="G15" s="61"/>
      <c r="H15" s="61"/>
      <c r="I15" s="61"/>
      <c r="J15" s="61"/>
      <c r="K15" s="61"/>
      <c r="L15" s="61"/>
      <c r="M15" s="61"/>
      <c r="N15" s="61"/>
      <c r="O15" s="61"/>
      <c r="P15" s="61"/>
      <c r="Q15" s="61"/>
      <c r="R15" s="1777"/>
      <c r="S15" s="2027"/>
      <c r="T15" s="58"/>
      <c r="V15" s="2986"/>
      <c r="W15" s="2987"/>
      <c r="X15" s="2988"/>
    </row>
    <row r="16" spans="1:24" ht="17.100000000000001" customHeight="1" x14ac:dyDescent="0.2">
      <c r="A16" s="50"/>
      <c r="B16" s="2517"/>
      <c r="C16" s="2497" t="s">
        <v>2746</v>
      </c>
      <c r="D16" s="2956"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6 Natural; 6 Armas naturales; -44 Arco largo</v>
      </c>
      <c r="E16" s="2956"/>
      <c r="F16" s="2956"/>
      <c r="G16" s="2956"/>
      <c r="H16" s="2956"/>
      <c r="I16" s="2956"/>
      <c r="J16" s="2956"/>
      <c r="K16" s="2956"/>
      <c r="L16" s="2956"/>
      <c r="M16" s="2956"/>
      <c r="N16" s="2956"/>
      <c r="O16" s="2956"/>
      <c r="P16" s="2956"/>
      <c r="Q16" s="2956"/>
      <c r="R16" s="2957"/>
      <c r="S16" s="2027"/>
      <c r="T16" s="58"/>
      <c r="V16" s="2986"/>
      <c r="W16" s="2987"/>
      <c r="X16" s="2988"/>
    </row>
    <row r="17" spans="1:24" ht="17.100000000000001" customHeight="1" x14ac:dyDescent="0.2">
      <c r="A17" s="50"/>
      <c r="B17" s="2517"/>
      <c r="C17" s="2960" t="s">
        <v>2747</v>
      </c>
      <c r="D17" s="2961"/>
      <c r="E17" s="2961"/>
      <c r="F17" s="2961"/>
      <c r="G17" s="2956"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10 Armas Naturales; 0 Armas naturales; 0 Arco largo</v>
      </c>
      <c r="H17" s="2956"/>
      <c r="I17" s="2956"/>
      <c r="J17" s="2956"/>
      <c r="K17" s="2956"/>
      <c r="L17" s="2956"/>
      <c r="M17" s="2956"/>
      <c r="N17" s="2956"/>
      <c r="O17" s="2956"/>
      <c r="P17" s="2956"/>
      <c r="Q17" s="2956"/>
      <c r="R17" s="2957"/>
      <c r="S17" s="2027"/>
      <c r="T17" s="58"/>
      <c r="V17" s="2986"/>
      <c r="W17" s="2987"/>
      <c r="X17" s="2988"/>
    </row>
    <row r="18" spans="1:24" ht="17.100000000000001" customHeight="1" x14ac:dyDescent="0.2">
      <c r="A18" s="50"/>
      <c r="B18" s="2516"/>
      <c r="C18" s="2960" t="s">
        <v>2748</v>
      </c>
      <c r="D18" s="2961"/>
      <c r="E18" s="2961"/>
      <c r="F18" s="2961"/>
      <c r="G18" s="2956"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10 Esquiva</v>
      </c>
      <c r="H18" s="2956"/>
      <c r="I18" s="2956"/>
      <c r="J18" s="2956"/>
      <c r="K18" s="2956"/>
      <c r="L18" s="2956"/>
      <c r="M18" s="2956"/>
      <c r="N18" s="2956"/>
      <c r="O18" s="2956"/>
      <c r="P18" s="2956"/>
      <c r="Q18" s="2956"/>
      <c r="R18" s="2957"/>
      <c r="S18" s="2027"/>
      <c r="T18" s="58"/>
      <c r="V18" s="2986"/>
      <c r="W18" s="2987"/>
      <c r="X18" s="2988"/>
    </row>
    <row r="19" spans="1:24" ht="17.100000000000001" customHeight="1" x14ac:dyDescent="0.2">
      <c r="A19" s="50"/>
      <c r="B19" s="2516"/>
      <c r="C19" s="1947" t="s">
        <v>2749</v>
      </c>
      <c r="D19" s="2956"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50 Armas Naturales (CON); 60 Armas naturales (FIL); 50 Flechas de descarga (PEN)</v>
      </c>
      <c r="E19" s="2956"/>
      <c r="F19" s="2956"/>
      <c r="G19" s="2956"/>
      <c r="H19" s="2956"/>
      <c r="I19" s="2956"/>
      <c r="J19" s="2956"/>
      <c r="K19" s="2956"/>
      <c r="L19" s="2956"/>
      <c r="M19" s="2956"/>
      <c r="N19" s="2956"/>
      <c r="O19" s="2956"/>
      <c r="P19" s="2956"/>
      <c r="Q19" s="2956"/>
      <c r="R19" s="2957"/>
      <c r="S19" s="2027"/>
      <c r="T19" s="58"/>
      <c r="V19" s="2986"/>
      <c r="W19" s="2987"/>
      <c r="X19" s="2988"/>
    </row>
    <row r="20" spans="1:24" ht="12" customHeight="1" x14ac:dyDescent="0.2">
      <c r="A20" s="50"/>
      <c r="B20" s="2516"/>
      <c r="C20" s="1945" t="s">
        <v>2750</v>
      </c>
      <c r="D20" s="2962" t="str">
        <f>IF(Combate!C12=0,"",Combate!C12)&amp;IF(OR(Combate!C12=0,Combate!C13=0),""," + ")&amp;IF(Combate!C13=0,"",Combate!C13)&amp;IF(OR(AND(Combate!C12=0,Combate!C13=0),Combate!C14=0),""," + ")&amp;IF(Combate!C14=0,"",Combate!C14)</f>
        <v>Acolchada + Laminar</v>
      </c>
      <c r="E20" s="2962"/>
      <c r="F20" s="2962"/>
      <c r="G20" s="2962"/>
      <c r="H20" s="2962"/>
      <c r="I20" s="2962"/>
      <c r="J20" s="2962"/>
      <c r="K20" s="61"/>
      <c r="L20" s="61"/>
      <c r="M20" s="61"/>
      <c r="N20" s="61"/>
      <c r="O20" s="61"/>
      <c r="P20" s="61"/>
      <c r="Q20" s="61"/>
      <c r="R20" s="1777"/>
      <c r="S20" s="2027"/>
      <c r="T20" s="58"/>
      <c r="V20" s="2986"/>
      <c r="W20" s="2987"/>
      <c r="X20" s="2988"/>
    </row>
    <row r="21" spans="1:24" ht="12" customHeight="1" x14ac:dyDescent="0.2">
      <c r="A21" s="50"/>
      <c r="B21" s="2516"/>
      <c r="C21" s="1948" t="s">
        <v>2751</v>
      </c>
      <c r="D21" s="2498">
        <f>Combate!I16</f>
        <v>19</v>
      </c>
      <c r="E21" s="442" t="s">
        <v>2752</v>
      </c>
      <c r="F21" s="2498">
        <f>Combate!J16</f>
        <v>19</v>
      </c>
      <c r="G21" s="442" t="s">
        <v>2753</v>
      </c>
      <c r="H21" s="2498">
        <f>Combate!K16</f>
        <v>19</v>
      </c>
      <c r="I21" s="442" t="s">
        <v>2754</v>
      </c>
      <c r="J21" s="2498">
        <f>Combate!L16</f>
        <v>19</v>
      </c>
      <c r="K21" s="442" t="s">
        <v>2755</v>
      </c>
      <c r="L21" s="2498">
        <f>Combate!N16</f>
        <v>19</v>
      </c>
      <c r="M21" s="442" t="s">
        <v>2756</v>
      </c>
      <c r="N21" s="2498">
        <f>Combate!M16</f>
        <v>19</v>
      </c>
      <c r="O21" s="442" t="s">
        <v>2757</v>
      </c>
      <c r="P21" s="2498">
        <f>Combate!O16</f>
        <v>4</v>
      </c>
      <c r="Q21" s="61"/>
      <c r="R21" s="1777"/>
      <c r="S21" s="2027"/>
      <c r="T21" s="58"/>
      <c r="V21" s="2986"/>
      <c r="W21" s="2987"/>
      <c r="X21" s="2988"/>
    </row>
    <row r="22" spans="1:24" ht="11.25" customHeight="1" thickBot="1" x14ac:dyDescent="0.25">
      <c r="A22" s="50"/>
      <c r="B22" s="2516"/>
      <c r="C22" s="1946"/>
      <c r="D22" s="61"/>
      <c r="E22" s="61"/>
      <c r="F22" s="61"/>
      <c r="G22" s="61"/>
      <c r="H22" s="61"/>
      <c r="I22" s="61"/>
      <c r="J22" s="61"/>
      <c r="K22" s="61"/>
      <c r="L22" s="61"/>
      <c r="M22" s="61"/>
      <c r="N22" s="61"/>
      <c r="O22" s="61"/>
      <c r="P22" s="61"/>
      <c r="Q22" s="61"/>
      <c r="R22" s="1777"/>
      <c r="S22" s="2027"/>
      <c r="T22" s="58"/>
      <c r="V22" s="2989"/>
      <c r="W22" s="2990"/>
      <c r="X22" s="2991"/>
    </row>
    <row r="23" spans="1:24" ht="12" customHeight="1" x14ac:dyDescent="0.2">
      <c r="A23" s="50"/>
      <c r="B23" s="1906"/>
      <c r="C23" s="2970" t="s">
        <v>2758</v>
      </c>
      <c r="D23" s="2971"/>
      <c r="E23" s="2971"/>
      <c r="F23" s="2520" t="str">
        <f>"("&amp;Ki!E24&amp;")"</f>
        <v>(48)</v>
      </c>
      <c r="G23" s="2521" t="s">
        <v>2733</v>
      </c>
      <c r="H23" s="2522">
        <f>Ki!E18</f>
        <v>8</v>
      </c>
      <c r="I23" s="2521" t="s">
        <v>2734</v>
      </c>
      <c r="J23" s="2522">
        <f>Ki!E16</f>
        <v>8</v>
      </c>
      <c r="K23" s="2521" t="s">
        <v>2735</v>
      </c>
      <c r="L23" s="2522">
        <f>Ki!E12</f>
        <v>8</v>
      </c>
      <c r="M23" s="2521" t="s">
        <v>2736</v>
      </c>
      <c r="N23" s="2522">
        <f>Ki!E14</f>
        <v>8</v>
      </c>
      <c r="O23" s="2521" t="s">
        <v>2737</v>
      </c>
      <c r="P23" s="2522">
        <f>Ki!E20</f>
        <v>8</v>
      </c>
      <c r="Q23" s="2521" t="s">
        <v>2739</v>
      </c>
      <c r="R23" s="2523">
        <f>Ki!E22</f>
        <v>8</v>
      </c>
      <c r="S23" s="2027"/>
      <c r="T23" s="58"/>
    </row>
    <row r="24" spans="1:24" ht="12" customHeight="1" x14ac:dyDescent="0.2">
      <c r="A24" s="50"/>
      <c r="B24" s="2982"/>
      <c r="C24" s="2960" t="s">
        <v>2759</v>
      </c>
      <c r="D24" s="2961"/>
      <c r="E24" s="2961"/>
      <c r="F24" s="2961"/>
      <c r="G24" s="444" t="s">
        <v>2733</v>
      </c>
      <c r="H24" s="2498">
        <f>Ki!D18</f>
        <v>1</v>
      </c>
      <c r="I24" s="444" t="s">
        <v>2734</v>
      </c>
      <c r="J24" s="2498">
        <f>Ki!D16</f>
        <v>1</v>
      </c>
      <c r="K24" s="444" t="s">
        <v>2735</v>
      </c>
      <c r="L24" s="2498">
        <f>Ki!D12</f>
        <v>1</v>
      </c>
      <c r="M24" s="444" t="s">
        <v>2736</v>
      </c>
      <c r="N24" s="2498">
        <f>Ki!D14</f>
        <v>1</v>
      </c>
      <c r="O24" s="444" t="s">
        <v>2737</v>
      </c>
      <c r="P24" s="2498">
        <f>Ki!D20</f>
        <v>1</v>
      </c>
      <c r="Q24" s="444" t="s">
        <v>2739</v>
      </c>
      <c r="R24" s="2500">
        <f>Ki!D22</f>
        <v>1</v>
      </c>
      <c r="S24" s="2027"/>
      <c r="T24" s="58"/>
    </row>
    <row r="25" spans="1:24" ht="12" customHeight="1" x14ac:dyDescent="0.2">
      <c r="A25" s="50"/>
      <c r="B25" s="2982"/>
      <c r="C25" s="2960" t="s">
        <v>2760</v>
      </c>
      <c r="D25" s="2961"/>
      <c r="E25" s="2961"/>
      <c r="F25" s="2966"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Arm. arcana</v>
      </c>
      <c r="G25" s="2966"/>
      <c r="H25" s="2966"/>
      <c r="I25" s="2966"/>
      <c r="J25" s="2966"/>
      <c r="K25" s="2966"/>
      <c r="L25" s="2966"/>
      <c r="M25" s="2966"/>
      <c r="N25" s="2966"/>
      <c r="O25" s="2966"/>
      <c r="P25" s="2966"/>
      <c r="Q25" s="2966"/>
      <c r="R25" s="2967"/>
      <c r="S25" s="2027"/>
      <c r="T25" s="58"/>
    </row>
    <row r="26" spans="1:24" ht="12" customHeight="1" x14ac:dyDescent="0.2">
      <c r="A26" s="50"/>
      <c r="B26" s="2982"/>
      <c r="C26" s="1946"/>
      <c r="D26" s="61"/>
      <c r="E26" s="61"/>
      <c r="F26" s="2966"/>
      <c r="G26" s="2966"/>
      <c r="H26" s="2966"/>
      <c r="I26" s="2966"/>
      <c r="J26" s="2966"/>
      <c r="K26" s="2966"/>
      <c r="L26" s="2966"/>
      <c r="M26" s="2966"/>
      <c r="N26" s="2966"/>
      <c r="O26" s="2966"/>
      <c r="P26" s="2966"/>
      <c r="Q26" s="2966"/>
      <c r="R26" s="2967"/>
      <c r="S26" s="2027"/>
      <c r="T26" s="52"/>
    </row>
    <row r="27" spans="1:24" ht="11.25" customHeight="1" x14ac:dyDescent="0.2">
      <c r="A27" s="50"/>
      <c r="B27" s="2982"/>
      <c r="C27" s="1946"/>
      <c r="D27" s="61"/>
      <c r="E27" s="61"/>
      <c r="F27" s="2966"/>
      <c r="G27" s="2966"/>
      <c r="H27" s="2966"/>
      <c r="I27" s="2966"/>
      <c r="J27" s="2966"/>
      <c r="K27" s="2966"/>
      <c r="L27" s="2966"/>
      <c r="M27" s="2966"/>
      <c r="N27" s="2966"/>
      <c r="O27" s="2966"/>
      <c r="P27" s="2966"/>
      <c r="Q27" s="2966"/>
      <c r="R27" s="2967"/>
      <c r="S27" s="2027"/>
      <c r="T27" s="52"/>
    </row>
    <row r="28" spans="1:24" ht="12" customHeight="1" x14ac:dyDescent="0.2">
      <c r="A28" s="50"/>
      <c r="B28" s="2982"/>
      <c r="C28" s="2968" t="s">
        <v>2761</v>
      </c>
      <c r="D28" s="2969"/>
      <c r="E28" s="296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66"/>
      <c r="G28" s="2966"/>
      <c r="H28" s="2966"/>
      <c r="I28" s="2966"/>
      <c r="J28" s="2966"/>
      <c r="K28" s="2966"/>
      <c r="L28" s="2966"/>
      <c r="M28" s="2966"/>
      <c r="N28" s="2966"/>
      <c r="O28" s="2966"/>
      <c r="P28" s="2966"/>
      <c r="Q28" s="2966"/>
      <c r="R28" s="2967"/>
      <c r="S28" s="2027"/>
      <c r="T28" s="52"/>
    </row>
    <row r="29" spans="1:24" ht="12" customHeight="1" x14ac:dyDescent="0.2">
      <c r="A29" s="50"/>
      <c r="B29" s="2982"/>
      <c r="C29" s="1949"/>
      <c r="D29" s="294"/>
      <c r="E29" s="2966"/>
      <c r="F29" s="2966"/>
      <c r="G29" s="2966"/>
      <c r="H29" s="2966"/>
      <c r="I29" s="2966"/>
      <c r="J29" s="2966"/>
      <c r="K29" s="2966"/>
      <c r="L29" s="2966"/>
      <c r="M29" s="2966"/>
      <c r="N29" s="2966"/>
      <c r="O29" s="2966"/>
      <c r="P29" s="2966"/>
      <c r="Q29" s="2966"/>
      <c r="R29" s="2967"/>
      <c r="S29" s="2027"/>
      <c r="T29" s="52"/>
    </row>
    <row r="30" spans="1:24" ht="12" customHeight="1" x14ac:dyDescent="0.2">
      <c r="A30" s="50"/>
      <c r="B30" s="2982"/>
      <c r="C30" s="1946"/>
      <c r="D30" s="61"/>
      <c r="E30" s="445"/>
      <c r="F30" s="445"/>
      <c r="G30" s="445"/>
      <c r="H30" s="445"/>
      <c r="I30" s="445"/>
      <c r="J30" s="445"/>
      <c r="K30" s="445"/>
      <c r="L30" s="445"/>
      <c r="M30" s="445"/>
      <c r="N30" s="445"/>
      <c r="O30" s="445"/>
      <c r="P30" s="445"/>
      <c r="Q30" s="445"/>
      <c r="R30" s="1950"/>
      <c r="S30" s="2027"/>
      <c r="T30" s="52"/>
    </row>
    <row r="31" spans="1:24" ht="12" customHeight="1" x14ac:dyDescent="0.2">
      <c r="A31" s="50"/>
      <c r="B31" s="2982"/>
      <c r="C31" s="2524" t="s">
        <v>2762</v>
      </c>
      <c r="D31" s="2974">
        <f>Místicos!L13</f>
        <v>10</v>
      </c>
      <c r="E31" s="2974"/>
      <c r="F31" s="2525"/>
      <c r="G31" s="2525"/>
      <c r="H31" s="2525"/>
      <c r="I31" s="2525"/>
      <c r="J31" s="2525"/>
      <c r="K31" s="2525"/>
      <c r="L31" s="2975" t="s">
        <v>2763</v>
      </c>
      <c r="M31" s="2975"/>
      <c r="N31" s="2522">
        <f>Místicos!M25</f>
        <v>10</v>
      </c>
      <c r="O31" s="2975" t="s">
        <v>2764</v>
      </c>
      <c r="P31" s="2975"/>
      <c r="Q31" s="2522">
        <f>Místicos!M27</f>
        <v>10</v>
      </c>
      <c r="R31" s="2526"/>
      <c r="S31" s="2027"/>
      <c r="T31" s="52"/>
    </row>
    <row r="32" spans="1:24" ht="12" customHeight="1" x14ac:dyDescent="0.2">
      <c r="A32" s="50"/>
      <c r="B32" s="2518"/>
      <c r="C32" s="1945" t="s">
        <v>2765</v>
      </c>
      <c r="D32" s="2962">
        <f>Místicos!K18</f>
        <v>210</v>
      </c>
      <c r="E32" s="2962"/>
      <c r="F32" s="61"/>
      <c r="G32" s="61"/>
      <c r="H32" s="61"/>
      <c r="I32" s="61"/>
      <c r="J32" s="61"/>
      <c r="K32" s="61"/>
      <c r="L32" s="2976" t="s">
        <v>2766</v>
      </c>
      <c r="M32" s="2976"/>
      <c r="N32" s="2498">
        <f>Místicos!M26</f>
        <v>10</v>
      </c>
      <c r="O32" s="2977" t="s">
        <v>2767</v>
      </c>
      <c r="P32" s="2977"/>
      <c r="Q32" s="2498">
        <f>Místicos!M28</f>
        <v>10</v>
      </c>
      <c r="R32" s="1777"/>
      <c r="S32" s="2027"/>
      <c r="T32" s="52"/>
    </row>
    <row r="33" spans="1:22" ht="12" customHeight="1" x14ac:dyDescent="0.2">
      <c r="A33" s="50"/>
      <c r="B33" s="2518"/>
      <c r="C33" s="2960" t="s">
        <v>2768</v>
      </c>
      <c r="D33" s="2961"/>
      <c r="E33" s="2961"/>
      <c r="F33" s="2961"/>
      <c r="G33" s="2972">
        <f>IF(Místicos!P13=Místicos!Q13,Místicos!P13,Místicos!P13&amp;" Ofensiva"&amp;", "&amp;Místicos!Q13&amp;" Defensiva")</f>
        <v>10</v>
      </c>
      <c r="H33" s="2972"/>
      <c r="I33" s="2972"/>
      <c r="J33" s="2972"/>
      <c r="K33" s="2972"/>
      <c r="L33" s="2972"/>
      <c r="M33" s="2972"/>
      <c r="N33" s="2972"/>
      <c r="O33" s="2972"/>
      <c r="P33" s="2972"/>
      <c r="Q33" s="2972"/>
      <c r="R33" s="2973"/>
      <c r="S33" s="2027"/>
      <c r="T33" s="52"/>
    </row>
    <row r="34" spans="1:22" ht="12" customHeight="1" x14ac:dyDescent="0.2">
      <c r="A34" s="50"/>
      <c r="B34" s="2518"/>
      <c r="C34" s="2960" t="s">
        <v>2769</v>
      </c>
      <c r="D34" s="2961"/>
      <c r="E34" s="2961"/>
      <c r="F34" s="2981"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81"/>
      <c r="H34" s="2981"/>
      <c r="I34" s="2981"/>
      <c r="J34" s="2981"/>
      <c r="K34" s="2981"/>
      <c r="L34" s="2981"/>
      <c r="M34" s="2981"/>
      <c r="N34" s="2981"/>
      <c r="O34" s="2981"/>
      <c r="P34" s="2981"/>
      <c r="Q34" s="2981"/>
      <c r="R34" s="2967"/>
      <c r="S34" s="2027"/>
      <c r="T34" s="52"/>
    </row>
    <row r="35" spans="1:22" ht="12" customHeight="1" x14ac:dyDescent="0.2">
      <c r="A35" s="50"/>
      <c r="B35" s="2518"/>
      <c r="C35" s="1946"/>
      <c r="D35" s="61"/>
      <c r="E35" s="61"/>
      <c r="F35" s="2981"/>
      <c r="G35" s="2981"/>
      <c r="H35" s="2981"/>
      <c r="I35" s="2981"/>
      <c r="J35" s="2981"/>
      <c r="K35" s="2981"/>
      <c r="L35" s="2981"/>
      <c r="M35" s="2981"/>
      <c r="N35" s="2981"/>
      <c r="O35" s="2981"/>
      <c r="P35" s="2981"/>
      <c r="Q35" s="2981"/>
      <c r="R35" s="2967"/>
      <c r="S35" s="2027"/>
      <c r="T35" s="52"/>
    </row>
    <row r="36" spans="1:22" ht="12" customHeight="1" x14ac:dyDescent="0.2">
      <c r="A36" s="50"/>
      <c r="B36" s="1906"/>
      <c r="C36" s="1946"/>
      <c r="D36" s="61"/>
      <c r="E36" s="61"/>
      <c r="F36" s="2981"/>
      <c r="G36" s="2981"/>
      <c r="H36" s="2981"/>
      <c r="I36" s="2981"/>
      <c r="J36" s="2981"/>
      <c r="K36" s="2981"/>
      <c r="L36" s="2981"/>
      <c r="M36" s="2981"/>
      <c r="N36" s="2981"/>
      <c r="O36" s="2981"/>
      <c r="P36" s="2981"/>
      <c r="Q36" s="2981"/>
      <c r="R36" s="2967"/>
      <c r="S36" s="2027"/>
      <c r="T36" s="52"/>
    </row>
    <row r="37" spans="1:22" ht="12" customHeight="1" x14ac:dyDescent="0.2">
      <c r="A37" s="50"/>
      <c r="B37" s="1906"/>
      <c r="C37" s="1946"/>
      <c r="D37" s="61"/>
      <c r="E37" s="61"/>
      <c r="F37" s="2992"/>
      <c r="G37" s="2992"/>
      <c r="H37" s="2992"/>
      <c r="I37" s="2992"/>
      <c r="J37" s="2992"/>
      <c r="K37" s="2992"/>
      <c r="L37" s="2992"/>
      <c r="M37" s="2992"/>
      <c r="N37" s="2992"/>
      <c r="O37" s="2992"/>
      <c r="P37" s="2992"/>
      <c r="Q37" s="2992"/>
      <c r="R37" s="2993"/>
      <c r="S37" s="2027"/>
      <c r="T37" s="52"/>
    </row>
    <row r="38" spans="1:22" ht="12" customHeight="1" x14ac:dyDescent="0.2">
      <c r="A38" s="50"/>
      <c r="B38" s="2518"/>
      <c r="C38" s="2970" t="s">
        <v>2770</v>
      </c>
      <c r="D38" s="2971"/>
      <c r="E38" s="2522">
        <f>Psiquicos!I16</f>
        <v>-108</v>
      </c>
      <c r="F38" s="2525"/>
      <c r="G38" s="2525"/>
      <c r="H38" s="2525"/>
      <c r="I38" s="2525"/>
      <c r="J38" s="2525"/>
      <c r="K38" s="2525"/>
      <c r="L38" s="2525"/>
      <c r="M38" s="2525"/>
      <c r="N38" s="2525"/>
      <c r="O38" s="2525"/>
      <c r="P38" s="2525"/>
      <c r="Q38" s="2525"/>
      <c r="R38" s="2526"/>
      <c r="S38" s="2027"/>
      <c r="T38" s="52"/>
    </row>
    <row r="39" spans="1:22" ht="12" customHeight="1" x14ac:dyDescent="0.2">
      <c r="A39" s="50"/>
      <c r="B39" s="2518"/>
      <c r="C39" s="2960" t="s">
        <v>2771</v>
      </c>
      <c r="D39" s="2961"/>
      <c r="E39" s="2498">
        <f>Psiquicos!M13</f>
        <v>0</v>
      </c>
      <c r="F39" s="61"/>
      <c r="G39" s="61"/>
      <c r="H39" s="61"/>
      <c r="I39" s="61"/>
      <c r="J39" s="61"/>
      <c r="K39" s="61"/>
      <c r="L39" s="2976" t="s">
        <v>2772</v>
      </c>
      <c r="M39" s="2976"/>
      <c r="N39" s="2976"/>
      <c r="O39" s="2976"/>
      <c r="P39" s="61"/>
      <c r="Q39" s="61"/>
      <c r="R39" s="1777"/>
      <c r="S39" s="2027"/>
      <c r="T39" s="52"/>
    </row>
    <row r="40" spans="1:22" ht="12" customHeight="1" x14ac:dyDescent="0.2">
      <c r="A40" s="50"/>
      <c r="B40" s="2518"/>
      <c r="C40" s="2960" t="s">
        <v>2773</v>
      </c>
      <c r="D40" s="2961"/>
      <c r="E40" s="2961"/>
      <c r="F40" s="2961"/>
      <c r="G40" s="2498">
        <f>Psiquicos!H11</f>
        <v>40</v>
      </c>
      <c r="H40" s="2978"/>
      <c r="I40" s="2978"/>
      <c r="J40" s="2978"/>
      <c r="K40" s="2978"/>
      <c r="L40" s="2966" t="str">
        <f>IF(Psiquicos!C39="","",Psiquicos!C39)&amp;IF(Psiquicos!C41="","",", "&amp;Psiquicos!C41)&amp;IF(Psiquicos!C43="","",", "&amp;Psiquicos!C43)&amp;IF(Psiquicos!C45="","",", "&amp;Psiquicos!C45)&amp;IF(Psiquicos!C47="","",", "&amp;Psiquicos!C47)&amp;IF(Psiquicos!C49="","",", "&amp;Psiquicos!C49)</f>
        <v/>
      </c>
      <c r="M40" s="2966"/>
      <c r="N40" s="2966"/>
      <c r="O40" s="2966"/>
      <c r="P40" s="2966"/>
      <c r="Q40" s="2966"/>
      <c r="R40" s="2967"/>
      <c r="S40" s="2027"/>
      <c r="T40" s="52"/>
    </row>
    <row r="41" spans="1:22" ht="12" customHeight="1" x14ac:dyDescent="0.2">
      <c r="A41" s="50"/>
      <c r="B41" s="2518"/>
      <c r="C41" s="2960" t="s">
        <v>2774</v>
      </c>
      <c r="D41" s="2961"/>
      <c r="E41" s="2961"/>
      <c r="F41" s="2961"/>
      <c r="G41" s="2962">
        <f>IF(Psiquicos!P12=Psiquicos!Q12,Psiquicos!P12,Psiquicos!P12&amp;" Ofensiva"&amp;", "&amp;Psiquicos!Q12&amp;" Defensiva")</f>
        <v>10</v>
      </c>
      <c r="H41" s="2962"/>
      <c r="I41" s="2962"/>
      <c r="J41" s="2962"/>
      <c r="K41" s="2962"/>
      <c r="L41" s="2966"/>
      <c r="M41" s="2966"/>
      <c r="N41" s="2966"/>
      <c r="O41" s="2966"/>
      <c r="P41" s="2966"/>
      <c r="Q41" s="2966"/>
      <c r="R41" s="2967"/>
      <c r="S41" s="2027"/>
      <c r="T41" s="52"/>
    </row>
    <row r="42" spans="1:22" ht="12" customHeight="1" x14ac:dyDescent="0.2">
      <c r="A42" s="50"/>
      <c r="B42" s="2516"/>
      <c r="C42" s="2960" t="s">
        <v>2775</v>
      </c>
      <c r="D42" s="2961"/>
      <c r="E42" s="2961"/>
      <c r="F42" s="2961"/>
      <c r="G42" s="2956" t="str">
        <f>IF(Psiquicos!C25=0,"",Psiquicos!C25)&amp;IF(Psiquicos!C27=0,"",", "&amp;Psiquicos!C27)&amp;IF(Psiquicos!C29=0,"",", "&amp;Psiquicos!C29)&amp;IF(Psiquicos!C31=0,"",", "&amp;Psiquicos!C31)&amp;IF(Psiquicos!C33=0,"",", "&amp;Psiquicos!C33)&amp;IF(Psiquicos!C35=0,"",", "&amp;Psiquicos!C35)</f>
        <v>Incremento físico, telequinesis</v>
      </c>
      <c r="H42" s="2956"/>
      <c r="I42" s="2956"/>
      <c r="J42" s="2956"/>
      <c r="K42" s="2956"/>
      <c r="L42" s="2956"/>
      <c r="M42" s="2956"/>
      <c r="N42" s="2956"/>
      <c r="O42" s="2956"/>
      <c r="P42" s="2956"/>
      <c r="Q42" s="2956"/>
      <c r="R42" s="2957"/>
      <c r="S42" s="2027"/>
      <c r="T42" s="52"/>
    </row>
    <row r="43" spans="1:22" ht="12" customHeight="1" x14ac:dyDescent="0.2">
      <c r="A43" s="50"/>
      <c r="B43" s="2516"/>
      <c r="C43" s="2960" t="s">
        <v>2776</v>
      </c>
      <c r="D43" s="2961"/>
      <c r="E43" s="2961"/>
      <c r="F43" s="2961"/>
      <c r="G43" s="2966"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2966"/>
      <c r="I43" s="2966"/>
      <c r="J43" s="2966"/>
      <c r="K43" s="2966"/>
      <c r="L43" s="2966"/>
      <c r="M43" s="2966"/>
      <c r="N43" s="2966"/>
      <c r="O43" s="2966"/>
      <c r="P43" s="2966"/>
      <c r="Q43" s="2966"/>
      <c r="R43" s="2967"/>
      <c r="S43" s="2027"/>
      <c r="T43" s="52"/>
    </row>
    <row r="44" spans="1:22" ht="12" customHeight="1" x14ac:dyDescent="0.2">
      <c r="A44" s="50"/>
      <c r="B44" s="2516"/>
      <c r="C44" s="1946"/>
      <c r="D44" s="61"/>
      <c r="E44" s="61"/>
      <c r="F44" s="61"/>
      <c r="G44" s="2966"/>
      <c r="H44" s="2966"/>
      <c r="I44" s="2966"/>
      <c r="J44" s="2966"/>
      <c r="K44" s="2966"/>
      <c r="L44" s="2966"/>
      <c r="M44" s="2966"/>
      <c r="N44" s="2966"/>
      <c r="O44" s="2966"/>
      <c r="P44" s="2966"/>
      <c r="Q44" s="2966"/>
      <c r="R44" s="2967"/>
      <c r="S44" s="2027"/>
      <c r="T44" s="52"/>
    </row>
    <row r="45" spans="1:22" ht="12" customHeight="1" x14ac:dyDescent="0.2">
      <c r="A45" s="50"/>
      <c r="B45" s="2516"/>
      <c r="C45" s="1946"/>
      <c r="D45" s="61"/>
      <c r="E45" s="61"/>
      <c r="F45" s="61"/>
      <c r="G45" s="2966"/>
      <c r="H45" s="2966"/>
      <c r="I45" s="2966"/>
      <c r="J45" s="2966"/>
      <c r="K45" s="2966"/>
      <c r="L45" s="2966"/>
      <c r="M45" s="2966"/>
      <c r="N45" s="2966"/>
      <c r="O45" s="2966"/>
      <c r="P45" s="2966"/>
      <c r="Q45" s="2966"/>
      <c r="R45" s="2967"/>
      <c r="S45" s="2027"/>
      <c r="T45" s="52"/>
      <c r="V45" s="1910"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Sangre de Grandes Bestias (2), </v>
      </c>
    </row>
    <row r="46" spans="1:22" ht="12" customHeight="1" x14ac:dyDescent="0.2">
      <c r="A46" s="50"/>
      <c r="B46" s="2516"/>
      <c r="C46" s="1946"/>
      <c r="D46" s="61"/>
      <c r="E46" s="61"/>
      <c r="F46" s="61"/>
      <c r="G46" s="61"/>
      <c r="H46" s="61"/>
      <c r="I46" s="61"/>
      <c r="J46" s="61"/>
      <c r="K46" s="61"/>
      <c r="L46" s="61"/>
      <c r="M46" s="61"/>
      <c r="N46" s="61"/>
      <c r="O46" s="61"/>
      <c r="P46" s="61"/>
      <c r="Q46" s="61"/>
      <c r="R46" s="1777"/>
      <c r="S46" s="2027"/>
      <c r="T46" s="52"/>
    </row>
    <row r="47" spans="1:22" ht="12" customHeight="1" x14ac:dyDescent="0.2">
      <c r="A47" s="50"/>
      <c r="B47" s="2516"/>
      <c r="C47" s="2970" t="s">
        <v>2777</v>
      </c>
      <c r="D47" s="2971"/>
      <c r="E47" s="2971"/>
      <c r="F47" s="2971"/>
      <c r="G47" s="2979" t="str">
        <f>IF(V45="","",LEFT(V45,LEN(V45)-2))</f>
        <v>Armadura Natural, Sangre de Grandes Bestias (2)</v>
      </c>
      <c r="H47" s="2979"/>
      <c r="I47" s="2979"/>
      <c r="J47" s="2979"/>
      <c r="K47" s="2979"/>
      <c r="L47" s="2979"/>
      <c r="M47" s="2979"/>
      <c r="N47" s="2979"/>
      <c r="O47" s="2979"/>
      <c r="P47" s="2979"/>
      <c r="Q47" s="2979"/>
      <c r="R47" s="2980"/>
      <c r="S47" s="2027"/>
      <c r="T47" s="52"/>
    </row>
    <row r="48" spans="1:22" ht="23.85" customHeight="1" x14ac:dyDescent="0.2">
      <c r="A48" s="50"/>
      <c r="B48" s="2516"/>
      <c r="C48" s="1946"/>
      <c r="D48" s="61"/>
      <c r="E48" s="61"/>
      <c r="F48" s="61"/>
      <c r="G48" s="2966"/>
      <c r="H48" s="2966"/>
      <c r="I48" s="2966"/>
      <c r="J48" s="2966"/>
      <c r="K48" s="2966"/>
      <c r="L48" s="2966"/>
      <c r="M48" s="2966"/>
      <c r="N48" s="2966"/>
      <c r="O48" s="2966"/>
      <c r="P48" s="2966"/>
      <c r="Q48" s="2966"/>
      <c r="R48" s="2967"/>
      <c r="S48" s="2027"/>
      <c r="T48" s="52"/>
    </row>
    <row r="49" spans="1:20" ht="12" customHeight="1" x14ac:dyDescent="0.2">
      <c r="A49" s="50"/>
      <c r="B49" s="2516"/>
      <c r="C49" s="2960" t="s">
        <v>2778</v>
      </c>
      <c r="D49" s="2961"/>
      <c r="E49" s="2961"/>
      <c r="F49" s="2961"/>
      <c r="G49" s="2966" t="str">
        <f>Tablas!$E$3365</f>
        <v/>
      </c>
      <c r="H49" s="2966"/>
      <c r="I49" s="2966"/>
      <c r="J49" s="2966"/>
      <c r="K49" s="2966"/>
      <c r="L49" s="2966"/>
      <c r="M49" s="2966"/>
      <c r="N49" s="2966"/>
      <c r="O49" s="2966"/>
      <c r="P49" s="2966"/>
      <c r="Q49" s="2966"/>
      <c r="R49" s="2967"/>
      <c r="S49" s="2027"/>
      <c r="T49" s="52"/>
    </row>
    <row r="50" spans="1:20" ht="12" customHeight="1" x14ac:dyDescent="0.2">
      <c r="A50" s="50"/>
      <c r="B50" s="2516"/>
      <c r="C50" s="1946"/>
      <c r="D50" s="61"/>
      <c r="E50" s="61"/>
      <c r="F50" s="61"/>
      <c r="G50" s="2966"/>
      <c r="H50" s="2966"/>
      <c r="I50" s="2966"/>
      <c r="J50" s="2966"/>
      <c r="K50" s="2966"/>
      <c r="L50" s="2966"/>
      <c r="M50" s="2966"/>
      <c r="N50" s="2966"/>
      <c r="O50" s="2966"/>
      <c r="P50" s="2966"/>
      <c r="Q50" s="2966"/>
      <c r="R50" s="2967"/>
      <c r="S50" s="2027"/>
      <c r="T50" s="52"/>
    </row>
    <row r="51" spans="1:20" ht="12" customHeight="1" x14ac:dyDescent="0.2">
      <c r="A51" s="50"/>
      <c r="B51" s="2516"/>
      <c r="C51" s="2960" t="s">
        <v>2779</v>
      </c>
      <c r="D51" s="2961"/>
      <c r="E51" s="2961"/>
      <c r="F51" s="2961"/>
      <c r="G51" s="296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66"/>
      <c r="I51" s="2966"/>
      <c r="J51" s="2966"/>
      <c r="K51" s="2966"/>
      <c r="L51" s="2966"/>
      <c r="M51" s="2966"/>
      <c r="N51" s="2966"/>
      <c r="O51" s="2966"/>
      <c r="P51" s="2966"/>
      <c r="Q51" s="2966"/>
      <c r="R51" s="2967"/>
      <c r="S51" s="2027"/>
      <c r="T51" s="52"/>
    </row>
    <row r="52" spans="1:20" ht="12" customHeight="1" x14ac:dyDescent="0.2">
      <c r="A52" s="50"/>
      <c r="B52" s="2516"/>
      <c r="C52" s="1946"/>
      <c r="D52" s="61"/>
      <c r="E52" s="61"/>
      <c r="F52" s="61"/>
      <c r="G52" s="2966"/>
      <c r="H52" s="2966"/>
      <c r="I52" s="2966"/>
      <c r="J52" s="2966"/>
      <c r="K52" s="2966"/>
      <c r="L52" s="2966"/>
      <c r="M52" s="2966"/>
      <c r="N52" s="2966"/>
      <c r="O52" s="2966"/>
      <c r="P52" s="2966"/>
      <c r="Q52" s="2966"/>
      <c r="R52" s="2967"/>
      <c r="S52" s="2027"/>
      <c r="T52" s="52"/>
    </row>
    <row r="53" spans="1:20" ht="12" customHeight="1" x14ac:dyDescent="0.2">
      <c r="A53" s="50"/>
      <c r="B53" s="2516"/>
      <c r="C53" s="2960" t="s">
        <v>2780</v>
      </c>
      <c r="D53" s="2961"/>
      <c r="E53" s="2981" t="str">
        <f>Tablas!G3402</f>
        <v>Armadura física: TA 8</v>
      </c>
      <c r="F53" s="2981"/>
      <c r="G53" s="2981"/>
      <c r="H53" s="2981"/>
      <c r="I53" s="2981"/>
      <c r="J53" s="2981"/>
      <c r="K53" s="2981"/>
      <c r="L53" s="2981"/>
      <c r="M53" s="2981"/>
      <c r="N53" s="2981"/>
      <c r="O53" s="2981"/>
      <c r="P53" s="2981"/>
      <c r="Q53" s="2981"/>
      <c r="R53" s="2967"/>
      <c r="S53" s="2027"/>
      <c r="T53" s="52"/>
    </row>
    <row r="54" spans="1:20" ht="12" customHeight="1" x14ac:dyDescent="0.2">
      <c r="A54" s="50"/>
      <c r="B54" s="2516"/>
      <c r="C54" s="1946"/>
      <c r="D54" s="61"/>
      <c r="E54" s="2981"/>
      <c r="F54" s="2981"/>
      <c r="G54" s="2981"/>
      <c r="H54" s="2981"/>
      <c r="I54" s="2981"/>
      <c r="J54" s="2981"/>
      <c r="K54" s="2981"/>
      <c r="L54" s="2981"/>
      <c r="M54" s="2981"/>
      <c r="N54" s="2981"/>
      <c r="O54" s="2981"/>
      <c r="P54" s="2981"/>
      <c r="Q54" s="2981"/>
      <c r="R54" s="2967"/>
      <c r="S54" s="2027"/>
      <c r="T54" s="52"/>
    </row>
    <row r="55" spans="1:20" ht="12" customHeight="1" x14ac:dyDescent="0.2">
      <c r="A55" s="50"/>
      <c r="B55" s="2516"/>
      <c r="C55" s="1946"/>
      <c r="D55" s="61"/>
      <c r="E55" s="2981"/>
      <c r="F55" s="2981"/>
      <c r="G55" s="2981"/>
      <c r="H55" s="2981"/>
      <c r="I55" s="2981"/>
      <c r="J55" s="2981"/>
      <c r="K55" s="2981"/>
      <c r="L55" s="2981"/>
      <c r="M55" s="2981"/>
      <c r="N55" s="2981"/>
      <c r="O55" s="2981"/>
      <c r="P55" s="2981"/>
      <c r="Q55" s="2981"/>
      <c r="R55" s="2967"/>
      <c r="S55" s="2027"/>
      <c r="T55" s="52"/>
    </row>
    <row r="56" spans="1:20" ht="12" customHeight="1" x14ac:dyDescent="0.2">
      <c r="A56" s="50"/>
      <c r="B56" s="2516"/>
      <c r="C56" s="1946"/>
      <c r="D56" s="61"/>
      <c r="E56" s="2981"/>
      <c r="F56" s="2981"/>
      <c r="G56" s="2981"/>
      <c r="H56" s="2981"/>
      <c r="I56" s="2981"/>
      <c r="J56" s="2981"/>
      <c r="K56" s="2981"/>
      <c r="L56" s="2981"/>
      <c r="M56" s="2981"/>
      <c r="N56" s="2981"/>
      <c r="O56" s="2981"/>
      <c r="P56" s="2981"/>
      <c r="Q56" s="2981"/>
      <c r="R56" s="2967"/>
      <c r="S56" s="2027"/>
      <c r="T56" s="52"/>
    </row>
    <row r="57" spans="1:20" ht="12" customHeight="1" x14ac:dyDescent="0.2">
      <c r="A57" s="50"/>
      <c r="B57" s="2516"/>
      <c r="C57" s="3005" t="s">
        <v>2214</v>
      </c>
      <c r="D57" s="3006"/>
      <c r="E57" s="3007" t="str">
        <f>Tamaño&amp;", "&amp;Principal!M6</f>
        <v>16, Medio</v>
      </c>
      <c r="F57" s="3007"/>
      <c r="G57" s="3007"/>
      <c r="H57" s="3007"/>
      <c r="I57" s="3007"/>
      <c r="J57" s="61"/>
      <c r="K57" s="2976" t="s">
        <v>2781</v>
      </c>
      <c r="L57" s="2976"/>
      <c r="M57" s="2976"/>
      <c r="N57" s="2498">
        <f>Regeneración</f>
        <v>3</v>
      </c>
      <c r="O57" s="61"/>
      <c r="P57" s="61"/>
      <c r="Q57" s="61"/>
      <c r="R57" s="1777"/>
      <c r="S57" s="2027"/>
      <c r="T57" s="52"/>
    </row>
    <row r="58" spans="1:20" ht="12" customHeight="1" x14ac:dyDescent="0.2">
      <c r="A58" s="50"/>
      <c r="B58" s="2516"/>
      <c r="C58" s="3008" t="s">
        <v>2782</v>
      </c>
      <c r="D58" s="3009"/>
      <c r="E58" s="3009"/>
      <c r="F58" s="446">
        <f>TipodeMovimiento</f>
        <v>8</v>
      </c>
      <c r="G58" s="61"/>
      <c r="H58" s="61"/>
      <c r="I58" s="61"/>
      <c r="J58" s="61"/>
      <c r="K58" s="2976" t="s">
        <v>2783</v>
      </c>
      <c r="L58" s="2976"/>
      <c r="M58" s="2962">
        <f>IF(Cansancio=0,"Incansable",Cansancio)</f>
        <v>8</v>
      </c>
      <c r="N58" s="2962"/>
      <c r="O58" s="61"/>
      <c r="P58" s="61"/>
      <c r="Q58" s="61"/>
      <c r="R58" s="1777"/>
      <c r="S58" s="2027"/>
      <c r="T58" s="52"/>
    </row>
    <row r="59" spans="1:20" ht="12" customHeight="1" x14ac:dyDescent="0.2">
      <c r="A59" s="50"/>
      <c r="B59" s="2516"/>
      <c r="C59" s="1946"/>
      <c r="D59" s="61"/>
      <c r="E59" s="61"/>
      <c r="F59" s="61"/>
      <c r="G59" s="61"/>
      <c r="H59" s="61"/>
      <c r="I59" s="61"/>
      <c r="J59" s="61"/>
      <c r="K59" s="3004" t="s">
        <v>2278</v>
      </c>
      <c r="L59" s="3004"/>
      <c r="M59" s="3004"/>
      <c r="N59" s="443">
        <f>Principal!J29</f>
        <v>3</v>
      </c>
      <c r="O59" s="2498"/>
      <c r="P59" s="61"/>
      <c r="Q59" s="61"/>
      <c r="R59" s="1777"/>
      <c r="S59" s="2027"/>
      <c r="T59" s="52"/>
    </row>
    <row r="60" spans="1:20" ht="12" customHeight="1" x14ac:dyDescent="0.2">
      <c r="A60" s="50"/>
      <c r="B60" s="2516"/>
      <c r="C60" s="2970" t="s">
        <v>2784</v>
      </c>
      <c r="D60" s="2971"/>
      <c r="E60" s="2971"/>
      <c r="F60" s="2971"/>
      <c r="G60" s="2971"/>
      <c r="H60" s="2525"/>
      <c r="I60" s="2525"/>
      <c r="J60" s="2525"/>
      <c r="K60" s="2525"/>
      <c r="L60" s="2525"/>
      <c r="M60" s="2525"/>
      <c r="N60" s="2525"/>
      <c r="O60" s="2525"/>
      <c r="P60" s="2525"/>
      <c r="Q60" s="2525"/>
      <c r="R60" s="2526"/>
      <c r="S60" s="2027"/>
      <c r="T60" s="52"/>
    </row>
    <row r="61" spans="1:20" ht="12" customHeight="1" x14ac:dyDescent="0.2">
      <c r="A61" s="50"/>
      <c r="B61" s="2516"/>
      <c r="C61" s="3000"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81"/>
      <c r="E61" s="2981"/>
      <c r="F61" s="2981"/>
      <c r="G61" s="2981"/>
      <c r="H61" s="2981"/>
      <c r="I61" s="2981"/>
      <c r="J61" s="2981"/>
      <c r="K61" s="2981"/>
      <c r="L61" s="2981"/>
      <c r="M61" s="2981"/>
      <c r="N61" s="2981"/>
      <c r="O61" s="2981"/>
      <c r="P61" s="2981"/>
      <c r="Q61" s="2981"/>
      <c r="R61" s="2967"/>
      <c r="S61" s="2027"/>
      <c r="T61" s="52"/>
    </row>
    <row r="62" spans="1:20" ht="12" customHeight="1" x14ac:dyDescent="0.2">
      <c r="A62" s="50"/>
      <c r="B62" s="2516"/>
      <c r="C62" s="3000"/>
      <c r="D62" s="2981"/>
      <c r="E62" s="2981"/>
      <c r="F62" s="2981"/>
      <c r="G62" s="2981"/>
      <c r="H62" s="2981"/>
      <c r="I62" s="2981"/>
      <c r="J62" s="2981"/>
      <c r="K62" s="2981"/>
      <c r="L62" s="2981"/>
      <c r="M62" s="2981"/>
      <c r="N62" s="2981"/>
      <c r="O62" s="2981"/>
      <c r="P62" s="2981"/>
      <c r="Q62" s="2981"/>
      <c r="R62" s="2967"/>
      <c r="S62" s="2027"/>
      <c r="T62" s="52"/>
    </row>
    <row r="63" spans="1:20" ht="12" customHeight="1" x14ac:dyDescent="0.2">
      <c r="A63" s="50"/>
      <c r="B63" s="2516"/>
      <c r="C63" s="3000"/>
      <c r="D63" s="2981"/>
      <c r="E63" s="2981"/>
      <c r="F63" s="2981"/>
      <c r="G63" s="2981"/>
      <c r="H63" s="2981"/>
      <c r="I63" s="2981"/>
      <c r="J63" s="2981"/>
      <c r="K63" s="2981"/>
      <c r="L63" s="2981"/>
      <c r="M63" s="2981"/>
      <c r="N63" s="2981"/>
      <c r="O63" s="2981"/>
      <c r="P63" s="2981"/>
      <c r="Q63" s="2981"/>
      <c r="R63" s="2967"/>
      <c r="S63" s="2027"/>
      <c r="T63" s="52"/>
    </row>
    <row r="64" spans="1:20" ht="12" customHeight="1" x14ac:dyDescent="0.2">
      <c r="A64" s="50"/>
      <c r="B64" s="2516"/>
      <c r="C64" s="3000"/>
      <c r="D64" s="2981"/>
      <c r="E64" s="2981"/>
      <c r="F64" s="2981"/>
      <c r="G64" s="2981"/>
      <c r="H64" s="2981"/>
      <c r="I64" s="2981"/>
      <c r="J64" s="2981"/>
      <c r="K64" s="2981"/>
      <c r="L64" s="2981"/>
      <c r="M64" s="2981"/>
      <c r="N64" s="2981"/>
      <c r="O64" s="2981"/>
      <c r="P64" s="2981"/>
      <c r="Q64" s="2981"/>
      <c r="R64" s="2967"/>
      <c r="S64" s="2027"/>
      <c r="T64" s="52"/>
    </row>
    <row r="65" spans="1:20" ht="12" customHeight="1" x14ac:dyDescent="0.2">
      <c r="A65" s="50"/>
      <c r="B65" s="2516"/>
      <c r="C65" s="3000"/>
      <c r="D65" s="2981"/>
      <c r="E65" s="2981"/>
      <c r="F65" s="2981"/>
      <c r="G65" s="2981"/>
      <c r="H65" s="2981"/>
      <c r="I65" s="2981"/>
      <c r="J65" s="2981"/>
      <c r="K65" s="2981"/>
      <c r="L65" s="2981"/>
      <c r="M65" s="2981"/>
      <c r="N65" s="2981"/>
      <c r="O65" s="2981"/>
      <c r="P65" s="2981"/>
      <c r="Q65" s="2981"/>
      <c r="R65" s="2967"/>
      <c r="S65" s="2027"/>
      <c r="T65" s="52"/>
    </row>
    <row r="66" spans="1:20" ht="12.75" customHeight="1" x14ac:dyDescent="0.2">
      <c r="A66" s="50"/>
      <c r="B66" s="2516"/>
      <c r="C66" s="3000"/>
      <c r="D66" s="2981"/>
      <c r="E66" s="2981"/>
      <c r="F66" s="2981"/>
      <c r="G66" s="2981"/>
      <c r="H66" s="2981"/>
      <c r="I66" s="2981"/>
      <c r="J66" s="2981"/>
      <c r="K66" s="2981"/>
      <c r="L66" s="2981"/>
      <c r="M66" s="2981"/>
      <c r="N66" s="2981"/>
      <c r="O66" s="2981"/>
      <c r="P66" s="2981"/>
      <c r="Q66" s="2981"/>
      <c r="R66" s="2967"/>
      <c r="S66" s="2027"/>
      <c r="T66" s="52"/>
    </row>
    <row r="67" spans="1:20" ht="12.75" customHeight="1" x14ac:dyDescent="0.2">
      <c r="A67" s="50"/>
      <c r="B67" s="2516"/>
      <c r="C67" s="3000"/>
      <c r="D67" s="2981"/>
      <c r="E67" s="2981"/>
      <c r="F67" s="2981"/>
      <c r="G67" s="2981"/>
      <c r="H67" s="2981"/>
      <c r="I67" s="2981"/>
      <c r="J67" s="2981"/>
      <c r="K67" s="2981"/>
      <c r="L67" s="2981"/>
      <c r="M67" s="2981"/>
      <c r="N67" s="2981"/>
      <c r="O67" s="2981"/>
      <c r="P67" s="2981"/>
      <c r="Q67" s="2981"/>
      <c r="R67" s="2967"/>
      <c r="S67" s="2027"/>
      <c r="T67" s="52"/>
    </row>
    <row r="68" spans="1:20" ht="12.75" customHeight="1" thickBot="1" x14ac:dyDescent="0.25">
      <c r="A68" s="50"/>
      <c r="B68" s="2516"/>
      <c r="C68" s="3001"/>
      <c r="D68" s="3002"/>
      <c r="E68" s="3002"/>
      <c r="F68" s="3002"/>
      <c r="G68" s="3002"/>
      <c r="H68" s="3002"/>
      <c r="I68" s="3002"/>
      <c r="J68" s="3002"/>
      <c r="K68" s="3002"/>
      <c r="L68" s="3002"/>
      <c r="M68" s="3002"/>
      <c r="N68" s="3002"/>
      <c r="O68" s="3002"/>
      <c r="P68" s="3002"/>
      <c r="Q68" s="3002"/>
      <c r="R68" s="3003"/>
      <c r="S68" s="2027"/>
      <c r="T68" s="52"/>
    </row>
    <row r="69" spans="1:20" ht="12.75" customHeight="1" thickBot="1" x14ac:dyDescent="0.25">
      <c r="A69" s="50"/>
      <c r="B69" s="2519"/>
      <c r="C69" s="2029"/>
      <c r="D69" s="2029"/>
      <c r="E69" s="2029"/>
      <c r="F69" s="2029"/>
      <c r="G69" s="2029"/>
      <c r="H69" s="2029"/>
      <c r="I69" s="2029"/>
      <c r="J69" s="2029"/>
      <c r="K69" s="2029"/>
      <c r="L69" s="2029"/>
      <c r="M69" s="2029"/>
      <c r="N69" s="2029"/>
      <c r="O69" s="2029"/>
      <c r="P69" s="2029"/>
      <c r="Q69" s="2029"/>
      <c r="R69" s="2029"/>
      <c r="S69" s="2031"/>
      <c r="T69" s="52"/>
    </row>
    <row r="70" spans="1:20" ht="12.75" customHeight="1" x14ac:dyDescent="0.2">
      <c r="A70" s="50"/>
      <c r="B70" s="51"/>
      <c r="C70" s="51"/>
      <c r="D70" s="51"/>
      <c r="E70" s="51"/>
      <c r="F70" s="51"/>
      <c r="G70" s="51"/>
      <c r="H70" s="51"/>
      <c r="I70" s="51"/>
      <c r="J70" s="51"/>
      <c r="K70" s="51"/>
      <c r="L70" s="51"/>
      <c r="M70" s="51"/>
      <c r="N70" s="51"/>
      <c r="O70" s="51"/>
      <c r="P70" s="51"/>
      <c r="Q70" s="51"/>
      <c r="R70" s="51"/>
      <c r="S70" s="1914"/>
      <c r="T70" s="1914"/>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F24" sqref="F24"/>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10"/>
    <col min="38" max="38" width="1.7109375" style="2810" customWidth="1"/>
    <col min="39" max="45" width="5.7109375" style="2810"/>
    <col min="46" max="48" width="5.7109375" style="2057"/>
    <col min="49" max="50" width="5.7109375" style="2807"/>
    <col min="51" max="51" width="5.7109375" style="2057"/>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58" customFormat="1" ht="12" customHeight="1" thickBot="1" x14ac:dyDescent="0.25">
      <c r="A2" s="2050"/>
      <c r="B2" s="2051" t="s">
        <v>9086</v>
      </c>
      <c r="C2" s="2052" t="str">
        <f>IF($L$23="Sue'Aman:","Sue_Aman","Etnias")</f>
        <v>Etnias</v>
      </c>
      <c r="D2" s="2052"/>
      <c r="E2" s="2052"/>
      <c r="F2" s="2052"/>
      <c r="G2" s="2052"/>
      <c r="H2" s="2052"/>
      <c r="I2" s="2052"/>
      <c r="J2" s="2052"/>
      <c r="K2" s="2052"/>
      <c r="L2" s="2052"/>
      <c r="M2" s="2052"/>
      <c r="N2" s="2052"/>
      <c r="O2" s="2052"/>
      <c r="P2" s="2052"/>
      <c r="Q2" s="2052"/>
      <c r="R2" s="2053"/>
      <c r="S2" s="2050"/>
      <c r="T2" s="1913"/>
      <c r="U2" s="2054"/>
      <c r="V2" s="2055"/>
      <c r="W2" s="2055"/>
      <c r="X2" s="2055"/>
      <c r="Y2" s="2055"/>
      <c r="Z2" s="2055"/>
      <c r="AA2" s="2055"/>
      <c r="AB2" s="2055"/>
      <c r="AC2" s="2055"/>
      <c r="AD2" s="2055"/>
      <c r="AE2" s="2055"/>
      <c r="AF2" s="2055"/>
      <c r="AG2" s="2055"/>
      <c r="AH2" s="2055"/>
      <c r="AI2" s="2055"/>
      <c r="AJ2" s="2055"/>
      <c r="AK2" s="2811"/>
      <c r="AL2" s="8"/>
      <c r="AM2" s="2812"/>
      <c r="AN2" s="2812"/>
      <c r="AO2" s="2812"/>
      <c r="AP2" s="2812"/>
      <c r="AQ2" s="2812"/>
      <c r="AR2" s="2812"/>
      <c r="AS2" s="2810"/>
      <c r="AT2" s="2057"/>
      <c r="AU2" s="2057"/>
      <c r="AV2" s="2057"/>
      <c r="AW2" s="2807"/>
      <c r="AX2" s="2807"/>
      <c r="AY2" s="2057"/>
    </row>
    <row r="3" spans="1:51" ht="12" customHeight="1" thickBot="1" x14ac:dyDescent="0.25">
      <c r="A3" s="7"/>
      <c r="B3" s="2043"/>
      <c r="C3" s="11"/>
      <c r="D3" s="11"/>
      <c r="E3" s="11"/>
      <c r="F3" s="11"/>
      <c r="G3" s="11"/>
      <c r="H3" s="11"/>
      <c r="I3" s="11"/>
      <c r="J3" s="11"/>
      <c r="K3" s="11"/>
      <c r="L3" s="11"/>
      <c r="M3" s="11"/>
      <c r="N3" s="11"/>
      <c r="O3" s="11"/>
      <c r="P3" s="11"/>
      <c r="Q3" s="11"/>
      <c r="R3" s="2044"/>
      <c r="S3" s="7"/>
      <c r="T3" s="8"/>
      <c r="U3" s="12"/>
      <c r="V3" s="3046"/>
      <c r="W3" s="3046"/>
      <c r="X3" s="3046"/>
      <c r="Y3" s="3046"/>
      <c r="Z3" s="3046"/>
      <c r="AA3" s="3046"/>
      <c r="AB3" s="13"/>
      <c r="AC3" s="13"/>
      <c r="AD3" s="13"/>
      <c r="AE3" s="13"/>
      <c r="AF3" s="13"/>
      <c r="AG3" s="13"/>
      <c r="AH3" s="13"/>
      <c r="AI3" s="13"/>
      <c r="AJ3" s="14"/>
      <c r="AK3" s="15"/>
      <c r="AL3" s="8"/>
      <c r="AM3" s="2812"/>
      <c r="AN3" s="2812"/>
      <c r="AO3" s="2812"/>
      <c r="AP3" s="2812"/>
      <c r="AQ3" s="2812"/>
      <c r="AR3" s="2812"/>
    </row>
    <row r="4" spans="1:51" ht="12" customHeight="1" thickBot="1" x14ac:dyDescent="0.25">
      <c r="A4" s="7"/>
      <c r="B4" s="2043"/>
      <c r="C4" s="11"/>
      <c r="D4" s="11"/>
      <c r="E4" s="11"/>
      <c r="F4" s="11"/>
      <c r="G4" s="11"/>
      <c r="H4" s="11"/>
      <c r="I4" s="11"/>
      <c r="J4" s="11"/>
      <c r="K4" s="11"/>
      <c r="L4" s="11"/>
      <c r="M4" s="11"/>
      <c r="N4" s="11"/>
      <c r="O4" s="11"/>
      <c r="P4" s="11"/>
      <c r="Q4" s="11"/>
      <c r="R4" s="2044"/>
      <c r="S4" s="7"/>
      <c r="T4" s="8"/>
      <c r="U4" s="12"/>
      <c r="V4" s="3046"/>
      <c r="W4" s="3046"/>
      <c r="X4" s="3046"/>
      <c r="Y4" s="3046"/>
      <c r="Z4" s="3046"/>
      <c r="AA4" s="3046"/>
      <c r="AB4" s="16"/>
      <c r="AC4" s="2963" t="s">
        <v>2169</v>
      </c>
      <c r="AD4" s="2963"/>
      <c r="AE4" s="2964" t="str">
        <f>IF(OR(General!$G$22="",General!$G$22=0),"",General!$G$22)</f>
        <v/>
      </c>
      <c r="AF4" s="2964"/>
      <c r="AG4" s="2964"/>
      <c r="AH4" s="2964"/>
      <c r="AI4" s="2964"/>
      <c r="AJ4" s="17"/>
      <c r="AK4" s="15"/>
      <c r="AL4" s="8"/>
      <c r="AM4" s="2812"/>
      <c r="AN4" s="2812"/>
      <c r="AO4" s="2812"/>
      <c r="AP4" s="2812"/>
      <c r="AQ4" s="2812"/>
      <c r="AR4" s="2812"/>
    </row>
    <row r="5" spans="1:51" ht="12" customHeight="1" thickBot="1" x14ac:dyDescent="0.25">
      <c r="A5" s="7"/>
      <c r="B5" s="2043"/>
      <c r="C5" s="11"/>
      <c r="D5" s="11"/>
      <c r="E5" s="11"/>
      <c r="F5" s="2172"/>
      <c r="G5" s="2173"/>
      <c r="H5" s="2173"/>
      <c r="I5" s="2173"/>
      <c r="J5" s="2173"/>
      <c r="K5" s="2173"/>
      <c r="L5" s="2173"/>
      <c r="M5" s="2173"/>
      <c r="N5" s="2174"/>
      <c r="O5" s="11"/>
      <c r="P5" s="11"/>
      <c r="Q5" s="11"/>
      <c r="R5" s="2044"/>
      <c r="S5" s="7"/>
      <c r="T5" s="8"/>
      <c r="U5" s="12"/>
      <c r="V5" s="3046"/>
      <c r="W5" s="3046"/>
      <c r="X5" s="3046"/>
      <c r="Y5" s="3046"/>
      <c r="Z5" s="3046"/>
      <c r="AA5" s="3046"/>
      <c r="AB5" s="16"/>
      <c r="AC5" s="3042" t="s">
        <v>2170</v>
      </c>
      <c r="AD5" s="3042"/>
      <c r="AE5" s="3043" t="str">
        <f>Principal!$L$5</f>
        <v>Hechicero</v>
      </c>
      <c r="AF5" s="3043"/>
      <c r="AG5" s="3043"/>
      <c r="AH5" s="18" t="s">
        <v>2171</v>
      </c>
      <c r="AI5" s="19" t="str">
        <f>Principal!$P$5</f>
        <v>1 + 2</v>
      </c>
      <c r="AJ5" s="20"/>
      <c r="AK5" s="15"/>
      <c r="AL5" s="8"/>
      <c r="AM5" s="2812"/>
      <c r="AU5" s="2056"/>
      <c r="AV5" s="2056"/>
      <c r="AW5" s="2808"/>
      <c r="AX5" s="2809"/>
      <c r="AY5" s="2058"/>
    </row>
    <row r="6" spans="1:51" ht="12" customHeight="1" thickBot="1" x14ac:dyDescent="0.25">
      <c r="A6" s="7"/>
      <c r="B6" s="2043"/>
      <c r="C6" s="11"/>
      <c r="D6" s="11"/>
      <c r="E6" s="11"/>
      <c r="F6" s="2175"/>
      <c r="G6" s="2171"/>
      <c r="H6" s="2171"/>
      <c r="I6" s="2171"/>
      <c r="J6" s="2171"/>
      <c r="K6" s="2171"/>
      <c r="L6" s="2171"/>
      <c r="M6" s="2171"/>
      <c r="N6" s="2176"/>
      <c r="O6" s="11"/>
      <c r="P6" s="11"/>
      <c r="Q6" s="11"/>
      <c r="R6" s="2044"/>
      <c r="S6" s="7"/>
      <c r="T6" s="8"/>
      <c r="U6" s="12"/>
      <c r="V6" s="3046"/>
      <c r="W6" s="3046"/>
      <c r="X6" s="3046"/>
      <c r="Y6" s="3046"/>
      <c r="Z6" s="3046"/>
      <c r="AA6" s="3046"/>
      <c r="AB6" s="16"/>
      <c r="AC6" s="3044" t="s">
        <v>2172</v>
      </c>
      <c r="AD6" s="3044"/>
      <c r="AE6" s="3044"/>
      <c r="AF6" s="3044"/>
      <c r="AG6" s="3044"/>
      <c r="AH6" s="3044"/>
      <c r="AI6" s="3044"/>
      <c r="AJ6" s="20"/>
      <c r="AK6" s="15"/>
      <c r="AL6" s="8"/>
      <c r="AM6" s="2812"/>
      <c r="AN6" s="2812"/>
      <c r="AO6" s="2812"/>
      <c r="AP6" s="2812"/>
      <c r="AQ6" s="2812"/>
      <c r="AR6" s="2812"/>
      <c r="AS6" s="2812"/>
      <c r="AT6" s="2056"/>
      <c r="AU6" s="2056"/>
      <c r="AV6" s="2056"/>
      <c r="AW6" s="2808"/>
      <c r="AX6" s="2809"/>
      <c r="AY6" s="2058"/>
    </row>
    <row r="7" spans="1:51" ht="12" customHeight="1" thickBot="1" x14ac:dyDescent="0.25">
      <c r="A7" s="7"/>
      <c r="B7" s="2043"/>
      <c r="C7" s="11"/>
      <c r="D7" s="11"/>
      <c r="E7" s="11"/>
      <c r="F7" s="2175"/>
      <c r="G7" s="2171"/>
      <c r="H7" s="2171"/>
      <c r="I7" s="2171"/>
      <c r="J7" s="2171"/>
      <c r="K7" s="2171"/>
      <c r="L7" s="2171"/>
      <c r="M7" s="2171"/>
      <c r="N7" s="2176"/>
      <c r="O7" s="11"/>
      <c r="P7" s="11"/>
      <c r="Q7" s="11"/>
      <c r="R7" s="2044"/>
      <c r="S7" s="7"/>
      <c r="T7" s="8"/>
      <c r="U7" s="12"/>
      <c r="V7" s="3046"/>
      <c r="W7" s="3046"/>
      <c r="X7" s="3046"/>
      <c r="Y7" s="3046"/>
      <c r="Z7" s="3046"/>
      <c r="AA7" s="3046"/>
      <c r="AB7" s="16"/>
      <c r="AC7" s="3044"/>
      <c r="AD7" s="3044"/>
      <c r="AE7" s="3044"/>
      <c r="AF7" s="3044"/>
      <c r="AG7" s="3044"/>
      <c r="AH7" s="3044"/>
      <c r="AI7" s="3044"/>
      <c r="AJ7" s="20"/>
      <c r="AK7" s="15"/>
      <c r="AL7" s="8"/>
      <c r="AM7" s="2812"/>
      <c r="AN7" s="2812"/>
      <c r="AO7" s="2812"/>
      <c r="AP7" s="2812"/>
      <c r="AQ7" s="2812"/>
      <c r="AR7" s="2812"/>
      <c r="AS7" s="2812"/>
      <c r="AT7" s="2056"/>
      <c r="AU7" s="2056"/>
      <c r="AV7" s="2056"/>
      <c r="AW7" s="2808"/>
      <c r="AX7" s="2809"/>
      <c r="AY7" s="2058"/>
    </row>
    <row r="8" spans="1:51" ht="12" customHeight="1" thickBot="1" x14ac:dyDescent="0.25">
      <c r="A8" s="7"/>
      <c r="B8" s="2043"/>
      <c r="C8" s="11"/>
      <c r="D8" s="11"/>
      <c r="E8" s="11"/>
      <c r="F8" s="2175"/>
      <c r="G8" s="2171"/>
      <c r="H8" s="2171"/>
      <c r="I8" s="2171"/>
      <c r="J8" s="2171"/>
      <c r="K8" s="2171"/>
      <c r="L8" s="2171"/>
      <c r="M8" s="2171"/>
      <c r="N8" s="2176"/>
      <c r="O8" s="11"/>
      <c r="P8" s="11"/>
      <c r="Q8" s="11"/>
      <c r="R8" s="2044"/>
      <c r="S8" s="7"/>
      <c r="T8" s="8"/>
      <c r="U8" s="12"/>
      <c r="V8" s="3046"/>
      <c r="W8" s="3046"/>
      <c r="X8" s="3046"/>
      <c r="Y8" s="3046"/>
      <c r="Z8" s="3046"/>
      <c r="AA8" s="3046"/>
      <c r="AB8" s="21"/>
      <c r="AC8" s="21"/>
      <c r="AD8" s="21"/>
      <c r="AE8" s="21"/>
      <c r="AF8" s="21"/>
      <c r="AG8" s="21"/>
      <c r="AH8" s="21"/>
      <c r="AI8" s="21"/>
      <c r="AJ8" s="22"/>
      <c r="AK8" s="15"/>
      <c r="AL8" s="8"/>
      <c r="AM8" s="2812"/>
      <c r="AU8" s="2056"/>
      <c r="AV8" s="2056"/>
      <c r="AW8" s="2808"/>
      <c r="AX8" s="2809"/>
      <c r="AY8" s="2058"/>
    </row>
    <row r="9" spans="1:51" ht="12" customHeight="1" thickBot="1" x14ac:dyDescent="0.25">
      <c r="A9" s="7"/>
      <c r="B9" s="2043"/>
      <c r="C9" s="11"/>
      <c r="D9" s="11"/>
      <c r="E9" s="11"/>
      <c r="F9" s="2175"/>
      <c r="G9" s="2171"/>
      <c r="H9" s="2171"/>
      <c r="I9" s="2171"/>
      <c r="J9" s="2171"/>
      <c r="K9" s="2171"/>
      <c r="L9" s="2171"/>
      <c r="M9" s="2171"/>
      <c r="N9" s="2176"/>
      <c r="O9" s="11"/>
      <c r="P9" s="11"/>
      <c r="Q9" s="11"/>
      <c r="R9" s="2044"/>
      <c r="S9" s="7"/>
      <c r="T9" s="8"/>
      <c r="U9" s="12"/>
      <c r="V9" s="2537"/>
      <c r="W9" s="23"/>
      <c r="X9" s="23"/>
      <c r="Y9" s="23"/>
      <c r="Z9" s="23"/>
      <c r="AA9" s="23"/>
      <c r="AB9" s="2537"/>
      <c r="AC9" s="23"/>
      <c r="AD9" s="23"/>
      <c r="AE9" s="23"/>
      <c r="AF9" s="23"/>
      <c r="AG9" s="23"/>
      <c r="AH9" s="23"/>
      <c r="AI9" s="23"/>
      <c r="AJ9" s="23"/>
      <c r="AK9" s="15"/>
      <c r="AL9" s="8"/>
      <c r="AM9" s="2812"/>
      <c r="AU9" s="2056"/>
      <c r="AV9" s="2056"/>
      <c r="AW9" s="2808"/>
      <c r="AX9" s="2809"/>
      <c r="AY9" s="2058"/>
    </row>
    <row r="10" spans="1:51" ht="12" customHeight="1" thickBot="1" x14ac:dyDescent="0.25">
      <c r="A10" s="7"/>
      <c r="B10" s="2045"/>
      <c r="F10" s="2175"/>
      <c r="G10" s="2171"/>
      <c r="H10" s="2171"/>
      <c r="I10" s="2171"/>
      <c r="J10" s="2171"/>
      <c r="K10" s="2171"/>
      <c r="L10" s="2171"/>
      <c r="M10" s="2171"/>
      <c r="N10" s="2176"/>
      <c r="O10" s="11"/>
      <c r="P10" s="11"/>
      <c r="Q10" s="11"/>
      <c r="R10" s="2044"/>
      <c r="S10" s="7"/>
      <c r="T10" s="8"/>
      <c r="U10" s="12"/>
      <c r="V10" s="2994" t="s">
        <v>9756</v>
      </c>
      <c r="W10" s="2995"/>
      <c r="X10" s="2995"/>
      <c r="Y10" s="2995"/>
      <c r="Z10" s="2995"/>
      <c r="AA10" s="2995"/>
      <c r="AB10" s="2996"/>
      <c r="AC10" s="2538"/>
      <c r="AD10" s="3028" t="s">
        <v>2176</v>
      </c>
      <c r="AE10" s="3028"/>
      <c r="AF10" s="3028"/>
      <c r="AG10" s="3028"/>
      <c r="AH10" s="3045" t="s">
        <v>2174</v>
      </c>
      <c r="AI10" s="3045"/>
      <c r="AJ10" s="25" t="s">
        <v>2175</v>
      </c>
      <c r="AK10" s="15"/>
      <c r="AL10" s="8"/>
      <c r="AM10" s="2812"/>
      <c r="AU10" s="2056"/>
      <c r="AV10" s="2056"/>
      <c r="AW10" s="2808"/>
      <c r="AX10" s="2809"/>
      <c r="AY10" s="2058"/>
    </row>
    <row r="11" spans="1:51" ht="12" customHeight="1" x14ac:dyDescent="0.2">
      <c r="A11" s="7"/>
      <c r="B11" s="2045"/>
      <c r="F11" s="2175"/>
      <c r="G11" s="2171"/>
      <c r="H11" s="2171"/>
      <c r="I11" s="2171"/>
      <c r="J11" s="2171"/>
      <c r="K11" s="2171"/>
      <c r="L11" s="2171"/>
      <c r="M11" s="2171"/>
      <c r="N11" s="2176"/>
      <c r="O11" s="11"/>
      <c r="P11" s="11"/>
      <c r="Q11" s="11"/>
      <c r="R11" s="2044"/>
      <c r="S11" s="7"/>
      <c r="T11" s="8"/>
      <c r="U11" s="12"/>
      <c r="V11" s="3050" t="s">
        <v>9901</v>
      </c>
      <c r="W11" s="3051"/>
      <c r="X11" s="3051"/>
      <c r="Y11" s="3049" t="s">
        <v>2202</v>
      </c>
      <c r="Z11" s="3049"/>
      <c r="AA11" s="3047" t="s">
        <v>9857</v>
      </c>
      <c r="AB11" s="3048"/>
      <c r="AD11" s="3026"/>
      <c r="AE11" s="3026"/>
      <c r="AF11" s="3026"/>
      <c r="AG11" s="3026"/>
      <c r="AH11" s="3027"/>
      <c r="AI11" s="3027"/>
      <c r="AJ11" s="26"/>
      <c r="AK11" s="15"/>
      <c r="AL11" s="8"/>
      <c r="AM11" s="2812"/>
      <c r="AU11" s="2056"/>
      <c r="AV11" s="2056"/>
      <c r="AW11" s="2808"/>
      <c r="AX11" s="2809"/>
      <c r="AY11" s="2058"/>
    </row>
    <row r="12" spans="1:51" ht="12" customHeight="1" x14ac:dyDescent="0.2">
      <c r="A12" s="7"/>
      <c r="B12" s="2043"/>
      <c r="C12" s="11"/>
      <c r="D12" s="11"/>
      <c r="E12" s="11"/>
      <c r="F12" s="2175"/>
      <c r="G12" s="2171"/>
      <c r="H12" s="2171"/>
      <c r="I12" s="2171"/>
      <c r="J12" s="2171"/>
      <c r="K12" s="2171"/>
      <c r="L12" s="2171"/>
      <c r="M12" s="2171"/>
      <c r="N12" s="2176"/>
      <c r="O12" s="11"/>
      <c r="Q12" s="11"/>
      <c r="R12" s="2044"/>
      <c r="S12" s="7"/>
      <c r="T12" s="8"/>
      <c r="U12" s="12"/>
      <c r="V12" s="3030"/>
      <c r="W12" s="3031"/>
      <c r="X12" s="3032"/>
      <c r="Y12" s="3036">
        <f>VLOOKUP(PDs!$X$15,Tablas!$T$100:$U130,2,FALSE)+V12</f>
        <v>0</v>
      </c>
      <c r="Z12" s="3040"/>
      <c r="AA12" s="3036">
        <f>IF(PDs!$X$15=0,0,VLOOKUP(PDs!$X$15+Principal!$AA$27+1,Tablas!$T$100:$U130,2,FALSE))</f>
        <v>375</v>
      </c>
      <c r="AB12" s="3037"/>
      <c r="AC12" s="2538"/>
      <c r="AD12" s="3026"/>
      <c r="AE12" s="3026"/>
      <c r="AF12" s="3026"/>
      <c r="AG12" s="3026"/>
      <c r="AH12" s="3027"/>
      <c r="AI12" s="3027"/>
      <c r="AJ12" s="26"/>
      <c r="AK12" s="15"/>
      <c r="AL12" s="8"/>
      <c r="AM12" s="2812"/>
      <c r="AN12" s="2812"/>
      <c r="AO12" s="2812"/>
      <c r="AR12" s="2812"/>
      <c r="AS12" s="2812"/>
      <c r="AT12" s="2056"/>
      <c r="AU12" s="2056"/>
      <c r="AV12" s="2056"/>
      <c r="AW12" s="2808"/>
      <c r="AX12" s="2809"/>
      <c r="AY12" s="2058"/>
    </row>
    <row r="13" spans="1:51" ht="12" customHeight="1" thickBot="1" x14ac:dyDescent="0.25">
      <c r="A13" s="7"/>
      <c r="B13" s="2043"/>
      <c r="C13" s="11"/>
      <c r="D13" s="11"/>
      <c r="E13" s="11"/>
      <c r="F13" s="2175"/>
      <c r="G13" s="2171"/>
      <c r="H13" s="2171"/>
      <c r="I13" s="2171"/>
      <c r="J13" s="2171"/>
      <c r="K13" s="2171"/>
      <c r="L13" s="2171"/>
      <c r="M13" s="2171"/>
      <c r="N13" s="2176"/>
      <c r="O13" s="11"/>
      <c r="P13" s="11"/>
      <c r="Q13" s="11"/>
      <c r="R13" s="2044"/>
      <c r="S13" s="7"/>
      <c r="T13" s="8"/>
      <c r="U13" s="12"/>
      <c r="V13" s="3033"/>
      <c r="W13" s="3034"/>
      <c r="X13" s="3035"/>
      <c r="Y13" s="3038"/>
      <c r="Z13" s="3041"/>
      <c r="AA13" s="3038"/>
      <c r="AB13" s="3039"/>
      <c r="AC13" s="2699"/>
      <c r="AD13" s="3026"/>
      <c r="AE13" s="3026"/>
      <c r="AF13" s="3026"/>
      <c r="AG13" s="3026"/>
      <c r="AH13" s="3027"/>
      <c r="AI13" s="3027"/>
      <c r="AJ13" s="26"/>
      <c r="AK13" s="15"/>
      <c r="AL13" s="8"/>
      <c r="AM13" s="2812"/>
      <c r="AN13" s="2812"/>
      <c r="AO13" s="2812"/>
      <c r="AP13" s="2812"/>
      <c r="AQ13" s="2812"/>
      <c r="AR13" s="2812"/>
      <c r="AS13" s="2812"/>
      <c r="AT13" s="2056"/>
      <c r="AU13" s="2056"/>
      <c r="AV13" s="2056"/>
      <c r="AW13" s="2808"/>
      <c r="AX13" s="2809"/>
      <c r="AY13" s="2058"/>
    </row>
    <row r="14" spans="1:51" ht="12" customHeight="1" thickBot="1" x14ac:dyDescent="0.25">
      <c r="A14" s="7"/>
      <c r="B14" s="2043"/>
      <c r="C14" s="11"/>
      <c r="D14" s="11"/>
      <c r="E14" s="11"/>
      <c r="F14" s="2175"/>
      <c r="G14" s="2171"/>
      <c r="H14" s="2171"/>
      <c r="I14" s="2171"/>
      <c r="J14" s="2171"/>
      <c r="K14" s="2171"/>
      <c r="L14" s="2171"/>
      <c r="M14" s="2171"/>
      <c r="N14" s="2176"/>
      <c r="O14" s="11"/>
      <c r="P14" s="11"/>
      <c r="Q14" s="11"/>
      <c r="R14" s="2044"/>
      <c r="S14" s="7"/>
      <c r="T14" s="8"/>
      <c r="U14" s="12"/>
      <c r="V14" s="3053" t="str">
        <f>IF(AND(General!V12="",OR(Tablas!F687&gt;0,Tablas!F688&gt;0,Tablas!F689&gt;0)),"Suma experiencia de Curtido (50 por PC empleado)","")</f>
        <v/>
      </c>
      <c r="W14" s="3053"/>
      <c r="X14" s="3053"/>
      <c r="Y14" s="3053"/>
      <c r="Z14" s="3053"/>
      <c r="AA14" s="3053"/>
      <c r="AB14" s="3053"/>
      <c r="AD14" s="3026"/>
      <c r="AE14" s="3026"/>
      <c r="AF14" s="3026"/>
      <c r="AG14" s="3026"/>
      <c r="AH14" s="3027"/>
      <c r="AI14" s="3027"/>
      <c r="AJ14" s="26"/>
      <c r="AK14" s="15"/>
      <c r="AL14" s="8"/>
      <c r="AM14" s="2812"/>
      <c r="AU14" s="2056"/>
      <c r="AV14" s="2056"/>
      <c r="AW14" s="2808"/>
      <c r="AX14" s="2809"/>
      <c r="AY14" s="2058"/>
    </row>
    <row r="15" spans="1:51" ht="12" customHeight="1" thickBot="1" x14ac:dyDescent="0.25">
      <c r="A15" s="7"/>
      <c r="B15" s="2043"/>
      <c r="C15" s="11"/>
      <c r="D15" s="11"/>
      <c r="E15" s="11"/>
      <c r="F15" s="2175"/>
      <c r="G15" s="2171"/>
      <c r="H15" s="2171"/>
      <c r="I15" s="2171"/>
      <c r="J15" s="2171"/>
      <c r="K15" s="2171"/>
      <c r="L15" s="2171"/>
      <c r="M15" s="2171"/>
      <c r="N15" s="2176"/>
      <c r="O15" s="11"/>
      <c r="P15" s="11"/>
      <c r="R15" s="2044"/>
      <c r="S15" s="7"/>
      <c r="T15" s="8"/>
      <c r="U15" s="12"/>
      <c r="V15" s="3028" t="s">
        <v>2173</v>
      </c>
      <c r="W15" s="3028"/>
      <c r="X15" s="3028"/>
      <c r="Y15" s="3028"/>
      <c r="Z15" s="3029" t="s">
        <v>2174</v>
      </c>
      <c r="AA15" s="3029"/>
      <c r="AB15" s="25" t="s">
        <v>2175</v>
      </c>
      <c r="AD15" s="3026"/>
      <c r="AE15" s="3026"/>
      <c r="AF15" s="3026"/>
      <c r="AG15" s="3026"/>
      <c r="AH15" s="3027"/>
      <c r="AI15" s="3027"/>
      <c r="AJ15" s="26"/>
      <c r="AK15" s="15"/>
      <c r="AL15" s="8"/>
      <c r="AM15" s="2812"/>
      <c r="AU15" s="2056"/>
      <c r="AV15" s="2056"/>
      <c r="AW15" s="2808"/>
      <c r="AX15" s="2809"/>
      <c r="AY15" s="2058"/>
    </row>
    <row r="16" spans="1:51" ht="12" customHeight="1" thickBot="1" x14ac:dyDescent="0.25">
      <c r="A16" s="7"/>
      <c r="B16" s="2043"/>
      <c r="C16" s="11"/>
      <c r="D16" s="11"/>
      <c r="E16" s="11"/>
      <c r="F16" s="2177"/>
      <c r="G16" s="1871"/>
      <c r="H16" s="1871"/>
      <c r="I16" s="1871"/>
      <c r="J16" s="2039"/>
      <c r="K16" s="1871"/>
      <c r="L16" s="1871"/>
      <c r="M16" s="1871"/>
      <c r="N16" s="2179"/>
      <c r="O16" s="11"/>
      <c r="P16" s="11"/>
      <c r="Q16" s="11"/>
      <c r="R16" s="2044"/>
      <c r="S16" s="7"/>
      <c r="T16" s="8"/>
      <c r="U16" s="12"/>
      <c r="V16" s="3052"/>
      <c r="W16" s="3052"/>
      <c r="X16" s="3052"/>
      <c r="Y16" s="3052"/>
      <c r="Z16" s="3027"/>
      <c r="AA16" s="3027"/>
      <c r="AB16" s="26"/>
      <c r="AD16" s="3026"/>
      <c r="AE16" s="3026"/>
      <c r="AF16" s="3026"/>
      <c r="AG16" s="3026"/>
      <c r="AH16" s="3027"/>
      <c r="AI16" s="3027"/>
      <c r="AJ16" s="26"/>
      <c r="AK16" s="15"/>
      <c r="AL16" s="8"/>
      <c r="AM16" s="2812"/>
      <c r="AU16" s="2056"/>
      <c r="AV16" s="2056"/>
      <c r="AW16" s="2808"/>
      <c r="AX16" s="2809"/>
      <c r="AY16" s="2058"/>
    </row>
    <row r="17" spans="1:51" ht="12" customHeight="1" x14ac:dyDescent="0.2">
      <c r="A17" s="7"/>
      <c r="B17" s="2043"/>
      <c r="C17" s="11"/>
      <c r="D17" s="11"/>
      <c r="E17" s="11"/>
      <c r="F17" s="11"/>
      <c r="G17" s="11"/>
      <c r="H17" s="11"/>
      <c r="O17" s="11"/>
      <c r="P17" s="11"/>
      <c r="Q17" s="11"/>
      <c r="R17" s="2044"/>
      <c r="S17" s="7"/>
      <c r="T17" s="8"/>
      <c r="U17" s="12"/>
      <c r="V17" s="3052"/>
      <c r="W17" s="3052"/>
      <c r="X17" s="3052"/>
      <c r="Y17" s="3052"/>
      <c r="Z17" s="3027"/>
      <c r="AA17" s="3027"/>
      <c r="AB17" s="26"/>
      <c r="AD17" s="3026"/>
      <c r="AE17" s="3026"/>
      <c r="AF17" s="3026"/>
      <c r="AG17" s="3026"/>
      <c r="AH17" s="3027"/>
      <c r="AI17" s="3027"/>
      <c r="AJ17" s="26"/>
      <c r="AK17" s="15"/>
      <c r="AL17" s="8"/>
      <c r="AM17" s="2812"/>
      <c r="AU17" s="2056"/>
      <c r="AV17" s="2056"/>
      <c r="AW17" s="2808"/>
      <c r="AX17" s="2809"/>
      <c r="AY17" s="2058"/>
    </row>
    <row r="18" spans="1:51" ht="12" customHeight="1" thickBot="1" x14ac:dyDescent="0.25">
      <c r="A18" s="7"/>
      <c r="B18" s="2043"/>
      <c r="C18" s="11"/>
      <c r="Q18" s="11"/>
      <c r="R18" s="2044"/>
      <c r="S18" s="7"/>
      <c r="T18" s="8"/>
      <c r="U18" s="12"/>
      <c r="V18" s="3052"/>
      <c r="W18" s="3052"/>
      <c r="X18" s="3052"/>
      <c r="Y18" s="3052"/>
      <c r="Z18" s="3027"/>
      <c r="AA18" s="3027"/>
      <c r="AB18" s="26"/>
      <c r="AC18" s="27"/>
      <c r="AD18" s="3026"/>
      <c r="AE18" s="3026"/>
      <c r="AF18" s="3026"/>
      <c r="AG18" s="3026"/>
      <c r="AH18" s="3027"/>
      <c r="AI18" s="3027"/>
      <c r="AJ18" s="26"/>
      <c r="AK18" s="15"/>
      <c r="AL18" s="8"/>
      <c r="AM18" s="2812"/>
      <c r="AU18" s="2056"/>
      <c r="AV18" s="2056"/>
      <c r="AW18" s="2808"/>
      <c r="AX18" s="2809"/>
      <c r="AY18" s="2058"/>
    </row>
    <row r="19" spans="1:51" ht="12" customHeight="1" x14ac:dyDescent="0.2">
      <c r="A19" s="7"/>
      <c r="B19" s="2043"/>
      <c r="C19" s="11"/>
      <c r="D19" s="3010" t="s">
        <v>2177</v>
      </c>
      <c r="E19" s="3011"/>
      <c r="F19" s="3011"/>
      <c r="G19" s="3011"/>
      <c r="H19" s="3011"/>
      <c r="I19" s="3011"/>
      <c r="J19" s="3011"/>
      <c r="K19" s="3011"/>
      <c r="L19" s="3011"/>
      <c r="M19" s="3011"/>
      <c r="N19" s="3011"/>
      <c r="O19" s="3011"/>
      <c r="P19" s="3012"/>
      <c r="R19" s="2044"/>
      <c r="S19" s="7"/>
      <c r="T19" s="8"/>
      <c r="U19" s="12"/>
      <c r="V19" s="3052"/>
      <c r="W19" s="3052"/>
      <c r="X19" s="3052"/>
      <c r="Y19" s="3052"/>
      <c r="Z19" s="3027"/>
      <c r="AA19" s="3027"/>
      <c r="AB19" s="26"/>
      <c r="AC19" s="27"/>
      <c r="AD19" s="3052"/>
      <c r="AE19" s="3052"/>
      <c r="AF19" s="3052"/>
      <c r="AG19" s="3052"/>
      <c r="AH19" s="3027"/>
      <c r="AI19" s="3027"/>
      <c r="AJ19" s="26"/>
      <c r="AK19" s="15"/>
      <c r="AL19" s="8"/>
      <c r="AM19" s="2812"/>
      <c r="AU19" s="2056"/>
      <c r="AV19" s="2056"/>
      <c r="AW19" s="2808"/>
      <c r="AX19" s="2809"/>
      <c r="AY19" s="2058"/>
    </row>
    <row r="20" spans="1:51" ht="12" customHeight="1" thickBot="1" x14ac:dyDescent="0.25">
      <c r="A20" s="7"/>
      <c r="B20" s="2043"/>
      <c r="C20" s="11"/>
      <c r="D20" s="3013"/>
      <c r="E20" s="3014"/>
      <c r="F20" s="3014"/>
      <c r="G20" s="3014"/>
      <c r="H20" s="3014"/>
      <c r="I20" s="3014"/>
      <c r="J20" s="3014"/>
      <c r="K20" s="3014"/>
      <c r="L20" s="3014"/>
      <c r="M20" s="3014"/>
      <c r="N20" s="3014"/>
      <c r="O20" s="3014"/>
      <c r="P20" s="3015"/>
      <c r="R20" s="2044"/>
      <c r="S20" s="7"/>
      <c r="T20" s="8"/>
      <c r="U20" s="12"/>
      <c r="V20" s="3052"/>
      <c r="W20" s="3052"/>
      <c r="X20" s="3052"/>
      <c r="Y20" s="3052"/>
      <c r="Z20" s="3027"/>
      <c r="AA20" s="3027"/>
      <c r="AB20" s="26"/>
      <c r="AC20" s="27"/>
      <c r="AD20" s="3052"/>
      <c r="AE20" s="3052"/>
      <c r="AF20" s="3052"/>
      <c r="AG20" s="3052"/>
      <c r="AH20" s="3027"/>
      <c r="AI20" s="3027"/>
      <c r="AJ20" s="26"/>
      <c r="AK20" s="15"/>
      <c r="AL20" s="8"/>
      <c r="AM20" s="2812"/>
      <c r="AN20" s="2812"/>
    </row>
    <row r="21" spans="1:51" ht="12" customHeight="1" x14ac:dyDescent="0.2">
      <c r="A21" s="7"/>
      <c r="B21" s="2043"/>
      <c r="C21" s="11"/>
      <c r="D21" s="2040"/>
      <c r="E21" s="2041"/>
      <c r="F21" s="2041"/>
      <c r="G21" s="2041"/>
      <c r="H21" s="2041"/>
      <c r="I21" s="2041"/>
      <c r="J21" s="2041"/>
      <c r="K21" s="2041"/>
      <c r="L21" s="2041"/>
      <c r="M21" s="2041"/>
      <c r="N21" s="2041"/>
      <c r="O21" s="2041"/>
      <c r="P21" s="2042"/>
      <c r="R21" s="2044"/>
      <c r="S21" s="7"/>
      <c r="T21" s="8"/>
      <c r="U21" s="12"/>
      <c r="V21" s="3026"/>
      <c r="W21" s="3026"/>
      <c r="X21" s="3026"/>
      <c r="Y21" s="3026"/>
      <c r="Z21" s="3027"/>
      <c r="AA21" s="3027"/>
      <c r="AB21" s="26"/>
      <c r="AC21" s="27"/>
      <c r="AD21" s="3026"/>
      <c r="AE21" s="3026"/>
      <c r="AF21" s="3026"/>
      <c r="AG21" s="3026"/>
      <c r="AH21" s="3027"/>
      <c r="AI21" s="3027"/>
      <c r="AJ21" s="26"/>
      <c r="AK21" s="15"/>
      <c r="AL21" s="8"/>
      <c r="AM21" s="2812"/>
      <c r="AN21" s="2812"/>
    </row>
    <row r="22" spans="1:51" ht="12" customHeight="1" x14ac:dyDescent="0.25">
      <c r="A22" s="7"/>
      <c r="B22" s="2043"/>
      <c r="C22" s="11"/>
      <c r="D22" s="1867"/>
      <c r="E22" s="3017" t="s">
        <v>2178</v>
      </c>
      <c r="F22" s="3017"/>
      <c r="G22" s="3022"/>
      <c r="H22" s="3022"/>
      <c r="I22" s="3022"/>
      <c r="J22" s="3022"/>
      <c r="K22" s="3022"/>
      <c r="L22" s="3022"/>
      <c r="M22" s="3022"/>
      <c r="N22" s="3022"/>
      <c r="O22" s="3022"/>
      <c r="P22" s="1869"/>
      <c r="R22" s="2044"/>
      <c r="S22" s="7"/>
      <c r="T22" s="8"/>
      <c r="U22" s="12"/>
      <c r="V22" s="3026"/>
      <c r="W22" s="3026"/>
      <c r="X22" s="3026"/>
      <c r="Y22" s="3026"/>
      <c r="Z22" s="3027"/>
      <c r="AA22" s="3027"/>
      <c r="AB22" s="26"/>
      <c r="AC22" s="27"/>
      <c r="AD22" s="3026"/>
      <c r="AE22" s="3026"/>
      <c r="AF22" s="3026"/>
      <c r="AG22" s="3026"/>
      <c r="AH22" s="3027"/>
      <c r="AI22" s="3027"/>
      <c r="AJ22" s="26"/>
      <c r="AK22" s="15"/>
      <c r="AL22" s="8"/>
      <c r="AM22" s="2812"/>
      <c r="AN22" s="2813"/>
    </row>
    <row r="23" spans="1:51" ht="12" customHeight="1" thickBot="1" x14ac:dyDescent="0.25">
      <c r="A23" s="7"/>
      <c r="B23" s="2043"/>
      <c r="C23" s="11"/>
      <c r="D23" s="1867"/>
      <c r="E23" s="1862" t="s">
        <v>2179</v>
      </c>
      <c r="F23" s="3024" t="s">
        <v>2904</v>
      </c>
      <c r="G23" s="3024"/>
      <c r="H23" s="1866" t="s">
        <v>9757</v>
      </c>
      <c r="I23" s="3021"/>
      <c r="J23" s="3021"/>
      <c r="K23" s="3021"/>
      <c r="L23" s="3025" t="str">
        <f>IF($F$23="Ebudan","Sue'Aman:",IF(OR($F$23="Humano",$F$23="Nephilim Sylvain",$F$23="Nephilim Jayán",$F$23="Nephilim D'Anjayni",$F$23="Nephilim Ebudan",$F$23="Nephilim Daimah",$F$23="Nephilim Duk'zarist",$F$23="Nephilim Devah",$F$23="Nephilim Vetala",$F$23="Nephilim Turak"),"Etnia:",""))</f>
        <v/>
      </c>
      <c r="M23" s="3025"/>
      <c r="N23" s="3021"/>
      <c r="O23" s="3021"/>
      <c r="P23" s="1868"/>
      <c r="R23" s="2044"/>
      <c r="S23" s="7"/>
      <c r="T23" s="8"/>
      <c r="U23" s="12"/>
      <c r="V23" s="3054"/>
      <c r="W23" s="3054"/>
      <c r="X23" s="3054"/>
      <c r="Y23" s="3054"/>
      <c r="Z23" s="3055"/>
      <c r="AA23" s="3055"/>
      <c r="AB23" s="29"/>
      <c r="AC23" s="27"/>
      <c r="AD23" s="3026"/>
      <c r="AE23" s="3026"/>
      <c r="AF23" s="3026"/>
      <c r="AG23" s="3026"/>
      <c r="AH23" s="3027"/>
      <c r="AI23" s="3027"/>
      <c r="AJ23" s="26"/>
      <c r="AK23" s="15"/>
      <c r="AL23" s="8"/>
      <c r="AM23" s="2812"/>
      <c r="AN23" s="2812"/>
      <c r="AO23" s="2812"/>
    </row>
    <row r="24" spans="1:51" ht="12" customHeight="1" thickBot="1" x14ac:dyDescent="0.25">
      <c r="A24" s="7"/>
      <c r="B24" s="2043"/>
      <c r="C24" s="11"/>
      <c r="D24" s="1867"/>
      <c r="E24" s="1862" t="s">
        <v>2180</v>
      </c>
      <c r="F24" s="1863"/>
      <c r="G24" s="1864"/>
      <c r="H24" s="1866" t="s">
        <v>2183</v>
      </c>
      <c r="I24" s="3018"/>
      <c r="J24" s="3018"/>
      <c r="K24" s="3016" t="s">
        <v>2185</v>
      </c>
      <c r="L24" s="3016"/>
      <c r="M24" s="3018"/>
      <c r="N24" s="3018"/>
      <c r="O24" s="3018"/>
      <c r="P24" s="1869"/>
      <c r="R24" s="2044"/>
      <c r="S24" s="7"/>
      <c r="T24" s="8"/>
      <c r="U24" s="12"/>
      <c r="AC24" s="27"/>
      <c r="AD24" s="3026"/>
      <c r="AE24" s="3026"/>
      <c r="AF24" s="3026"/>
      <c r="AG24" s="3026"/>
      <c r="AH24" s="3027"/>
      <c r="AI24" s="3027"/>
      <c r="AJ24" s="26"/>
      <c r="AK24" s="15"/>
      <c r="AL24" s="8"/>
      <c r="AM24" s="2812"/>
      <c r="AN24" s="2812"/>
      <c r="AO24" s="2812"/>
    </row>
    <row r="25" spans="1:51" ht="12" customHeight="1" thickBot="1" x14ac:dyDescent="0.25">
      <c r="A25" s="7"/>
      <c r="B25" s="2043"/>
      <c r="C25" s="11"/>
      <c r="D25" s="1867"/>
      <c r="E25" s="1862" t="s">
        <v>2181</v>
      </c>
      <c r="F25" s="2015"/>
      <c r="G25" s="1866"/>
      <c r="H25" s="1865" t="s">
        <v>2187</v>
      </c>
      <c r="I25" s="3018"/>
      <c r="J25" s="3018"/>
      <c r="K25" s="1864"/>
      <c r="L25" s="1865" t="s">
        <v>8868</v>
      </c>
      <c r="M25" s="3021"/>
      <c r="N25" s="3021"/>
      <c r="O25" s="3021"/>
      <c r="P25" s="2049"/>
      <c r="R25" s="2044"/>
      <c r="S25" s="7"/>
      <c r="T25" s="8"/>
      <c r="U25" s="12"/>
      <c r="V25" s="3028" t="s">
        <v>2184</v>
      </c>
      <c r="W25" s="3028"/>
      <c r="X25" s="3028"/>
      <c r="Y25" s="3028"/>
      <c r="Z25" s="3028"/>
      <c r="AA25" s="3028"/>
      <c r="AB25" s="30" t="s">
        <v>2175</v>
      </c>
      <c r="AC25" s="27"/>
      <c r="AD25" s="3026"/>
      <c r="AE25" s="3026"/>
      <c r="AF25" s="3026"/>
      <c r="AG25" s="3026"/>
      <c r="AH25" s="3027"/>
      <c r="AI25" s="3027"/>
      <c r="AJ25" s="26"/>
      <c r="AK25" s="15"/>
      <c r="AL25" s="8"/>
      <c r="AM25" s="2812"/>
      <c r="AN25" s="2812"/>
      <c r="AO25" s="2812"/>
    </row>
    <row r="26" spans="1:51" ht="12" customHeight="1" x14ac:dyDescent="0.2">
      <c r="A26" s="7"/>
      <c r="B26" s="2043"/>
      <c r="C26" s="11"/>
      <c r="D26" s="1867"/>
      <c r="E26" s="1865" t="s">
        <v>2182</v>
      </c>
      <c r="F26" s="2139"/>
      <c r="G26" s="1865"/>
      <c r="H26" s="1866" t="s">
        <v>2186</v>
      </c>
      <c r="I26" s="3018"/>
      <c r="J26" s="3018"/>
      <c r="K26" s="3023" t="str">
        <f>IF(M25="","","Clase social:")</f>
        <v/>
      </c>
      <c r="L26" s="3023"/>
      <c r="M26" s="3019"/>
      <c r="N26" s="3019"/>
      <c r="O26" s="3019"/>
      <c r="P26" s="2047"/>
      <c r="R26" s="2044"/>
      <c r="S26" s="7"/>
      <c r="T26" s="8"/>
      <c r="U26" s="12"/>
      <c r="V26" s="3056"/>
      <c r="W26" s="3056"/>
      <c r="X26" s="3056"/>
      <c r="Y26" s="3056"/>
      <c r="Z26" s="3056"/>
      <c r="AA26" s="3056"/>
      <c r="AB26" s="31"/>
      <c r="AC26" s="27"/>
      <c r="AD26" s="3026"/>
      <c r="AE26" s="3026"/>
      <c r="AF26" s="3026"/>
      <c r="AG26" s="3026"/>
      <c r="AH26" s="3027"/>
      <c r="AI26" s="3027"/>
      <c r="AJ26" s="26"/>
      <c r="AK26" s="15"/>
      <c r="AL26" s="8"/>
      <c r="AM26" s="2812"/>
      <c r="AN26" s="2812"/>
      <c r="AO26" s="2812"/>
    </row>
    <row r="27" spans="1:51" ht="12" customHeight="1" thickBot="1" x14ac:dyDescent="0.25">
      <c r="A27" s="7"/>
      <c r="B27" s="2043"/>
      <c r="C27" s="11"/>
      <c r="D27" s="1870"/>
      <c r="E27" s="1871"/>
      <c r="F27" s="1871"/>
      <c r="G27" s="2037"/>
      <c r="H27" s="2038"/>
      <c r="I27" s="2038"/>
      <c r="J27" s="2039"/>
      <c r="K27" s="2039"/>
      <c r="L27" s="2039"/>
      <c r="M27" s="3020"/>
      <c r="N27" s="3020"/>
      <c r="O27" s="3020"/>
      <c r="P27" s="2048"/>
      <c r="R27" s="2044"/>
      <c r="S27" s="7"/>
      <c r="T27" s="8"/>
      <c r="U27" s="12"/>
      <c r="V27" s="3026"/>
      <c r="W27" s="3026"/>
      <c r="X27" s="3026"/>
      <c r="Y27" s="3026"/>
      <c r="Z27" s="3026"/>
      <c r="AA27" s="3026"/>
      <c r="AB27" s="32"/>
      <c r="AC27" s="27"/>
      <c r="AD27" s="3026"/>
      <c r="AE27" s="3026"/>
      <c r="AF27" s="3026"/>
      <c r="AG27" s="3026"/>
      <c r="AH27" s="3027"/>
      <c r="AI27" s="3027"/>
      <c r="AJ27" s="26"/>
      <c r="AK27" s="15"/>
      <c r="AL27" s="8"/>
      <c r="AM27" s="2812"/>
      <c r="AN27" s="2812"/>
      <c r="AO27" s="2812"/>
    </row>
    <row r="28" spans="1:51" ht="12" customHeight="1" x14ac:dyDescent="0.2">
      <c r="A28" s="7"/>
      <c r="B28" s="2043"/>
      <c r="C28" s="11"/>
      <c r="Q28" s="11"/>
      <c r="R28" s="2044"/>
      <c r="S28" s="7"/>
      <c r="T28" s="8"/>
      <c r="U28" s="12"/>
      <c r="V28" s="3026"/>
      <c r="W28" s="3026"/>
      <c r="X28" s="3026"/>
      <c r="Y28" s="3026"/>
      <c r="Z28" s="3026"/>
      <c r="AA28" s="3026"/>
      <c r="AB28" s="32"/>
      <c r="AC28" s="27"/>
      <c r="AD28" s="3026"/>
      <c r="AE28" s="3026"/>
      <c r="AF28" s="3026"/>
      <c r="AG28" s="3026"/>
      <c r="AH28" s="3027"/>
      <c r="AI28" s="3027"/>
      <c r="AJ28" s="26"/>
      <c r="AK28" s="15"/>
      <c r="AL28" s="8"/>
      <c r="AM28" s="2812"/>
    </row>
    <row r="29" spans="1:51" ht="12" customHeight="1" thickBot="1" x14ac:dyDescent="0.25">
      <c r="A29" s="7"/>
      <c r="B29" s="2043"/>
      <c r="C29" s="11"/>
      <c r="D29" s="11"/>
      <c r="E29" s="11"/>
      <c r="F29" s="11"/>
      <c r="G29" s="11"/>
      <c r="H29" s="11"/>
      <c r="I29" s="11"/>
      <c r="J29" s="11"/>
      <c r="K29" s="11"/>
      <c r="L29" s="11"/>
      <c r="M29" s="11"/>
      <c r="N29" s="11"/>
      <c r="O29" s="11"/>
      <c r="P29" s="11"/>
      <c r="Q29" s="11"/>
      <c r="R29" s="2044"/>
      <c r="S29" s="7"/>
      <c r="T29" s="8"/>
      <c r="U29" s="12"/>
      <c r="V29" s="3026"/>
      <c r="W29" s="3026"/>
      <c r="X29" s="3026"/>
      <c r="Y29" s="3026"/>
      <c r="Z29" s="3026"/>
      <c r="AA29" s="3026"/>
      <c r="AB29" s="32"/>
      <c r="AC29" s="27"/>
      <c r="AD29" s="3026"/>
      <c r="AE29" s="3026"/>
      <c r="AF29" s="3026"/>
      <c r="AG29" s="3026"/>
      <c r="AH29" s="3027"/>
      <c r="AI29" s="3027"/>
      <c r="AJ29" s="26"/>
      <c r="AK29" s="15"/>
      <c r="AL29" s="8"/>
      <c r="AM29" s="2812"/>
      <c r="AN29" s="2812"/>
      <c r="AO29" s="2812"/>
      <c r="AW29" s="2808"/>
      <c r="AX29" s="2808"/>
      <c r="AY29" s="2056"/>
    </row>
    <row r="30" spans="1:51" ht="12" customHeight="1" thickBot="1" x14ac:dyDescent="0.25">
      <c r="A30" s="7"/>
      <c r="B30" s="2043"/>
      <c r="C30" s="3028" t="s">
        <v>2188</v>
      </c>
      <c r="D30" s="3028"/>
      <c r="E30" s="3028"/>
      <c r="F30" s="3028"/>
      <c r="G30" s="3028"/>
      <c r="H30" s="3028"/>
      <c r="I30" s="3028"/>
      <c r="J30" s="11"/>
      <c r="K30" s="3028" t="s">
        <v>2189</v>
      </c>
      <c r="L30" s="3028"/>
      <c r="M30" s="3028"/>
      <c r="N30" s="3028"/>
      <c r="O30" s="3028"/>
      <c r="P30" s="3028"/>
      <c r="Q30" s="3028"/>
      <c r="R30" s="2044"/>
      <c r="S30" s="7"/>
      <c r="T30" s="8"/>
      <c r="U30" s="12"/>
      <c r="V30" s="3026"/>
      <c r="W30" s="3026"/>
      <c r="X30" s="3026"/>
      <c r="Y30" s="3026"/>
      <c r="Z30" s="3026"/>
      <c r="AA30" s="3026"/>
      <c r="AB30" s="32"/>
      <c r="AC30" s="27"/>
      <c r="AD30" s="3026"/>
      <c r="AE30" s="3026"/>
      <c r="AF30" s="3026"/>
      <c r="AG30" s="3026"/>
      <c r="AH30" s="3027"/>
      <c r="AI30" s="3027"/>
      <c r="AJ30" s="26"/>
      <c r="AK30" s="15"/>
      <c r="AL30" s="8"/>
      <c r="AM30" s="2812"/>
      <c r="AN30" s="2812"/>
      <c r="AO30" s="2812"/>
      <c r="AP30" s="2812"/>
      <c r="AQ30" s="2812"/>
      <c r="AR30" s="2812"/>
      <c r="AS30" s="2812"/>
      <c r="AT30" s="2056"/>
      <c r="AU30" s="2056"/>
      <c r="AV30" s="2056"/>
      <c r="AW30" s="2808"/>
      <c r="AX30" s="2808"/>
      <c r="AY30" s="2056"/>
    </row>
    <row r="31" spans="1:51" ht="12" customHeight="1" thickBot="1" x14ac:dyDescent="0.25">
      <c r="A31" s="7"/>
      <c r="B31" s="2043"/>
      <c r="C31" s="3057"/>
      <c r="D31" s="3057"/>
      <c r="E31" s="3057"/>
      <c r="F31" s="3057"/>
      <c r="G31" s="3057"/>
      <c r="H31" s="3057"/>
      <c r="I31" s="3057"/>
      <c r="J31" s="11"/>
      <c r="K31" s="3057"/>
      <c r="L31" s="3057"/>
      <c r="M31" s="3057"/>
      <c r="N31" s="3057"/>
      <c r="O31" s="3057"/>
      <c r="P31" s="3057"/>
      <c r="Q31" s="3057"/>
      <c r="R31" s="2044"/>
      <c r="S31" s="7"/>
      <c r="T31" s="8"/>
      <c r="U31" s="12"/>
      <c r="V31" s="3026"/>
      <c r="W31" s="3026"/>
      <c r="X31" s="3026"/>
      <c r="Y31" s="3026"/>
      <c r="Z31" s="3026"/>
      <c r="AA31" s="3026"/>
      <c r="AB31" s="32"/>
      <c r="AC31" s="27"/>
      <c r="AD31" s="3026"/>
      <c r="AE31" s="3026"/>
      <c r="AF31" s="3026"/>
      <c r="AG31" s="3026"/>
      <c r="AH31" s="3027"/>
      <c r="AI31" s="3027"/>
      <c r="AJ31" s="26"/>
      <c r="AK31" s="15"/>
      <c r="AL31" s="8"/>
      <c r="AM31" s="2812"/>
      <c r="AN31" s="2812"/>
      <c r="AO31" s="2812"/>
      <c r="AP31" s="2812"/>
      <c r="AQ31" s="2812"/>
      <c r="AR31" s="2812"/>
      <c r="AS31" s="2812"/>
      <c r="AT31" s="2056"/>
      <c r="AU31" s="2056"/>
      <c r="AV31" s="2056"/>
      <c r="AW31" s="2808"/>
      <c r="AX31" s="2808"/>
      <c r="AY31" s="2056"/>
    </row>
    <row r="32" spans="1:51" ht="12" customHeight="1" thickBot="1" x14ac:dyDescent="0.25">
      <c r="A32" s="7"/>
      <c r="B32" s="2043"/>
      <c r="C32" s="3057"/>
      <c r="D32" s="3057"/>
      <c r="E32" s="3057"/>
      <c r="F32" s="3057"/>
      <c r="G32" s="3057"/>
      <c r="H32" s="3057"/>
      <c r="I32" s="3057"/>
      <c r="J32" s="11"/>
      <c r="K32" s="3057"/>
      <c r="L32" s="3057"/>
      <c r="M32" s="3057"/>
      <c r="N32" s="3057"/>
      <c r="O32" s="3057"/>
      <c r="P32" s="3057"/>
      <c r="Q32" s="3057"/>
      <c r="R32" s="2044"/>
      <c r="S32" s="7"/>
      <c r="T32" s="8"/>
      <c r="U32" s="12"/>
      <c r="V32" s="3054"/>
      <c r="W32" s="3054"/>
      <c r="X32" s="3054"/>
      <c r="Y32" s="3054"/>
      <c r="Z32" s="3054"/>
      <c r="AA32" s="3054"/>
      <c r="AB32" s="33"/>
      <c r="AC32" s="27"/>
      <c r="AD32" s="3058" t="s">
        <v>2190</v>
      </c>
      <c r="AE32" s="3058"/>
      <c r="AF32" s="3059" t="str">
        <f>IF(Principal!E14=0,0&amp;" kg",VLOOKUP(FUE,Tabla_Fuerza,3)&amp;" kg")</f>
        <v>80 kg</v>
      </c>
      <c r="AG32" s="3059"/>
      <c r="AH32" s="3060" t="s">
        <v>2191</v>
      </c>
      <c r="AI32" s="3060"/>
      <c r="AJ32" s="34">
        <f>SUM(AB11:AB23,AB26:AB32,AJ11:AJ31)</f>
        <v>0</v>
      </c>
      <c r="AK32" s="15"/>
      <c r="AL32" s="8"/>
      <c r="AM32" s="2812"/>
      <c r="AN32" s="2812"/>
      <c r="AO32" s="2812"/>
      <c r="AW32" s="2808"/>
      <c r="AX32" s="2808"/>
      <c r="AY32" s="2056"/>
    </row>
    <row r="33" spans="1:52" ht="12" customHeight="1" thickBot="1" x14ac:dyDescent="0.25">
      <c r="A33" s="7"/>
      <c r="B33" s="2043"/>
      <c r="C33" s="3057"/>
      <c r="D33" s="3057"/>
      <c r="E33" s="3057"/>
      <c r="F33" s="3057"/>
      <c r="G33" s="3057"/>
      <c r="H33" s="3057"/>
      <c r="I33" s="3057"/>
      <c r="J33" s="35"/>
      <c r="K33" s="3057"/>
      <c r="L33" s="3057"/>
      <c r="M33" s="3057"/>
      <c r="N33" s="3057"/>
      <c r="O33" s="3057"/>
      <c r="P33" s="3057"/>
      <c r="Q33" s="3057"/>
      <c r="R33" s="2044"/>
      <c r="S33" s="7"/>
      <c r="T33" s="8"/>
      <c r="U33" s="12"/>
      <c r="AK33" s="15"/>
      <c r="AL33" s="8"/>
      <c r="AM33" s="2812"/>
      <c r="AN33" s="2812"/>
      <c r="AO33" s="2812"/>
      <c r="AW33" s="2808"/>
      <c r="AX33" s="2808"/>
      <c r="AY33" s="2056"/>
    </row>
    <row r="34" spans="1:52" ht="12" customHeight="1" thickBot="1" x14ac:dyDescent="0.25">
      <c r="A34" s="7"/>
      <c r="B34" s="2043"/>
      <c r="C34" s="11"/>
      <c r="D34" s="11"/>
      <c r="E34" s="11"/>
      <c r="F34" s="11"/>
      <c r="G34" s="11"/>
      <c r="H34" s="11"/>
      <c r="I34" s="11"/>
      <c r="J34" s="36"/>
      <c r="K34" s="3057"/>
      <c r="L34" s="3057"/>
      <c r="M34" s="3057"/>
      <c r="N34" s="3057"/>
      <c r="O34" s="3057"/>
      <c r="P34" s="3057"/>
      <c r="Q34" s="3057"/>
      <c r="R34" s="2044"/>
      <c r="S34" s="7"/>
      <c r="T34" s="8"/>
      <c r="U34" s="12"/>
      <c r="V34" s="3028" t="s">
        <v>2192</v>
      </c>
      <c r="W34" s="3028"/>
      <c r="X34" s="3028"/>
      <c r="Y34" s="3028"/>
      <c r="Z34" s="3028"/>
      <c r="AA34" s="3028"/>
      <c r="AB34" s="3028"/>
      <c r="AC34" s="3028"/>
      <c r="AD34" s="3028"/>
      <c r="AE34" s="3028"/>
      <c r="AF34" s="3028"/>
      <c r="AG34" s="3028"/>
      <c r="AH34" s="3028"/>
      <c r="AI34" s="3028"/>
      <c r="AJ34" s="3028"/>
      <c r="AK34" s="15"/>
      <c r="AL34" s="8"/>
      <c r="AM34" s="2812"/>
      <c r="AN34" s="2812"/>
      <c r="AO34" s="2812"/>
      <c r="AW34" s="2808"/>
      <c r="AX34" s="2808"/>
      <c r="AY34" s="2056"/>
    </row>
    <row r="35" spans="1:52" ht="12" customHeight="1" thickBot="1" x14ac:dyDescent="0.25">
      <c r="A35" s="7"/>
      <c r="B35" s="2043"/>
      <c r="C35" s="3028" t="s">
        <v>2193</v>
      </c>
      <c r="D35" s="3028"/>
      <c r="E35" s="3028"/>
      <c r="F35" s="3028"/>
      <c r="G35" s="3028"/>
      <c r="H35" s="3028"/>
      <c r="I35" s="3028"/>
      <c r="J35" s="36"/>
      <c r="K35" s="3057"/>
      <c r="L35" s="3057"/>
      <c r="M35" s="3057"/>
      <c r="N35" s="3057"/>
      <c r="O35" s="3057"/>
      <c r="P35" s="3057"/>
      <c r="Q35" s="3057"/>
      <c r="R35" s="2044"/>
      <c r="S35" s="7"/>
      <c r="T35" s="8"/>
      <c r="U35" s="12"/>
      <c r="V35" s="3064"/>
      <c r="W35" s="3064"/>
      <c r="X35" s="3064"/>
      <c r="Y35" s="3065"/>
      <c r="Z35" s="3065"/>
      <c r="AA35" s="3065"/>
      <c r="AB35" s="3065"/>
      <c r="AC35" s="3065"/>
      <c r="AD35" s="3065"/>
      <c r="AE35" s="3065"/>
      <c r="AF35" s="3065"/>
      <c r="AG35" s="3065"/>
      <c r="AH35" s="3065"/>
      <c r="AI35" s="3065"/>
      <c r="AJ35" s="3065"/>
      <c r="AK35" s="15"/>
      <c r="AL35" s="8"/>
      <c r="AM35" s="2812"/>
      <c r="AN35" s="2812"/>
      <c r="AO35" s="2812"/>
      <c r="AP35" s="2812"/>
      <c r="AX35" s="2808"/>
      <c r="AY35" s="2056"/>
      <c r="AZ35" s="10"/>
    </row>
    <row r="36" spans="1:52" ht="12" customHeight="1" thickBot="1" x14ac:dyDescent="0.25">
      <c r="A36" s="7"/>
      <c r="B36" s="2043"/>
      <c r="C36" s="3057"/>
      <c r="D36" s="3057"/>
      <c r="E36" s="3057"/>
      <c r="F36" s="3057"/>
      <c r="G36" s="3057"/>
      <c r="H36" s="3057"/>
      <c r="I36" s="3057"/>
      <c r="J36" s="36"/>
      <c r="K36" s="3057"/>
      <c r="L36" s="3057"/>
      <c r="M36" s="3057"/>
      <c r="N36" s="3057"/>
      <c r="O36" s="3057"/>
      <c r="P36" s="3057"/>
      <c r="Q36" s="3057"/>
      <c r="R36" s="2044"/>
      <c r="S36" s="7"/>
      <c r="T36" s="8"/>
      <c r="U36" s="12"/>
      <c r="V36" s="3064"/>
      <c r="W36" s="3064"/>
      <c r="X36" s="3064"/>
      <c r="Y36" s="3065"/>
      <c r="Z36" s="3065"/>
      <c r="AA36" s="3065"/>
      <c r="AB36" s="3065"/>
      <c r="AC36" s="3065"/>
      <c r="AD36" s="3065"/>
      <c r="AE36" s="3065"/>
      <c r="AF36" s="3065"/>
      <c r="AG36" s="3065"/>
      <c r="AH36" s="3065"/>
      <c r="AI36" s="3065"/>
      <c r="AJ36" s="3065"/>
      <c r="AK36" s="15"/>
      <c r="AL36" s="8"/>
      <c r="AM36" s="2812"/>
      <c r="AN36" s="2812"/>
      <c r="AO36" s="2812"/>
      <c r="AP36" s="2812"/>
      <c r="AQ36" s="2812"/>
      <c r="AR36" s="2812"/>
      <c r="AS36" s="2812"/>
      <c r="AT36" s="2056"/>
      <c r="AU36" s="2056"/>
      <c r="AV36" s="2056"/>
      <c r="AW36" s="2808"/>
      <c r="AX36" s="2808"/>
      <c r="AY36" s="2056"/>
      <c r="AZ36" s="10"/>
    </row>
    <row r="37" spans="1:52" ht="12" customHeight="1" thickBot="1" x14ac:dyDescent="0.25">
      <c r="A37" s="7"/>
      <c r="B37" s="2043"/>
      <c r="C37" s="3057"/>
      <c r="D37" s="3057"/>
      <c r="E37" s="3057"/>
      <c r="F37" s="3057"/>
      <c r="G37" s="3057"/>
      <c r="H37" s="3057"/>
      <c r="I37" s="3057"/>
      <c r="J37" s="36"/>
      <c r="K37" s="3057"/>
      <c r="L37" s="3057"/>
      <c r="M37" s="3057"/>
      <c r="N37" s="3057"/>
      <c r="O37" s="3057"/>
      <c r="P37" s="3057"/>
      <c r="Q37" s="3057"/>
      <c r="R37" s="2044"/>
      <c r="S37" s="7"/>
      <c r="T37" s="8"/>
      <c r="U37" s="12"/>
      <c r="V37" s="3064"/>
      <c r="W37" s="3064"/>
      <c r="X37" s="3064"/>
      <c r="Y37" s="3065"/>
      <c r="Z37" s="3065"/>
      <c r="AA37" s="3065"/>
      <c r="AB37" s="3065"/>
      <c r="AC37" s="3065"/>
      <c r="AD37" s="3065"/>
      <c r="AE37" s="3065"/>
      <c r="AF37" s="3065"/>
      <c r="AG37" s="3065"/>
      <c r="AH37" s="3065"/>
      <c r="AI37" s="3065"/>
      <c r="AJ37" s="3065"/>
      <c r="AK37" s="15"/>
      <c r="AL37" s="8"/>
      <c r="AM37" s="2812"/>
      <c r="AN37" s="2812"/>
      <c r="AO37" s="2812"/>
      <c r="AP37" s="2812"/>
      <c r="AQ37" s="2812"/>
      <c r="AR37" s="2812"/>
      <c r="AS37" s="2812"/>
      <c r="AT37" s="2056"/>
      <c r="AU37" s="2056"/>
      <c r="AV37" s="2056"/>
      <c r="AW37" s="2808"/>
      <c r="AX37" s="2808"/>
      <c r="AY37" s="2056"/>
      <c r="AZ37" s="10"/>
    </row>
    <row r="38" spans="1:52" ht="12" customHeight="1" thickBot="1" x14ac:dyDescent="0.25">
      <c r="A38" s="7"/>
      <c r="B38" s="2043"/>
      <c r="C38" s="3057"/>
      <c r="D38" s="3057"/>
      <c r="E38" s="3057"/>
      <c r="F38" s="3057"/>
      <c r="G38" s="3057"/>
      <c r="H38" s="3057"/>
      <c r="I38" s="3057"/>
      <c r="J38" s="36"/>
      <c r="K38" s="3057"/>
      <c r="L38" s="3057"/>
      <c r="M38" s="3057"/>
      <c r="N38" s="3057"/>
      <c r="O38" s="3057"/>
      <c r="P38" s="3057"/>
      <c r="Q38" s="3057"/>
      <c r="R38" s="2044"/>
      <c r="S38" s="7"/>
      <c r="T38" s="8"/>
      <c r="U38" s="12"/>
      <c r="V38" s="3064"/>
      <c r="W38" s="3064"/>
      <c r="X38" s="3064"/>
      <c r="Y38" s="3065"/>
      <c r="Z38" s="3065"/>
      <c r="AA38" s="3065"/>
      <c r="AB38" s="3065"/>
      <c r="AC38" s="3065"/>
      <c r="AD38" s="3065"/>
      <c r="AE38" s="3065"/>
      <c r="AF38" s="3065"/>
      <c r="AG38" s="3065"/>
      <c r="AH38" s="3065"/>
      <c r="AI38" s="3065"/>
      <c r="AJ38" s="3065"/>
      <c r="AK38" s="15"/>
      <c r="AL38" s="8"/>
      <c r="AM38" s="2812"/>
      <c r="AN38" s="2812"/>
      <c r="AP38" s="2812"/>
      <c r="AX38" s="2808"/>
      <c r="AY38" s="2056"/>
      <c r="AZ38" s="10"/>
    </row>
    <row r="39" spans="1:52" ht="12" customHeight="1" thickBot="1" x14ac:dyDescent="0.25">
      <c r="A39" s="7"/>
      <c r="B39" s="2043"/>
      <c r="C39" s="3057"/>
      <c r="D39" s="3057"/>
      <c r="E39" s="3057"/>
      <c r="F39" s="3057"/>
      <c r="G39" s="3057"/>
      <c r="H39" s="3057"/>
      <c r="I39" s="3057"/>
      <c r="J39" s="36"/>
      <c r="K39" s="3057"/>
      <c r="L39" s="3057"/>
      <c r="M39" s="3057"/>
      <c r="N39" s="3057"/>
      <c r="O39" s="3057"/>
      <c r="P39" s="3057"/>
      <c r="Q39" s="3057"/>
      <c r="R39" s="2044"/>
      <c r="S39" s="7"/>
      <c r="T39" s="8"/>
      <c r="U39" s="12"/>
      <c r="V39" s="3064"/>
      <c r="W39" s="3064"/>
      <c r="X39" s="3064"/>
      <c r="Y39" s="3065"/>
      <c r="Z39" s="3065"/>
      <c r="AA39" s="3065"/>
      <c r="AB39" s="3065"/>
      <c r="AC39" s="3065"/>
      <c r="AD39" s="3065"/>
      <c r="AE39" s="3065"/>
      <c r="AF39" s="3065"/>
      <c r="AG39" s="3065"/>
      <c r="AH39" s="3065"/>
      <c r="AI39" s="3065"/>
      <c r="AJ39" s="3065"/>
      <c r="AK39" s="15"/>
      <c r="AL39" s="8"/>
      <c r="AM39" s="2812"/>
      <c r="AN39" s="2812"/>
      <c r="AP39" s="2812"/>
      <c r="AX39" s="2808"/>
      <c r="AY39" s="2056"/>
      <c r="AZ39" s="10"/>
    </row>
    <row r="40" spans="1:52" ht="12" customHeight="1" thickBot="1" x14ac:dyDescent="0.25">
      <c r="A40" s="7"/>
      <c r="B40" s="2043"/>
      <c r="C40" s="3057"/>
      <c r="D40" s="3057"/>
      <c r="E40" s="3057"/>
      <c r="F40" s="3057"/>
      <c r="G40" s="3057"/>
      <c r="H40" s="3057"/>
      <c r="I40" s="3057"/>
      <c r="J40" s="36"/>
      <c r="K40" s="3057"/>
      <c r="L40" s="3057"/>
      <c r="M40" s="3057"/>
      <c r="N40" s="3057"/>
      <c r="O40" s="3057"/>
      <c r="P40" s="3057"/>
      <c r="Q40" s="3057"/>
      <c r="R40" s="2044"/>
      <c r="S40" s="7"/>
      <c r="T40" s="8"/>
      <c r="U40" s="12"/>
      <c r="V40" s="3064"/>
      <c r="W40" s="3064"/>
      <c r="X40" s="3064"/>
      <c r="Y40" s="3065"/>
      <c r="Z40" s="3065"/>
      <c r="AA40" s="3065"/>
      <c r="AB40" s="3065"/>
      <c r="AC40" s="3065"/>
      <c r="AD40" s="3065"/>
      <c r="AE40" s="3065"/>
      <c r="AF40" s="3065"/>
      <c r="AG40" s="3065"/>
      <c r="AH40" s="3065"/>
      <c r="AI40" s="3065"/>
      <c r="AJ40" s="3065"/>
      <c r="AK40" s="15"/>
      <c r="AL40" s="8"/>
      <c r="AM40" s="2812"/>
      <c r="AN40" s="2812"/>
      <c r="AP40" s="2812"/>
      <c r="AX40" s="2808"/>
      <c r="AY40" s="2056"/>
      <c r="AZ40" s="10"/>
    </row>
    <row r="41" spans="1:52" ht="12" customHeight="1" thickBot="1" x14ac:dyDescent="0.25">
      <c r="A41" s="7"/>
      <c r="B41" s="2043"/>
      <c r="C41" s="3057"/>
      <c r="D41" s="3057"/>
      <c r="E41" s="3057"/>
      <c r="F41" s="3057"/>
      <c r="G41" s="3057"/>
      <c r="H41" s="3057"/>
      <c r="I41" s="3057"/>
      <c r="J41" s="36"/>
      <c r="K41" s="3057"/>
      <c r="L41" s="3057"/>
      <c r="M41" s="3057"/>
      <c r="N41" s="3057"/>
      <c r="O41" s="3057"/>
      <c r="P41" s="3057"/>
      <c r="Q41" s="3057"/>
      <c r="R41" s="2044"/>
      <c r="S41" s="7"/>
      <c r="T41" s="8"/>
      <c r="U41" s="12"/>
      <c r="V41" s="3064"/>
      <c r="W41" s="3064"/>
      <c r="X41" s="3064"/>
      <c r="Y41" s="3061"/>
      <c r="Z41" s="3061"/>
      <c r="AA41" s="3061"/>
      <c r="AB41" s="3061"/>
      <c r="AC41" s="3061"/>
      <c r="AD41" s="3061"/>
      <c r="AE41" s="3061"/>
      <c r="AF41" s="3061"/>
      <c r="AG41" s="3061"/>
      <c r="AH41" s="3061"/>
      <c r="AI41" s="3061"/>
      <c r="AJ41" s="3061"/>
      <c r="AK41" s="15"/>
      <c r="AL41" s="8"/>
      <c r="AM41" s="2812"/>
      <c r="AN41" s="2812"/>
      <c r="AP41" s="2812"/>
      <c r="AX41" s="2808"/>
      <c r="AY41" s="2056"/>
      <c r="AZ41" s="10"/>
    </row>
    <row r="42" spans="1:52" ht="12" customHeight="1" thickBot="1" x14ac:dyDescent="0.25">
      <c r="A42" s="7"/>
      <c r="B42" s="2043"/>
      <c r="C42" s="3057"/>
      <c r="D42" s="3057"/>
      <c r="E42" s="3057"/>
      <c r="F42" s="3057"/>
      <c r="G42" s="3057"/>
      <c r="H42" s="3057"/>
      <c r="I42" s="3057"/>
      <c r="J42" s="11"/>
      <c r="K42" s="3057"/>
      <c r="L42" s="3057"/>
      <c r="M42" s="3057"/>
      <c r="N42" s="3057"/>
      <c r="O42" s="3057"/>
      <c r="P42" s="3057"/>
      <c r="Q42" s="3057"/>
      <c r="R42" s="2044"/>
      <c r="S42" s="7"/>
      <c r="T42" s="8"/>
      <c r="U42" s="12"/>
      <c r="V42" s="3064"/>
      <c r="W42" s="3064"/>
      <c r="X42" s="3064"/>
      <c r="Y42" s="3061"/>
      <c r="Z42" s="3061"/>
      <c r="AA42" s="3061"/>
      <c r="AB42" s="3061"/>
      <c r="AC42" s="3061"/>
      <c r="AD42" s="3061"/>
      <c r="AE42" s="3061"/>
      <c r="AF42" s="3061"/>
      <c r="AG42" s="3061"/>
      <c r="AH42" s="3061"/>
      <c r="AI42" s="3061"/>
      <c r="AJ42" s="3061"/>
      <c r="AK42" s="15"/>
      <c r="AL42" s="8"/>
      <c r="AM42" s="2812"/>
      <c r="AN42" s="2812"/>
      <c r="AP42" s="2812"/>
      <c r="AX42" s="2808"/>
      <c r="AY42" s="2056"/>
      <c r="AZ42" s="10"/>
    </row>
    <row r="43" spans="1:52" ht="12" customHeight="1" thickBot="1" x14ac:dyDescent="0.25">
      <c r="A43" s="7"/>
      <c r="B43" s="2043"/>
      <c r="C43" s="3057"/>
      <c r="D43" s="3057"/>
      <c r="E43" s="3057"/>
      <c r="F43" s="3057"/>
      <c r="G43" s="3057"/>
      <c r="H43" s="3057"/>
      <c r="I43" s="3057"/>
      <c r="J43" s="11"/>
      <c r="K43" s="3057"/>
      <c r="L43" s="3057"/>
      <c r="M43" s="3057"/>
      <c r="N43" s="3057"/>
      <c r="O43" s="3057"/>
      <c r="P43" s="3057"/>
      <c r="Q43" s="3057"/>
      <c r="R43" s="2044"/>
      <c r="S43" s="7"/>
      <c r="T43" s="8"/>
      <c r="U43" s="12"/>
      <c r="V43" s="3062"/>
      <c r="W43" s="3062"/>
      <c r="X43" s="3062"/>
      <c r="Y43" s="3063"/>
      <c r="Z43" s="3063"/>
      <c r="AA43" s="3063"/>
      <c r="AB43" s="3063"/>
      <c r="AC43" s="3063"/>
      <c r="AD43" s="3063"/>
      <c r="AE43" s="3063"/>
      <c r="AF43" s="3063"/>
      <c r="AG43" s="3063"/>
      <c r="AH43" s="3063"/>
      <c r="AI43" s="3063"/>
      <c r="AJ43" s="3063"/>
      <c r="AK43" s="15"/>
      <c r="AL43" s="8"/>
      <c r="AM43" s="2812"/>
      <c r="AN43" s="2812"/>
      <c r="AP43" s="2812"/>
      <c r="AX43" s="2808"/>
      <c r="AY43" s="2056"/>
      <c r="AZ43" s="10"/>
    </row>
    <row r="44" spans="1:52" ht="12" customHeight="1" thickBot="1" x14ac:dyDescent="0.25">
      <c r="A44" s="7"/>
      <c r="B44" s="2043"/>
      <c r="C44" s="11"/>
      <c r="D44" s="11"/>
      <c r="E44" s="11"/>
      <c r="F44" s="11"/>
      <c r="G44" s="11"/>
      <c r="H44" s="11"/>
      <c r="I44" s="11"/>
      <c r="J44" s="11"/>
      <c r="K44" s="3057"/>
      <c r="L44" s="3057"/>
      <c r="M44" s="3057"/>
      <c r="N44" s="3057"/>
      <c r="O44" s="3057"/>
      <c r="P44" s="3057"/>
      <c r="Q44" s="3057"/>
      <c r="R44" s="2044"/>
      <c r="S44" s="7"/>
      <c r="T44" s="8"/>
      <c r="U44" s="12"/>
      <c r="V44" s="3062"/>
      <c r="W44" s="3062"/>
      <c r="X44" s="3062"/>
      <c r="Y44" s="3063"/>
      <c r="Z44" s="3063"/>
      <c r="AA44" s="3063"/>
      <c r="AB44" s="3063"/>
      <c r="AC44" s="3063"/>
      <c r="AD44" s="3063"/>
      <c r="AE44" s="3063"/>
      <c r="AF44" s="3063"/>
      <c r="AG44" s="3063"/>
      <c r="AH44" s="3063"/>
      <c r="AI44" s="3063"/>
      <c r="AJ44" s="3063"/>
      <c r="AK44" s="15"/>
      <c r="AL44" s="8"/>
      <c r="AM44" s="2812"/>
      <c r="AN44" s="2812"/>
    </row>
    <row r="45" spans="1:52" ht="12" customHeight="1" thickBot="1" x14ac:dyDescent="0.25">
      <c r="A45" s="7"/>
      <c r="B45" s="2043"/>
      <c r="C45" s="3028" t="s">
        <v>2194</v>
      </c>
      <c r="D45" s="3028"/>
      <c r="E45" s="3028"/>
      <c r="F45" s="3028"/>
      <c r="G45" s="3028"/>
      <c r="H45" s="3028"/>
      <c r="I45" s="3028"/>
      <c r="J45" s="11"/>
      <c r="K45" s="3057"/>
      <c r="L45" s="3057"/>
      <c r="M45" s="3057"/>
      <c r="N45" s="3057"/>
      <c r="O45" s="3057"/>
      <c r="P45" s="3057"/>
      <c r="Q45" s="3057"/>
      <c r="R45" s="2044"/>
      <c r="S45" s="7"/>
      <c r="T45" s="8"/>
      <c r="U45" s="12"/>
      <c r="AK45" s="15"/>
      <c r="AL45" s="8"/>
      <c r="AM45" s="2812"/>
      <c r="AN45" s="2812"/>
      <c r="AO45" s="2812"/>
      <c r="AW45" s="2808"/>
      <c r="AX45" s="2809"/>
      <c r="AY45" s="2058"/>
    </row>
    <row r="46" spans="1:52" ht="12" customHeight="1" x14ac:dyDescent="0.2">
      <c r="A46" s="7"/>
      <c r="B46" s="2043"/>
      <c r="C46" s="3057"/>
      <c r="D46" s="3057"/>
      <c r="E46" s="3057"/>
      <c r="F46" s="3057"/>
      <c r="G46" s="3057"/>
      <c r="H46" s="3057"/>
      <c r="I46" s="3057"/>
      <c r="J46" s="11"/>
      <c r="K46" s="3057"/>
      <c r="L46" s="3057"/>
      <c r="M46" s="3057"/>
      <c r="N46" s="3057"/>
      <c r="O46" s="3057"/>
      <c r="P46" s="3057"/>
      <c r="Q46" s="3057"/>
      <c r="R46" s="2044"/>
      <c r="S46" s="7"/>
      <c r="T46" s="8"/>
      <c r="U46" s="12"/>
      <c r="V46" s="3067" t="s">
        <v>2195</v>
      </c>
      <c r="W46" s="3067"/>
      <c r="X46" s="3067"/>
      <c r="Y46" s="3067"/>
      <c r="Z46" s="3067"/>
      <c r="AA46" s="3067"/>
      <c r="AB46" s="3067"/>
      <c r="AD46" s="3067" t="s">
        <v>2196</v>
      </c>
      <c r="AE46" s="3067"/>
      <c r="AF46" s="3067"/>
      <c r="AG46" s="3067"/>
      <c r="AH46" s="3067"/>
      <c r="AI46" s="3067"/>
      <c r="AJ46" s="3067"/>
      <c r="AK46" s="15"/>
      <c r="AL46" s="8"/>
      <c r="AM46" s="2812"/>
      <c r="AN46" s="2812"/>
      <c r="AO46" s="2812"/>
      <c r="AW46" s="2808"/>
      <c r="AX46" s="2808"/>
      <c r="AY46" s="2056"/>
    </row>
    <row r="47" spans="1:52" ht="12" customHeight="1" x14ac:dyDescent="0.2">
      <c r="A47" s="7"/>
      <c r="B47" s="2043"/>
      <c r="C47" s="3057"/>
      <c r="D47" s="3057"/>
      <c r="E47" s="3057"/>
      <c r="F47" s="3057"/>
      <c r="G47" s="3057"/>
      <c r="H47" s="3057"/>
      <c r="I47" s="3057"/>
      <c r="J47" s="11"/>
      <c r="K47" s="3057"/>
      <c r="L47" s="3057"/>
      <c r="M47" s="3057"/>
      <c r="N47" s="3057"/>
      <c r="O47" s="3057"/>
      <c r="P47" s="3057"/>
      <c r="Q47" s="3057"/>
      <c r="R47" s="2044"/>
      <c r="S47" s="7"/>
      <c r="T47" s="8"/>
      <c r="U47" s="12"/>
      <c r="V47" s="3068"/>
      <c r="W47" s="3068"/>
      <c r="X47" s="3068"/>
      <c r="Y47" s="3068"/>
      <c r="Z47" s="3068"/>
      <c r="AA47" s="3068"/>
      <c r="AB47" s="3068"/>
      <c r="AD47" s="3068"/>
      <c r="AE47" s="3068"/>
      <c r="AF47" s="3068"/>
      <c r="AG47" s="3068"/>
      <c r="AH47" s="3068"/>
      <c r="AI47" s="3068"/>
      <c r="AJ47" s="3068"/>
      <c r="AK47" s="15"/>
      <c r="AL47" s="8"/>
      <c r="AM47" s="2812"/>
      <c r="AN47" s="2812"/>
      <c r="AO47" s="2812"/>
      <c r="AP47" s="2812"/>
      <c r="AQ47" s="2812"/>
      <c r="AR47" s="2812"/>
      <c r="AS47" s="2812"/>
      <c r="AT47" s="2056"/>
      <c r="AU47" s="2056"/>
      <c r="AV47" s="2056"/>
      <c r="AW47" s="2808"/>
      <c r="AX47" s="2808"/>
      <c r="AY47" s="2056"/>
    </row>
    <row r="48" spans="1:52" ht="12" customHeight="1" x14ac:dyDescent="0.2">
      <c r="A48" s="7"/>
      <c r="B48" s="2043"/>
      <c r="C48" s="3057"/>
      <c r="D48" s="3057"/>
      <c r="E48" s="3057"/>
      <c r="F48" s="3057"/>
      <c r="G48" s="3057"/>
      <c r="H48" s="3057"/>
      <c r="I48" s="3057"/>
      <c r="J48" s="11"/>
      <c r="K48" s="3057"/>
      <c r="L48" s="3057"/>
      <c r="M48" s="3057"/>
      <c r="N48" s="3057"/>
      <c r="O48" s="3057"/>
      <c r="P48" s="3057"/>
      <c r="Q48" s="3057"/>
      <c r="R48" s="2044"/>
      <c r="S48" s="7"/>
      <c r="T48" s="8"/>
      <c r="U48" s="12"/>
      <c r="V48" s="3069"/>
      <c r="W48" s="3069"/>
      <c r="X48" s="3069"/>
      <c r="Y48" s="3069"/>
      <c r="Z48" s="3069"/>
      <c r="AA48" s="3069"/>
      <c r="AB48" s="3069"/>
      <c r="AD48" s="3069"/>
      <c r="AE48" s="3069"/>
      <c r="AF48" s="3069"/>
      <c r="AG48" s="3069"/>
      <c r="AH48" s="3069"/>
      <c r="AI48" s="3069"/>
      <c r="AJ48" s="3069"/>
      <c r="AK48" s="15"/>
      <c r="AL48" s="8"/>
      <c r="AM48" s="2812"/>
      <c r="AN48" s="2812"/>
      <c r="AO48" s="2812"/>
      <c r="AP48" s="2812"/>
      <c r="AQ48" s="2812"/>
      <c r="AR48" s="2812"/>
      <c r="AS48" s="2812"/>
      <c r="AT48" s="2056"/>
      <c r="AU48" s="2056"/>
      <c r="AV48" s="2056"/>
      <c r="AW48" s="2808"/>
      <c r="AX48" s="2808"/>
      <c r="AY48" s="2056"/>
    </row>
    <row r="49" spans="1:51" ht="12" customHeight="1" x14ac:dyDescent="0.2">
      <c r="A49" s="7"/>
      <c r="B49" s="2043"/>
      <c r="C49" s="3057"/>
      <c r="D49" s="3057"/>
      <c r="E49" s="3057"/>
      <c r="F49" s="3057"/>
      <c r="G49" s="3057"/>
      <c r="H49" s="3057"/>
      <c r="I49" s="3057"/>
      <c r="J49" s="11"/>
      <c r="K49" s="3057"/>
      <c r="L49" s="3057"/>
      <c r="M49" s="3057"/>
      <c r="N49" s="3057"/>
      <c r="O49" s="3057"/>
      <c r="P49" s="3057"/>
      <c r="Q49" s="3057"/>
      <c r="R49" s="2044"/>
      <c r="S49" s="7"/>
      <c r="T49" s="8"/>
      <c r="U49" s="12"/>
      <c r="V49" s="3069"/>
      <c r="W49" s="3069"/>
      <c r="X49" s="3069"/>
      <c r="Y49" s="3069"/>
      <c r="Z49" s="3069"/>
      <c r="AA49" s="3069"/>
      <c r="AB49" s="3069"/>
      <c r="AD49" s="3069"/>
      <c r="AE49" s="3069"/>
      <c r="AF49" s="3069"/>
      <c r="AG49" s="3069"/>
      <c r="AH49" s="3069"/>
      <c r="AI49" s="3069"/>
      <c r="AJ49" s="3069"/>
      <c r="AK49" s="15"/>
      <c r="AL49" s="8"/>
      <c r="AM49" s="2812"/>
      <c r="AN49" s="2812"/>
      <c r="AO49" s="2812"/>
      <c r="AW49" s="2808"/>
      <c r="AX49" s="2808"/>
      <c r="AY49" s="2056"/>
    </row>
    <row r="50" spans="1:51" ht="12" customHeight="1" x14ac:dyDescent="0.2">
      <c r="A50" s="7"/>
      <c r="B50" s="2043"/>
      <c r="C50" s="3057"/>
      <c r="D50" s="3057"/>
      <c r="E50" s="3057"/>
      <c r="F50" s="3057"/>
      <c r="G50" s="3057"/>
      <c r="H50" s="3057"/>
      <c r="I50" s="3057"/>
      <c r="J50" s="11"/>
      <c r="K50" s="3057"/>
      <c r="L50" s="3057"/>
      <c r="M50" s="3057"/>
      <c r="N50" s="3057"/>
      <c r="O50" s="3057"/>
      <c r="P50" s="3057"/>
      <c r="Q50" s="3057"/>
      <c r="R50" s="2044"/>
      <c r="S50" s="7"/>
      <c r="T50" s="8"/>
      <c r="U50" s="12"/>
      <c r="V50" s="3069"/>
      <c r="W50" s="3069"/>
      <c r="X50" s="3069"/>
      <c r="Y50" s="3069"/>
      <c r="Z50" s="3069"/>
      <c r="AA50" s="3069"/>
      <c r="AB50" s="3069"/>
      <c r="AD50" s="3069"/>
      <c r="AE50" s="3069"/>
      <c r="AF50" s="3069"/>
      <c r="AG50" s="3069"/>
      <c r="AH50" s="3069"/>
      <c r="AI50" s="3069"/>
      <c r="AJ50" s="3069"/>
      <c r="AK50" s="15"/>
      <c r="AL50" s="8"/>
      <c r="AM50" s="2812"/>
      <c r="AN50" s="2812"/>
      <c r="AO50" s="2812"/>
      <c r="AW50" s="2808"/>
      <c r="AX50" s="2808"/>
      <c r="AY50" s="2056"/>
    </row>
    <row r="51" spans="1:51" ht="12" customHeight="1" x14ac:dyDescent="0.2">
      <c r="A51" s="7"/>
      <c r="B51" s="2043"/>
      <c r="C51" s="3057"/>
      <c r="D51" s="3057"/>
      <c r="E51" s="3057"/>
      <c r="F51" s="3057"/>
      <c r="G51" s="3057"/>
      <c r="H51" s="3057"/>
      <c r="I51" s="3057"/>
      <c r="J51" s="11"/>
      <c r="K51" s="3057"/>
      <c r="L51" s="3057"/>
      <c r="M51" s="3057"/>
      <c r="N51" s="3057"/>
      <c r="O51" s="3057"/>
      <c r="P51" s="3057"/>
      <c r="Q51" s="3057"/>
      <c r="R51" s="2044"/>
      <c r="S51" s="7"/>
      <c r="T51" s="8"/>
      <c r="U51" s="12"/>
      <c r="V51" s="3069"/>
      <c r="W51" s="3069"/>
      <c r="X51" s="3069"/>
      <c r="Y51" s="3069"/>
      <c r="Z51" s="3069"/>
      <c r="AA51" s="3069"/>
      <c r="AB51" s="3069"/>
      <c r="AD51" s="3069"/>
      <c r="AE51" s="3069"/>
      <c r="AF51" s="3069"/>
      <c r="AG51" s="3069"/>
      <c r="AH51" s="3069"/>
      <c r="AI51" s="3069"/>
      <c r="AJ51" s="3069"/>
      <c r="AK51" s="15"/>
      <c r="AL51" s="8"/>
      <c r="AM51" s="2812"/>
      <c r="AN51" s="2812"/>
      <c r="AO51" s="2812"/>
      <c r="AW51" s="2808"/>
      <c r="AX51" s="2808"/>
      <c r="AY51" s="2056"/>
    </row>
    <row r="52" spans="1:51" ht="12" customHeight="1" x14ac:dyDescent="0.2">
      <c r="A52" s="7"/>
      <c r="B52" s="2043"/>
      <c r="C52" s="3057"/>
      <c r="D52" s="3057"/>
      <c r="E52" s="3057"/>
      <c r="F52" s="3057"/>
      <c r="G52" s="3057"/>
      <c r="H52" s="3057"/>
      <c r="I52" s="3057"/>
      <c r="J52" s="11"/>
      <c r="K52" s="3057"/>
      <c r="L52" s="3057"/>
      <c r="M52" s="3057"/>
      <c r="N52" s="3057"/>
      <c r="O52" s="3057"/>
      <c r="P52" s="3057"/>
      <c r="Q52" s="3057"/>
      <c r="R52" s="2044"/>
      <c r="S52" s="7"/>
      <c r="T52" s="8"/>
      <c r="U52" s="12"/>
      <c r="V52" s="3069"/>
      <c r="W52" s="3069"/>
      <c r="X52" s="3069"/>
      <c r="Y52" s="3069"/>
      <c r="Z52" s="3069"/>
      <c r="AA52" s="3069"/>
      <c r="AB52" s="3069"/>
      <c r="AD52" s="3069"/>
      <c r="AE52" s="3069"/>
      <c r="AF52" s="3069"/>
      <c r="AG52" s="3069"/>
      <c r="AH52" s="3069"/>
      <c r="AI52" s="3069"/>
      <c r="AJ52" s="3069"/>
      <c r="AK52" s="15"/>
      <c r="AL52" s="8"/>
      <c r="AM52" s="2812"/>
      <c r="AN52" s="2812"/>
      <c r="AO52" s="2812"/>
      <c r="AW52" s="2808"/>
      <c r="AX52" s="2808"/>
      <c r="AY52" s="2056"/>
    </row>
    <row r="53" spans="1:51" ht="12" customHeight="1" x14ac:dyDescent="0.2">
      <c r="A53" s="7"/>
      <c r="B53" s="2043"/>
      <c r="C53" s="3057"/>
      <c r="D53" s="3057"/>
      <c r="E53" s="3057"/>
      <c r="F53" s="3057"/>
      <c r="G53" s="3057"/>
      <c r="H53" s="3057"/>
      <c r="I53" s="3057"/>
      <c r="J53" s="11"/>
      <c r="K53" s="3057"/>
      <c r="L53" s="3057"/>
      <c r="M53" s="3057"/>
      <c r="N53" s="3057"/>
      <c r="O53" s="3057"/>
      <c r="P53" s="3057"/>
      <c r="Q53" s="3057"/>
      <c r="R53" s="2044"/>
      <c r="S53" s="7"/>
      <c r="T53" s="8"/>
      <c r="U53" s="12"/>
      <c r="V53" s="3069"/>
      <c r="W53" s="3069"/>
      <c r="X53" s="3069"/>
      <c r="Y53" s="3069"/>
      <c r="Z53" s="3069"/>
      <c r="AA53" s="3069"/>
      <c r="AB53" s="3069"/>
      <c r="AD53" s="3069"/>
      <c r="AE53" s="3069"/>
      <c r="AF53" s="3069"/>
      <c r="AG53" s="3069"/>
      <c r="AH53" s="3069"/>
      <c r="AI53" s="3069"/>
      <c r="AJ53" s="3069"/>
      <c r="AK53" s="15"/>
      <c r="AL53" s="8"/>
      <c r="AM53" s="2812"/>
      <c r="AN53" s="2812"/>
      <c r="AO53" s="2812"/>
      <c r="AW53" s="2808"/>
      <c r="AX53" s="2808"/>
      <c r="AY53" s="2056"/>
    </row>
    <row r="54" spans="1:51" ht="12" customHeight="1" x14ac:dyDescent="0.2">
      <c r="A54" s="7"/>
      <c r="B54" s="2043"/>
      <c r="C54" s="11"/>
      <c r="D54" s="11"/>
      <c r="E54" s="11"/>
      <c r="F54" s="11"/>
      <c r="G54" s="11"/>
      <c r="H54" s="11"/>
      <c r="I54" s="11"/>
      <c r="J54" s="11"/>
      <c r="K54" s="3057"/>
      <c r="L54" s="3057"/>
      <c r="M54" s="3057"/>
      <c r="N54" s="3057"/>
      <c r="O54" s="3057"/>
      <c r="P54" s="3057"/>
      <c r="Q54" s="3057"/>
      <c r="R54" s="2044"/>
      <c r="S54" s="7"/>
      <c r="T54" s="8"/>
      <c r="U54" s="12"/>
      <c r="V54" s="3069"/>
      <c r="W54" s="3069"/>
      <c r="X54" s="3069"/>
      <c r="Y54" s="3069"/>
      <c r="Z54" s="3069"/>
      <c r="AA54" s="3069"/>
      <c r="AB54" s="3069"/>
      <c r="AD54" s="3069"/>
      <c r="AE54" s="3069"/>
      <c r="AF54" s="3069"/>
      <c r="AG54" s="3069"/>
      <c r="AH54" s="3069"/>
      <c r="AI54" s="3069"/>
      <c r="AJ54" s="3069"/>
      <c r="AK54" s="15"/>
      <c r="AL54" s="8"/>
      <c r="AM54" s="2812"/>
      <c r="AN54" s="2812"/>
      <c r="AO54" s="2812"/>
      <c r="AW54" s="2808"/>
      <c r="AX54" s="2808"/>
      <c r="AY54" s="2056"/>
    </row>
    <row r="55" spans="1:51" ht="12" customHeight="1" x14ac:dyDescent="0.2">
      <c r="A55" s="7"/>
      <c r="B55" s="2043"/>
      <c r="C55" s="3028" t="s">
        <v>2197</v>
      </c>
      <c r="D55" s="3028"/>
      <c r="E55" s="3028"/>
      <c r="F55" s="3028"/>
      <c r="G55" s="3028"/>
      <c r="H55" s="3028"/>
      <c r="I55" s="3028"/>
      <c r="J55" s="11"/>
      <c r="K55" s="3057"/>
      <c r="L55" s="3057"/>
      <c r="M55" s="3057"/>
      <c r="N55" s="3057"/>
      <c r="O55" s="3057"/>
      <c r="P55" s="3057"/>
      <c r="Q55" s="3057"/>
      <c r="R55" s="2044"/>
      <c r="S55" s="7"/>
      <c r="T55" s="8"/>
      <c r="U55" s="12"/>
      <c r="V55" s="3066"/>
      <c r="W55" s="3066"/>
      <c r="X55" s="3066"/>
      <c r="Y55" s="3066"/>
      <c r="Z55" s="3066"/>
      <c r="AA55" s="3066"/>
      <c r="AB55" s="3066"/>
      <c r="AD55" s="3066"/>
      <c r="AE55" s="3066"/>
      <c r="AF55" s="3066"/>
      <c r="AG55" s="3066"/>
      <c r="AH55" s="3066"/>
      <c r="AI55" s="3066"/>
      <c r="AJ55" s="3066"/>
      <c r="AK55" s="15"/>
      <c r="AL55" s="8"/>
      <c r="AM55" s="2812"/>
      <c r="AN55" s="2812"/>
      <c r="AO55" s="2812"/>
      <c r="AW55" s="2808"/>
      <c r="AX55" s="2808"/>
      <c r="AY55" s="2056"/>
    </row>
    <row r="56" spans="1:51" ht="12" customHeight="1" x14ac:dyDescent="0.2">
      <c r="A56" s="7"/>
      <c r="B56" s="2043"/>
      <c r="C56" s="3057"/>
      <c r="D56" s="3057"/>
      <c r="E56" s="3057"/>
      <c r="F56" s="3057"/>
      <c r="G56" s="3057"/>
      <c r="H56" s="3057"/>
      <c r="I56" s="3057"/>
      <c r="J56" s="11"/>
      <c r="K56" s="3057"/>
      <c r="L56" s="3057"/>
      <c r="M56" s="3057"/>
      <c r="N56" s="3057"/>
      <c r="O56" s="3057"/>
      <c r="P56" s="3057"/>
      <c r="Q56" s="3057"/>
      <c r="R56" s="2044"/>
      <c r="S56" s="7"/>
      <c r="T56" s="8"/>
      <c r="U56" s="12"/>
      <c r="AK56" s="15"/>
      <c r="AL56" s="8"/>
      <c r="AM56" s="2812"/>
      <c r="AN56" s="2812"/>
      <c r="AO56" s="2812"/>
      <c r="AW56" s="2808"/>
      <c r="AX56" s="2808"/>
      <c r="AY56" s="2056"/>
    </row>
    <row r="57" spans="1:51" ht="12" customHeight="1" x14ac:dyDescent="0.2">
      <c r="A57" s="7"/>
      <c r="B57" s="2043"/>
      <c r="C57" s="3057"/>
      <c r="D57" s="3057"/>
      <c r="E57" s="3057"/>
      <c r="F57" s="3057"/>
      <c r="G57" s="3057"/>
      <c r="H57" s="3057"/>
      <c r="I57" s="3057"/>
      <c r="J57" s="11"/>
      <c r="K57" s="3057"/>
      <c r="L57" s="3057"/>
      <c r="M57" s="3057"/>
      <c r="N57" s="3057"/>
      <c r="O57" s="3057"/>
      <c r="P57" s="3057"/>
      <c r="Q57" s="3057"/>
      <c r="R57" s="2044"/>
      <c r="S57" s="7"/>
      <c r="T57" s="8"/>
      <c r="U57" s="12"/>
      <c r="V57" s="3028" t="s">
        <v>2198</v>
      </c>
      <c r="W57" s="3028"/>
      <c r="X57" s="3028"/>
      <c r="Y57" s="3028"/>
      <c r="Z57" s="3028"/>
      <c r="AA57" s="3028"/>
      <c r="AB57" s="3028"/>
      <c r="AD57" s="3082" t="s">
        <v>2199</v>
      </c>
      <c r="AE57" s="3082"/>
      <c r="AF57" s="3082"/>
      <c r="AG57" s="3082"/>
      <c r="AH57" s="3082"/>
      <c r="AI57" s="3083" t="str">
        <f>VLOOKUP(AD59,Tabla_Fama,2)</f>
        <v>Desconocido</v>
      </c>
      <c r="AJ57" s="3083"/>
      <c r="AK57" s="15"/>
      <c r="AL57" s="8"/>
      <c r="AM57" s="2812"/>
      <c r="AQ57" s="2812"/>
      <c r="AR57" s="2812"/>
      <c r="AS57" s="2812"/>
      <c r="AT57" s="2056"/>
      <c r="AU57" s="2056"/>
      <c r="AV57" s="2056"/>
      <c r="AW57" s="2808"/>
      <c r="AX57" s="2808"/>
      <c r="AY57" s="2056"/>
    </row>
    <row r="58" spans="1:51" ht="12" customHeight="1" x14ac:dyDescent="0.2">
      <c r="A58" s="7"/>
      <c r="B58" s="2043"/>
      <c r="C58" s="3057"/>
      <c r="D58" s="3057"/>
      <c r="E58" s="3057"/>
      <c r="F58" s="3057"/>
      <c r="G58" s="3057"/>
      <c r="H58" s="3057"/>
      <c r="I58" s="3057"/>
      <c r="J58" s="11"/>
      <c r="K58" s="3057"/>
      <c r="L58" s="3057"/>
      <c r="M58" s="3057"/>
      <c r="N58" s="3057"/>
      <c r="O58" s="3057"/>
      <c r="P58" s="3057"/>
      <c r="Q58" s="3057"/>
      <c r="R58" s="2044"/>
      <c r="S58" s="7"/>
      <c r="T58" s="8"/>
      <c r="U58" s="12"/>
      <c r="V58" s="3045" t="s">
        <v>2200</v>
      </c>
      <c r="W58" s="3045"/>
      <c r="X58" s="3045"/>
      <c r="Y58" s="3045"/>
      <c r="Z58" s="3084" t="s">
        <v>2201</v>
      </c>
      <c r="AA58" s="3084"/>
      <c r="AB58" s="3084"/>
      <c r="AD58" s="37" t="s">
        <v>2202</v>
      </c>
      <c r="AE58" s="3085" t="s">
        <v>2203</v>
      </c>
      <c r="AF58" s="3085"/>
      <c r="AG58" s="38"/>
      <c r="AH58" s="3085" t="s">
        <v>2204</v>
      </c>
      <c r="AI58" s="3085"/>
      <c r="AJ58" s="39"/>
      <c r="AK58" s="15"/>
      <c r="AL58" s="8"/>
    </row>
    <row r="59" spans="1:51" ht="12" customHeight="1" x14ac:dyDescent="0.2">
      <c r="A59" s="7"/>
      <c r="B59" s="2043"/>
      <c r="C59" s="3057"/>
      <c r="D59" s="3057"/>
      <c r="E59" s="3057"/>
      <c r="F59" s="3057"/>
      <c r="G59" s="3057"/>
      <c r="H59" s="3057"/>
      <c r="I59" s="3057"/>
      <c r="J59" s="11"/>
      <c r="K59" s="3057"/>
      <c r="L59" s="3057"/>
      <c r="M59" s="3057"/>
      <c r="N59" s="3057"/>
      <c r="O59" s="3057"/>
      <c r="P59" s="3057"/>
      <c r="Q59" s="3057"/>
      <c r="R59" s="2044"/>
      <c r="S59" s="7"/>
      <c r="T59" s="8"/>
      <c r="U59" s="12"/>
      <c r="V59" s="3074" t="s">
        <v>2205</v>
      </c>
      <c r="W59" s="3075"/>
      <c r="X59" s="3075"/>
      <c r="Y59" s="3075"/>
      <c r="Z59" s="3086"/>
      <c r="AA59" s="3086"/>
      <c r="AB59" s="3086"/>
      <c r="AD59" s="3087">
        <f>MAX(AG58+AG60+AJ59+AJ58+AG59,IF(Tablas!$F$693&gt;0,40,IF(Tablas!$F$694&gt;0,65)))</f>
        <v>0</v>
      </c>
      <c r="AE59" s="3088" t="s">
        <v>2206</v>
      </c>
      <c r="AF59" s="3088"/>
      <c r="AG59" s="40"/>
      <c r="AH59" s="3089" t="s">
        <v>2207</v>
      </c>
      <c r="AI59" s="3089"/>
      <c r="AJ59" s="41"/>
      <c r="AK59" s="15"/>
      <c r="AL59" s="8"/>
    </row>
    <row r="60" spans="1:51" ht="12" customHeight="1" x14ac:dyDescent="0.2">
      <c r="A60" s="7"/>
      <c r="B60" s="2043"/>
      <c r="C60" s="3057"/>
      <c r="D60" s="3057"/>
      <c r="E60" s="3057"/>
      <c r="F60" s="3057"/>
      <c r="G60" s="3057"/>
      <c r="H60" s="3057"/>
      <c r="I60" s="3057"/>
      <c r="J60" s="11"/>
      <c r="K60" s="3057"/>
      <c r="L60" s="3057"/>
      <c r="M60" s="3057"/>
      <c r="N60" s="3057"/>
      <c r="O60" s="3057"/>
      <c r="P60" s="3057"/>
      <c r="Q60" s="3057"/>
      <c r="R60" s="2044"/>
      <c r="S60" s="7"/>
      <c r="T60" s="8"/>
      <c r="U60" s="12"/>
      <c r="V60" s="3074"/>
      <c r="W60" s="3075"/>
      <c r="X60" s="3075"/>
      <c r="Y60" s="3075"/>
      <c r="Z60" s="3086"/>
      <c r="AA60" s="3086"/>
      <c r="AB60" s="3086"/>
      <c r="AD60" s="3087"/>
      <c r="AE60" s="3070" t="s">
        <v>2208</v>
      </c>
      <c r="AF60" s="3070"/>
      <c r="AG60" s="42"/>
      <c r="AH60" s="3071" t="s">
        <v>2209</v>
      </c>
      <c r="AI60" s="3071"/>
      <c r="AJ60" s="43">
        <f>VLOOKUP(AD59,Tabla_Fama,3)</f>
        <v>0</v>
      </c>
      <c r="AK60" s="15"/>
      <c r="AL60" s="8"/>
    </row>
    <row r="61" spans="1:51" ht="12" customHeight="1" x14ac:dyDescent="0.2">
      <c r="A61" s="7"/>
      <c r="B61" s="2043"/>
      <c r="C61" s="3057"/>
      <c r="D61" s="3057"/>
      <c r="E61" s="3057"/>
      <c r="F61" s="3057"/>
      <c r="G61" s="3057"/>
      <c r="H61" s="3057"/>
      <c r="I61" s="3057"/>
      <c r="J61" s="11"/>
      <c r="K61" s="3057"/>
      <c r="L61" s="3057"/>
      <c r="M61" s="3057"/>
      <c r="N61" s="3057"/>
      <c r="O61" s="3057"/>
      <c r="P61" s="3057"/>
      <c r="Q61" s="3057"/>
      <c r="R61" s="2044"/>
      <c r="S61" s="7"/>
      <c r="T61" s="8"/>
      <c r="U61" s="12"/>
      <c r="V61" s="3074" t="s">
        <v>2210</v>
      </c>
      <c r="W61" s="3075"/>
      <c r="X61" s="3075"/>
      <c r="Y61" s="3075"/>
      <c r="Z61" s="3086"/>
      <c r="AA61" s="3086"/>
      <c r="AB61" s="3086"/>
      <c r="AK61" s="15"/>
      <c r="AL61" s="8"/>
    </row>
    <row r="62" spans="1:51" ht="12" customHeight="1" x14ac:dyDescent="0.2">
      <c r="A62" s="7"/>
      <c r="B62" s="2043"/>
      <c r="C62" s="3057"/>
      <c r="D62" s="3057"/>
      <c r="E62" s="3057"/>
      <c r="F62" s="3057"/>
      <c r="G62" s="3057"/>
      <c r="H62" s="3057"/>
      <c r="I62" s="3057"/>
      <c r="J62" s="11"/>
      <c r="K62" s="3057"/>
      <c r="L62" s="3057"/>
      <c r="M62" s="3057"/>
      <c r="N62" s="3057"/>
      <c r="O62" s="3057"/>
      <c r="P62" s="3057"/>
      <c r="Q62" s="3057"/>
      <c r="R62" s="2044"/>
      <c r="S62" s="7"/>
      <c r="T62" s="8"/>
      <c r="U62" s="12"/>
      <c r="V62" s="3074"/>
      <c r="W62" s="3075"/>
      <c r="X62" s="3075"/>
      <c r="Y62" s="3075"/>
      <c r="Z62" s="3086"/>
      <c r="AA62" s="3086"/>
      <c r="AB62" s="3086"/>
      <c r="AD62" s="3028" t="s">
        <v>2211</v>
      </c>
      <c r="AE62" s="3028"/>
      <c r="AF62" s="3028"/>
      <c r="AG62" s="3028"/>
      <c r="AH62" s="3028"/>
      <c r="AI62" s="3028"/>
      <c r="AJ62" s="3028"/>
      <c r="AK62" s="15"/>
      <c r="AL62" s="8"/>
    </row>
    <row r="63" spans="1:51" ht="12" customHeight="1" x14ac:dyDescent="0.2">
      <c r="A63" s="7"/>
      <c r="B63" s="2043"/>
      <c r="C63" s="3057"/>
      <c r="D63" s="3057"/>
      <c r="E63" s="3057"/>
      <c r="F63" s="3057"/>
      <c r="G63" s="3057"/>
      <c r="H63" s="3057"/>
      <c r="I63" s="3057"/>
      <c r="J63" s="11"/>
      <c r="K63" s="3057"/>
      <c r="L63" s="3057"/>
      <c r="M63" s="3057"/>
      <c r="N63" s="3057"/>
      <c r="O63" s="3057"/>
      <c r="P63" s="3057"/>
      <c r="Q63" s="3057"/>
      <c r="R63" s="2044"/>
      <c r="S63" s="7"/>
      <c r="T63" s="8"/>
      <c r="U63" s="12"/>
      <c r="V63" s="3076" t="s">
        <v>2212</v>
      </c>
      <c r="W63" s="3077"/>
      <c r="X63" s="3077"/>
      <c r="Y63" s="3077"/>
      <c r="Z63" s="3086"/>
      <c r="AA63" s="3086"/>
      <c r="AB63" s="3086"/>
      <c r="AD63" s="3078" t="s">
        <v>2213</v>
      </c>
      <c r="AE63" s="3078"/>
      <c r="AF63" s="3078"/>
      <c r="AG63" s="44">
        <f>IF(INT+POD+VOL=0,0,VLOOKUP(INT+POD+VOL,Tabla_Cordura,3))</f>
        <v>25</v>
      </c>
      <c r="AH63" s="3079">
        <f>IF(INT+POD+VOL=0,0,VLOOKUP(INT+POD+VOL,Tabla_Cordura,2))</f>
        <v>120</v>
      </c>
      <c r="AI63" s="3080"/>
      <c r="AJ63" s="3080"/>
      <c r="AK63" s="15"/>
      <c r="AL63" s="8"/>
    </row>
    <row r="64" spans="1:51" ht="12" customHeight="1" x14ac:dyDescent="0.2">
      <c r="A64" s="7"/>
      <c r="B64" s="2043"/>
      <c r="C64" s="11"/>
      <c r="D64" s="11"/>
      <c r="E64" s="11"/>
      <c r="F64" s="11"/>
      <c r="G64" s="11"/>
      <c r="H64" s="11"/>
      <c r="I64" s="11"/>
      <c r="J64" s="11"/>
      <c r="K64" s="11"/>
      <c r="L64" s="11"/>
      <c r="M64" s="11"/>
      <c r="N64" s="11"/>
      <c r="O64" s="11"/>
      <c r="P64" s="11"/>
      <c r="Q64" s="11"/>
      <c r="R64" s="2044"/>
      <c r="S64" s="7"/>
      <c r="T64" s="8"/>
      <c r="U64" s="12"/>
      <c r="V64" s="3076"/>
      <c r="W64" s="3077"/>
      <c r="X64" s="3077"/>
      <c r="Y64" s="3077"/>
      <c r="Z64" s="3086"/>
      <c r="AA64" s="3086"/>
      <c r="AB64" s="3086"/>
      <c r="AD64" s="3081"/>
      <c r="AE64" s="3081"/>
      <c r="AF64" s="3081"/>
      <c r="AG64" s="3081"/>
      <c r="AH64" s="3079"/>
      <c r="AI64" s="3080"/>
      <c r="AJ64" s="3080"/>
      <c r="AK64" s="15"/>
      <c r="AL64" s="8"/>
    </row>
    <row r="65" spans="1:38" ht="12" customHeight="1" x14ac:dyDescent="0.2">
      <c r="A65" s="7"/>
      <c r="B65" s="3072"/>
      <c r="C65" s="3073"/>
      <c r="D65" s="3073"/>
      <c r="E65" s="3073"/>
      <c r="F65" s="3073"/>
      <c r="G65" s="3073"/>
      <c r="H65" s="3073"/>
      <c r="I65" s="3073"/>
      <c r="J65" s="3073"/>
      <c r="K65" s="3073"/>
      <c r="L65" s="3073"/>
      <c r="M65" s="2046"/>
      <c r="N65" s="2046"/>
      <c r="O65" s="2046"/>
      <c r="P65" s="2046"/>
      <c r="Q65" s="2046"/>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58"/>
      <c r="C69" s="2058">
        <f>Tablas!DF31</f>
        <v>0</v>
      </c>
      <c r="D69" s="2058">
        <f>Tablas!DG31</f>
        <v>0</v>
      </c>
      <c r="E69" s="2058">
        <f>Tablas!DH31</f>
        <v>0</v>
      </c>
      <c r="F69" s="2058" t="str">
        <f>Tablas!DI31</f>
        <v/>
      </c>
    </row>
    <row r="70" spans="1:38" ht="12" customHeight="1" x14ac:dyDescent="0.2">
      <c r="B70" s="2058"/>
      <c r="C70" s="2058">
        <f>Tablas!DF32</f>
        <v>0</v>
      </c>
      <c r="D70" s="2058">
        <f>Tablas!DG32</f>
        <v>0</v>
      </c>
      <c r="E70" s="2058">
        <f>Tablas!DH32</f>
        <v>0</v>
      </c>
      <c r="F70" s="2058" t="str">
        <f>Tablas!DI32</f>
        <v/>
      </c>
    </row>
    <row r="71" spans="1:38" ht="12" customHeight="1" x14ac:dyDescent="0.2">
      <c r="B71" s="2058"/>
      <c r="C71" s="2058">
        <f>Tablas!DF33</f>
        <v>0</v>
      </c>
      <c r="D71" s="2058">
        <f>Tablas!DG33</f>
        <v>0</v>
      </c>
      <c r="E71" s="2058">
        <f>Tablas!DH33</f>
        <v>0</v>
      </c>
      <c r="F71" s="2058" t="str">
        <f>Tablas!DI33</f>
        <v/>
      </c>
    </row>
    <row r="72" spans="1:38" ht="12" customHeight="1" x14ac:dyDescent="0.2">
      <c r="B72" s="2058"/>
      <c r="C72" s="2058">
        <f>Tablas!DF34</f>
        <v>0</v>
      </c>
      <c r="D72" s="2058">
        <f>Tablas!DG34</f>
        <v>0</v>
      </c>
      <c r="E72" s="2058">
        <f>Tablas!DH34</f>
        <v>0</v>
      </c>
      <c r="F72" s="2058"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616" priority="14" stopIfTrue="1" operator="equal">
      <formula>0</formula>
    </cfRule>
  </conditionalFormatting>
  <conditionalFormatting sqref="N23">
    <cfRule type="expression" dxfId="615" priority="7">
      <formula>$L$23=""</formula>
    </cfRule>
  </conditionalFormatting>
  <conditionalFormatting sqref="M26">
    <cfRule type="expression" dxfId="614" priority="1811" stopIfTrue="1">
      <formula>$K$26=""</formula>
    </cfRule>
  </conditionalFormatting>
  <conditionalFormatting sqref="I23:K23">
    <cfRule type="expression" dxfId="613" priority="6" stopIfTrue="1">
      <formula>ISNUMBER(SEARCH(Raza,Nephilim))</formula>
    </cfRule>
  </conditionalFormatting>
  <conditionalFormatting sqref="V12">
    <cfRule type="expression" dxfId="612" priority="2276">
      <formula>$V$12&gt;=$AA$12</formula>
    </cfRule>
  </conditionalFormatting>
  <conditionalFormatting sqref="V14:AB14">
    <cfRule type="expression" dxfId="61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topLeftCell="C1" zoomScaleNormal="100" zoomScaleSheetLayoutView="100" workbookViewId="0">
      <selection activeCell="AI51" sqref="AI51"/>
    </sheetView>
  </sheetViews>
  <sheetFormatPr defaultColWidth="5.7109375" defaultRowHeight="12" customHeight="1" x14ac:dyDescent="0.2"/>
  <cols>
    <col min="1" max="1" width="1.7109375" style="48" customWidth="1"/>
    <col min="2" max="2" width="5.7109375" style="49"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10"/>
    <col min="12" max="16" width="5.7109375" style="48"/>
    <col min="17" max="17" width="9" style="48" bestFit="1" customWidth="1"/>
    <col min="18" max="18" width="5.7109375" style="49"/>
    <col min="19" max="19" width="2.140625" style="2896" customWidth="1"/>
    <col min="20" max="20" width="1.7109375" style="2552" customWidth="1"/>
    <col min="21" max="21" width="3.85546875" style="2607"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49"/>
    <col min="38" max="38" width="1.7109375" style="49" customWidth="1"/>
    <col min="39" max="39" width="5.5703125" style="2856" customWidth="1"/>
    <col min="40" max="40" width="7.140625" style="27" customWidth="1"/>
    <col min="41" max="41" width="8.5703125" style="27" bestFit="1" customWidth="1"/>
    <col min="42" max="43" width="5.7109375" style="27"/>
    <col min="44" max="45" width="5.7109375" style="49"/>
    <col min="46" max="46" width="5.7109375" style="1910"/>
    <col min="47" max="49" width="5.7109375" style="2749"/>
    <col min="50" max="55" width="5.7109375" style="1910"/>
    <col min="56" max="16384" width="5.7109375" style="48"/>
  </cols>
  <sheetData>
    <row r="1" spans="1:44" ht="12" customHeight="1" thickBot="1" x14ac:dyDescent="0.25">
      <c r="A1" s="50"/>
      <c r="B1" s="58"/>
      <c r="C1" s="51"/>
      <c r="D1" s="51"/>
      <c r="E1" s="51"/>
      <c r="F1" s="51"/>
      <c r="G1" s="51"/>
      <c r="H1" s="51"/>
      <c r="I1" s="51"/>
      <c r="J1" s="51"/>
      <c r="K1" s="2016"/>
      <c r="L1" s="51"/>
      <c r="M1" s="51"/>
      <c r="N1" s="51"/>
      <c r="O1" s="51"/>
      <c r="P1" s="51"/>
      <c r="Q1" s="51"/>
      <c r="R1" s="52"/>
      <c r="S1" s="2919"/>
      <c r="T1" s="2551"/>
      <c r="U1" s="2531"/>
      <c r="V1" s="7"/>
      <c r="W1" s="7"/>
      <c r="X1" s="7"/>
      <c r="Y1" s="7"/>
      <c r="Z1" s="7"/>
      <c r="AA1" s="7"/>
      <c r="AB1" s="7"/>
      <c r="AC1" s="7"/>
      <c r="AD1" s="7"/>
      <c r="AE1" s="7"/>
      <c r="AF1" s="7"/>
      <c r="AG1" s="7"/>
      <c r="AH1" s="7"/>
      <c r="AI1" s="7"/>
      <c r="AJ1" s="7"/>
      <c r="AK1" s="2904"/>
      <c r="AL1" s="2904"/>
    </row>
    <row r="2" spans="1:44" ht="12" customHeight="1" thickBot="1" x14ac:dyDescent="0.25">
      <c r="A2" s="50"/>
      <c r="B2" s="2909">
        <f>IF(Tablas!G1553&gt;0,13,IF(Tablas!G1555&gt;0,15,IF(Tablas!G1557&gt;0,20,10)))</f>
        <v>10</v>
      </c>
      <c r="C2" s="2024"/>
      <c r="D2" s="2024"/>
      <c r="E2" s="2024"/>
      <c r="F2" s="2024"/>
      <c r="G2" s="2024"/>
      <c r="H2" s="2024"/>
      <c r="I2" s="2024"/>
      <c r="J2" s="2024"/>
      <c r="K2" s="2025"/>
      <c r="L2" s="2024"/>
      <c r="M2" s="2024"/>
      <c r="N2" s="2024"/>
      <c r="O2" s="2024"/>
      <c r="P2" s="2024"/>
      <c r="Q2" s="2024"/>
      <c r="R2" s="2026"/>
      <c r="S2" s="2919"/>
      <c r="T2" s="2551"/>
      <c r="U2" s="2532"/>
      <c r="V2" s="9"/>
      <c r="W2" s="9"/>
      <c r="X2" s="9"/>
      <c r="Y2" s="9"/>
      <c r="Z2" s="9"/>
      <c r="AA2" s="9"/>
      <c r="AB2" s="9"/>
      <c r="AC2" s="9"/>
      <c r="AD2" s="9"/>
      <c r="AE2" s="9"/>
      <c r="AF2" s="9"/>
      <c r="AG2" s="9"/>
      <c r="AH2" s="9"/>
      <c r="AI2" s="9"/>
      <c r="AJ2" s="9"/>
      <c r="AK2" s="2905"/>
      <c r="AL2" s="2904"/>
    </row>
    <row r="3" spans="1:44" ht="12" customHeight="1" thickBot="1" x14ac:dyDescent="0.25">
      <c r="A3" s="50"/>
      <c r="B3" s="2910">
        <f>IF(Tablas!G1552&gt;0,13,IF(Tablas!G1554&gt;0,15,IF(Tablas!G1556&gt;0,20,10)))</f>
        <v>10</v>
      </c>
      <c r="C3" s="2958"/>
      <c r="D3" s="2958"/>
      <c r="E3" s="2958"/>
      <c r="F3" s="2958"/>
      <c r="G3" s="2958"/>
      <c r="H3" s="2958"/>
      <c r="I3" s="53"/>
      <c r="J3" s="53"/>
      <c r="K3" s="2017"/>
      <c r="L3" s="53"/>
      <c r="M3" s="53"/>
      <c r="N3" s="53"/>
      <c r="O3" s="53"/>
      <c r="P3" s="53"/>
      <c r="Q3" s="54"/>
      <c r="R3" s="2027"/>
      <c r="S3" s="2919"/>
      <c r="T3" s="2551"/>
      <c r="U3" s="2533"/>
      <c r="V3" s="3046"/>
      <c r="W3" s="3046"/>
      <c r="X3" s="3046"/>
      <c r="Y3" s="3046"/>
      <c r="Z3" s="3046"/>
      <c r="AA3" s="3046"/>
      <c r="AB3" s="13"/>
      <c r="AC3" s="13"/>
      <c r="AD3" s="13"/>
      <c r="AE3" s="13"/>
      <c r="AF3" s="13"/>
      <c r="AG3" s="13"/>
      <c r="AH3" s="13"/>
      <c r="AI3" s="13"/>
      <c r="AJ3" s="14"/>
      <c r="AK3" s="2906"/>
      <c r="AL3" s="2904"/>
      <c r="AM3" s="555"/>
      <c r="AN3" s="199"/>
      <c r="AO3" s="199"/>
      <c r="AP3" s="199"/>
      <c r="AQ3" s="199"/>
    </row>
    <row r="4" spans="1:44" ht="12" customHeight="1" thickBot="1" x14ac:dyDescent="0.25">
      <c r="A4" s="50"/>
      <c r="B4" s="2911"/>
      <c r="C4" s="2958"/>
      <c r="D4" s="2958"/>
      <c r="E4" s="2958"/>
      <c r="F4" s="2958"/>
      <c r="G4" s="2958"/>
      <c r="H4" s="2958"/>
      <c r="I4" s="57"/>
      <c r="J4" s="2963" t="s">
        <v>2169</v>
      </c>
      <c r="K4" s="2963"/>
      <c r="L4" s="2964" t="str">
        <f>IF(OR(General!$G$22="",General!$G$22=0),"",General!$G$22)</f>
        <v/>
      </c>
      <c r="M4" s="2964"/>
      <c r="N4" s="2964"/>
      <c r="O4" s="2964"/>
      <c r="P4" s="2964"/>
      <c r="Q4" s="17"/>
      <c r="R4" s="2916"/>
      <c r="S4" s="2919"/>
      <c r="T4" s="2551"/>
      <c r="U4" s="2533"/>
      <c r="V4" s="3046"/>
      <c r="W4" s="3046"/>
      <c r="X4" s="3046"/>
      <c r="Y4" s="3046"/>
      <c r="Z4" s="3046"/>
      <c r="AA4" s="3046"/>
      <c r="AB4" s="16"/>
      <c r="AC4" s="2963" t="s">
        <v>2169</v>
      </c>
      <c r="AD4" s="2963"/>
      <c r="AE4" s="2964" t="str">
        <f>IF(OR(General!$G$22="",General!$G$22=0),"",General!$G$22)</f>
        <v/>
      </c>
      <c r="AF4" s="2964"/>
      <c r="AG4" s="2964"/>
      <c r="AH4" s="2964"/>
      <c r="AI4" s="2964"/>
      <c r="AJ4" s="17"/>
      <c r="AK4" s="2906"/>
      <c r="AL4" s="2904"/>
      <c r="AM4" s="2287"/>
      <c r="AN4" s="199"/>
      <c r="AO4" s="199"/>
      <c r="AP4" s="199"/>
      <c r="AQ4" s="199"/>
    </row>
    <row r="5" spans="1:44" ht="12" customHeight="1" thickBot="1" x14ac:dyDescent="0.25">
      <c r="A5" s="50"/>
      <c r="B5" s="2911"/>
      <c r="C5" s="2958"/>
      <c r="D5" s="2958"/>
      <c r="E5" s="2958"/>
      <c r="F5" s="2958"/>
      <c r="G5" s="2958"/>
      <c r="H5" s="2958"/>
      <c r="I5" s="57"/>
      <c r="J5" s="3042" t="s">
        <v>2170</v>
      </c>
      <c r="K5" s="3042"/>
      <c r="L5" s="3043" t="str">
        <f>IF(PDs!U13=0,IF(PDs!U11=0,IF(PDs!U9=0,IF(PDs!U7=0,IF(PDs!U5=0,"",PDs!U5),PDs!U7),PDs!U9),PDs!U11),PDs!U13)</f>
        <v>Hechicero</v>
      </c>
      <c r="M5" s="3043"/>
      <c r="N5" s="3043"/>
      <c r="O5" s="59" t="s">
        <v>2171</v>
      </c>
      <c r="P5" s="19" t="str">
        <f>PDs!X15&amp;IF(Principal!AA27=0,""," + "&amp;Principal!AA27)</f>
        <v>1 + 2</v>
      </c>
      <c r="Q5" s="60"/>
      <c r="R5" s="2027"/>
      <c r="S5" s="2919"/>
      <c r="T5" s="2551"/>
      <c r="U5" s="2533"/>
      <c r="V5" s="3046"/>
      <c r="W5" s="3046"/>
      <c r="X5" s="3046"/>
      <c r="Y5" s="3046"/>
      <c r="Z5" s="3046"/>
      <c r="AA5" s="3046"/>
      <c r="AB5" s="16"/>
      <c r="AC5" s="3042" t="s">
        <v>2170</v>
      </c>
      <c r="AD5" s="3042"/>
      <c r="AE5" s="3043" t="str">
        <f>$L$5</f>
        <v>Hechicero</v>
      </c>
      <c r="AF5" s="3043"/>
      <c r="AG5" s="3043"/>
      <c r="AH5" s="18" t="s">
        <v>2171</v>
      </c>
      <c r="AI5" s="19" t="str">
        <f>$P$5</f>
        <v>1 + 2</v>
      </c>
      <c r="AJ5" s="20"/>
      <c r="AK5" s="2906"/>
      <c r="AL5" s="2904"/>
      <c r="AM5" s="2287"/>
      <c r="AN5" s="199"/>
      <c r="AO5" s="199"/>
      <c r="AP5" s="199"/>
      <c r="AQ5" s="199"/>
    </row>
    <row r="6" spans="1:44" ht="12" customHeight="1" thickBot="1" x14ac:dyDescent="0.25">
      <c r="A6" s="50"/>
      <c r="B6" s="2911"/>
      <c r="C6" s="2958"/>
      <c r="D6" s="2958"/>
      <c r="E6" s="2958"/>
      <c r="F6" s="2958"/>
      <c r="G6" s="2958"/>
      <c r="H6" s="2958"/>
      <c r="I6" s="57"/>
      <c r="J6" s="3042" t="s">
        <v>2214</v>
      </c>
      <c r="K6" s="3042"/>
      <c r="L6" s="2764">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16</v>
      </c>
      <c r="M6" s="3043" t="str">
        <f>IF(Raza="Criatura",VLOOKUP($L$6,Tablas!B123:C130,2),"Medio")</f>
        <v>Medio</v>
      </c>
      <c r="N6" s="3043"/>
      <c r="O6" s="61"/>
      <c r="P6" s="61"/>
      <c r="Q6" s="60"/>
      <c r="R6" s="2027"/>
      <c r="S6" s="2919"/>
      <c r="T6" s="2551"/>
      <c r="U6" s="2533"/>
      <c r="V6" s="3046"/>
      <c r="W6" s="3046"/>
      <c r="X6" s="3046"/>
      <c r="Y6" s="3046"/>
      <c r="Z6" s="3046"/>
      <c r="AA6" s="3046"/>
      <c r="AB6" s="16"/>
      <c r="AC6" s="3044" t="s">
        <v>2215</v>
      </c>
      <c r="AD6" s="3044"/>
      <c r="AE6" s="3044"/>
      <c r="AF6" s="3044"/>
      <c r="AG6" s="3044"/>
      <c r="AH6" s="3044"/>
      <c r="AI6" s="3044"/>
      <c r="AJ6" s="20"/>
      <c r="AK6" s="2906"/>
      <c r="AL6" s="2904"/>
      <c r="AM6" s="555"/>
      <c r="AN6" s="199"/>
      <c r="AO6" s="199"/>
      <c r="AP6" s="233"/>
      <c r="AQ6" s="233"/>
    </row>
    <row r="7" spans="1:44" ht="12" customHeight="1" thickBot="1" x14ac:dyDescent="0.25">
      <c r="A7" s="50"/>
      <c r="B7" s="2911"/>
      <c r="C7" s="2958"/>
      <c r="D7" s="2958"/>
      <c r="E7" s="2958"/>
      <c r="F7" s="2958"/>
      <c r="G7" s="2958"/>
      <c r="H7" s="2958"/>
      <c r="I7" s="57"/>
      <c r="J7" s="2770" t="s">
        <v>2216</v>
      </c>
      <c r="K7" s="3043" t="str">
        <f>TipoDeCriatura&amp;IF(AND(TipoDeCriatura="Natural",NOT(Raza=0)),", "&amp;Raza&amp;" ","")&amp;IF(Nephilim="",""," ("&amp;Nephilim&amp;")")&amp;" "&amp;Principal!AB13</f>
        <v>Natural, Turak  10</v>
      </c>
      <c r="L7" s="3043"/>
      <c r="M7" s="3043"/>
      <c r="N7" s="3043"/>
      <c r="O7" s="3043"/>
      <c r="P7" s="3043"/>
      <c r="Q7" s="60"/>
      <c r="R7" s="2027"/>
      <c r="S7" s="2919"/>
      <c r="T7" s="2551"/>
      <c r="U7" s="2533"/>
      <c r="V7" s="3046"/>
      <c r="W7" s="3046"/>
      <c r="X7" s="3046"/>
      <c r="Y7" s="3046"/>
      <c r="Z7" s="3046"/>
      <c r="AA7" s="3046"/>
      <c r="AB7" s="16"/>
      <c r="AC7" s="3044"/>
      <c r="AD7" s="3044"/>
      <c r="AE7" s="3044"/>
      <c r="AF7" s="3044"/>
      <c r="AG7" s="3044"/>
      <c r="AH7" s="3044"/>
      <c r="AI7" s="3044"/>
      <c r="AJ7" s="20"/>
      <c r="AK7" s="2906"/>
      <c r="AL7" s="2904"/>
      <c r="AM7" s="555"/>
      <c r="AN7" s="199"/>
      <c r="AO7" s="199"/>
      <c r="AP7" s="199"/>
      <c r="AQ7" s="199"/>
    </row>
    <row r="8" spans="1:44" ht="12" customHeight="1" thickBot="1" x14ac:dyDescent="0.25">
      <c r="A8" s="50"/>
      <c r="B8" s="2911"/>
      <c r="C8" s="2958"/>
      <c r="D8" s="2958"/>
      <c r="E8" s="2958"/>
      <c r="F8" s="2958"/>
      <c r="G8" s="2958"/>
      <c r="H8" s="2958"/>
      <c r="I8" s="64"/>
      <c r="J8" s="64"/>
      <c r="K8" s="2018"/>
      <c r="L8" s="64"/>
      <c r="M8" s="64"/>
      <c r="N8" s="64"/>
      <c r="O8" s="64"/>
      <c r="P8" s="64"/>
      <c r="Q8" s="65"/>
      <c r="R8" s="2027"/>
      <c r="S8" s="2919"/>
      <c r="T8" s="2551"/>
      <c r="U8" s="2533"/>
      <c r="V8" s="3046"/>
      <c r="W8" s="3046"/>
      <c r="X8" s="3046"/>
      <c r="Y8" s="3046"/>
      <c r="Z8" s="3046"/>
      <c r="AA8" s="3046"/>
      <c r="AB8" s="21"/>
      <c r="AC8" s="66"/>
      <c r="AD8" s="66"/>
      <c r="AE8" s="66"/>
      <c r="AF8" s="66"/>
      <c r="AG8" s="66"/>
      <c r="AH8" s="66"/>
      <c r="AI8" s="66"/>
      <c r="AJ8" s="67"/>
      <c r="AK8" s="2906"/>
      <c r="AL8" s="2904"/>
      <c r="AM8" s="2287"/>
      <c r="AO8" s="2922" t="s">
        <v>9916</v>
      </c>
    </row>
    <row r="9" spans="1:44" ht="12" customHeight="1" thickBot="1" x14ac:dyDescent="0.25">
      <c r="A9" s="50"/>
      <c r="B9" s="2912"/>
      <c r="C9" s="68"/>
      <c r="D9" s="68"/>
      <c r="E9" s="68"/>
      <c r="F9" s="68"/>
      <c r="G9" s="68"/>
      <c r="H9" s="68"/>
      <c r="I9" s="2786"/>
      <c r="J9" s="68"/>
      <c r="K9" s="2019"/>
      <c r="L9" s="68"/>
      <c r="M9" s="2786"/>
      <c r="N9" s="68"/>
      <c r="O9" s="68"/>
      <c r="P9" s="68"/>
      <c r="Q9" s="68"/>
      <c r="R9" s="2027"/>
      <c r="S9" s="2919"/>
      <c r="T9" s="2551"/>
      <c r="U9" s="2533"/>
      <c r="V9" s="11"/>
      <c r="W9" s="11"/>
      <c r="X9" s="11"/>
      <c r="Y9" s="69"/>
      <c r="Z9" s="69"/>
      <c r="AA9" s="69"/>
      <c r="AB9" s="69"/>
      <c r="AC9" s="69"/>
      <c r="AD9" s="69"/>
      <c r="AE9" s="69"/>
      <c r="AF9" s="69"/>
      <c r="AG9" s="69"/>
      <c r="AH9" s="11"/>
      <c r="AI9" s="11"/>
      <c r="AJ9" s="11"/>
      <c r="AK9" s="2906"/>
      <c r="AL9" s="2904"/>
      <c r="AM9" s="242"/>
      <c r="AN9" s="199" t="s">
        <v>9912</v>
      </c>
      <c r="AO9" s="2921" t="s">
        <v>9909</v>
      </c>
      <c r="AP9" s="27" t="s">
        <v>9919</v>
      </c>
      <c r="AQ9" s="27" t="s">
        <v>9920</v>
      </c>
    </row>
    <row r="10" spans="1:44" ht="12" customHeight="1" thickBot="1" x14ac:dyDescent="0.25">
      <c r="A10" s="50"/>
      <c r="B10" s="2913"/>
      <c r="C10" s="3139" t="s">
        <v>2217</v>
      </c>
      <c r="D10" s="2571" t="str">
        <f>SUM(E11:E18)+COUNTIF(E11:E18,10)&amp;" pts"</f>
        <v>64 pts</v>
      </c>
      <c r="E10" s="2773" t="s">
        <v>2218</v>
      </c>
      <c r="F10" s="2760" t="s">
        <v>2219</v>
      </c>
      <c r="G10" s="72" t="s">
        <v>2202</v>
      </c>
      <c r="H10" s="30" t="s">
        <v>2220</v>
      </c>
      <c r="I10" s="111"/>
      <c r="J10" s="3028" t="s">
        <v>2221</v>
      </c>
      <c r="K10" s="3028"/>
      <c r="L10" s="3028"/>
      <c r="M10" s="111"/>
      <c r="N10" s="3028" t="s">
        <v>2222</v>
      </c>
      <c r="O10" s="3028"/>
      <c r="P10" s="3028"/>
      <c r="Q10" s="3028"/>
      <c r="R10" s="2917"/>
      <c r="S10" s="2919"/>
      <c r="T10" s="2551"/>
      <c r="U10" s="2534"/>
      <c r="V10" s="3150" t="s">
        <v>2223</v>
      </c>
      <c r="W10" s="3151"/>
      <c r="X10" s="3151"/>
      <c r="Y10" s="3151"/>
      <c r="Z10" s="3151"/>
      <c r="AA10" s="3151"/>
      <c r="AB10" s="3152"/>
      <c r="AC10" s="73"/>
      <c r="AD10" s="3028" t="s">
        <v>2224</v>
      </c>
      <c r="AE10" s="3028"/>
      <c r="AF10" s="3028"/>
      <c r="AG10" s="3028"/>
      <c r="AH10" s="3149" t="s">
        <v>2225</v>
      </c>
      <c r="AI10" s="3149"/>
      <c r="AJ10" s="74">
        <f>SUM(AJ12:AJ23)+IF(OR(TipoDeCriatura="Ánima",TipoDeCriatura="Ánima, Elemental",TipoDeCriatura="No muerto, Espectro"),100,0)+AJ27</f>
        <v>0</v>
      </c>
      <c r="AK10" s="150"/>
      <c r="AL10" s="2904"/>
      <c r="AM10" s="199"/>
      <c r="AN10" s="2921" t="s">
        <v>9911</v>
      </c>
      <c r="AO10" s="2922" t="s">
        <v>9914</v>
      </c>
      <c r="AP10" s="2922" t="s">
        <v>9918</v>
      </c>
      <c r="AQ10" s="2922" t="s">
        <v>9910</v>
      </c>
      <c r="AR10" s="199" t="s">
        <v>9938</v>
      </c>
    </row>
    <row r="11" spans="1:44" ht="12" customHeight="1" thickBot="1" x14ac:dyDescent="0.25">
      <c r="A11" s="50"/>
      <c r="B11" s="2913"/>
      <c r="C11" s="3139"/>
      <c r="D11" s="76" t="s">
        <v>2226</v>
      </c>
      <c r="E11" s="2774">
        <v>8</v>
      </c>
      <c r="F11" s="78"/>
      <c r="G11" s="79">
        <f>MIN(20,MAX(0,AQ11))</f>
        <v>8</v>
      </c>
      <c r="H11" s="2777">
        <f>IF(G11&lt;1,0,VLOOKUP(G11,Tablas!$H$98:$I$117,2))</f>
        <v>10</v>
      </c>
      <c r="J11" s="3126">
        <f>AQ19</f>
        <v>3</v>
      </c>
      <c r="K11" s="3162" t="str">
        <f>VLOOKUP(J11,Tablas!H140:J167,2)</f>
        <v>30 PV / día</v>
      </c>
      <c r="L11" s="3162"/>
      <c r="M11" s="111"/>
      <c r="N11" s="3163">
        <f>PDs!Z185</f>
        <v>115</v>
      </c>
      <c r="O11" s="3163"/>
      <c r="P11" s="3164"/>
      <c r="Q11" s="3164"/>
      <c r="R11" s="2917"/>
      <c r="S11" s="2919"/>
      <c r="T11" s="2551"/>
      <c r="U11" s="2534"/>
      <c r="V11" s="3174" t="s">
        <v>2227</v>
      </c>
      <c r="W11" s="3175"/>
      <c r="X11" s="3176"/>
      <c r="Y11" s="3153" t="s">
        <v>2953</v>
      </c>
      <c r="Z11" s="3153"/>
      <c r="AA11" s="3153"/>
      <c r="AB11" s="3154"/>
      <c r="AC11" s="73"/>
      <c r="AD11" s="3167" t="s">
        <v>2228</v>
      </c>
      <c r="AE11" s="3167"/>
      <c r="AF11" s="3167"/>
      <c r="AG11" s="3167"/>
      <c r="AH11" s="3167"/>
      <c r="AI11" s="81" t="s">
        <v>2229</v>
      </c>
      <c r="AJ11" s="25" t="s">
        <v>2230</v>
      </c>
      <c r="AK11" s="150"/>
      <c r="AL11" s="2904"/>
      <c r="AM11" s="199" t="s">
        <v>2226</v>
      </c>
      <c r="AN11" s="654">
        <f t="shared" ref="AN11:AN18" si="0">F11+E11+HLOOKUP(D11,Bonos_Raza_Base,2,FALSE)</f>
        <v>8</v>
      </c>
      <c r="AO11" s="654">
        <f>AN11+Tablas!F457-2*Tablas!F707+Tablas!J1558</f>
        <v>8</v>
      </c>
      <c r="AP11" s="654">
        <f>Bono_IncremTotal+IF(ISNUMBER(FIND(D11,PodPsi_IncremHab)),'Tablas psiquica'!$AH$70,FALSE)</f>
        <v>0</v>
      </c>
      <c r="AQ11" s="654">
        <f t="shared" ref="AQ11:AQ18" si="1">IF(AO11&lt;10,MIN(10,AP11+AO11)+TRUNC(MAX(0,(AP11+AO11-10)/2,0)),AO11+TRUNC(AP11/2,0))</f>
        <v>8</v>
      </c>
      <c r="AR11" s="654">
        <f>IF(AO11&lt;10,MIN(10,(AP11-IF(ISNUMBER(FIND(D11,PodPsi_IncremHab)),'Tablas psiquica'!$AH$70,FALSE))+AO11)+TRUNC(MAX(0,((AP11-IF(ISNUMBER(FIND(D11,PodPsi_IncremHab)),'Tablas psiquica'!$AH$70,FALSE))+AO11-10)/2,0)),AO11+TRUNC((AP11-IF(ISNUMBER(FIND(D11,PodPsi_IncremHab)),'Tablas psiquica'!$AH$70,FALSE))/2,0))</f>
        <v>8</v>
      </c>
    </row>
    <row r="12" spans="1:44" ht="12" customHeight="1" thickBot="1" x14ac:dyDescent="0.25">
      <c r="A12" s="50"/>
      <c r="B12" s="2913"/>
      <c r="C12" s="3139"/>
      <c r="D12" s="76" t="str">
        <f>IF(OR($Y$11="Ánima",$Y$11="Ánima, Elemental",$Y$11="No muerto, Espectro"),"-","CON")</f>
        <v>CON</v>
      </c>
      <c r="E12" s="2774">
        <v>8</v>
      </c>
      <c r="F12" s="82"/>
      <c r="G12" s="79">
        <f>MIN(20,MAX(0,IF(OR($Y$11="Ánima",$Y$11="Ánima, Elemental",$Y$11="No muerto, Espectro"),POD,AQ12)))</f>
        <v>8</v>
      </c>
      <c r="H12" s="2777">
        <f>IF(G12&lt;1,0,VLOOKUP(G12,Tablas!$H$98:$I$117,2))</f>
        <v>10</v>
      </c>
      <c r="I12" s="654"/>
      <c r="J12" s="3126"/>
      <c r="K12" s="3161" t="str">
        <f>IF(Tablas!I1975="",VLOOKUP(J11,Tablas!H140:K167,4),Tablas!I1975&amp;" PV al día")</f>
        <v>-5 al día</v>
      </c>
      <c r="L12" s="3161"/>
      <c r="M12" s="111"/>
      <c r="N12" s="3163"/>
      <c r="O12" s="3163"/>
      <c r="P12" s="3164"/>
      <c r="Q12" s="3164"/>
      <c r="R12" s="2917"/>
      <c r="S12" s="2919"/>
      <c r="T12" s="2551"/>
      <c r="U12" s="2534"/>
      <c r="V12" s="3177"/>
      <c r="W12" s="3178"/>
      <c r="X12" s="3179"/>
      <c r="Y12" s="3155"/>
      <c r="Z12" s="3155"/>
      <c r="AA12" s="3155"/>
      <c r="AB12" s="3156"/>
      <c r="AC12" s="73"/>
      <c r="AD12" s="3168"/>
      <c r="AE12" s="3168"/>
      <c r="AF12" s="3168"/>
      <c r="AG12" s="3168"/>
      <c r="AH12" s="3168"/>
      <c r="AI12" s="1454" t="str">
        <f t="shared" ref="AI12:AI23" si="2">IF(AD12=0,"",VLOOKUP(AD12,Tabla_HabEsenciales,2,FALSE))</f>
        <v/>
      </c>
      <c r="AJ12" s="84" t="str">
        <f t="shared" ref="AJ12:AJ23" si="3">IF(AD12=0,"",VLOOKUP(AD12,Tabla_HabEsenciales,3,FALSE))</f>
        <v/>
      </c>
      <c r="AK12" s="481">
        <f t="shared" ref="AK12:AK23" si="4">IF(AD12=0,0,VLOOKUP(AD12,Tabla_HabEsenciales,5,FALSE))</f>
        <v>0</v>
      </c>
      <c r="AL12" s="2904"/>
      <c r="AM12" s="199" t="str">
        <f>IF(OR($Y$11="Ánima",$Y$11="Ánima, Elemental",$Y$11="No muerto, Espectro"),"-","CON")</f>
        <v>CON</v>
      </c>
      <c r="AN12" s="654">
        <f t="shared" si="0"/>
        <v>8</v>
      </c>
      <c r="AO12" s="654">
        <f>AN12+Tablas!F458-2*Tablas!F708+Tablas!J1559</f>
        <v>8</v>
      </c>
      <c r="AP12" s="654">
        <f>Bono_IncremTotal</f>
        <v>0</v>
      </c>
      <c r="AQ12" s="654">
        <f t="shared" si="1"/>
        <v>8</v>
      </c>
      <c r="AR12" s="654"/>
    </row>
    <row r="13" spans="1:44" ht="12" customHeight="1" thickBot="1" x14ac:dyDescent="0.25">
      <c r="A13" s="50"/>
      <c r="B13" s="2913"/>
      <c r="C13" s="3139"/>
      <c r="D13" s="76" t="s">
        <v>2231</v>
      </c>
      <c r="E13" s="2774">
        <v>8</v>
      </c>
      <c r="F13" s="82"/>
      <c r="G13" s="79">
        <f t="shared" ref="G13:G18" si="5">MIN(20,MAX(0,AQ13))</f>
        <v>8</v>
      </c>
      <c r="H13" s="2777">
        <f>IF(G13&lt;1,0,VLOOKUP(G13,Tablas!$H$98:$I$117,2))</f>
        <v>10</v>
      </c>
      <c r="I13" s="654"/>
      <c r="J13" s="3058" t="s">
        <v>2232</v>
      </c>
      <c r="K13" s="3058"/>
      <c r="L13" s="86"/>
      <c r="M13" s="111"/>
      <c r="N13" s="3163"/>
      <c r="O13" s="3163"/>
      <c r="P13" s="3164"/>
      <c r="Q13" s="3164"/>
      <c r="R13" s="2917"/>
      <c r="S13" s="2919"/>
      <c r="T13" s="2551"/>
      <c r="U13" s="2534"/>
      <c r="V13" s="3165" t="s">
        <v>2233</v>
      </c>
      <c r="W13" s="3166"/>
      <c r="X13" s="3166"/>
      <c r="Y13" s="1452" t="s">
        <v>2234</v>
      </c>
      <c r="Z13" s="61"/>
      <c r="AA13" s="87" t="s">
        <v>2235</v>
      </c>
      <c r="AB13" s="2544">
        <v>10</v>
      </c>
      <c r="AC13" s="73"/>
      <c r="AD13" s="3160"/>
      <c r="AE13" s="3160"/>
      <c r="AF13" s="3160"/>
      <c r="AG13" s="3160"/>
      <c r="AH13" s="3160"/>
      <c r="AI13" s="1455" t="str">
        <f t="shared" si="2"/>
        <v/>
      </c>
      <c r="AJ13" s="84" t="str">
        <f t="shared" si="3"/>
        <v/>
      </c>
      <c r="AK13" s="481">
        <f t="shared" si="4"/>
        <v>0</v>
      </c>
      <c r="AL13" s="2904"/>
      <c r="AM13" s="199" t="s">
        <v>2231</v>
      </c>
      <c r="AN13" s="654">
        <f t="shared" si="0"/>
        <v>8</v>
      </c>
      <c r="AO13" s="654">
        <f>AN13+Tablas!F459-2*Tablas!F709+Tablas!J1560+IF(Tablas!M3466=0,0,1)+IF(Tablas!M3546=0,0,1)</f>
        <v>8</v>
      </c>
      <c r="AP13" s="654">
        <f>Bono_IncremTotal+IF(ISNUMBER(FIND(D11,PodPsi_IncremHab)),'Tablas psiquica'!$AH$70,FALSE)</f>
        <v>0</v>
      </c>
      <c r="AQ13" s="654">
        <f t="shared" si="1"/>
        <v>8</v>
      </c>
      <c r="AR13" s="654"/>
    </row>
    <row r="14" spans="1:44" ht="12" customHeight="1" thickBot="1" x14ac:dyDescent="0.25">
      <c r="A14" s="50"/>
      <c r="B14" s="2913"/>
      <c r="C14" s="3139"/>
      <c r="D14" s="76" t="s">
        <v>2236</v>
      </c>
      <c r="E14" s="2774">
        <v>8</v>
      </c>
      <c r="F14" s="82"/>
      <c r="G14" s="79">
        <f t="shared" si="5"/>
        <v>8</v>
      </c>
      <c r="H14" s="2777">
        <f>IF(G14&lt;1,0,VLOOKUP(G14,Tablas!$H$98:$I$117,2))</f>
        <v>10</v>
      </c>
      <c r="I14" s="654"/>
      <c r="J14" s="654"/>
      <c r="K14" s="2020"/>
      <c r="L14" s="73"/>
      <c r="M14" s="111"/>
      <c r="N14" s="89"/>
      <c r="O14" s="73"/>
      <c r="P14" s="73"/>
      <c r="Q14" s="2768"/>
      <c r="R14" s="2918"/>
      <c r="S14" s="2919"/>
      <c r="T14" s="2551"/>
      <c r="U14" s="2534"/>
      <c r="V14" s="3169" t="s">
        <v>2237</v>
      </c>
      <c r="W14" s="3170"/>
      <c r="X14" s="3170"/>
      <c r="Y14" s="1453" t="s">
        <v>2234</v>
      </c>
      <c r="Z14" s="92"/>
      <c r="AA14" s="93" t="s">
        <v>2238</v>
      </c>
      <c r="AB14" s="2545">
        <f>IF(TipoDeCriatura="Natural",MAX(Principal!AB13-IF(Raza=0,0,VLOOKUP(Raza,Tablas!$C$6:$U$26,19,FALSE)),0),"-")</f>
        <v>5</v>
      </c>
      <c r="AC14" s="73"/>
      <c r="AD14" s="3160"/>
      <c r="AE14" s="3160"/>
      <c r="AF14" s="3160"/>
      <c r="AG14" s="3160"/>
      <c r="AH14" s="3160"/>
      <c r="AI14" s="1455" t="str">
        <f t="shared" si="2"/>
        <v/>
      </c>
      <c r="AJ14" s="84" t="str">
        <f t="shared" si="3"/>
        <v/>
      </c>
      <c r="AK14" s="481">
        <f t="shared" si="4"/>
        <v>0</v>
      </c>
      <c r="AL14" s="2904"/>
      <c r="AM14" s="199" t="s">
        <v>2236</v>
      </c>
      <c r="AN14" s="654">
        <f t="shared" si="0"/>
        <v>8</v>
      </c>
      <c r="AO14" s="654">
        <f>AN14+Tablas!F460-2*Tablas!F710+Tablas!J1561+IF(Tablas!M3546=0,0,1)</f>
        <v>8</v>
      </c>
      <c r="AP14" s="654">
        <f>Bono_IncremTotal+'Tablas psiquica'!$AH$67</f>
        <v>0</v>
      </c>
      <c r="AQ14" s="654">
        <f t="shared" si="1"/>
        <v>8</v>
      </c>
      <c r="AR14" s="654"/>
    </row>
    <row r="15" spans="1:44" ht="12" customHeight="1" thickBot="1" x14ac:dyDescent="0.25">
      <c r="A15" s="50"/>
      <c r="B15" s="2913"/>
      <c r="C15" s="3139"/>
      <c r="D15" s="76" t="s">
        <v>2239</v>
      </c>
      <c r="E15" s="2774">
        <v>8</v>
      </c>
      <c r="F15" s="82"/>
      <c r="G15" s="79">
        <f t="shared" si="5"/>
        <v>7</v>
      </c>
      <c r="H15" s="2777">
        <f>IF(G15&lt;1,0,VLOOKUP(G15,Tablas!$H$98:$I$117,2))</f>
        <v>5</v>
      </c>
      <c r="I15" s="2915"/>
      <c r="J15" s="3171" t="s">
        <v>2240</v>
      </c>
      <c r="K15" s="3172"/>
      <c r="L15" s="3173"/>
      <c r="M15" s="111"/>
      <c r="N15" s="3028" t="s">
        <v>2241</v>
      </c>
      <c r="O15" s="3028"/>
      <c r="P15" s="3028"/>
      <c r="Q15" s="3028"/>
      <c r="R15" s="2917"/>
      <c r="S15" s="2919"/>
      <c r="T15" s="2551"/>
      <c r="U15" s="2534"/>
      <c r="V15" s="3157" t="str">
        <f>IF(TipoDeCriatura="Natural",IF(AB14=0,"Sin tirada abierta",IF(AB14&gt;14,"Tirada abierta adicional","")),"")&amp;IF(TipoDeCriatura="Natural",IF(AB14&gt;19,", Núcleo trascendental",""),"")</f>
        <v/>
      </c>
      <c r="W15" s="3158"/>
      <c r="X15" s="3158"/>
      <c r="Y15" s="3158"/>
      <c r="Z15" s="3158"/>
      <c r="AA15" s="3158"/>
      <c r="AB15" s="3159"/>
      <c r="AC15" s="23"/>
      <c r="AD15" s="3160"/>
      <c r="AE15" s="3160"/>
      <c r="AF15" s="3160"/>
      <c r="AG15" s="3160"/>
      <c r="AH15" s="3160"/>
      <c r="AI15" s="1455" t="str">
        <f t="shared" si="2"/>
        <v/>
      </c>
      <c r="AJ15" s="84" t="str">
        <f t="shared" si="3"/>
        <v/>
      </c>
      <c r="AK15" s="481">
        <f t="shared" si="4"/>
        <v>0</v>
      </c>
      <c r="AL15" s="2904"/>
      <c r="AM15" s="199" t="s">
        <v>2239</v>
      </c>
      <c r="AN15" s="654">
        <f t="shared" si="0"/>
        <v>7</v>
      </c>
      <c r="AO15" s="654">
        <f>AN15+Tablas!F461-2*Tablas!F711+Tablas!J1562+IF(Tablas!M3479=0,0,1)+IF(Tablas!M3535=0,0,COUNTIF('Elan y Personalización'!B21:B25,"+1 INT"))</f>
        <v>7</v>
      </c>
      <c r="AP15" s="654"/>
      <c r="AQ15" s="654">
        <f t="shared" si="1"/>
        <v>7</v>
      </c>
      <c r="AR15" s="654"/>
    </row>
    <row r="16" spans="1:44" ht="12" customHeight="1" thickBot="1" x14ac:dyDescent="0.25">
      <c r="A16" s="50"/>
      <c r="B16" s="2913"/>
      <c r="C16" s="3139"/>
      <c r="D16" s="76" t="s">
        <v>2242</v>
      </c>
      <c r="E16" s="2774">
        <v>8</v>
      </c>
      <c r="F16" s="82"/>
      <c r="G16" s="79">
        <f t="shared" si="5"/>
        <v>8</v>
      </c>
      <c r="H16" s="2777">
        <f>IF(G16&lt;1,0,VLOOKUP(G16,Tablas!$H$98:$I$117,2))</f>
        <v>10</v>
      </c>
      <c r="I16" s="233"/>
      <c r="J16" s="3180">
        <f>MIN(20,IF(OR(MovimientodeVacío,Zen),AQ20,IF(Inhumanidad,MIN(13,AQ20),MIN(10,AQ20))))</f>
        <v>8</v>
      </c>
      <c r="K16" s="2060" t="s">
        <v>2243</v>
      </c>
      <c r="L16" s="2787">
        <f>MAX(Combate!E16-TRUNC(IF((H25-Combate!H16)/50&lt;0,0,(H25-Combate!H16)/50),0),0)+IF(AND(General!AJ32&gt;IF(G14=0,0,VLOOKUP(G14,Tabla_Fuerza,3)),General!AJ32&lt;IF(G14=0,0,VLOOKUP(G14,Tabla_Fuerza,4))),2,0)+IF(General!AJ32&gt;IF(G14=0,0,VLOOKUP(G14,Tabla_Fuerza,4)),5,0)</f>
        <v>0</v>
      </c>
      <c r="M16" s="111"/>
      <c r="N16" s="3181">
        <f>IF(OR(Tablas!G1613&gt;0,Tablas!G1620&gt;0,Y11="Ánima",Y11="Ánima, Elemental",Y11="No muerto, Espectro",Tablas!M3567=1),0,G12+O18+IF(Raza=0,0,VLOOKUP(Raza,Tablas!$C$6:$T$26,18,FALSE))+3*Tablas!F547+6*Tablas!F548+9*Tablas!F549-Tablas!F741+2*Tablas!G1546)</f>
        <v>8</v>
      </c>
      <c r="O16" s="3181"/>
      <c r="P16" s="3164"/>
      <c r="Q16" s="3164"/>
      <c r="R16" s="2917"/>
      <c r="S16" s="2919"/>
      <c r="T16" s="2551"/>
      <c r="U16" s="2534"/>
      <c r="V16" s="319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5"/>
      <c r="X16" s="3195"/>
      <c r="Y16" s="3195"/>
      <c r="Z16" s="3195"/>
      <c r="AA16" s="3195"/>
      <c r="AB16" s="3196"/>
      <c r="AC16" s="73"/>
      <c r="AD16" s="3160"/>
      <c r="AE16" s="3160"/>
      <c r="AF16" s="3160"/>
      <c r="AG16" s="3160"/>
      <c r="AH16" s="3160"/>
      <c r="AI16" s="1455" t="str">
        <f t="shared" si="2"/>
        <v/>
      </c>
      <c r="AJ16" s="84" t="str">
        <f t="shared" si="3"/>
        <v/>
      </c>
      <c r="AK16" s="481">
        <f t="shared" si="4"/>
        <v>0</v>
      </c>
      <c r="AL16" s="2904"/>
      <c r="AM16" s="199" t="s">
        <v>2242</v>
      </c>
      <c r="AN16" s="654">
        <f t="shared" si="0"/>
        <v>8</v>
      </c>
      <c r="AO16" s="654">
        <f>AN16+Tablas!F462-2*Tablas!F712+Tablas!J1563</f>
        <v>8</v>
      </c>
      <c r="AP16" s="654">
        <f>'Tablas psiquica'!$AH$72</f>
        <v>0</v>
      </c>
      <c r="AQ16" s="654">
        <f t="shared" si="1"/>
        <v>8</v>
      </c>
      <c r="AR16" s="654"/>
    </row>
    <row r="17" spans="1:44" ht="12" customHeight="1" thickBot="1" x14ac:dyDescent="0.25">
      <c r="A17" s="50"/>
      <c r="B17" s="2673"/>
      <c r="C17" s="3139"/>
      <c r="D17" s="76" t="s">
        <v>2244</v>
      </c>
      <c r="E17" s="2774">
        <v>8</v>
      </c>
      <c r="F17" s="82"/>
      <c r="G17" s="79">
        <f t="shared" si="5"/>
        <v>8</v>
      </c>
      <c r="H17" s="2777">
        <f>IF(G17&lt;1,0,VLOOKUP(G17,Tablas!$H$98:$I$117,2))</f>
        <v>10</v>
      </c>
      <c r="I17" s="233"/>
      <c r="J17" s="3180"/>
      <c r="K17" s="3200" t="str">
        <f>IF(J16&lt;1,"",VLOOKUP(J16,TablaTipoMovimiento,2))</f>
        <v>28 m / asalto</v>
      </c>
      <c r="L17" s="3201"/>
      <c r="M17" s="124"/>
      <c r="N17" s="3181"/>
      <c r="O17" s="3181"/>
      <c r="P17" s="3164"/>
      <c r="Q17" s="3164"/>
      <c r="R17" s="2917"/>
      <c r="S17" s="2919"/>
      <c r="T17" s="2551"/>
      <c r="U17" s="2534"/>
      <c r="V17" s="3194"/>
      <c r="W17" s="3195"/>
      <c r="X17" s="3195"/>
      <c r="Y17" s="3195"/>
      <c r="Z17" s="3195"/>
      <c r="AA17" s="3195"/>
      <c r="AB17" s="3196"/>
      <c r="AC17" s="73"/>
      <c r="AD17" s="3160"/>
      <c r="AE17" s="3160"/>
      <c r="AF17" s="3160"/>
      <c r="AG17" s="3160"/>
      <c r="AH17" s="3160"/>
      <c r="AI17" s="1455" t="str">
        <f t="shared" si="2"/>
        <v/>
      </c>
      <c r="AJ17" s="84" t="str">
        <f t="shared" si="3"/>
        <v/>
      </c>
      <c r="AK17" s="481">
        <f t="shared" si="4"/>
        <v>0</v>
      </c>
      <c r="AL17" s="2904"/>
      <c r="AM17" s="199" t="s">
        <v>2244</v>
      </c>
      <c r="AN17" s="654">
        <f t="shared" si="0"/>
        <v>8</v>
      </c>
      <c r="AO17" s="654">
        <f>AN17+IF(Sheele!F5="No","0",-1)+Tablas!F463-2*Tablas!F713+Tablas!J1564+IF(Tablas!M3466=0,0,1)+IF(Tablas!M3479=0,0,1)+IF(AND(Tablas!M3530=1,'Elan y Personalización'!B13="+2 POD"),2,0)+IF(Tablas!M3535=0,0,COUNTIF('Elan y Personalización'!$B$21:$B$25,"+1 POD"))</f>
        <v>8</v>
      </c>
      <c r="AP17" s="654"/>
      <c r="AQ17" s="654">
        <f t="shared" si="1"/>
        <v>8</v>
      </c>
      <c r="AR17" s="654"/>
    </row>
    <row r="18" spans="1:44" ht="12" customHeight="1" thickBot="1" x14ac:dyDescent="0.25">
      <c r="A18" s="50"/>
      <c r="B18" s="1679"/>
      <c r="C18" s="3139"/>
      <c r="D18" s="95" t="s">
        <v>2245</v>
      </c>
      <c r="E18" s="2775">
        <v>8</v>
      </c>
      <c r="F18" s="97"/>
      <c r="G18" s="98">
        <f t="shared" si="5"/>
        <v>8</v>
      </c>
      <c r="H18" s="2766">
        <f>IF(G18&lt;1,0,VLOOKUP(G18,Tablas!$H$98:$I$117,2))</f>
        <v>10</v>
      </c>
      <c r="I18" s="111"/>
      <c r="J18" s="3147" t="s">
        <v>2232</v>
      </c>
      <c r="K18" s="3148"/>
      <c r="L18" s="2788"/>
      <c r="M18" s="233"/>
      <c r="N18" s="2763" t="s">
        <v>2232</v>
      </c>
      <c r="O18" s="101"/>
      <c r="P18" s="3164"/>
      <c r="Q18" s="3164"/>
      <c r="R18" s="2917"/>
      <c r="S18" s="2919"/>
      <c r="T18" s="2551"/>
      <c r="U18" s="2534"/>
      <c r="V18" s="3197"/>
      <c r="W18" s="3198"/>
      <c r="X18" s="3198"/>
      <c r="Y18" s="3198"/>
      <c r="Z18" s="3198"/>
      <c r="AA18" s="3198"/>
      <c r="AB18" s="3199"/>
      <c r="AC18" s="73"/>
      <c r="AD18" s="3160"/>
      <c r="AE18" s="3160"/>
      <c r="AF18" s="3160"/>
      <c r="AG18" s="3160"/>
      <c r="AH18" s="3160"/>
      <c r="AI18" s="1455" t="str">
        <f t="shared" si="2"/>
        <v/>
      </c>
      <c r="AJ18" s="84" t="str">
        <f t="shared" si="3"/>
        <v/>
      </c>
      <c r="AK18" s="481">
        <f t="shared" si="4"/>
        <v>0</v>
      </c>
      <c r="AL18" s="2904"/>
      <c r="AM18" s="199" t="s">
        <v>2245</v>
      </c>
      <c r="AN18" s="654">
        <f t="shared" si="0"/>
        <v>8</v>
      </c>
      <c r="AO18" s="654">
        <f>AN18+Tablas!F464-2*Tablas!F714+Tablas!J1565+IF(Tablas!M3466=0,0,1)+IF(Tablas!M3479=0,0,1)+IF(AND(Tablas!M3530=1,'Elan y Personalización'!B13="+2 VOL"),2,0)+IF(Tablas!M3535=0,0,COUNTIF('Elan y Personalización'!$B$21:$B$25,"+1 VOL"))</f>
        <v>8</v>
      </c>
      <c r="AP18" s="654"/>
      <c r="AQ18" s="654">
        <f t="shared" si="1"/>
        <v>8</v>
      </c>
      <c r="AR18" s="654"/>
    </row>
    <row r="19" spans="1:44" ht="12" customHeight="1" thickBot="1" x14ac:dyDescent="0.25">
      <c r="A19" s="50"/>
      <c r="B19" s="2911"/>
      <c r="C19" s="3125"/>
      <c r="D19" s="3125"/>
      <c r="E19" s="3125"/>
      <c r="F19" s="3125"/>
      <c r="G19" s="3125"/>
      <c r="H19" s="2815" t="str">
        <f>IF(Combate!AB15=0,"",TRUNC(Combate!AB15/20,0))</f>
        <v/>
      </c>
      <c r="I19" s="2786"/>
      <c r="K19" s="2019"/>
      <c r="L19" s="73"/>
      <c r="M19" s="200"/>
      <c r="N19" s="1762"/>
      <c r="O19" s="1762"/>
      <c r="P19" s="1762"/>
      <c r="Q19" s="1762"/>
      <c r="R19" s="2027"/>
      <c r="S19" s="2919"/>
      <c r="T19" s="2551"/>
      <c r="U19" s="2534"/>
      <c r="V19" s="73"/>
      <c r="W19" s="73"/>
      <c r="X19" s="73"/>
      <c r="Y19" s="73"/>
      <c r="Z19" s="73"/>
      <c r="AA19" s="73"/>
      <c r="AB19" s="73"/>
      <c r="AC19" s="73"/>
      <c r="AD19" s="3160"/>
      <c r="AE19" s="3160"/>
      <c r="AF19" s="3160"/>
      <c r="AG19" s="3160"/>
      <c r="AH19" s="3160"/>
      <c r="AI19" s="1455" t="str">
        <f t="shared" si="2"/>
        <v/>
      </c>
      <c r="AJ19" s="84" t="str">
        <f t="shared" si="3"/>
        <v/>
      </c>
      <c r="AK19" s="481">
        <f t="shared" si="4"/>
        <v>0</v>
      </c>
      <c r="AL19" s="2904"/>
      <c r="AM19" s="199" t="s">
        <v>9921</v>
      </c>
      <c r="AN19" s="654">
        <f>L13+IF(NOT(ISNA(Tablas!I1961)),Tablas!I1961,IF(G12=0,0,VLOOKUP(G12,Tabla_Regen,2))+HLOOKUP("Regeneración",Bonos_Raza_Base,2,FALSE))</f>
        <v>3</v>
      </c>
      <c r="AO19" s="654">
        <f>AN19+Tablas!F483*2+Tablas!F484*4+Tablas!F485*6+Tablas!O539</f>
        <v>3</v>
      </c>
      <c r="AP19" s="654">
        <f>'Tablas psiquica'!AH74</f>
        <v>0</v>
      </c>
      <c r="AQ19" s="654">
        <f>IF(AO19+AP19&gt;18,MAX(18,AO19),AO19+AP19)</f>
        <v>3</v>
      </c>
      <c r="AR19" s="654"/>
    </row>
    <row r="20" spans="1:44" ht="12" customHeight="1" thickBot="1" x14ac:dyDescent="0.25">
      <c r="A20" s="50"/>
      <c r="B20" s="2911"/>
      <c r="C20" s="3028" t="s">
        <v>2246</v>
      </c>
      <c r="D20" s="3028"/>
      <c r="E20" s="73"/>
      <c r="F20" s="3136" t="s">
        <v>2247</v>
      </c>
      <c r="G20" s="3137"/>
      <c r="H20" s="3137"/>
      <c r="I20" s="3137"/>
      <c r="J20" s="3138"/>
      <c r="K20" s="2019"/>
      <c r="L20" s="3136" t="s">
        <v>2248</v>
      </c>
      <c r="M20" s="3137"/>
      <c r="N20" s="3137"/>
      <c r="O20" s="3137"/>
      <c r="P20" s="3137"/>
      <c r="Q20" s="3138"/>
      <c r="R20" s="2027"/>
      <c r="S20" s="2919"/>
      <c r="T20" s="2551"/>
      <c r="U20" s="2534"/>
      <c r="V20" s="3028" t="s">
        <v>2249</v>
      </c>
      <c r="W20" s="3028"/>
      <c r="X20" s="3028"/>
      <c r="Y20" s="3028"/>
      <c r="Z20" s="3028"/>
      <c r="AA20" s="3028"/>
      <c r="AB20" s="3028"/>
      <c r="AC20" s="73"/>
      <c r="AD20" s="3160"/>
      <c r="AE20" s="3160"/>
      <c r="AF20" s="3160"/>
      <c r="AG20" s="3160"/>
      <c r="AH20" s="3160"/>
      <c r="AI20" s="1455" t="str">
        <f t="shared" si="2"/>
        <v/>
      </c>
      <c r="AJ20" s="84" t="str">
        <f t="shared" si="3"/>
        <v/>
      </c>
      <c r="AK20" s="481">
        <f t="shared" si="4"/>
        <v>0</v>
      </c>
      <c r="AL20" s="2904"/>
      <c r="AM20" s="555" t="s">
        <v>9922</v>
      </c>
      <c r="AN20" s="654">
        <f>IF(MovimientodeVacío,MAX(POD,AR11),AR11)+L18-L16</f>
        <v>8</v>
      </c>
      <c r="AO20" s="654">
        <f>AN20+Tablas!H1916</f>
        <v>8</v>
      </c>
      <c r="AP20" s="233">
        <f>'Tablas psiquica'!AH69</f>
        <v>0</v>
      </c>
      <c r="AQ20" s="654">
        <f>IF(AO20&lt;10,MIN(10,AP20+AO20)+TRUNC(MAX(0,(AP20+AO20-10)/2,0)),AO20+TRUNC(AP20/2,0))</f>
        <v>8</v>
      </c>
      <c r="AR20" s="239"/>
    </row>
    <row r="21" spans="1:44" ht="12" customHeight="1" thickBot="1" x14ac:dyDescent="0.25">
      <c r="A21" s="50"/>
      <c r="B21" s="2911"/>
      <c r="C21" s="102" t="s">
        <v>2218</v>
      </c>
      <c r="D21" s="103">
        <f>IF(Raza="Criatura",VLOOKUP(Tamaño,Tabla_CreaciónSeres,3),20)</f>
        <v>20</v>
      </c>
      <c r="E21" s="73"/>
      <c r="F21" s="3127" t="s">
        <v>2250</v>
      </c>
      <c r="G21" s="3128"/>
      <c r="H21" s="3129">
        <f>HA_final</f>
        <v>10</v>
      </c>
      <c r="I21" s="3140" t="s">
        <v>2251</v>
      </c>
      <c r="J21" s="3141"/>
      <c r="K21" s="2019"/>
      <c r="L21" s="2776" t="s">
        <v>2252</v>
      </c>
      <c r="M21" s="3134" t="s">
        <v>2228</v>
      </c>
      <c r="N21" s="3134"/>
      <c r="O21" s="3192" t="s">
        <v>2253</v>
      </c>
      <c r="P21" s="3192"/>
      <c r="Q21" s="1763" t="s">
        <v>2202</v>
      </c>
      <c r="R21" s="2027"/>
      <c r="S21" s="2919"/>
      <c r="T21" s="2551"/>
      <c r="U21" s="2534"/>
      <c r="V21" s="3045" t="s">
        <v>2254</v>
      </c>
      <c r="W21" s="3045"/>
      <c r="X21" s="3045"/>
      <c r="Y21" s="3193" t="s">
        <v>2255</v>
      </c>
      <c r="Z21" s="3193"/>
      <c r="AA21" s="106" t="s">
        <v>2256</v>
      </c>
      <c r="AB21" s="30" t="s">
        <v>2230</v>
      </c>
      <c r="AC21" s="73"/>
      <c r="AD21" s="3160"/>
      <c r="AE21" s="3160"/>
      <c r="AF21" s="3160"/>
      <c r="AG21" s="3160"/>
      <c r="AH21" s="3160"/>
      <c r="AI21" s="1455" t="str">
        <f t="shared" si="2"/>
        <v/>
      </c>
      <c r="AJ21" s="84" t="str">
        <f t="shared" si="3"/>
        <v/>
      </c>
      <c r="AK21" s="481">
        <f t="shared" si="4"/>
        <v>0</v>
      </c>
      <c r="AL21" s="2904"/>
      <c r="AM21" s="555"/>
      <c r="AN21" s="654"/>
      <c r="AO21" s="23"/>
      <c r="AP21" s="23"/>
      <c r="AQ21" s="654"/>
    </row>
    <row r="22" spans="1:44" ht="12" customHeight="1" x14ac:dyDescent="0.2">
      <c r="A22" s="50"/>
      <c r="B22" s="2911"/>
      <c r="C22" s="107" t="s">
        <v>2226</v>
      </c>
      <c r="D22" s="2777">
        <f>AGI</f>
        <v>8</v>
      </c>
      <c r="E22" s="73"/>
      <c r="F22" s="3127"/>
      <c r="G22" s="3128"/>
      <c r="H22" s="3129"/>
      <c r="I22" s="3142" t="str">
        <f>IF(Combate!AB15=0,"",Combate!AB15)</f>
        <v/>
      </c>
      <c r="J22" s="3143"/>
      <c r="K22" s="2019"/>
      <c r="L22" s="3203" t="s">
        <v>2257</v>
      </c>
      <c r="M22" s="3135" t="s">
        <v>2258</v>
      </c>
      <c r="N22" s="3135"/>
      <c r="O22" s="3133">
        <f>Combate!$R$17</f>
        <v>-35</v>
      </c>
      <c r="P22" s="3133"/>
      <c r="Q22" s="1764">
        <f>IF(Acrobacias_final="-","-",Acrobacias_final+O22)</f>
        <v>-55</v>
      </c>
      <c r="R22" s="2027"/>
      <c r="S22" s="2919"/>
      <c r="T22" s="2551"/>
      <c r="U22" s="2534"/>
      <c r="V22" s="3182" t="s">
        <v>2259</v>
      </c>
      <c r="W22" s="3182"/>
      <c r="X22" s="3183"/>
      <c r="Y22" s="3190" t="str">
        <f>IF(AA22=0,"",Raza)</f>
        <v>Turak</v>
      </c>
      <c r="Z22" s="3191"/>
      <c r="AA22" s="2542">
        <f>IF(Raza=0,0,VLOOKUP(Raza,Tablas!$C$6:$I$26,7,FALSE))</f>
        <v>1</v>
      </c>
      <c r="AB22" s="108">
        <v>0</v>
      </c>
      <c r="AC22" s="73"/>
      <c r="AD22" s="3160"/>
      <c r="AE22" s="3160"/>
      <c r="AF22" s="3160"/>
      <c r="AG22" s="3160"/>
      <c r="AH22" s="3160"/>
      <c r="AI22" s="1455" t="str">
        <f t="shared" si="2"/>
        <v/>
      </c>
      <c r="AJ22" s="84" t="str">
        <f t="shared" si="3"/>
        <v/>
      </c>
      <c r="AK22" s="481">
        <f t="shared" si="4"/>
        <v>0</v>
      </c>
      <c r="AL22" s="2904"/>
      <c r="AM22" s="555"/>
      <c r="AN22" s="23"/>
      <c r="AO22" s="23"/>
      <c r="AP22" s="23"/>
    </row>
    <row r="23" spans="1:44" ht="12" customHeight="1" x14ac:dyDescent="0.2">
      <c r="A23" s="50"/>
      <c r="B23" s="2911"/>
      <c r="C23" s="107" t="s">
        <v>2231</v>
      </c>
      <c r="D23" s="2777">
        <f>DES</f>
        <v>8</v>
      </c>
      <c r="E23" s="73"/>
      <c r="F23" s="3130" t="str">
        <f>IF(HP_final&gt;HE_final,"H. Parada:","H. Esquiva:")</f>
        <v>H. Esquiva:</v>
      </c>
      <c r="G23" s="3131"/>
      <c r="H23" s="3132">
        <f>MAX(HP_final,HE_final)</f>
        <v>10</v>
      </c>
      <c r="I23" s="3142"/>
      <c r="J23" s="3143"/>
      <c r="K23" s="2019"/>
      <c r="L23" s="3204"/>
      <c r="M23" s="3103" t="s">
        <v>2260</v>
      </c>
      <c r="N23" s="3103"/>
      <c r="O23" s="3105">
        <f>Combate!$R$17</f>
        <v>-35</v>
      </c>
      <c r="P23" s="3105"/>
      <c r="Q23" s="1765">
        <f>IF(Atletismo_final="-","-",Atletismo_final+O23)</f>
        <v>-55</v>
      </c>
      <c r="R23" s="2027"/>
      <c r="S23" s="2919"/>
      <c r="T23" s="2551"/>
      <c r="U23" s="2534"/>
      <c r="V23" s="3182" t="s">
        <v>2261</v>
      </c>
      <c r="W23" s="3182"/>
      <c r="X23" s="3183"/>
      <c r="Y23" s="3208" t="s">
        <v>2230</v>
      </c>
      <c r="Z23" s="3209"/>
      <c r="AA23" s="2542">
        <v>0</v>
      </c>
      <c r="AB23" s="108">
        <f>IF(Y23="PDs",VLOOKUP(Principal!$AB$13,Tablas!B1175:C1185,2),0)</f>
        <v>0</v>
      </c>
      <c r="AC23" s="73"/>
      <c r="AD23" s="3213"/>
      <c r="AE23" s="3213"/>
      <c r="AF23" s="3213"/>
      <c r="AG23" s="3213"/>
      <c r="AH23" s="3213"/>
      <c r="AI23" s="1456" t="str">
        <f t="shared" si="2"/>
        <v/>
      </c>
      <c r="AJ23" s="110" t="str">
        <f t="shared" si="3"/>
        <v/>
      </c>
      <c r="AK23" s="481">
        <f t="shared" si="4"/>
        <v>0</v>
      </c>
      <c r="AL23" s="2904"/>
      <c r="AM23" s="555"/>
      <c r="AN23" s="23"/>
      <c r="AO23" s="23"/>
      <c r="AP23" s="23"/>
    </row>
    <row r="24" spans="1:44" ht="12" customHeight="1" x14ac:dyDescent="0.2">
      <c r="A24" s="50"/>
      <c r="B24" s="2911"/>
      <c r="C24" s="107" t="s">
        <v>2262</v>
      </c>
      <c r="D24" s="2777">
        <f>HLOOKUP("Turno",Bonos_Cat_Base,2,FALSE)</f>
        <v>5</v>
      </c>
      <c r="E24" s="73"/>
      <c r="F24" s="3130"/>
      <c r="G24" s="3131"/>
      <c r="H24" s="3132"/>
      <c r="I24" s="3142"/>
      <c r="J24" s="3143"/>
      <c r="K24" s="2019"/>
      <c r="L24" s="3204"/>
      <c r="M24" s="3103" t="s">
        <v>2263</v>
      </c>
      <c r="N24" s="3103"/>
      <c r="O24" s="3105"/>
      <c r="P24" s="3105"/>
      <c r="Q24" s="1765">
        <f>IF(Montar_final="-","-",Montar_final+O24)</f>
        <v>-20</v>
      </c>
      <c r="R24" s="2027"/>
      <c r="S24" s="2919"/>
      <c r="T24" s="2551"/>
      <c r="U24" s="2533"/>
      <c r="V24" s="3182" t="s">
        <v>2264</v>
      </c>
      <c r="W24" s="3182"/>
      <c r="X24" s="3183"/>
      <c r="Y24" s="3188" t="s">
        <v>3090</v>
      </c>
      <c r="Z24" s="3189"/>
      <c r="AA24" s="2542">
        <f>IF(Principal!Y24="No",0,IF(SUM(Tablas!O534:O559)&gt;0,1,0))</f>
        <v>1</v>
      </c>
      <c r="AB24" s="84">
        <f>40*Tablas!O546+80*Tablas!O547+120*Tablas!O548</f>
        <v>80</v>
      </c>
      <c r="AC24" s="111"/>
      <c r="AD24" s="321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10"/>
      <c r="AF24" s="3210"/>
      <c r="AG24" s="3210"/>
      <c r="AH24" s="3210"/>
      <c r="AI24" s="3210"/>
      <c r="AJ24" s="3210"/>
      <c r="AK24" s="2906"/>
      <c r="AL24" s="2904"/>
      <c r="AM24" s="555"/>
      <c r="AN24" s="23"/>
      <c r="AO24" s="23"/>
      <c r="AP24" s="23"/>
    </row>
    <row r="25" spans="1:44" ht="12" customHeight="1" x14ac:dyDescent="0.2">
      <c r="A25" s="50"/>
      <c r="B25" s="2911"/>
      <c r="C25" s="107" t="s">
        <v>2265</v>
      </c>
      <c r="D25" s="2777">
        <f>Combate!R17</f>
        <v>-35</v>
      </c>
      <c r="E25" s="73"/>
      <c r="F25" s="3144" t="s">
        <v>2266</v>
      </c>
      <c r="G25" s="3145"/>
      <c r="H25" s="3146">
        <f>LlevarArmadura_final</f>
        <v>10</v>
      </c>
      <c r="I25" s="3142"/>
      <c r="J25" s="3143"/>
      <c r="K25" s="2019"/>
      <c r="L25" s="3204"/>
      <c r="M25" s="3103" t="s">
        <v>2267</v>
      </c>
      <c r="N25" s="3103"/>
      <c r="O25" s="3105">
        <f>Combate!$H$17+MAX(MIN(-20*IF(OR(Combate!C12=0,Combate!B12="Natural"),0,1)-20*IF(OR(Combate!C13=0,Combate!B13="Natural"),0,1)-20*IF(OR(Combate!C14=0,Combate!B14="Natural"),0,1)+20,0),-40)</f>
        <v>-35</v>
      </c>
      <c r="P25" s="3105"/>
      <c r="Q25" s="1765">
        <f>IF(Nadar_final="-","-",Nadar_final+O25)</f>
        <v>-55</v>
      </c>
      <c r="R25" s="2027"/>
      <c r="S25" s="2919"/>
      <c r="T25" s="2551"/>
      <c r="U25" s="2533"/>
      <c r="V25" s="3211" t="s">
        <v>2268</v>
      </c>
      <c r="W25" s="3211"/>
      <c r="X25" s="3212"/>
      <c r="Y25" s="3188"/>
      <c r="Z25" s="3189"/>
      <c r="AA25" s="2543">
        <f>IF(Y25="Si",1,0)</f>
        <v>0</v>
      </c>
      <c r="AB25" s="113">
        <v>0</v>
      </c>
      <c r="AC25" s="111"/>
      <c r="AD25" s="3210"/>
      <c r="AE25" s="3210"/>
      <c r="AF25" s="3210"/>
      <c r="AG25" s="3210"/>
      <c r="AH25" s="3210"/>
      <c r="AI25" s="3210"/>
      <c r="AJ25" s="3210"/>
      <c r="AK25" s="2906"/>
      <c r="AL25" s="2904"/>
      <c r="AM25" s="555"/>
      <c r="AN25" s="23"/>
      <c r="AO25" s="23"/>
      <c r="AP25" s="23"/>
    </row>
    <row r="26" spans="1:44" ht="12" customHeight="1" x14ac:dyDescent="0.2">
      <c r="A26" s="50"/>
      <c r="B26" s="2911"/>
      <c r="C26" s="107" t="s">
        <v>2269</v>
      </c>
      <c r="D26" s="2777">
        <f>20+Tablas!I1788</f>
        <v>20</v>
      </c>
      <c r="E26" s="73"/>
      <c r="F26" s="3144"/>
      <c r="G26" s="3145"/>
      <c r="H26" s="3146"/>
      <c r="I26" s="3142"/>
      <c r="J26" s="3143"/>
      <c r="K26" s="2019"/>
      <c r="L26" s="3204"/>
      <c r="M26" s="3103" t="s">
        <v>2270</v>
      </c>
      <c r="N26" s="3103"/>
      <c r="O26" s="3105">
        <f>Combate!$R$17</f>
        <v>-35</v>
      </c>
      <c r="P26" s="3105"/>
      <c r="Q26" s="1765">
        <f>IF(Trepar_final="-","-",Trepar_final+O26)</f>
        <v>-55</v>
      </c>
      <c r="R26" s="2027"/>
      <c r="S26" s="2919"/>
      <c r="T26" s="2551"/>
      <c r="U26" s="2533"/>
      <c r="V26" s="3184" t="s">
        <v>2271</v>
      </c>
      <c r="W26" s="3184"/>
      <c r="X26" s="3185"/>
      <c r="Y26" s="3186"/>
      <c r="Z26" s="3187"/>
      <c r="AA26" s="116">
        <f>ROUNDUP((Principal!$AB$26)/100,0)</f>
        <v>0</v>
      </c>
      <c r="AB26" s="2281"/>
      <c r="AC26" s="73"/>
      <c r="AD26" s="3210"/>
      <c r="AE26" s="3210"/>
      <c r="AF26" s="3210"/>
      <c r="AG26" s="3210"/>
      <c r="AH26" s="3210"/>
      <c r="AI26" s="3210"/>
      <c r="AJ26" s="3210"/>
      <c r="AK26" s="2906"/>
      <c r="AL26" s="2904"/>
      <c r="AM26" s="555"/>
      <c r="AN26" s="23"/>
      <c r="AO26" s="23"/>
      <c r="AP26" s="23"/>
    </row>
    <row r="27" spans="1:44" ht="12" customHeight="1" thickBot="1" x14ac:dyDescent="0.25">
      <c r="A27" s="50"/>
      <c r="B27" s="2911"/>
      <c r="C27" s="114" t="s">
        <v>2272</v>
      </c>
      <c r="D27" s="115"/>
      <c r="E27" s="73"/>
      <c r="F27" s="3114" t="str">
        <f>IF(Tablas!F734&gt;0,"Arma exclusiva:","Arma desarrollada:")</f>
        <v>Arma desarrollada:</v>
      </c>
      <c r="G27" s="3115"/>
      <c r="H27" s="3115"/>
      <c r="I27" s="3116"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17"/>
      <c r="K27" s="2019"/>
      <c r="L27" s="3204"/>
      <c r="M27" s="3103" t="s">
        <v>2273</v>
      </c>
      <c r="N27" s="3103"/>
      <c r="O27" s="3105">
        <f>Combate!$R$17</f>
        <v>-35</v>
      </c>
      <c r="P27" s="3105"/>
      <c r="Q27" s="1765">
        <f>IF(Saltar_final="-","-",Saltar_final+O27)</f>
        <v>-55</v>
      </c>
      <c r="R27" s="2027"/>
      <c r="S27" s="2919"/>
      <c r="T27" s="2551"/>
      <c r="U27" s="2533"/>
      <c r="V27" s="3215" t="s">
        <v>2274</v>
      </c>
      <c r="W27" s="3215"/>
      <c r="X27" s="3215"/>
      <c r="Y27" s="3215"/>
      <c r="Z27" s="3215"/>
      <c r="AA27" s="117">
        <f>SUM(AA22:AA26)</f>
        <v>2</v>
      </c>
      <c r="AB27" s="118">
        <f>SUM(AB22:AB26)+50*Tablas!F560+100*Tablas!F561+150*Tablas!F562</f>
        <v>80</v>
      </c>
      <c r="AC27" s="73"/>
      <c r="AD27" s="119"/>
      <c r="AE27" s="3219" t="s">
        <v>2275</v>
      </c>
      <c r="AF27" s="3219"/>
      <c r="AG27" s="3219"/>
      <c r="AH27" s="3219"/>
      <c r="AI27" s="3219"/>
      <c r="AJ27" s="1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06"/>
      <c r="AL27" s="2904"/>
      <c r="AM27" s="555"/>
      <c r="AN27" s="23"/>
      <c r="AO27" s="23"/>
      <c r="AP27" s="23"/>
    </row>
    <row r="28" spans="1:44" ht="12" customHeight="1" thickBot="1" x14ac:dyDescent="0.25">
      <c r="A28" s="50"/>
      <c r="B28" s="2911"/>
      <c r="C28" s="3220" t="s">
        <v>2202</v>
      </c>
      <c r="D28" s="3221">
        <f>SUM(D21:D27)+25*Tablas!F523+45*Tablas!F524+60*Tablas!F525-30*Tablas!F735-50*Tablas!F736+IF(Ki!P40="-",10,0)+IF(Combate!$AB$15&lt;0,TRUNC(Combate!$AB$15/2,0),0)+IF(Raza="Nephilim Turak",-10)+IF(Raza="Turak",-20)+IF('Tablas psiquica'!$AF$71&gt;0,'Tablas psiquica'!$AF$71*INDEX('Tablas psiquica'!$V$71:$AE$71,MATCH('Tablas psiquica'!$AG$71,'Tablas psiquica'!$V$6:$AE$6,0)),0)</f>
        <v>6</v>
      </c>
      <c r="E28" s="73"/>
      <c r="F28" s="3222" t="s">
        <v>3113</v>
      </c>
      <c r="G28" s="3223"/>
      <c r="H28" s="3223"/>
      <c r="I28" s="3116"/>
      <c r="J28" s="3117"/>
      <c r="K28" s="2021"/>
      <c r="L28" s="3205"/>
      <c r="M28" s="3106" t="s">
        <v>8782</v>
      </c>
      <c r="N28" s="3106"/>
      <c r="O28" s="3104"/>
      <c r="P28" s="3104"/>
      <c r="Q28" s="1766">
        <f>IF(Pilotar_final="-","-",Pilotar_final+O28)</f>
        <v>-20</v>
      </c>
      <c r="R28" s="2027"/>
      <c r="S28" s="2919"/>
      <c r="T28" s="2551"/>
      <c r="U28" s="2533"/>
      <c r="V28" s="73"/>
      <c r="W28" s="122"/>
      <c r="X28" s="122"/>
      <c r="Y28" s="122"/>
      <c r="Z28" s="122"/>
      <c r="AA28" s="122"/>
      <c r="AB28" s="122"/>
      <c r="AC28" s="122"/>
      <c r="AD28" s="122"/>
      <c r="AE28" s="122"/>
      <c r="AF28" s="73"/>
      <c r="AG28" s="73"/>
      <c r="AH28" s="73"/>
      <c r="AI28" s="73"/>
      <c r="AJ28" s="73"/>
      <c r="AK28" s="2906"/>
      <c r="AL28" s="2904"/>
      <c r="AM28" s="555"/>
      <c r="AN28" s="23"/>
      <c r="AO28" s="23"/>
      <c r="AP28" s="23"/>
    </row>
    <row r="29" spans="1:44" ht="12" customHeight="1" thickBot="1" x14ac:dyDescent="0.25">
      <c r="A29" s="50"/>
      <c r="B29" s="2911"/>
      <c r="C29" s="3220"/>
      <c r="D29" s="3221"/>
      <c r="E29" s="73"/>
      <c r="F29" s="3224" t="s">
        <v>2278</v>
      </c>
      <c r="G29" s="3225"/>
      <c r="H29" s="3225"/>
      <c r="I29" s="3225"/>
      <c r="J29" s="2767">
        <f>VLOOKUP(G13+G11,Tabla_NumAcciones,2)</f>
        <v>3</v>
      </c>
      <c r="K29" s="2019"/>
      <c r="L29" s="3204" t="s">
        <v>2276</v>
      </c>
      <c r="M29" s="3103" t="s">
        <v>2277</v>
      </c>
      <c r="N29" s="3103"/>
      <c r="O29" s="3105"/>
      <c r="P29" s="3105"/>
      <c r="Q29" s="1765">
        <f>IF(Estilo_final="-","-",Estilo_final+O29)</f>
        <v>-20</v>
      </c>
      <c r="R29" s="2027"/>
      <c r="S29" s="2919"/>
      <c r="T29" s="2551"/>
      <c r="U29" s="2533"/>
      <c r="V29" s="3028" t="s">
        <v>2280</v>
      </c>
      <c r="W29" s="3028"/>
      <c r="X29" s="3028"/>
      <c r="Y29" s="3028"/>
      <c r="Z29" s="3028"/>
      <c r="AA29" s="3028"/>
      <c r="AB29" s="3028"/>
      <c r="AC29" s="3028"/>
      <c r="AD29" s="3028"/>
      <c r="AE29" s="3028"/>
      <c r="AF29" s="3202" t="s">
        <v>2281</v>
      </c>
      <c r="AG29" s="3202"/>
      <c r="AH29" s="3202"/>
      <c r="AI29" s="3202"/>
      <c r="AJ29" s="3202"/>
      <c r="AK29" s="2906"/>
      <c r="AL29" s="2904"/>
      <c r="AM29" s="2287"/>
      <c r="AO29" s="23"/>
      <c r="AP29" s="23"/>
    </row>
    <row r="30" spans="1:44" ht="12" customHeight="1" thickBot="1" x14ac:dyDescent="0.25">
      <c r="A30" s="50"/>
      <c r="B30" s="2911"/>
      <c r="C30" s="73"/>
      <c r="D30" s="73"/>
      <c r="E30" s="73"/>
      <c r="F30" s="73"/>
      <c r="G30" s="73"/>
      <c r="H30" s="73"/>
      <c r="I30" s="73"/>
      <c r="J30" s="73"/>
      <c r="K30" s="2019"/>
      <c r="L30" s="3204"/>
      <c r="M30" s="3103" t="s">
        <v>2279</v>
      </c>
      <c r="N30" s="3103"/>
      <c r="O30" s="3105"/>
      <c r="P30" s="3105"/>
      <c r="Q30" s="1765">
        <f>IF(Intimidar_final="-","-",Intimidar_final+O30)</f>
        <v>-20</v>
      </c>
      <c r="R30" s="2027"/>
      <c r="S30" s="2919"/>
      <c r="T30" s="2551"/>
      <c r="U30" s="2533"/>
      <c r="V30" s="3206" t="str">
        <f>IF(Raza=0,0,VLOOKUP(Raza,Tabla_Razas,20,FALSE))</f>
        <v>Hombres dragón</v>
      </c>
      <c r="W30" s="3206"/>
      <c r="X30" s="3206"/>
      <c r="Y30" s="3206"/>
      <c r="Z30" s="3206"/>
      <c r="AA30" s="3207" t="str">
        <f>IF(Raza=0,0,VLOOKUP(Raza,Tabla_Razas,38,FALSE))</f>
        <v>Aprendizaje lento (-3 PXs)</v>
      </c>
      <c r="AB30" s="3207"/>
      <c r="AC30" s="3207"/>
      <c r="AD30" s="3207"/>
      <c r="AE30" s="3207"/>
      <c r="AF30" s="3229"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30"/>
      <c r="AH30" s="3230"/>
      <c r="AI30" s="3230"/>
      <c r="AJ30" s="3231"/>
      <c r="AK30" s="594">
        <f>IF($G$45=0,0,VLOOKUP($G$45,Ventajas_Legados,7,FALSE))</f>
        <v>0</v>
      </c>
      <c r="AL30" s="2904"/>
      <c r="AM30" s="2920"/>
      <c r="AO30" s="23"/>
      <c r="AP30" s="23"/>
    </row>
    <row r="31" spans="1:44" ht="12" customHeight="1" x14ac:dyDescent="0.2">
      <c r="A31" s="50"/>
      <c r="B31" s="2911"/>
      <c r="C31" s="3216" t="s">
        <v>2283</v>
      </c>
      <c r="D31" s="3217"/>
      <c r="E31" s="3217"/>
      <c r="F31" s="3217"/>
      <c r="G31" s="3217"/>
      <c r="H31" s="3217"/>
      <c r="I31" s="3218"/>
      <c r="J31" s="2148">
        <f>IF(Raza="Criatura",0,3)+TRUNC((PDs!X5+PDs!X7+PDs!X9+PDs!X11+PDs!X13)/2,0)-Tablas!B449+IF(Y23="PDs",0,IF($AB$13=0,0,VLOOKUP($AB$13,Tabla_Gnosis,3,FALSE)))</f>
        <v>0</v>
      </c>
      <c r="K31" s="2019"/>
      <c r="L31" s="3204"/>
      <c r="M31" s="3103" t="s">
        <v>2282</v>
      </c>
      <c r="N31" s="3103"/>
      <c r="O31" s="3105"/>
      <c r="P31" s="3105"/>
      <c r="Q31" s="1765">
        <f>IF(Liderazgo_final="-","-",Liderazgo_final+O31)</f>
        <v>-20</v>
      </c>
      <c r="R31" s="2027"/>
      <c r="S31" s="2919"/>
      <c r="T31" s="2551"/>
      <c r="U31" s="2533"/>
      <c r="V31" s="3206" t="str">
        <f>IF(Raza=0,0,VLOOKUP(Raza,Tabla_Razas,23,FALSE))</f>
        <v>Armas naturales</v>
      </c>
      <c r="W31" s="3226"/>
      <c r="X31" s="3226"/>
      <c r="Y31" s="3226"/>
      <c r="Z31" s="3227"/>
      <c r="AA31" s="3228" t="str">
        <f>IF(Raza=0,0,VLOOKUP(Raza,Tabla_Razas,41,FALSE))</f>
        <v>Modificador de nivel: +1</v>
      </c>
      <c r="AB31" s="3226"/>
      <c r="AC31" s="3226"/>
      <c r="AD31" s="3226"/>
      <c r="AE31" s="3227"/>
      <c r="AF31" s="3228"/>
      <c r="AG31" s="3226"/>
      <c r="AH31" s="3226"/>
      <c r="AI31" s="3226"/>
      <c r="AJ31" s="3232"/>
      <c r="AK31" s="594"/>
      <c r="AL31" s="2904"/>
      <c r="AM31" s="2856" t="s">
        <v>9908</v>
      </c>
      <c r="AO31" s="23"/>
      <c r="AP31" s="23"/>
    </row>
    <row r="32" spans="1:44" ht="12" customHeight="1" x14ac:dyDescent="0.2">
      <c r="A32" s="50"/>
      <c r="B32" s="2911"/>
      <c r="C32" s="3118" t="s">
        <v>9953</v>
      </c>
      <c r="D32" s="3108"/>
      <c r="E32" s="3108"/>
      <c r="F32" s="3119"/>
      <c r="G32" s="3236"/>
      <c r="H32" s="3237"/>
      <c r="I32" s="3238"/>
      <c r="J32" s="3239"/>
      <c r="K32" s="2019"/>
      <c r="L32" s="3204"/>
      <c r="M32" s="3103" t="s">
        <v>2284</v>
      </c>
      <c r="N32" s="3103"/>
      <c r="O32" s="3105"/>
      <c r="P32" s="3105"/>
      <c r="Q32" s="1765">
        <f>IF(Persuasión_final="-","-",Persuasión_final+O32)</f>
        <v>-25</v>
      </c>
      <c r="R32" s="2027"/>
      <c r="S32" s="2919"/>
      <c r="T32" s="2551"/>
      <c r="U32" s="2533"/>
      <c r="V32" s="3206" t="str">
        <f>IF(Raza=0,0,VLOOKUP(Raza,Tabla_Razas,26,FALSE))</f>
        <v>Escamas</v>
      </c>
      <c r="W32" s="3226"/>
      <c r="X32" s="3226"/>
      <c r="Y32" s="3226"/>
      <c r="Z32" s="3227"/>
      <c r="AA32" s="3228">
        <f>IF(Raza=0,0,VLOOKUP(Raza,Tabla_Razas,44,FALSE))</f>
        <v>0</v>
      </c>
      <c r="AB32" s="3226"/>
      <c r="AC32" s="3226"/>
      <c r="AD32" s="3226"/>
      <c r="AE32" s="3227"/>
      <c r="AF32" s="3228"/>
      <c r="AG32" s="3226"/>
      <c r="AH32" s="3226"/>
      <c r="AI32" s="3226"/>
      <c r="AJ32" s="3232"/>
      <c r="AK32" s="594"/>
      <c r="AL32" s="2904"/>
      <c r="AM32" s="555" t="s">
        <v>9100</v>
      </c>
      <c r="AN32" s="23" t="str">
        <f>IF(Raza="Criatura","$AO$36","V_Comunes")</f>
        <v>V_Comunes</v>
      </c>
      <c r="AO32" s="23"/>
      <c r="AP32" s="23"/>
    </row>
    <row r="33" spans="1:51" ht="12" customHeight="1" x14ac:dyDescent="0.2">
      <c r="A33" s="50"/>
      <c r="B33" s="2911"/>
      <c r="C33" s="3118"/>
      <c r="D33" s="3108"/>
      <c r="E33" s="3108"/>
      <c r="F33" s="3119"/>
      <c r="G33" s="3121"/>
      <c r="H33" s="3122"/>
      <c r="I33" s="3123"/>
      <c r="J33" s="3124"/>
      <c r="K33" s="2019"/>
      <c r="L33" s="3204"/>
      <c r="M33" s="3103" t="s">
        <v>1282</v>
      </c>
      <c r="N33" s="3103"/>
      <c r="O33" s="3105"/>
      <c r="P33" s="3105"/>
      <c r="Q33" s="1765">
        <f>IF(Comercio_final="-","-",Comercio_final+O33)</f>
        <v>-25</v>
      </c>
      <c r="R33" s="2027"/>
      <c r="S33" s="2919"/>
      <c r="T33" s="2551"/>
      <c r="U33" s="2533"/>
      <c r="V33" s="3206" t="str">
        <f>IF(Raza=0,0,VLOOKUP(Raza,Tabla_Razas,29,FALSE))</f>
        <v>Regeneración de lagarto</v>
      </c>
      <c r="W33" s="3206"/>
      <c r="X33" s="3206"/>
      <c r="Y33" s="3206"/>
      <c r="Z33" s="3206"/>
      <c r="AA33" s="3214">
        <f>IF(Raza=0,0,VLOOKUP(Raza,Tabla_Razas,47,FALSE))</f>
        <v>0</v>
      </c>
      <c r="AB33" s="3214"/>
      <c r="AC33" s="3214"/>
      <c r="AD33" s="3214"/>
      <c r="AE33" s="3214"/>
      <c r="AF33" s="3228"/>
      <c r="AG33" s="3226"/>
      <c r="AH33" s="3226"/>
      <c r="AI33" s="3226"/>
      <c r="AJ33" s="3232"/>
      <c r="AK33" s="594"/>
      <c r="AL33" s="2904"/>
      <c r="AM33" s="555" t="s">
        <v>9101</v>
      </c>
      <c r="AN33" s="23" t="str">
        <f>IF(Raza="Criatura","$AO$36",IF($AN$38,"V_Don_Y_Psi",IF($AN$36,"V_Don",IF($AN$37,"V_Psiquicos","$AO$37"))))</f>
        <v>$AO$37</v>
      </c>
      <c r="AP33" s="23"/>
    </row>
    <row r="34" spans="1:51" ht="12" customHeight="1" x14ac:dyDescent="0.2">
      <c r="A34" s="50"/>
      <c r="B34" s="2911"/>
      <c r="C34" s="3118"/>
      <c r="D34" s="3108"/>
      <c r="E34" s="3108"/>
      <c r="F34" s="3119"/>
      <c r="G34" s="3121"/>
      <c r="H34" s="3122"/>
      <c r="I34" s="3123"/>
      <c r="J34" s="3124"/>
      <c r="K34" s="2146"/>
      <c r="L34" s="3204"/>
      <c r="M34" s="3103" t="s">
        <v>1283</v>
      </c>
      <c r="N34" s="3103"/>
      <c r="O34" s="3120"/>
      <c r="P34" s="3120"/>
      <c r="Q34" s="1765">
        <f>IF(Callejeo_final="-","-",Callejeo_final+O34)</f>
        <v>-25</v>
      </c>
      <c r="R34" s="2027"/>
      <c r="S34" s="2919"/>
      <c r="T34" s="2551"/>
      <c r="U34" s="2533"/>
      <c r="V34" s="3206" t="str">
        <f>IF(Raza=0,0,VLOOKUP(Raza,Tabla_Razas,32,FALSE))</f>
        <v>Cercanía con El dragón</v>
      </c>
      <c r="W34" s="3206"/>
      <c r="X34" s="3206"/>
      <c r="Y34" s="3206"/>
      <c r="Z34" s="3206"/>
      <c r="AA34" s="3214">
        <f>IF(Raza=0,0,VLOOKUP(Raza,Tabla_Razas,50,FALSE))</f>
        <v>0</v>
      </c>
      <c r="AB34" s="3214"/>
      <c r="AC34" s="3214"/>
      <c r="AD34" s="3214"/>
      <c r="AE34" s="3214"/>
      <c r="AF34" s="3233"/>
      <c r="AG34" s="3234"/>
      <c r="AH34" s="3234"/>
      <c r="AI34" s="3234"/>
      <c r="AJ34" s="3235"/>
      <c r="AK34" s="594">
        <f>IF($G$45=0,0,VLOOKUP($G$45,Ventajas_Legados,10,FALSE))</f>
        <v>0</v>
      </c>
      <c r="AL34" s="2904"/>
      <c r="AM34" s="555" t="s">
        <v>9102</v>
      </c>
      <c r="AN34" s="2873" t="str">
        <f>IF(Raza="Criatura","$AO$36","V_Trasfondo")</f>
        <v>V_Trasfondo</v>
      </c>
      <c r="AO34" s="23"/>
      <c r="AP34" s="23"/>
    </row>
    <row r="35" spans="1:51" ht="12" customHeight="1" thickBot="1" x14ac:dyDescent="0.25">
      <c r="A35" s="50"/>
      <c r="B35" s="2911"/>
      <c r="C35" s="3118"/>
      <c r="D35" s="3108"/>
      <c r="E35" s="3108"/>
      <c r="F35" s="3119"/>
      <c r="G35" s="3121"/>
      <c r="H35" s="3122"/>
      <c r="I35" s="3123"/>
      <c r="J35" s="3124"/>
      <c r="K35" s="2146"/>
      <c r="L35" s="3204"/>
      <c r="M35" s="3103" t="s">
        <v>1284</v>
      </c>
      <c r="N35" s="3103"/>
      <c r="O35" s="3120"/>
      <c r="P35" s="3120"/>
      <c r="Q35" s="1765">
        <f>IF(Etiqueta_final="-","-",Etiqueta_final+O35)</f>
        <v>-25</v>
      </c>
      <c r="R35" s="2027"/>
      <c r="S35" s="2919"/>
      <c r="T35" s="2551"/>
      <c r="U35" s="2533"/>
      <c r="V35" s="3206" t="str">
        <f>IF(Raza=0,0,VLOOKUP(Raza,Tabla_Razas,35,FALSE))</f>
        <v>Sangre fría</v>
      </c>
      <c r="W35" s="3206"/>
      <c r="X35" s="3206"/>
      <c r="Y35" s="3206"/>
      <c r="Z35" s="3206"/>
      <c r="AA35" s="3214">
        <f>IF(Raza=0,0,VLOOKUP(Raza,Tabla_Razas,53,FALSE))</f>
        <v>0</v>
      </c>
      <c r="AB35" s="3214"/>
      <c r="AC35" s="3214"/>
      <c r="AD35" s="3214"/>
      <c r="AE35" s="3214"/>
      <c r="AF35" s="3248" t="str">
        <f>IF(SUM(Tablas!O534:O559)=0,"",IF(Tablas!O534+Tablas!O535+Tablas!O540+Tablas!O541+Tablas!O537+Tablas!O536+Tablas!O539&gt;0,"+10 Daño base ataques elemento afín",""))</f>
        <v/>
      </c>
      <c r="AG35" s="3248"/>
      <c r="AH35" s="3248"/>
      <c r="AI35" s="3248"/>
      <c r="AJ35" s="3248"/>
      <c r="AK35" s="594">
        <f>IF($G$45=0,0,VLOOKUP($G$45,Ventajas_Legados,13,FALSE))</f>
        <v>0</v>
      </c>
      <c r="AL35" s="2904"/>
      <c r="AM35" s="555" t="s">
        <v>9103</v>
      </c>
      <c r="AN35" s="23" t="str">
        <f>IF(Raza="Criatura","$AO$36","Legados_de_Sangre")</f>
        <v>Legados_de_Sangre</v>
      </c>
      <c r="AO35" s="23"/>
      <c r="AP35" s="23"/>
    </row>
    <row r="36" spans="1:51" ht="12" customHeight="1" thickBot="1" x14ac:dyDescent="0.25">
      <c r="A36" s="50"/>
      <c r="B36" s="2911"/>
      <c r="C36" s="3118"/>
      <c r="D36" s="3108"/>
      <c r="E36" s="3108"/>
      <c r="F36" s="3119"/>
      <c r="G36" s="3121"/>
      <c r="H36" s="3122"/>
      <c r="I36" s="3123"/>
      <c r="J36" s="3124"/>
      <c r="K36" s="2146"/>
      <c r="L36" s="3203" t="s">
        <v>2285</v>
      </c>
      <c r="M36" s="3135" t="s">
        <v>2286</v>
      </c>
      <c r="N36" s="3135"/>
      <c r="O36" s="3133">
        <f>IF(Combate!C15=0,0,VLOOKUP(Combate!C15,Tablas!$C$1282:$P$1289,3))</f>
        <v>0</v>
      </c>
      <c r="P36" s="3133"/>
      <c r="Q36" s="1764">
        <f>IF(Advertir_final="-","-",Advertir_final+O36)</f>
        <v>-20</v>
      </c>
      <c r="R36" s="2027"/>
      <c r="S36" s="2919"/>
      <c r="T36" s="2551"/>
      <c r="U36" s="2533"/>
      <c r="V36" s="3243" t="s">
        <v>9758</v>
      </c>
      <c r="W36" s="3244"/>
      <c r="X36" s="3244"/>
      <c r="Y36" s="3244"/>
      <c r="Z36" s="3244"/>
      <c r="AA36" s="3244"/>
      <c r="AB36" s="3244"/>
      <c r="AC36" s="3244"/>
      <c r="AD36" s="3244"/>
      <c r="AE36" s="3245" t="str">
        <f>IF(Nephilim=0,"",IF(VLOOKUP(Nephilim,Tabla_Razas,20,FALSE)=0,"",VLOOKUP(Nephilim,Tabla_Razas,20,FALSE)))</f>
        <v/>
      </c>
      <c r="AF36" s="3246"/>
      <c r="AG36" s="3247"/>
      <c r="AH36" s="3259" t="str">
        <f>IF(Nephilim=0,"",IF(VLOOKUP(Nephilim,Tabla_Razas,23,FALSE)=0,"",VLOOKUP(Nephilim,Tabla_Razas,23,FALSE)))</f>
        <v/>
      </c>
      <c r="AI36" s="3246"/>
      <c r="AJ36" s="3260"/>
      <c r="AK36" s="594">
        <f>IF($G$41=0,0,VLOOKUP($G$41,Ventajas_Legados,7,FALSE))</f>
        <v>0</v>
      </c>
      <c r="AL36" s="2904"/>
      <c r="AM36" s="555" t="s">
        <v>9104</v>
      </c>
      <c r="AN36" s="23" t="b">
        <f>ISNUMBER(SEARCH("Don",$C32&amp;$C33&amp;$C34&amp;$C35&amp;$C36&amp;$C37&amp;$C38&amp;$C39))</f>
        <v>0</v>
      </c>
      <c r="AO36" s="23" t="s">
        <v>9906</v>
      </c>
      <c r="AP36" s="23"/>
    </row>
    <row r="37" spans="1:51" ht="12" customHeight="1" x14ac:dyDescent="0.2">
      <c r="A37" s="50"/>
      <c r="B37" s="2911"/>
      <c r="C37" s="3118"/>
      <c r="D37" s="3108"/>
      <c r="E37" s="3108"/>
      <c r="F37" s="3119"/>
      <c r="G37" s="3121"/>
      <c r="H37" s="3122"/>
      <c r="I37" s="3123"/>
      <c r="J37" s="3124"/>
      <c r="K37" s="2146"/>
      <c r="L37" s="3204"/>
      <c r="M37" s="3103" t="s">
        <v>2287</v>
      </c>
      <c r="N37" s="3103"/>
      <c r="O37" s="3105">
        <f>IF(Combate!C15=0,0,VLOOKUP(Combate!C15,Tablas!$C$1282:$P$1289,3))</f>
        <v>0</v>
      </c>
      <c r="P37" s="3105"/>
      <c r="Q37" s="1765">
        <f>IF(Buscar_final="-","-",Buscar_final+O37)</f>
        <v>-20</v>
      </c>
      <c r="R37" s="2027"/>
      <c r="S37" s="2919"/>
      <c r="T37" s="2551"/>
      <c r="U37" s="2533"/>
      <c r="V37" s="3110" t="str">
        <f>IF(Nephilim=0,"",IF(VLOOKUP(Nephilim,Tabla_Razas,26,FALSE)=0,"",VLOOKUP(Nephilim,Tabla_Razas,26,FALSE)))</f>
        <v/>
      </c>
      <c r="W37" s="3091"/>
      <c r="X37" s="3092"/>
      <c r="Y37" s="3090" t="str">
        <f>IF(Nephilim=0,"",IF(VLOOKUP(Nephilim,Tabla_Razas,29,FALSE)=0,"",VLOOKUP(Nephilim,Tabla_Razas,29,FALSE)))</f>
        <v/>
      </c>
      <c r="Z37" s="3091"/>
      <c r="AA37" s="3092"/>
      <c r="AB37" s="3090" t="str">
        <f>IF(Nephilim=0,"",IF(VLOOKUP(Nephilim,Tabla_Razas,32,FALSE)=0,"",VLOOKUP(Nephilim,Tabla_Razas,32,FALSE)))</f>
        <v/>
      </c>
      <c r="AC37" s="3091"/>
      <c r="AD37" s="3092"/>
      <c r="AE37" s="3093" t="str">
        <f>IF(Nephilim=0,"",IF(VLOOKUP(Nephilim,Tabla_Razas,35,FALSE)=0,"",VLOOKUP(Nephilim,Tabla_Razas,35,FALSE)))</f>
        <v/>
      </c>
      <c r="AF37" s="3094"/>
      <c r="AG37" s="3095"/>
      <c r="AH37" s="3093" t="str">
        <f>IF(Nephilim=0,"",IF(VLOOKUP(Nephilim,Tabla_Razas,38,FALSE)=0,"",VLOOKUP(Nephilim,Tabla_Razas,38,FALSE)))</f>
        <v/>
      </c>
      <c r="AI37" s="3094"/>
      <c r="AJ37" s="3096"/>
      <c r="AK37" s="594">
        <f>IF($G$41=0,0,VLOOKUP($G$41,Ventajas_Legados,10,FALSE))</f>
        <v>0</v>
      </c>
      <c r="AL37" s="2904"/>
      <c r="AM37" s="555" t="s">
        <v>9105</v>
      </c>
      <c r="AN37" s="23" t="b">
        <f>ISNUMBER(SEARCH("psiquica",$C32&amp;$C33&amp;$C34&amp;$C35&amp;$C36&amp;$C37&amp;$C38&amp;$C39))</f>
        <v>0</v>
      </c>
      <c r="AO37" s="23" t="s">
        <v>9907</v>
      </c>
      <c r="AP37" s="23"/>
    </row>
    <row r="38" spans="1:51" ht="12" customHeight="1" thickBot="1" x14ac:dyDescent="0.25">
      <c r="A38" s="50"/>
      <c r="B38" s="1679"/>
      <c r="C38" s="3118"/>
      <c r="D38" s="3108"/>
      <c r="E38" s="3108"/>
      <c r="F38" s="3119"/>
      <c r="G38" s="3121"/>
      <c r="H38" s="3122"/>
      <c r="I38" s="3123"/>
      <c r="J38" s="3124"/>
      <c r="K38" s="2146"/>
      <c r="L38" s="3205"/>
      <c r="M38" s="3106" t="s">
        <v>2288</v>
      </c>
      <c r="N38" s="3106"/>
      <c r="O38" s="3104"/>
      <c r="P38" s="3104"/>
      <c r="Q38" s="1766">
        <f>IF(Rastrear_final="-","-",Rastrear_final+O38)</f>
        <v>-20</v>
      </c>
      <c r="R38" s="2027"/>
      <c r="S38" s="2919"/>
      <c r="T38" s="2551"/>
      <c r="U38" s="2533"/>
      <c r="V38" s="3097" t="str">
        <f>IF(Nephilim=0,"",IF(VLOOKUP(Nephilim,Tabla_Razas,41,FALSE)=0,"",VLOOKUP(Nephilim,Tabla_Razas,41,FALSE)))</f>
        <v/>
      </c>
      <c r="W38" s="3098"/>
      <c r="X38" s="3099"/>
      <c r="Y38" s="3100" t="str">
        <f>IF(Nephilim=0,"",IF(VLOOKUP(Nephilim,Tabla_Razas,44,FALSE)=0,"",VLOOKUP(Nephilim,Tabla_Razas,44,FALSE)))</f>
        <v/>
      </c>
      <c r="Z38" s="3098"/>
      <c r="AA38" s="3099"/>
      <c r="AB38" s="3100" t="str">
        <f>IF(Nephilim="","",IF(VLOOKUP(Nephilim,Tabla_Razas,47,FALSE)=0,"",VLOOKUP(Nephilim,Tabla_Razas,47,FALSE)))</f>
        <v/>
      </c>
      <c r="AC38" s="3098"/>
      <c r="AD38" s="3099"/>
      <c r="AE38" s="3100" t="str">
        <f>IF(Nephilim=0,"",IF(VLOOKUP(Nephilim,Tabla_Razas,50,FALSE)=0,"",VLOOKUP(Nephilim,Tabla_Razas,50,FALSE)))</f>
        <v/>
      </c>
      <c r="AF38" s="3098"/>
      <c r="AG38" s="3099"/>
      <c r="AH38" s="3100" t="str">
        <f>IF(Nephilim=0,"",IF(VLOOKUP(Nephilim,Tabla_Razas,53,FALSE)=0,"",VLOOKUP(Nephilim,Tabla_Razas,53,FALSE)))</f>
        <v/>
      </c>
      <c r="AI38" s="3098"/>
      <c r="AJ38" s="3101"/>
      <c r="AK38" s="150"/>
      <c r="AL38" s="2904"/>
      <c r="AM38" s="555" t="s">
        <v>9106</v>
      </c>
      <c r="AN38" s="23" t="b">
        <f>AND($AN$37,$AN$36)</f>
        <v>0</v>
      </c>
      <c r="AO38" s="23"/>
      <c r="AP38" s="23"/>
    </row>
    <row r="39" spans="1:51" ht="12" customHeight="1" thickBot="1" x14ac:dyDescent="0.25">
      <c r="A39" s="50"/>
      <c r="B39" s="1679"/>
      <c r="C39" s="3118"/>
      <c r="D39" s="3108"/>
      <c r="E39" s="3108"/>
      <c r="F39" s="3119"/>
      <c r="G39" s="3121"/>
      <c r="H39" s="3122"/>
      <c r="I39" s="3123"/>
      <c r="J39" s="3124"/>
      <c r="K39" s="2146"/>
      <c r="L39" s="3204" t="s">
        <v>2289</v>
      </c>
      <c r="M39" s="3103" t="s">
        <v>2290</v>
      </c>
      <c r="N39" s="3103"/>
      <c r="O39" s="3105"/>
      <c r="P39" s="3105"/>
      <c r="Q39" s="1765">
        <f>IF(Animales_final="-","-",Animales_final+O39)</f>
        <v>-25</v>
      </c>
      <c r="R39" s="2027"/>
      <c r="S39" s="2919"/>
      <c r="T39" s="2551"/>
      <c r="U39" s="2533"/>
      <c r="V39" s="125">
        <f>IF(Raza=0,0,VLOOKUP(Raza,Tabla_Razas,22,FALSE))</f>
        <v>1</v>
      </c>
      <c r="W39" s="125">
        <f>IF(Raza=0,0,VLOOKUP(Raza,Tabla_Razas,25,FALSE))</f>
        <v>1</v>
      </c>
      <c r="X39" s="2349">
        <f>IF(Raza=0,0,VLOOKUP(Raza,Tabla_Razas,28,FALSE))</f>
        <v>1</v>
      </c>
      <c r="Y39" s="2349">
        <f>IF(Raza=0,0,VLOOKUP(Raza,Tabla_Razas,31,FALSE))</f>
        <v>1</v>
      </c>
      <c r="Z39" s="2349">
        <f>IF(Raza=0,0,VLOOKUP(Raza,Tabla_Razas,34,FALSE))</f>
        <v>0</v>
      </c>
      <c r="AA39" s="2349">
        <f>IF(Raza=0,0,VLOOKUP(Raza,Tabla_Razas,37,FALSE))</f>
        <v>1</v>
      </c>
      <c r="AB39" s="2349">
        <f>IF(Raza=0,0,VLOOKUP(Raza,Tabla_Razas,40,FALSE))</f>
        <v>0</v>
      </c>
      <c r="AC39" s="2349">
        <f>IF(Raza=0,0,VLOOKUP(Raza,Tabla_Razas,43,FALSE))</f>
        <v>1</v>
      </c>
      <c r="AD39" s="2349">
        <f>IF(Raza=0,0,VLOOKUP(Raza,Tabla_Razas,46,FALSE))</f>
        <v>0</v>
      </c>
      <c r="AE39" s="2349">
        <f>IF(Raza=0,0,VLOOKUP(Raza,Tabla_Razas,49,FALSE))</f>
        <v>0</v>
      </c>
      <c r="AF39" s="2349">
        <f>IF(Raza=0,0,VLOOKUP(Raza,Tabla_Razas,52,FALSE))</f>
        <v>0</v>
      </c>
      <c r="AG39" s="2349">
        <f>IF(Raza=0,0,VLOOKUP(Raza,Tabla_Razas,55,FALSE))</f>
        <v>0</v>
      </c>
      <c r="AH39" s="2020"/>
      <c r="AI39" s="2020"/>
      <c r="AJ39" s="2348"/>
      <c r="AK39" s="150"/>
      <c r="AL39" s="2904"/>
      <c r="AM39" s="555"/>
      <c r="AN39" s="23"/>
      <c r="AO39" s="23"/>
      <c r="AP39" s="23"/>
    </row>
    <row r="40" spans="1:51" ht="12" customHeight="1" thickBot="1" x14ac:dyDescent="0.25">
      <c r="A40" s="50"/>
      <c r="B40" s="1679"/>
      <c r="C40" s="3255"/>
      <c r="D40" s="3256"/>
      <c r="E40" s="3256"/>
      <c r="F40" s="3257"/>
      <c r="G40" s="3312"/>
      <c r="H40" s="3313"/>
      <c r="I40" s="3313"/>
      <c r="J40" s="3314"/>
      <c r="K40" s="2146"/>
      <c r="L40" s="3204"/>
      <c r="M40" s="3103" t="s">
        <v>2291</v>
      </c>
      <c r="N40" s="3103"/>
      <c r="O40" s="3105"/>
      <c r="P40" s="3105"/>
      <c r="Q40" s="1765" t="str">
        <f>IF(Ciencia_final="-","-",Ciencia_final+O40)</f>
        <v>-</v>
      </c>
      <c r="R40" s="2027"/>
      <c r="S40" s="2919"/>
      <c r="T40" s="2551"/>
      <c r="U40" s="2533"/>
      <c r="V40" s="3028" t="s">
        <v>2293</v>
      </c>
      <c r="W40" s="3028"/>
      <c r="X40" s="3028"/>
      <c r="Y40" s="3028"/>
      <c r="Z40" s="3028"/>
      <c r="AA40" s="3028"/>
      <c r="AB40" s="3028"/>
      <c r="AC40" s="3028"/>
      <c r="AD40" s="3028"/>
      <c r="AE40" s="3028"/>
      <c r="AF40" s="3028"/>
      <c r="AG40" s="3028"/>
      <c r="AH40" s="3321" t="s">
        <v>2225</v>
      </c>
      <c r="AI40" s="3321"/>
      <c r="AJ40" s="74">
        <f>SUM(AJ42:AJ69)+AJ70</f>
        <v>100</v>
      </c>
      <c r="AK40" s="2906"/>
      <c r="AL40" s="2904"/>
      <c r="AM40" s="555"/>
      <c r="AN40" s="23"/>
      <c r="AO40" s="23"/>
      <c r="AP40" s="124"/>
    </row>
    <row r="41" spans="1:51" ht="12" customHeight="1" x14ac:dyDescent="0.2">
      <c r="A41" s="50"/>
      <c r="B41" s="1679"/>
      <c r="C41" s="3118"/>
      <c r="D41" s="3108"/>
      <c r="E41" s="3108"/>
      <c r="F41" s="3108"/>
      <c r="G41" s="3240"/>
      <c r="H41" s="3241"/>
      <c r="I41" s="3241"/>
      <c r="J41" s="3242"/>
      <c r="K41" s="2146"/>
      <c r="L41" s="3204"/>
      <c r="M41" s="3103" t="s">
        <v>3679</v>
      </c>
      <c r="N41" s="3103"/>
      <c r="O41" s="3105"/>
      <c r="P41" s="3105"/>
      <c r="Q41" s="1765">
        <f>IF(Ley_final="-","-",Ley_final+O41)</f>
        <v>-25</v>
      </c>
      <c r="R41" s="2027"/>
      <c r="S41" s="2871"/>
      <c r="T41" s="2551"/>
      <c r="U41" s="2533"/>
      <c r="V41" s="3307" t="s">
        <v>2295</v>
      </c>
      <c r="W41" s="3307"/>
      <c r="X41" s="3307"/>
      <c r="Y41" s="3307"/>
      <c r="Z41" s="3307"/>
      <c r="AA41" s="3307"/>
      <c r="AB41" s="3303" t="s">
        <v>2296</v>
      </c>
      <c r="AC41" s="3303"/>
      <c r="AD41" s="3303"/>
      <c r="AE41" s="3303"/>
      <c r="AF41" s="3303"/>
      <c r="AG41" s="3303"/>
      <c r="AH41" s="3303"/>
      <c r="AI41" s="81" t="s">
        <v>2229</v>
      </c>
      <c r="AJ41" s="25" t="s">
        <v>2230</v>
      </c>
      <c r="AK41" s="2906"/>
      <c r="AL41" s="2904"/>
      <c r="AM41" s="555"/>
      <c r="AN41" s="23"/>
      <c r="AO41" s="23"/>
      <c r="AP41" s="199"/>
    </row>
    <row r="42" spans="1:51" ht="12" customHeight="1" x14ac:dyDescent="0.2">
      <c r="A42" s="50"/>
      <c r="B42" s="1679"/>
      <c r="C42" s="3118"/>
      <c r="D42" s="3108"/>
      <c r="E42" s="3108"/>
      <c r="F42" s="3108"/>
      <c r="G42" s="3240"/>
      <c r="H42" s="3241"/>
      <c r="I42" s="3241"/>
      <c r="J42" s="3242"/>
      <c r="K42" s="2146"/>
      <c r="L42" s="3204"/>
      <c r="M42" s="3103" t="s">
        <v>2292</v>
      </c>
      <c r="N42" s="3103"/>
      <c r="O42" s="3105"/>
      <c r="P42" s="3105"/>
      <c r="Q42" s="1765">
        <f>IF(Herbolaria_final="-","-",Herbolaria_final+O42)</f>
        <v>-25</v>
      </c>
      <c r="R42" s="2027"/>
      <c r="S42" s="2871">
        <f>IF(V42="",MAX($S$41:S41)+1,0)</f>
        <v>1</v>
      </c>
      <c r="T42" s="2551">
        <f>IF(V42="",0,MAX($T$41:T41)+1)</f>
        <v>0</v>
      </c>
      <c r="U42" s="2534">
        <f>IF(V42="",Tablas!A1,V42&amp;1)</f>
        <v>1</v>
      </c>
      <c r="V42" s="3304"/>
      <c r="W42" s="3305"/>
      <c r="X42" s="3305"/>
      <c r="Y42" s="3305"/>
      <c r="Z42" s="3305"/>
      <c r="AA42" s="3306"/>
      <c r="AB42" s="3300" t="s">
        <v>2155</v>
      </c>
      <c r="AC42" s="3301"/>
      <c r="AD42" s="3301"/>
      <c r="AE42" s="3301"/>
      <c r="AF42" s="3301"/>
      <c r="AG42" s="3301"/>
      <c r="AH42" s="3302"/>
      <c r="AI42" s="83">
        <f>IF(AB42=0,"",VLOOKUP(AB42,Tablas!$B$1769:$F$2269,4,FALSE))</f>
        <v>25</v>
      </c>
      <c r="AJ42" s="84">
        <f>IF(AB42=0,"",IF(OR(TipoDeCriatura="Entre mundos, Elemental",TipoDeCriatura="Ánima, Elemental"),IF(VLOOKUP(AB42,Tablas!$B$1769:$F$2269,5,FALSE)&lt;0,VLOOKUP(AB42,Tablas!$B$1769:$F$2269,5,FALSE),MAX(VLOOKUP(AB42,Tablas!$B$1769:$F$2269,5,FALSE)-10,VLOOKUP(AB42,Tablas!$B$1769:$F$2269,5,FALSE)/2)),VLOOKUP(AB42,Tablas!$B$1769:$F$2269,5,FALSE)))</f>
        <v>100</v>
      </c>
      <c r="AK42" s="2906"/>
      <c r="AL42" s="2904"/>
      <c r="AM42" s="555"/>
      <c r="AN42" s="23"/>
      <c r="AO42" s="23"/>
      <c r="AP42" s="199"/>
    </row>
    <row r="43" spans="1:51" ht="12" customHeight="1" x14ac:dyDescent="0.2">
      <c r="A43" s="50"/>
      <c r="B43" s="1679"/>
      <c r="C43" s="3118"/>
      <c r="D43" s="3108"/>
      <c r="E43" s="3108"/>
      <c r="F43" s="3108"/>
      <c r="G43" s="3315"/>
      <c r="H43" s="3316"/>
      <c r="I43" s="3316"/>
      <c r="J43" s="3317"/>
      <c r="K43" s="2146"/>
      <c r="L43" s="3204"/>
      <c r="M43" s="3103" t="s">
        <v>2294</v>
      </c>
      <c r="N43" s="3103"/>
      <c r="O43" s="3105"/>
      <c r="P43" s="3105"/>
      <c r="Q43" s="1765" t="str">
        <f>IF(Historia_final="-","-",Historia_final+O43)</f>
        <v>-</v>
      </c>
      <c r="R43" s="2027"/>
      <c r="S43" s="2871">
        <f>IF(V43="",MAX($S$41:S42)+1,0)</f>
        <v>2</v>
      </c>
      <c r="T43" s="2551">
        <f>IF(V43="",0,MAX($T$41:T42)+1)</f>
        <v>0</v>
      </c>
      <c r="U43" s="2534">
        <f>IF(V43="",Tablas!A2,IF(COUNTIF(V$42:V42,V43)&gt;0,V43&amp;COUNTIF(V$42:V42,V43)+1,V43&amp;1))</f>
        <v>2</v>
      </c>
      <c r="V43" s="3111"/>
      <c r="W43" s="3112"/>
      <c r="X43" s="3112"/>
      <c r="Y43" s="3112"/>
      <c r="Z43" s="3112"/>
      <c r="AA43" s="3113"/>
      <c r="AB43" s="3107"/>
      <c r="AC43" s="3108"/>
      <c r="AD43" s="3108"/>
      <c r="AE43" s="3108"/>
      <c r="AF43" s="3108"/>
      <c r="AG43" s="3108"/>
      <c r="AH43" s="3109"/>
      <c r="AI43" s="88" t="str">
        <f>IF(AB43=0,"",VLOOKUP(AB43,Tablas!$B$1769:$F$2269,4,FALSE))</f>
        <v/>
      </c>
      <c r="AJ43" s="84" t="str">
        <f>IF(AB43=0,"",IF(OR(TipoDeCriatura="Entre mundos, Elemental",TipoDeCriatura="Ánima, Elemental"),IF(VLOOKUP(AB43,Tablas!$B$1769:$F$2269,5,FALSE)&lt;0,VLOOKUP(AB43,Tablas!$B$1769:$F$2269,5,FALSE),MAX(VLOOKUP(AB43,Tablas!$B$1769:$F$2269,5,FALSE)-10,VLOOKUP(AB43,Tablas!$B$1769:$F$2269,5,FALSE)/2)),VLOOKUP(AB43,Tablas!$B$1769:$F$2269,5,FALSE)))</f>
        <v/>
      </c>
      <c r="AK43" s="2906"/>
      <c r="AL43" s="2904"/>
      <c r="AM43" s="555"/>
      <c r="AN43" s="23"/>
      <c r="AO43" s="23"/>
      <c r="AP43" s="199"/>
    </row>
    <row r="44" spans="1:51" ht="12" customHeight="1" x14ac:dyDescent="0.2">
      <c r="A44" s="50"/>
      <c r="B44" s="1679"/>
      <c r="C44" s="3118"/>
      <c r="D44" s="3108"/>
      <c r="E44" s="3108"/>
      <c r="F44" s="3108"/>
      <c r="G44" s="3312" t="s">
        <v>3598</v>
      </c>
      <c r="H44" s="3313"/>
      <c r="I44" s="3313"/>
      <c r="J44" s="3314"/>
      <c r="K44" s="2022"/>
      <c r="L44" s="3204"/>
      <c r="M44" s="3103" t="s">
        <v>1285</v>
      </c>
      <c r="N44" s="3103"/>
      <c r="O44" s="3105"/>
      <c r="P44" s="3105"/>
      <c r="Q44" s="1765">
        <f>IF(Tactica_final="-","-",Tactica_final+O44)</f>
        <v>-25</v>
      </c>
      <c r="R44" s="2027"/>
      <c r="S44" s="2871">
        <f>IF(V44="",MAX($S$41:S43)+1,0)</f>
        <v>3</v>
      </c>
      <c r="T44" s="2551">
        <f>IF(V44="",0,MAX($T$41:T43)+1)</f>
        <v>0</v>
      </c>
      <c r="U44" s="2534">
        <f>IF(V44="",Tablas!A3,IF(COUNTIF(V$42:V43,V44)&gt;0,V44&amp;COUNTIF(V$42:V43,V44)+1,V44&amp;1))</f>
        <v>3</v>
      </c>
      <c r="V44" s="3111"/>
      <c r="W44" s="3112"/>
      <c r="X44" s="3112"/>
      <c r="Y44" s="3112"/>
      <c r="Z44" s="3112"/>
      <c r="AA44" s="3113"/>
      <c r="AB44" s="3107"/>
      <c r="AC44" s="3108"/>
      <c r="AD44" s="3108"/>
      <c r="AE44" s="3108"/>
      <c r="AF44" s="3108"/>
      <c r="AG44" s="3108"/>
      <c r="AH44" s="3109"/>
      <c r="AI44" s="88" t="str">
        <f>IF(AB44=0,"",VLOOKUP(AB44,Tablas!$B$1769:$F$2269,4,FALSE))</f>
        <v/>
      </c>
      <c r="AJ44" s="84" t="str">
        <f>IF(AB44=0,"",IF(OR(TipoDeCriatura="Entre mundos, Elemental",TipoDeCriatura="Ánima, Elemental"),IF(VLOOKUP(AB44,Tablas!$B$1769:$F$2269,5,FALSE)&lt;0,VLOOKUP(AB44,Tablas!$B$1769:$F$2269,5,FALSE),MAX(VLOOKUP(AB44,Tablas!$B$1769:$F$2269,5,FALSE)-10,VLOOKUP(AB44,Tablas!$B$1769:$F$2269,5,FALSE)/2)),VLOOKUP(AB44,Tablas!$B$1769:$F$2269,5,FALSE)))</f>
        <v/>
      </c>
      <c r="AK44" s="2906"/>
      <c r="AL44" s="2904"/>
      <c r="AM44" s="555"/>
      <c r="AN44" s="23"/>
      <c r="AO44" s="23"/>
      <c r="AP44" s="23"/>
      <c r="AY44" s="2130"/>
    </row>
    <row r="45" spans="1:51" ht="12" customHeight="1" x14ac:dyDescent="0.2">
      <c r="A45" s="50"/>
      <c r="B45" s="2911"/>
      <c r="C45" s="3118"/>
      <c r="D45" s="3108"/>
      <c r="E45" s="3108"/>
      <c r="F45" s="3108"/>
      <c r="G45" s="3250"/>
      <c r="H45" s="3251"/>
      <c r="I45" s="3251"/>
      <c r="J45" s="3252"/>
      <c r="K45" s="2022"/>
      <c r="L45" s="3204"/>
      <c r="M45" s="3103" t="s">
        <v>2297</v>
      </c>
      <c r="N45" s="3103"/>
      <c r="O45" s="3105"/>
      <c r="P45" s="3105"/>
      <c r="Q45" s="1765" t="str">
        <f>IF(Medicina_final="-","-",Medicina_final+O45)</f>
        <v>-</v>
      </c>
      <c r="R45" s="2027"/>
      <c r="S45" s="2871">
        <f>IF(V45="",MAX($S$41:S44)+1,0)</f>
        <v>4</v>
      </c>
      <c r="T45" s="2551">
        <f>IF(V45="",0,MAX($T$41:T44)+1)</f>
        <v>0</v>
      </c>
      <c r="U45" s="2534">
        <f>IF(V45="",Tablas!A4,IF(COUNTIF(V$42:V44,V45)&gt;0,V45&amp;COUNTIF(V$42:V44,V45)+1,V45&amp;1))</f>
        <v>4</v>
      </c>
      <c r="V45" s="3111"/>
      <c r="W45" s="3112"/>
      <c r="X45" s="3112"/>
      <c r="Y45" s="3112"/>
      <c r="Z45" s="3112"/>
      <c r="AA45" s="3113"/>
      <c r="AB45" s="3107"/>
      <c r="AC45" s="3108"/>
      <c r="AD45" s="3108"/>
      <c r="AE45" s="3108"/>
      <c r="AF45" s="3108"/>
      <c r="AG45" s="3108"/>
      <c r="AH45" s="3109"/>
      <c r="AI45" s="88" t="str">
        <f>IF(AB45=0,"",VLOOKUP(AB45,Tablas!$B$1769:$F$2269,4,FALSE))</f>
        <v/>
      </c>
      <c r="AJ45" s="84" t="str">
        <f>IF(AB45=0,"",IF(OR(TipoDeCriatura="Entre mundos, Elemental",TipoDeCriatura="Ánima, Elemental"),IF(VLOOKUP(AB45,Tablas!$B$1769:$F$2269,5,FALSE)&lt;0,VLOOKUP(AB45,Tablas!$B$1769:$F$2269,5,FALSE),MAX(VLOOKUP(AB45,Tablas!$B$1769:$F$2269,5,FALSE)-10,VLOOKUP(AB45,Tablas!$B$1769:$F$2269,5,FALSE)/2)),VLOOKUP(AB45,Tablas!$B$1769:$F$2269,5,FALSE)))</f>
        <v/>
      </c>
      <c r="AK45" s="2906"/>
      <c r="AL45" s="2904"/>
      <c r="AM45" s="555"/>
      <c r="AN45" s="23"/>
      <c r="AO45" s="23"/>
      <c r="AP45" s="23"/>
      <c r="AY45" s="2130"/>
    </row>
    <row r="46" spans="1:51" ht="12" customHeight="1" x14ac:dyDescent="0.2">
      <c r="A46" s="50"/>
      <c r="B46" s="2911"/>
      <c r="C46" s="3253"/>
      <c r="D46" s="3254"/>
      <c r="E46" s="3254"/>
      <c r="F46" s="3254"/>
      <c r="G46" s="3250"/>
      <c r="H46" s="3251"/>
      <c r="I46" s="3251"/>
      <c r="J46" s="3252"/>
      <c r="K46" s="2022"/>
      <c r="L46" s="3204"/>
      <c r="M46" s="3103" t="s">
        <v>2298</v>
      </c>
      <c r="N46" s="3103"/>
      <c r="O46" s="3105"/>
      <c r="P46" s="3105"/>
      <c r="Q46" s="1765">
        <f>IF(Memorizar_final="-","-",Memorizar_final+O46)</f>
        <v>-25</v>
      </c>
      <c r="R46" s="2027"/>
      <c r="S46" s="2871">
        <f>IF(V46="",MAX($S$41:S45)+1,0)</f>
        <v>5</v>
      </c>
      <c r="T46" s="2551">
        <f>IF(V46="",0,MAX($T$41:T45)+1)</f>
        <v>0</v>
      </c>
      <c r="U46" s="2534">
        <f>IF(V46="",Tablas!A5,IF(COUNTIF(V$42:V45,V46)&gt;0,V46&amp;COUNTIF(V$42:V45,V46)+1,V46&amp;1))</f>
        <v>5</v>
      </c>
      <c r="V46" s="3111"/>
      <c r="W46" s="3112"/>
      <c r="X46" s="3112"/>
      <c r="Y46" s="3112"/>
      <c r="Z46" s="3112"/>
      <c r="AA46" s="3113"/>
      <c r="AB46" s="3107"/>
      <c r="AC46" s="3108"/>
      <c r="AD46" s="3108"/>
      <c r="AE46" s="3108"/>
      <c r="AF46" s="3108"/>
      <c r="AG46" s="3108"/>
      <c r="AH46" s="3109"/>
      <c r="AI46" s="88" t="str">
        <f>IF(AB46=0,"",VLOOKUP(AB46,Tablas!$B$1769:$F$2269,4,FALSE))</f>
        <v/>
      </c>
      <c r="AJ46" s="84" t="str">
        <f>IF(AB46=0,"",IF(OR(TipoDeCriatura="Entre mundos, Elemental",TipoDeCriatura="Ánima, Elemental"),IF(VLOOKUP(AB46,Tablas!$B$1769:$F$2269,5,FALSE)&lt;0,VLOOKUP(AB46,Tablas!$B$1769:$F$2269,5,FALSE),MAX(VLOOKUP(AB46,Tablas!$B$1769:$F$2269,5,FALSE)-10,VLOOKUP(AB46,Tablas!$B$1769:$F$2269,5,FALSE)/2)),VLOOKUP(AB46,Tablas!$B$1769:$F$2269,5,FALSE)))</f>
        <v/>
      </c>
      <c r="AK46" s="2906"/>
      <c r="AL46" s="2904"/>
      <c r="AM46" s="555" t="s">
        <v>9099</v>
      </c>
      <c r="AN46" s="23"/>
      <c r="AO46" s="23"/>
      <c r="AP46" s="23"/>
    </row>
    <row r="47" spans="1:51" ht="12" customHeight="1" x14ac:dyDescent="0.2">
      <c r="A47" s="50"/>
      <c r="B47" s="2911"/>
      <c r="C47" s="3308" t="s">
        <v>3987</v>
      </c>
      <c r="D47" s="3309"/>
      <c r="E47" s="3309"/>
      <c r="F47" s="3309"/>
      <c r="G47" s="3250"/>
      <c r="H47" s="3251"/>
      <c r="I47" s="3251"/>
      <c r="J47" s="3252"/>
      <c r="K47" s="2020"/>
      <c r="L47" s="3204"/>
      <c r="M47" s="3103" t="s">
        <v>2299</v>
      </c>
      <c r="N47" s="3103"/>
      <c r="O47" s="3105"/>
      <c r="P47" s="3105"/>
      <c r="Q47" s="1765">
        <f>IF(Navegación_final="-","-",Navegación_final+O47)</f>
        <v>-25</v>
      </c>
      <c r="R47" s="2027"/>
      <c r="S47" s="2871">
        <f>IF(V47="",MAX($S$41:S46)+1,0)</f>
        <v>6</v>
      </c>
      <c r="T47" s="2551">
        <f>IF(V47="",0,MAX($T$41:T46)+1)</f>
        <v>0</v>
      </c>
      <c r="U47" s="2534">
        <f>IF(V47="",Tablas!A6,IF(COUNTIF(V$42:V46,V47)&gt;0,V47&amp;COUNTIF(V$42:V46,V47)+1,V47&amp;1))</f>
        <v>6</v>
      </c>
      <c r="V47" s="3111"/>
      <c r="W47" s="3112"/>
      <c r="X47" s="3112"/>
      <c r="Y47" s="3112"/>
      <c r="Z47" s="3112"/>
      <c r="AA47" s="3113"/>
      <c r="AB47" s="3107"/>
      <c r="AC47" s="3108"/>
      <c r="AD47" s="3108"/>
      <c r="AE47" s="3108"/>
      <c r="AF47" s="3108"/>
      <c r="AG47" s="3108"/>
      <c r="AH47" s="3109"/>
      <c r="AI47" s="88" t="str">
        <f>IF(AB47=0,"",VLOOKUP(AB47,Tablas!$B$1769:$F$2269,4,FALSE))</f>
        <v/>
      </c>
      <c r="AJ47" s="84" t="str">
        <f>IF(AB47=0,"",IF(OR(TipoDeCriatura="Entre mundos, Elemental",TipoDeCriatura="Ánima, Elemental"),IF(VLOOKUP(AB47,Tablas!$B$1769:$F$2269,5,FALSE)&lt;0,VLOOKUP(AB47,Tablas!$B$1769:$F$2269,5,FALSE),MAX(VLOOKUP(AB47,Tablas!$B$1769:$F$2269,5,FALSE)-10,VLOOKUP(AB47,Tablas!$B$1769:$F$2269,5,FALSE)/2)),VLOOKUP(AB47,Tablas!$B$1769:$F$2269,5,FALSE)))</f>
        <v/>
      </c>
      <c r="AK47" s="2906"/>
      <c r="AL47" s="2904"/>
      <c r="AM47" s="2287" t="str">
        <f>IF(C48="","",VLOOKUP(C48,Tablas!$D$706:$I$772,6,FALSE))</f>
        <v/>
      </c>
      <c r="AN47" s="2923"/>
      <c r="AO47" s="23"/>
      <c r="AP47" s="23"/>
    </row>
    <row r="48" spans="1:51" ht="12" customHeight="1" x14ac:dyDescent="0.2">
      <c r="A48" s="50"/>
      <c r="B48" s="2911"/>
      <c r="C48" s="3310"/>
      <c r="D48" s="3311"/>
      <c r="E48" s="3311"/>
      <c r="F48" s="3311"/>
      <c r="G48" s="3250"/>
      <c r="H48" s="3251"/>
      <c r="I48" s="3251"/>
      <c r="J48" s="3252"/>
      <c r="K48" s="2022"/>
      <c r="L48" s="3204"/>
      <c r="M48" s="3103" t="s">
        <v>2300</v>
      </c>
      <c r="N48" s="3103"/>
      <c r="O48" s="3105"/>
      <c r="P48" s="3105"/>
      <c r="Q48" s="1765">
        <f>IF(Ocultismo_final="-","-",Ocultismo_final+O48)</f>
        <v>-20</v>
      </c>
      <c r="R48" s="2027"/>
      <c r="S48" s="2871">
        <f>IF(V48="",MAX($S$41:S47)+1,0)</f>
        <v>7</v>
      </c>
      <c r="T48" s="2551">
        <f>IF(V48="",0,MAX($T$41:T47)+1)</f>
        <v>0</v>
      </c>
      <c r="U48" s="2534">
        <f>IF(V48="",Tablas!A7,IF(COUNTIF(V$42:V47,V48)&gt;0,V48&amp;COUNTIF(V$42:V47,V48)+1,V48&amp;1))</f>
        <v>7</v>
      </c>
      <c r="V48" s="3111"/>
      <c r="W48" s="3112"/>
      <c r="X48" s="3112"/>
      <c r="Y48" s="3112"/>
      <c r="Z48" s="3112"/>
      <c r="AA48" s="3113"/>
      <c r="AB48" s="3107"/>
      <c r="AC48" s="3108"/>
      <c r="AD48" s="3108"/>
      <c r="AE48" s="3108"/>
      <c r="AF48" s="3108"/>
      <c r="AG48" s="3108"/>
      <c r="AH48" s="3109"/>
      <c r="AI48" s="88" t="str">
        <f>IF(AB48=0,"",VLOOKUP(AB48,Tablas!$B$1769:$F$2269,4,FALSE))</f>
        <v/>
      </c>
      <c r="AJ48" s="84" t="str">
        <f>IF(AB48=0,"",IF(OR(TipoDeCriatura="Entre mundos, Elemental",TipoDeCriatura="Ánima, Elemental"),IF(VLOOKUP(AB48,Tablas!$B$1769:$F$2269,5,FALSE)&lt;0,VLOOKUP(AB48,Tablas!$B$1769:$F$2269,5,FALSE),MAX(VLOOKUP(AB48,Tablas!$B$1769:$F$2269,5,FALSE)-10,VLOOKUP(AB48,Tablas!$B$1769:$F$2269,5,FALSE)/2)),VLOOKUP(AB48,Tablas!$B$1769:$F$2269,5,FALSE)))</f>
        <v/>
      </c>
      <c r="AK48" s="2906"/>
      <c r="AL48" s="2904"/>
      <c r="AM48" s="2287" t="str">
        <f>IF(C49="","",VLOOKUP(C49,Tablas!$D$706:$I$772,6,FALSE))</f>
        <v/>
      </c>
      <c r="AN48" s="2923"/>
      <c r="AO48" s="23"/>
      <c r="AP48" s="23"/>
    </row>
    <row r="49" spans="1:51" ht="12" customHeight="1" x14ac:dyDescent="0.2">
      <c r="A49" s="50"/>
      <c r="B49" s="2911"/>
      <c r="C49" s="3263"/>
      <c r="D49" s="3264"/>
      <c r="E49" s="3264"/>
      <c r="F49" s="3264"/>
      <c r="G49" s="3250"/>
      <c r="H49" s="3251"/>
      <c r="I49" s="3251"/>
      <c r="J49" s="3252"/>
      <c r="K49" s="2019"/>
      <c r="L49" s="3204"/>
      <c r="M49" s="3103" t="s">
        <v>2301</v>
      </c>
      <c r="N49" s="3103"/>
      <c r="O49" s="3105"/>
      <c r="P49" s="3105"/>
      <c r="Q49" s="1765" t="str">
        <f>IF(Tasación_final="-","-",Tasación_final+O49)</f>
        <v>-</v>
      </c>
      <c r="R49" s="2027"/>
      <c r="S49" s="2871">
        <f>IF(V49="",MAX($S$41:S48)+1,0)</f>
        <v>8</v>
      </c>
      <c r="T49" s="2551">
        <f>IF(V49="",0,MAX($T$41:T48)+1)</f>
        <v>0</v>
      </c>
      <c r="U49" s="2534">
        <f>IF(V49="",Tablas!A8,IF(COUNTIF(V$42:V48,V49)&gt;0,V49&amp;COUNTIF(V$42:V48,V49)+1,V49&amp;1))</f>
        <v>8</v>
      </c>
      <c r="V49" s="3111"/>
      <c r="W49" s="3112"/>
      <c r="X49" s="3112"/>
      <c r="Y49" s="3112"/>
      <c r="Z49" s="3112"/>
      <c r="AA49" s="3113"/>
      <c r="AB49" s="3107"/>
      <c r="AC49" s="3108"/>
      <c r="AD49" s="3108"/>
      <c r="AE49" s="3108"/>
      <c r="AF49" s="3108"/>
      <c r="AG49" s="3108"/>
      <c r="AH49" s="3109"/>
      <c r="AI49" s="88" t="str">
        <f>IF(AB49=0,"",VLOOKUP(AB49,Tablas!$B$1769:$F$2269,4,FALSE))</f>
        <v/>
      </c>
      <c r="AJ49" s="84" t="str">
        <f>IF(AB49=0,"",IF(OR(TipoDeCriatura="Entre mundos, Elemental",TipoDeCriatura="Ánima, Elemental"),IF(VLOOKUP(AB49,Tablas!$B$1769:$F$2269,5,FALSE)&lt;0,VLOOKUP(AB49,Tablas!$B$1769:$F$2269,5,FALSE),MAX(VLOOKUP(AB49,Tablas!$B$1769:$F$2269,5,FALSE)-10,VLOOKUP(AB49,Tablas!$B$1769:$F$2269,5,FALSE)/2)),VLOOKUP(AB49,Tablas!$B$1769:$F$2269,5,FALSE)))</f>
        <v/>
      </c>
      <c r="AK49" s="2906"/>
      <c r="AL49" s="2904"/>
      <c r="AM49" s="2287" t="str">
        <f>IF(C50="","",VLOOKUP(C50,Tablas!$D$706:$I$772,6,FALSE))</f>
        <v/>
      </c>
      <c r="AN49" s="23"/>
      <c r="AO49" s="23"/>
      <c r="AP49" s="23"/>
    </row>
    <row r="50" spans="1:51" ht="12" customHeight="1" thickBot="1" x14ac:dyDescent="0.25">
      <c r="A50" s="50"/>
      <c r="B50" s="2911"/>
      <c r="C50" s="3265"/>
      <c r="D50" s="3266"/>
      <c r="E50" s="3266"/>
      <c r="F50" s="3266"/>
      <c r="G50" s="3318"/>
      <c r="H50" s="3319"/>
      <c r="I50" s="3319"/>
      <c r="J50" s="3320"/>
      <c r="K50" s="2019"/>
      <c r="L50" s="3204"/>
      <c r="M50" s="3103" t="s">
        <v>2302</v>
      </c>
      <c r="N50" s="3103"/>
      <c r="O50" s="3105"/>
      <c r="P50" s="3105"/>
      <c r="Q50" s="1765" t="str">
        <f>IF(V.Mágica_final="-","-",V.Mágica_final+O50)</f>
        <v>-</v>
      </c>
      <c r="R50" s="2027"/>
      <c r="S50" s="2871">
        <f>IF(V50="",MAX($S$41:S49)+1,0)</f>
        <v>9</v>
      </c>
      <c r="T50" s="2551">
        <f>IF(V50="",0,MAX($T$41:T49)+1)</f>
        <v>0</v>
      </c>
      <c r="U50" s="2534">
        <f>IF(V50="",Tablas!A9,IF(COUNTIF(V$42:V49,V50)&gt;0,V50&amp;COUNTIF(V$42:V49,V50)+1,V50&amp;1))</f>
        <v>9</v>
      </c>
      <c r="V50" s="3111"/>
      <c r="W50" s="3112"/>
      <c r="X50" s="3112"/>
      <c r="Y50" s="3112"/>
      <c r="Z50" s="3112"/>
      <c r="AA50" s="3113"/>
      <c r="AB50" s="3107"/>
      <c r="AC50" s="3108"/>
      <c r="AD50" s="3108"/>
      <c r="AE50" s="3108"/>
      <c r="AF50" s="3108"/>
      <c r="AG50" s="3108"/>
      <c r="AH50" s="3109"/>
      <c r="AI50" s="88" t="str">
        <f>IF(AB50=0,"",VLOOKUP(AB50,Tablas!$B$1769:$F$2269,4,FALSE))</f>
        <v/>
      </c>
      <c r="AJ50" s="84" t="str">
        <f>IF(AB50=0,"",IF(OR(TipoDeCriatura="Entre mundos, Elemental",TipoDeCriatura="Ánima, Elemental"),IF(VLOOKUP(AB50,Tablas!$B$1769:$F$2269,5,FALSE)&lt;0,VLOOKUP(AB50,Tablas!$B$1769:$F$2269,5,FALSE),MAX(VLOOKUP(AB50,Tablas!$B$1769:$F$2269,5,FALSE)-10,VLOOKUP(AB50,Tablas!$B$1769:$F$2269,5,FALSE)/2)),VLOOKUP(AB50,Tablas!$B$1769:$F$2269,5,FALSE)))</f>
        <v/>
      </c>
      <c r="AK50" s="2906"/>
      <c r="AL50" s="2904"/>
      <c r="AM50" s="555"/>
      <c r="AN50" s="23"/>
      <c r="AO50" s="23"/>
      <c r="AP50" s="23"/>
    </row>
    <row r="51" spans="1:51" ht="12" customHeight="1" x14ac:dyDescent="0.2">
      <c r="A51" s="50"/>
      <c r="B51" s="2911"/>
      <c r="C51" s="3268" t="str">
        <f>IF(COUNTIF(Principal!$AM$47:$AM$49,"Trasfondo")&gt;0,"PC exclusivos trasfondo","")</f>
        <v/>
      </c>
      <c r="D51" s="3268"/>
      <c r="E51" s="3268"/>
      <c r="F51" s="2814">
        <f>-Tablas!$E$449</f>
        <v>0</v>
      </c>
      <c r="G51" s="3269" t="str">
        <f>IF(AND(COUNTIF(Principal!$AM$47:$AM$49,"Don")&gt;0,COUNTIF(Principal!$AM$47:$AM$49,"Psiquicos")&gt;0),"PC exclusivos Don/Psíquicos",IF(COUNTIF(Principal!$AM$47:$AM$49,"Don")&gt;0,"PC exclusivos Don",IF(COUNTIF(Principal!$AM$47:$AM$49,"Psiquicos")&gt;0,"PC exclusivos Psíquica","")))</f>
        <v/>
      </c>
      <c r="H51" s="3270"/>
      <c r="I51" s="3270"/>
      <c r="J51" s="2147">
        <f>-Tablas!D449</f>
        <v>0</v>
      </c>
      <c r="K51" s="2019"/>
      <c r="L51" s="3203" t="s">
        <v>2303</v>
      </c>
      <c r="M51" s="3135" t="s">
        <v>2304</v>
      </c>
      <c r="N51" s="3135"/>
      <c r="O51" s="3133"/>
      <c r="P51" s="3133"/>
      <c r="Q51" s="1764">
        <f>IF(Frialdad_final="-","-",Frialdad_final+O51)</f>
        <v>-20</v>
      </c>
      <c r="R51" s="2027"/>
      <c r="S51" s="2871">
        <f>IF(V51="",MAX($S$41:S50)+1,0)</f>
        <v>10</v>
      </c>
      <c r="T51" s="2551">
        <f>IF(V51="",0,MAX($T$41:T50)+1)</f>
        <v>0</v>
      </c>
      <c r="U51" s="2534">
        <f>IF(V51="",Tablas!A10,IF(COUNTIF(V$42:V50,V51)&gt;0,V51&amp;COUNTIF(V$42:V50,V51)+1,V51&amp;1))</f>
        <v>10</v>
      </c>
      <c r="V51" s="3111"/>
      <c r="W51" s="3112"/>
      <c r="X51" s="3112"/>
      <c r="Y51" s="3112"/>
      <c r="Z51" s="3112"/>
      <c r="AA51" s="3113"/>
      <c r="AB51" s="3107"/>
      <c r="AC51" s="3108"/>
      <c r="AD51" s="3108"/>
      <c r="AE51" s="3108"/>
      <c r="AF51" s="3108"/>
      <c r="AG51" s="3108"/>
      <c r="AH51" s="3109"/>
      <c r="AI51" s="88" t="str">
        <f>IF(AB51=0,"",VLOOKUP(AB51,Tablas!$B$1769:$F$2269,4,FALSE))</f>
        <v/>
      </c>
      <c r="AJ51" s="84" t="str">
        <f>IF(AB51=0,"",IF(OR(TipoDeCriatura="Entre mundos, Elemental",TipoDeCriatura="Ánima, Elemental"),IF(VLOOKUP(AB51,Tablas!$B$1769:$F$2269,5,FALSE)&lt;0,VLOOKUP(AB51,Tablas!$B$1769:$F$2269,5,FALSE),MAX(VLOOKUP(AB51,Tablas!$B$1769:$F$2269,5,FALSE)-10,VLOOKUP(AB51,Tablas!$B$1769:$F$2269,5,FALSE)/2)),VLOOKUP(AB51,Tablas!$B$1769:$F$2269,5,FALSE)))</f>
        <v/>
      </c>
      <c r="AK51" s="2906"/>
      <c r="AL51" s="2904"/>
      <c r="AM51" s="555"/>
      <c r="AN51" s="23"/>
      <c r="AO51" s="23"/>
      <c r="AP51" s="23"/>
    </row>
    <row r="52" spans="1:51" ht="12" customHeight="1" x14ac:dyDescent="0.2">
      <c r="A52" s="50"/>
      <c r="B52" s="2911"/>
      <c r="C52" s="73"/>
      <c r="D52" s="73"/>
      <c r="E52" s="73"/>
      <c r="F52" s="73"/>
      <c r="G52" s="73"/>
      <c r="H52" s="73"/>
      <c r="I52" s="73"/>
      <c r="J52" s="73"/>
      <c r="K52" s="2539"/>
      <c r="L52" s="3204"/>
      <c r="M52" s="3103" t="s">
        <v>2305</v>
      </c>
      <c r="N52" s="3103"/>
      <c r="O52" s="3105">
        <f>Combate!$R$17</f>
        <v>-35</v>
      </c>
      <c r="P52" s="3105"/>
      <c r="Q52" s="1765">
        <f>IF(P.Fuerza_final="-","-",P.Fuerza_final+O52)</f>
        <v>-55</v>
      </c>
      <c r="R52" s="2027"/>
      <c r="S52" s="2871">
        <f>IF(V52="",MAX($S$41:S51)+1,0)</f>
        <v>11</v>
      </c>
      <c r="T52" s="2551">
        <f>IF(V52="",0,MAX($T$41:T51)+1)</f>
        <v>0</v>
      </c>
      <c r="U52" s="2534">
        <f>IF(V52="",Tablas!A11,IF(COUNTIF(V$42:V51,V52)&gt;0,V52&amp;COUNTIF(V$42:V51,V52)+1,V52&amp;1))</f>
        <v>11</v>
      </c>
      <c r="V52" s="3111"/>
      <c r="W52" s="3112"/>
      <c r="X52" s="3112"/>
      <c r="Y52" s="3112"/>
      <c r="Z52" s="3112"/>
      <c r="AA52" s="3113"/>
      <c r="AB52" s="3107"/>
      <c r="AC52" s="3108"/>
      <c r="AD52" s="3108"/>
      <c r="AE52" s="3108"/>
      <c r="AF52" s="3108"/>
      <c r="AG52" s="3108"/>
      <c r="AH52" s="3109"/>
      <c r="AI52" s="88" t="str">
        <f>IF(AB52=0,"",VLOOKUP(AB52,Tablas!$B$1769:$F$2269,4,FALSE))</f>
        <v/>
      </c>
      <c r="AJ52" s="84" t="str">
        <f>IF(AB52=0,"",IF(OR(TipoDeCriatura="Entre mundos, Elemental",TipoDeCriatura="Ánima, Elemental"),IF(VLOOKUP(AB52,Tablas!$B$1769:$F$2269,5,FALSE)&lt;0,VLOOKUP(AB52,Tablas!$B$1769:$F$2269,5,FALSE),MAX(VLOOKUP(AB52,Tablas!$B$1769:$F$2269,5,FALSE)-10,VLOOKUP(AB52,Tablas!$B$1769:$F$2269,5,FALSE)/2)),VLOOKUP(AB52,Tablas!$B$1769:$F$2269,5,FALSE)))</f>
        <v/>
      </c>
      <c r="AK52" s="2906"/>
      <c r="AL52" s="2904"/>
      <c r="AM52" s="555"/>
      <c r="AN52" s="23"/>
      <c r="AO52" s="23"/>
      <c r="AP52" s="23"/>
    </row>
    <row r="53" spans="1:51" ht="12" customHeight="1" thickBot="1" x14ac:dyDescent="0.25">
      <c r="A53" s="50"/>
      <c r="B53" s="2911"/>
      <c r="C53" s="73"/>
      <c r="D53" s="73"/>
      <c r="E53" s="73"/>
      <c r="F53" s="73"/>
      <c r="G53" s="73"/>
      <c r="H53" s="73"/>
      <c r="I53" s="73"/>
      <c r="J53" s="73"/>
      <c r="K53" s="2539"/>
      <c r="L53" s="3205"/>
      <c r="M53" s="3106" t="s">
        <v>2308</v>
      </c>
      <c r="N53" s="3106"/>
      <c r="O53" s="3104"/>
      <c r="P53" s="3104"/>
      <c r="Q53" s="1766">
        <f>IF(Res.Dolor_final="-","-",Res.Dolor_final+O53)</f>
        <v>-20</v>
      </c>
      <c r="R53" s="2027"/>
      <c r="S53" s="2871">
        <f>IF(V53="",MAX($S$41:S52)+1,0)</f>
        <v>12</v>
      </c>
      <c r="T53" s="2551">
        <f>IF(V53="",0,MAX($T$41:T52)+1)</f>
        <v>0</v>
      </c>
      <c r="U53" s="2534">
        <f>IF(V53="",Tablas!A12,IF(COUNTIF(V$42:V52,V53)&gt;0,V53&amp;COUNTIF(V$42:V52,V53)+1,V53&amp;1))</f>
        <v>12</v>
      </c>
      <c r="V53" s="3111"/>
      <c r="W53" s="3112"/>
      <c r="X53" s="3112"/>
      <c r="Y53" s="3112"/>
      <c r="Z53" s="3112"/>
      <c r="AA53" s="3113"/>
      <c r="AB53" s="3107"/>
      <c r="AC53" s="3108"/>
      <c r="AD53" s="3108"/>
      <c r="AE53" s="3108"/>
      <c r="AF53" s="3108"/>
      <c r="AG53" s="3108"/>
      <c r="AH53" s="3109"/>
      <c r="AI53" s="88" t="str">
        <f>IF(AB53=0,"",VLOOKUP(AB53,Tablas!$B$1769:$F$2269,4,FALSE))</f>
        <v/>
      </c>
      <c r="AJ53" s="84" t="str">
        <f>IF(AB53=0,"",IF(OR(TipoDeCriatura="Entre mundos, Elemental",TipoDeCriatura="Ánima, Elemental"),IF(VLOOKUP(AB53,Tablas!$B$1769:$F$2269,5,FALSE)&lt;0,VLOOKUP(AB53,Tablas!$B$1769:$F$2269,5,FALSE),MAX(VLOOKUP(AB53,Tablas!$B$1769:$F$2269,5,FALSE)-10,VLOOKUP(AB53,Tablas!$B$1769:$F$2269,5,FALSE)/2)),VLOOKUP(AB53,Tablas!$B$1769:$F$2269,5,FALSE)))</f>
        <v/>
      </c>
      <c r="AK53" s="2906"/>
      <c r="AL53" s="2904"/>
    </row>
    <row r="54" spans="1:51" ht="12" customHeight="1" thickBot="1" x14ac:dyDescent="0.25">
      <c r="A54" s="50"/>
      <c r="B54" s="2911"/>
      <c r="C54" s="3139" t="s">
        <v>2306</v>
      </c>
      <c r="D54" s="3029"/>
      <c r="E54" s="3029"/>
      <c r="F54" s="2773" t="s">
        <v>2218</v>
      </c>
      <c r="G54" s="2773" t="s">
        <v>2220</v>
      </c>
      <c r="H54" s="2773" t="s">
        <v>2307</v>
      </c>
      <c r="I54" s="2773" t="s">
        <v>2272</v>
      </c>
      <c r="J54" s="25" t="s">
        <v>2202</v>
      </c>
      <c r="K54" s="2019"/>
      <c r="L54" s="3204" t="s">
        <v>2311</v>
      </c>
      <c r="M54" s="3103" t="s">
        <v>2312</v>
      </c>
      <c r="N54" s="3103"/>
      <c r="O54" s="3105"/>
      <c r="P54" s="3105"/>
      <c r="Q54" s="1765">
        <f>IF(Cerrajería_final="-","-",Cerrajería_final+O54)</f>
        <v>-20</v>
      </c>
      <c r="R54" s="2027"/>
      <c r="S54" s="2871">
        <f>IF(V54="",MAX($S$41:S53)+1,0)</f>
        <v>13</v>
      </c>
      <c r="T54" s="2551">
        <f>IF(V54="",0,MAX($T$41:T53)+1)</f>
        <v>0</v>
      </c>
      <c r="U54" s="2534">
        <f>IF(V54="",Tablas!A13,IF(COUNTIF(V$42:V53,V54)&gt;0,V54&amp;COUNTIF(V$42:V53,V54)+1,V54&amp;1))</f>
        <v>13</v>
      </c>
      <c r="V54" s="3111"/>
      <c r="W54" s="3112"/>
      <c r="X54" s="3112"/>
      <c r="Y54" s="3112"/>
      <c r="Z54" s="3112"/>
      <c r="AA54" s="3113"/>
      <c r="AB54" s="3107"/>
      <c r="AC54" s="3108"/>
      <c r="AD54" s="3108"/>
      <c r="AE54" s="3108"/>
      <c r="AF54" s="3108"/>
      <c r="AG54" s="3108"/>
      <c r="AH54" s="3109"/>
      <c r="AI54" s="88" t="str">
        <f>IF(AB54=0,"",VLOOKUP(AB54,Tablas!$B$1769:$F$2269,4,FALSE))</f>
        <v/>
      </c>
      <c r="AJ54" s="84" t="str">
        <f>IF(AB54=0,"",IF(OR(TipoDeCriatura="Entre mundos, Elemental",TipoDeCriatura="Ánima, Elemental"),IF(VLOOKUP(AB54,Tablas!$B$1769:$F$2269,5,FALSE)&lt;0,VLOOKUP(AB54,Tablas!$B$1769:$F$2269,5,FALSE),MAX(VLOOKUP(AB54,Tablas!$B$1769:$F$2269,5,FALSE)-10,VLOOKUP(AB54,Tablas!$B$1769:$F$2269,5,FALSE)/2)),VLOOKUP(AB54,Tablas!$B$1769:$F$2269,5,FALSE)))</f>
        <v/>
      </c>
      <c r="AK54" s="2906"/>
      <c r="AL54" s="2904"/>
    </row>
    <row r="55" spans="1:51" ht="12" customHeight="1" thickBot="1" x14ac:dyDescent="0.25">
      <c r="A55" s="50"/>
      <c r="B55" s="2911"/>
      <c r="C55" s="3139"/>
      <c r="D55" s="3262" t="s">
        <v>2309</v>
      </c>
      <c r="E55" s="3262"/>
      <c r="F55" s="2762">
        <f>IF(SUM(PDs!$X$5:$X$14)=0,20,25+(SUM(PDs!$X$5:$X$14)*5))</f>
        <v>30</v>
      </c>
      <c r="G55" s="2762" t="s">
        <v>2310</v>
      </c>
      <c r="H55" s="2762" t="s">
        <v>2310</v>
      </c>
      <c r="I55" s="128"/>
      <c r="J55" s="108">
        <f>F55+I55</f>
        <v>30</v>
      </c>
      <c r="K55" s="2019"/>
      <c r="L55" s="3204"/>
      <c r="M55" s="3103" t="s">
        <v>2314</v>
      </c>
      <c r="N55" s="3103"/>
      <c r="O55" s="3105"/>
      <c r="P55" s="3105"/>
      <c r="Q55" s="1765">
        <f>IF(Disfraz_final="-","-",Disfraz_final+O55)</f>
        <v>-20</v>
      </c>
      <c r="R55" s="2027"/>
      <c r="S55" s="2871">
        <f>IF(V55="",MAX($S$41:S54)+1,0)</f>
        <v>14</v>
      </c>
      <c r="T55" s="2551">
        <f>IF(V55="",0,MAX($T$41:T54)+1)</f>
        <v>0</v>
      </c>
      <c r="U55" s="2534">
        <f>IF(V55="",Tablas!A14,IF(COUNTIF(V$42:V54,V55)&gt;0,V55&amp;COUNTIF(V$42:V54,V55)+1,V55&amp;1))</f>
        <v>14</v>
      </c>
      <c r="V55" s="3111"/>
      <c r="W55" s="3112"/>
      <c r="X55" s="3112"/>
      <c r="Y55" s="3112"/>
      <c r="Z55" s="3112"/>
      <c r="AA55" s="3113"/>
      <c r="AB55" s="3107"/>
      <c r="AC55" s="3108"/>
      <c r="AD55" s="3108"/>
      <c r="AE55" s="3108"/>
      <c r="AF55" s="3108"/>
      <c r="AG55" s="3108"/>
      <c r="AH55" s="3109"/>
      <c r="AI55" s="88" t="str">
        <f>IF(AB55=0,"",VLOOKUP(AB55,Tablas!$B$1769:$F$2269,4,FALSE))</f>
        <v/>
      </c>
      <c r="AJ55" s="84" t="str">
        <f>IF(AB55=0,"",IF(OR(TipoDeCriatura="Entre mundos, Elemental",TipoDeCriatura="Ánima, Elemental"),IF(VLOOKUP(AB55,Tablas!$B$1769:$F$2269,5,FALSE)&lt;0,VLOOKUP(AB55,Tablas!$B$1769:$F$2269,5,FALSE),MAX(VLOOKUP(AB55,Tablas!$B$1769:$F$2269,5,FALSE)-10,VLOOKUP(AB55,Tablas!$B$1769:$F$2269,5,FALSE)/2)),VLOOKUP(AB55,Tablas!$B$1769:$F$2269,5,FALSE)))</f>
        <v/>
      </c>
      <c r="AK55" s="2906"/>
      <c r="AL55" s="2904"/>
    </row>
    <row r="56" spans="1:51" ht="12" customHeight="1" thickBot="1" x14ac:dyDescent="0.25">
      <c r="A56" s="50"/>
      <c r="B56" s="2911"/>
      <c r="C56" s="3139"/>
      <c r="D56" s="3262" t="s">
        <v>2313</v>
      </c>
      <c r="E56" s="3262"/>
      <c r="F56" s="2762">
        <f>$F$55</f>
        <v>30</v>
      </c>
      <c r="G56" s="2762">
        <f>$H$12</f>
        <v>10</v>
      </c>
      <c r="H56" s="276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40</v>
      </c>
      <c r="K56" s="2019"/>
      <c r="L56" s="3204"/>
      <c r="M56" s="3103" t="s">
        <v>2316</v>
      </c>
      <c r="N56" s="3103"/>
      <c r="O56" s="3105">
        <f>Combate!$R$17</f>
        <v>-35</v>
      </c>
      <c r="P56" s="3105"/>
      <c r="Q56" s="1765">
        <f>IF(Ocultarse_final="-","-",Ocultarse_final+O56)</f>
        <v>-55</v>
      </c>
      <c r="R56" s="2027"/>
      <c r="S56" s="2871">
        <f>IF(V56="",MAX($S$41:S55)+1,0)</f>
        <v>15</v>
      </c>
      <c r="T56" s="2551">
        <f>IF(V56="",0,MAX($T$41:T55)+1)</f>
        <v>0</v>
      </c>
      <c r="U56" s="2534">
        <f>IF(V56="",Tablas!A15,IF(COUNTIF(V$42:V55,V56)&gt;0,V56&amp;COUNTIF(V$42:V55,V56)+1,V56&amp;1))</f>
        <v>15</v>
      </c>
      <c r="V56" s="3111"/>
      <c r="W56" s="3112"/>
      <c r="X56" s="3112"/>
      <c r="Y56" s="3112"/>
      <c r="Z56" s="3112"/>
      <c r="AA56" s="3113"/>
      <c r="AB56" s="3107"/>
      <c r="AC56" s="3108"/>
      <c r="AD56" s="3108"/>
      <c r="AE56" s="3108"/>
      <c r="AF56" s="3108"/>
      <c r="AG56" s="3108"/>
      <c r="AH56" s="3109"/>
      <c r="AI56" s="88" t="str">
        <f>IF(AB56=0,"",VLOOKUP(AB56,Tablas!$B$1769:$F$2269,4,FALSE))</f>
        <v/>
      </c>
      <c r="AJ56" s="84" t="str">
        <f>IF(AB56=0,"",IF(OR(TipoDeCriatura="Entre mundos, Elemental",TipoDeCriatura="Ánima, Elemental"),IF(VLOOKUP(AB56,Tablas!$B$1769:$F$2269,5,FALSE)&lt;0,VLOOKUP(AB56,Tablas!$B$1769:$F$2269,5,FALSE),MAX(VLOOKUP(AB56,Tablas!$B$1769:$F$2269,5,FALSE)-10,VLOOKUP(AB56,Tablas!$B$1769:$F$2269,5,FALSE)/2)),VLOOKUP(AB56,Tablas!$B$1769:$F$2269,5,FALSE)))</f>
        <v/>
      </c>
      <c r="AK56" s="2906"/>
      <c r="AL56" s="2904"/>
    </row>
    <row r="57" spans="1:51" ht="12" customHeight="1" thickBot="1" x14ac:dyDescent="0.25">
      <c r="A57" s="50"/>
      <c r="B57" s="2911"/>
      <c r="C57" s="3139"/>
      <c r="D57" s="3262" t="s">
        <v>2315</v>
      </c>
      <c r="E57" s="3262"/>
      <c r="F57" s="2762">
        <f>$F$55</f>
        <v>30</v>
      </c>
      <c r="G57" s="2762">
        <f>$H$12</f>
        <v>10</v>
      </c>
      <c r="H57" s="276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8"/>
      <c r="J57" s="108">
        <f>TRUNC((SUM(F57:I57)+IF(Ki!$H$56="-",20,0)+Tablas!$F$474*25+Tablas!$F$475*50)*IF(Tablas!$F$716&gt;0,0.5,1),0)+IF(Tablas!$M$3434=0,0,Elan/2)+Tablas!I1934</f>
        <v>40</v>
      </c>
      <c r="K57" s="2539"/>
      <c r="L57" s="3204"/>
      <c r="M57" s="3103" t="s">
        <v>2318</v>
      </c>
      <c r="N57" s="3103"/>
      <c r="O57" s="3105"/>
      <c r="P57" s="3105"/>
      <c r="Q57" s="1765">
        <f>IF(Robo_final="-","-",Robo_final+O57)</f>
        <v>-20</v>
      </c>
      <c r="R57" s="2027"/>
      <c r="S57" s="2871">
        <f>IF(V57="",MAX($S$41:S56)+1,0)</f>
        <v>16</v>
      </c>
      <c r="T57" s="2551">
        <f>IF(V57="",0,MAX($T$41:T56)+1)</f>
        <v>0</v>
      </c>
      <c r="U57" s="2534">
        <f>IF(V57="",Tablas!A16,IF(COUNTIF(V$42:V56,V57)&gt;0,V57&amp;COUNTIF(V$42:V56,V57)+1,V57&amp;1))</f>
        <v>16</v>
      </c>
      <c r="V57" s="3111"/>
      <c r="W57" s="3112"/>
      <c r="X57" s="3112"/>
      <c r="Y57" s="3112"/>
      <c r="Z57" s="3112"/>
      <c r="AA57" s="3113"/>
      <c r="AB57" s="3107"/>
      <c r="AC57" s="3108"/>
      <c r="AD57" s="3108"/>
      <c r="AE57" s="3108"/>
      <c r="AF57" s="3108"/>
      <c r="AG57" s="3108"/>
      <c r="AH57" s="3109"/>
      <c r="AI57" s="88" t="str">
        <f>IF(AB57=0,"",VLOOKUP(AB57,Tablas!$B$1769:$F$2269,4,FALSE))</f>
        <v/>
      </c>
      <c r="AJ57" s="84" t="str">
        <f>IF(AB57=0,"",IF(OR(TipoDeCriatura="Entre mundos, Elemental",TipoDeCriatura="Ánima, Elemental"),IF(VLOOKUP(AB57,Tablas!$B$1769:$F$2269,5,FALSE)&lt;0,VLOOKUP(AB57,Tablas!$B$1769:$F$2269,5,FALSE),MAX(VLOOKUP(AB57,Tablas!$B$1769:$F$2269,5,FALSE)-10,VLOOKUP(AB57,Tablas!$B$1769:$F$2269,5,FALSE)/2)),VLOOKUP(AB57,Tablas!$B$1769:$F$2269,5,FALSE)))</f>
        <v/>
      </c>
      <c r="AK57" s="2906"/>
      <c r="AL57" s="2904"/>
    </row>
    <row r="58" spans="1:51" ht="12" customHeight="1" thickBot="1" x14ac:dyDescent="0.25">
      <c r="A58" s="50"/>
      <c r="B58" s="2911"/>
      <c r="C58" s="3139"/>
      <c r="D58" s="3262" t="s">
        <v>2317</v>
      </c>
      <c r="E58" s="3262"/>
      <c r="F58" s="2762">
        <f>$F$55</f>
        <v>30</v>
      </c>
      <c r="G58" s="2762">
        <f>$H$12</f>
        <v>10</v>
      </c>
      <c r="H58" s="276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8"/>
      <c r="J58" s="108">
        <f>TRUNC((SUM(F58:I58)+IF(Ki!$H$56="-",20,0)+Tablas!$F$474*25+Tablas!$F$475*50+20*Tablas!$O$553)*IF(Tablas!$F$717&gt;0,0.5,1),0)+IF(Tablas!$M$3434=0,0,Elan/2)+Tablas!I1935</f>
        <v>40</v>
      </c>
      <c r="K58" s="2019"/>
      <c r="L58" s="3204"/>
      <c r="M58" s="3103" t="s">
        <v>2320</v>
      </c>
      <c r="N58" s="3103"/>
      <c r="O58" s="3105">
        <f>MIN(MAX(Combate!H17-Combate!H16+Principal!H25,Combate!H17),TRUNC(Combate!H17/2,0))+MAX(MIN(-20*IF(OR(Combate!C12=0,Combate!B12="Natural"),0,1)-20*IF(OR(Combate!C13=0,Combate!B13="Natural"),0,1)-20*IF(OR(Combate!C14=0,Combate!B14="Natural"),0,1)+20,0),-40)</f>
        <v>-35</v>
      </c>
      <c r="P58" s="3105"/>
      <c r="Q58" s="1765">
        <f>IF(Sigilo_final="-","-",Sigilo_final+O58)</f>
        <v>-55</v>
      </c>
      <c r="R58" s="2027"/>
      <c r="S58" s="2871">
        <f>IF(V58="",MAX($S$41:S57)+1,0)</f>
        <v>17</v>
      </c>
      <c r="T58" s="2551">
        <f>IF(V58="",0,MAX($T$41:T57)+1)</f>
        <v>0</v>
      </c>
      <c r="U58" s="2534">
        <f>IF(V58="",Tablas!A17,IF(COUNTIF(V$42:V57,V58)&gt;0,V58&amp;COUNTIF(V$42:V57,V58)+1,V58&amp;1))</f>
        <v>17</v>
      </c>
      <c r="V58" s="3111"/>
      <c r="W58" s="3112"/>
      <c r="X58" s="3112"/>
      <c r="Y58" s="3112"/>
      <c r="Z58" s="3112"/>
      <c r="AA58" s="3113"/>
      <c r="AB58" s="3107"/>
      <c r="AC58" s="3108"/>
      <c r="AD58" s="3108"/>
      <c r="AE58" s="3108"/>
      <c r="AF58" s="3108"/>
      <c r="AG58" s="3108"/>
      <c r="AH58" s="3109"/>
      <c r="AI58" s="88" t="str">
        <f>IF(AB58=0,"",VLOOKUP(AB58,Tablas!$B$1769:$F$2269,4,FALSE))</f>
        <v/>
      </c>
      <c r="AJ58" s="84" t="str">
        <f>IF(AB58=0,"",IF(OR(TipoDeCriatura="Entre mundos, Elemental",TipoDeCriatura="Ánima, Elemental"),IF(VLOOKUP(AB58,Tablas!$B$1769:$F$2269,5,FALSE)&lt;0,VLOOKUP(AB58,Tablas!$B$1769:$F$2269,5,FALSE),MAX(VLOOKUP(AB58,Tablas!$B$1769:$F$2269,5,FALSE)-10,VLOOKUP(AB58,Tablas!$B$1769:$F$2269,5,FALSE)/2)),VLOOKUP(AB58,Tablas!$B$1769:$F$2269,5,FALSE)))</f>
        <v/>
      </c>
      <c r="AK58" s="2906"/>
      <c r="AL58" s="2904"/>
    </row>
    <row r="59" spans="1:51" ht="12" customHeight="1" thickBot="1" x14ac:dyDescent="0.25">
      <c r="A59" s="50"/>
      <c r="B59" s="2911"/>
      <c r="C59" s="3139"/>
      <c r="D59" s="3262" t="s">
        <v>2319</v>
      </c>
      <c r="E59" s="3262"/>
      <c r="F59" s="2762">
        <f>$F$55</f>
        <v>30</v>
      </c>
      <c r="G59" s="2762">
        <f>H17</f>
        <v>10</v>
      </c>
      <c r="H59" s="276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8"/>
      <c r="J59" s="108">
        <f>TRUNC((SUM(F59:I59)+IF(Ki!$H$56="-",20,0)+Tablas!$F$488*10+Tablas!$F$476*25+Tablas!$F$477*50)*IF(Tablas!$F$719&gt;0,0.5,1),0)+IF(Tablas!$M$3434=0,0,Elan/2)+Tablas!I1951</f>
        <v>40</v>
      </c>
      <c r="K59" s="2019"/>
      <c r="L59" s="3204"/>
      <c r="M59" s="3103" t="s">
        <v>2322</v>
      </c>
      <c r="N59" s="3103"/>
      <c r="O59" s="3105"/>
      <c r="P59" s="3105"/>
      <c r="Q59" s="1765">
        <f>IF(Trampería_final="-","-",Trampería_final+O59)</f>
        <v>-20</v>
      </c>
      <c r="R59" s="2027"/>
      <c r="S59" s="2871">
        <f>IF(V59="",MAX($S$41:S58)+1,0)</f>
        <v>18</v>
      </c>
      <c r="T59" s="2551">
        <f>IF(V59="",0,MAX($T$41:T58)+1)</f>
        <v>0</v>
      </c>
      <c r="U59" s="2534">
        <f>IF(V59="",Tablas!A18,IF(COUNTIF(V$42:V58,V59)&gt;0,V59&amp;COUNTIF(V$42:V58,V59)+1,V59&amp;1))</f>
        <v>18</v>
      </c>
      <c r="V59" s="3111"/>
      <c r="W59" s="3112"/>
      <c r="X59" s="3112"/>
      <c r="Y59" s="3112"/>
      <c r="Z59" s="3112"/>
      <c r="AA59" s="3113"/>
      <c r="AB59" s="3107"/>
      <c r="AC59" s="3108"/>
      <c r="AD59" s="3108"/>
      <c r="AE59" s="3108"/>
      <c r="AF59" s="3108"/>
      <c r="AG59" s="3108"/>
      <c r="AH59" s="3109"/>
      <c r="AI59" s="88" t="str">
        <f>IF(AB59=0,"",VLOOKUP(AB59,Tablas!$B$1769:$F$2269,4,FALSE))</f>
        <v/>
      </c>
      <c r="AJ59" s="84" t="str">
        <f>IF(AB59=0,"",IF(OR(TipoDeCriatura="Entre mundos, Elemental",TipoDeCriatura="Ánima, Elemental"),IF(VLOOKUP(AB59,Tablas!$B$1769:$F$2269,5,FALSE)&lt;0,VLOOKUP(AB59,Tablas!$B$1769:$F$2269,5,FALSE),MAX(VLOOKUP(AB59,Tablas!$B$1769:$F$2269,5,FALSE)-10,VLOOKUP(AB59,Tablas!$B$1769:$F$2269,5,FALSE)/2)),VLOOKUP(AB59,Tablas!$B$1769:$F$2269,5,FALSE)))</f>
        <v/>
      </c>
      <c r="AK59" s="2906"/>
      <c r="AL59" s="2904"/>
    </row>
    <row r="60" spans="1:51" ht="12" customHeight="1" thickBot="1" x14ac:dyDescent="0.25">
      <c r="A60" s="50"/>
      <c r="B60" s="2911"/>
      <c r="C60" s="3139"/>
      <c r="D60" s="3267" t="s">
        <v>2321</v>
      </c>
      <c r="E60" s="3267"/>
      <c r="F60" s="2762">
        <f>$F$55</f>
        <v>30</v>
      </c>
      <c r="G60" s="129">
        <f>H18</f>
        <v>10</v>
      </c>
      <c r="H60" s="12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30"/>
      <c r="J60" s="131">
        <f>SUM(F60:I60)+IF(Ki!$H$56="-",20,0)+Tablas!$F$478*25+Tablas!$F$479*50+IF(Tablas!$M$3434=0,0,Elan/2)+Tablas!I1941+IF('Tablas psiquica'!$AF$8&gt;0,INDEX('Tablas psiquica'!$V$8:$AE$8,MATCH('Tablas psiquica'!$AG$8,'Tablas psiquica'!$V$6:$AE$6,0)))</f>
        <v>40</v>
      </c>
      <c r="K60" s="2019"/>
      <c r="L60" s="3204"/>
      <c r="M60" s="3103" t="s">
        <v>2323</v>
      </c>
      <c r="N60" s="3103"/>
      <c r="O60" s="3105"/>
      <c r="P60" s="3105"/>
      <c r="Q60" s="1765">
        <f>IF(Venenos_final="-","-",Venenos_final+O60)</f>
        <v>-25</v>
      </c>
      <c r="R60" s="2027"/>
      <c r="S60" s="2871">
        <f>IF(V60="",MAX($S$41:S59)+1,0)</f>
        <v>19</v>
      </c>
      <c r="T60" s="2551">
        <f>IF(V60="",0,MAX($T$41:T59)+1)</f>
        <v>0</v>
      </c>
      <c r="U60" s="2534">
        <f>IF(V60="",Tablas!A19,IF(COUNTIF(V$42:V59,V60)&gt;0,V60&amp;COUNTIF(V$42:V59,V60)+1,V60&amp;1))</f>
        <v>19</v>
      </c>
      <c r="V60" s="3111"/>
      <c r="W60" s="3112"/>
      <c r="X60" s="3112"/>
      <c r="Y60" s="3112"/>
      <c r="Z60" s="3112"/>
      <c r="AA60" s="3113"/>
      <c r="AB60" s="3107"/>
      <c r="AC60" s="3108"/>
      <c r="AD60" s="3108"/>
      <c r="AE60" s="3108"/>
      <c r="AF60" s="3108"/>
      <c r="AG60" s="3108"/>
      <c r="AH60" s="3109"/>
      <c r="AI60" s="88" t="str">
        <f>IF(AB60=0,"",VLOOKUP(AB60,Tablas!$B$1769:$F$2269,4,FALSE))</f>
        <v/>
      </c>
      <c r="AJ60" s="84" t="str">
        <f>IF(AB60=0,"",IF(OR(TipoDeCriatura="Entre mundos, Elemental",TipoDeCriatura="Ánima, Elemental"),IF(VLOOKUP(AB60,Tablas!$B$1769:$F$2269,5,FALSE)&lt;0,VLOOKUP(AB60,Tablas!$B$1769:$F$2269,5,FALSE),MAX(VLOOKUP(AB60,Tablas!$B$1769:$F$2269,5,FALSE)-10,VLOOKUP(AB60,Tablas!$B$1769:$F$2269,5,FALSE)/2)),VLOOKUP(AB60,Tablas!$B$1769:$F$2269,5,FALSE)))</f>
        <v/>
      </c>
      <c r="AK60" s="2906"/>
      <c r="AL60" s="2904"/>
    </row>
    <row r="61" spans="1:51" ht="12" customHeight="1" thickBot="1" x14ac:dyDescent="0.25">
      <c r="A61" s="50"/>
      <c r="B61" s="2911"/>
      <c r="C61" s="3139"/>
      <c r="D61" s="2761" t="s">
        <v>2232</v>
      </c>
      <c r="E61" s="3258"/>
      <c r="F61" s="3258"/>
      <c r="G61" s="3258"/>
      <c r="H61" s="3258"/>
      <c r="I61" s="3258"/>
      <c r="J61" s="3258"/>
      <c r="K61" s="2019"/>
      <c r="L61" s="3203" t="s">
        <v>2324</v>
      </c>
      <c r="M61" s="3135" t="s">
        <v>2325</v>
      </c>
      <c r="N61" s="3135"/>
      <c r="O61" s="3133"/>
      <c r="P61" s="3133"/>
      <c r="Q61" s="1764">
        <f>IF(Arte_final="-","-",Arte_final+O61)</f>
        <v>-20</v>
      </c>
      <c r="R61" s="2027"/>
      <c r="S61" s="2871">
        <f>IF(V61="",MAX($S$41:S60)+1,0)</f>
        <v>20</v>
      </c>
      <c r="T61" s="2551">
        <f>IF(V61="",0,MAX($T$41:T60)+1)</f>
        <v>0</v>
      </c>
      <c r="U61" s="2534">
        <f>IF(V61="",Tablas!A20,IF(COUNTIF(V$42:V60,V61)&gt;0,V61&amp;COUNTIF(V$42:V60,V61)+1,V61&amp;1))</f>
        <v>20</v>
      </c>
      <c r="V61" s="3111"/>
      <c r="W61" s="3112"/>
      <c r="X61" s="3112"/>
      <c r="Y61" s="3112"/>
      <c r="Z61" s="3112"/>
      <c r="AA61" s="3113"/>
      <c r="AB61" s="3107"/>
      <c r="AC61" s="3108"/>
      <c r="AD61" s="3108"/>
      <c r="AE61" s="3108"/>
      <c r="AF61" s="3108"/>
      <c r="AG61" s="3108"/>
      <c r="AH61" s="3109"/>
      <c r="AI61" s="88" t="str">
        <f>IF(AB61=0,"",VLOOKUP(AB61,Tablas!$B$1769:$F$2269,4,FALSE))</f>
        <v/>
      </c>
      <c r="AJ61" s="84" t="str">
        <f>IF(AB61=0,"",IF(OR(TipoDeCriatura="Entre mundos, Elemental",TipoDeCriatura="Ánima, Elemental"),IF(VLOOKUP(AB61,Tablas!$B$1769:$F$2269,5,FALSE)&lt;0,VLOOKUP(AB61,Tablas!$B$1769:$F$2269,5,FALSE),MAX(VLOOKUP(AB61,Tablas!$B$1769:$F$2269,5,FALSE)-10,VLOOKUP(AB61,Tablas!$B$1769:$F$2269,5,FALSE)/2)),VLOOKUP(AB61,Tablas!$B$1769:$F$2269,5,FALSE)))</f>
        <v/>
      </c>
      <c r="AK61" s="2906"/>
      <c r="AL61" s="2904"/>
    </row>
    <row r="62" spans="1:51" ht="12" customHeight="1" thickBot="1" x14ac:dyDescent="0.25">
      <c r="A62" s="50"/>
      <c r="B62" s="2911"/>
      <c r="C62" s="3139"/>
      <c r="D62" s="61"/>
      <c r="E62" s="3258"/>
      <c r="F62" s="3258"/>
      <c r="G62" s="3258"/>
      <c r="H62" s="3258"/>
      <c r="I62" s="3258"/>
      <c r="J62" s="3258"/>
      <c r="K62" s="2019"/>
      <c r="L62" s="3204"/>
      <c r="M62" s="3103" t="s">
        <v>2326</v>
      </c>
      <c r="N62" s="3103"/>
      <c r="O62" s="3105">
        <f>Combate!$R$17</f>
        <v>-35</v>
      </c>
      <c r="P62" s="3105"/>
      <c r="Q62" s="1765">
        <f>IF(Baile_final="-","-",Baile_final+O62)</f>
        <v>-55</v>
      </c>
      <c r="R62" s="2027"/>
      <c r="S62" s="2871">
        <f>IF(V62="",MAX($S$41:S61)+1,0)</f>
        <v>21</v>
      </c>
      <c r="T62" s="2551">
        <f>IF(V62="",0,MAX($T$41:T61)+1)</f>
        <v>0</v>
      </c>
      <c r="U62" s="2534">
        <f>IF(V62="",Tablas!A21,IF(COUNTIF(V$42:V61,V62)&gt;0,V62&amp;COUNTIF(V$42:V61,V62)+1,V62&amp;1))</f>
        <v>21</v>
      </c>
      <c r="V62" s="3111"/>
      <c r="W62" s="3112"/>
      <c r="X62" s="3112"/>
      <c r="Y62" s="3112"/>
      <c r="Z62" s="3112"/>
      <c r="AA62" s="3113"/>
      <c r="AB62" s="3107"/>
      <c r="AC62" s="3108"/>
      <c r="AD62" s="3108"/>
      <c r="AE62" s="3108"/>
      <c r="AF62" s="3108"/>
      <c r="AG62" s="3108"/>
      <c r="AH62" s="3109"/>
      <c r="AI62" s="88" t="str">
        <f>IF(AB62=0,"",VLOOKUP(AB62,Tablas!$B$1769:$F$2269,4,FALSE))</f>
        <v/>
      </c>
      <c r="AJ62" s="84" t="str">
        <f>IF(AB62=0,"",IF(OR(TipoDeCriatura="Entre mundos, Elemental",TipoDeCriatura="Ánima, Elemental"),IF(VLOOKUP(AB62,Tablas!$B$1769:$F$2269,5,FALSE)&lt;0,VLOOKUP(AB62,Tablas!$B$1769:$F$2269,5,FALSE),MAX(VLOOKUP(AB62,Tablas!$B$1769:$F$2269,5,FALSE)-10,VLOOKUP(AB62,Tablas!$B$1769:$F$2269,5,FALSE)/2)),VLOOKUP(AB62,Tablas!$B$1769:$F$2269,5,FALSE)))</f>
        <v/>
      </c>
      <c r="AK62" s="2906"/>
      <c r="AL62" s="2904"/>
    </row>
    <row r="63" spans="1:51" ht="12" customHeight="1" thickBot="1" x14ac:dyDescent="0.25">
      <c r="A63" s="50"/>
      <c r="B63" s="2911"/>
      <c r="C63" s="3139"/>
      <c r="D63" s="3249"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249"/>
      <c r="F63" s="3249"/>
      <c r="G63" s="3249"/>
      <c r="H63" s="3249"/>
      <c r="I63" s="3249"/>
      <c r="J63" s="3249"/>
      <c r="K63" s="2019"/>
      <c r="L63" s="3204"/>
      <c r="M63" s="3103" t="s">
        <v>2327</v>
      </c>
      <c r="N63" s="3103"/>
      <c r="O63" s="3105"/>
      <c r="P63" s="3105"/>
      <c r="Q63" s="1765" t="str">
        <f>IF(Forja_final="-","-",Forja_final+O63)</f>
        <v>-</v>
      </c>
      <c r="R63" s="2027"/>
      <c r="S63" s="2871">
        <f>IF(V63="",MAX($S$41:S62)+1,0)</f>
        <v>22</v>
      </c>
      <c r="T63" s="2551">
        <f>IF(V63="",0,MAX($T$41:T62)+1)</f>
        <v>0</v>
      </c>
      <c r="U63" s="2534">
        <f>IF(V63="",Tablas!A22,IF(COUNTIF(V$42:V62,V63)&gt;0,V63&amp;COUNTIF(V$42:V62,V63)+1,V63&amp;1))</f>
        <v>22</v>
      </c>
      <c r="V63" s="3111"/>
      <c r="W63" s="3112"/>
      <c r="X63" s="3112"/>
      <c r="Y63" s="3112"/>
      <c r="Z63" s="3112"/>
      <c r="AA63" s="3113"/>
      <c r="AB63" s="3107"/>
      <c r="AC63" s="3108"/>
      <c r="AD63" s="3108"/>
      <c r="AE63" s="3108"/>
      <c r="AF63" s="3108"/>
      <c r="AG63" s="3108"/>
      <c r="AH63" s="3109"/>
      <c r="AI63" s="88" t="str">
        <f>IF(AB63=0,"",VLOOKUP(AB63,Tablas!$B$1769:$F$2269,4,FALSE))</f>
        <v/>
      </c>
      <c r="AJ63" s="84" t="str">
        <f>IF(AB63=0,"",IF(OR(TipoDeCriatura="Entre mundos, Elemental",TipoDeCriatura="Ánima, Elemental"),IF(VLOOKUP(AB63,Tablas!$B$1769:$F$2269,5,FALSE)&lt;0,VLOOKUP(AB63,Tablas!$B$1769:$F$2269,5,FALSE),MAX(VLOOKUP(AB63,Tablas!$B$1769:$F$2269,5,FALSE)-10,VLOOKUP(AB63,Tablas!$B$1769:$F$2269,5,FALSE)/2)),VLOOKUP(AB63,Tablas!$B$1769:$F$2269,5,FALSE)))</f>
        <v/>
      </c>
      <c r="AK63" s="2906"/>
      <c r="AL63" s="2904"/>
      <c r="AW63" s="2750"/>
      <c r="AX63" s="2130"/>
      <c r="AY63" s="2130"/>
    </row>
    <row r="64" spans="1:51" ht="12" customHeight="1" x14ac:dyDescent="0.2">
      <c r="A64" s="50"/>
      <c r="B64" s="2911"/>
      <c r="C64" s="73"/>
      <c r="D64" s="73"/>
      <c r="E64" s="73"/>
      <c r="F64" s="73"/>
      <c r="G64" s="73"/>
      <c r="H64" s="73"/>
      <c r="I64" s="73"/>
      <c r="J64" s="73"/>
      <c r="K64" s="2019"/>
      <c r="L64" s="3204"/>
      <c r="M64" s="3103" t="s">
        <v>1279</v>
      </c>
      <c r="N64" s="3103"/>
      <c r="O64" s="3105"/>
      <c r="P64" s="3105"/>
      <c r="Q64" s="1765" t="str">
        <f>IF(Runas_final="-","-",Runas_final+O64)</f>
        <v>-</v>
      </c>
      <c r="R64" s="2027"/>
      <c r="S64" s="2871">
        <f>IF(V64="",MAX($S$41:S63)+1,0)</f>
        <v>23</v>
      </c>
      <c r="T64" s="2551">
        <f>IF(V64="",0,MAX($T$41:T63)+1)</f>
        <v>0</v>
      </c>
      <c r="U64" s="2534">
        <f>IF(V64="",Tablas!A23,IF(COUNTIF(V$42:V63,V64)&gt;0,V64&amp;COUNTIF(V$42:V63,V64)+1,V64&amp;1))</f>
        <v>23</v>
      </c>
      <c r="V64" s="3111"/>
      <c r="W64" s="3112"/>
      <c r="X64" s="3112"/>
      <c r="Y64" s="3112"/>
      <c r="Z64" s="3112"/>
      <c r="AA64" s="3113"/>
      <c r="AB64" s="3107"/>
      <c r="AC64" s="3108"/>
      <c r="AD64" s="3108"/>
      <c r="AE64" s="3108"/>
      <c r="AF64" s="3108"/>
      <c r="AG64" s="3108"/>
      <c r="AH64" s="3109"/>
      <c r="AI64" s="88" t="str">
        <f>IF(AB64=0,"",VLOOKUP(AB64,Tablas!$B$1769:$F$2269,4,FALSE))</f>
        <v/>
      </c>
      <c r="AJ64" s="84" t="str">
        <f>IF(AB64=0,"",IF(OR(TipoDeCriatura="Entre mundos, Elemental",TipoDeCriatura="Ánima, Elemental"),IF(VLOOKUP(AB64,Tablas!$B$1769:$F$2269,5,FALSE)&lt;0,VLOOKUP(AB64,Tablas!$B$1769:$F$2269,5,FALSE),MAX(VLOOKUP(AB64,Tablas!$B$1769:$F$2269,5,FALSE)-10,VLOOKUP(AB64,Tablas!$B$1769:$F$2269,5,FALSE)/2)),VLOOKUP(AB64,Tablas!$B$1769:$F$2269,5,FALSE)))</f>
        <v/>
      </c>
      <c r="AK64" s="2906"/>
      <c r="AL64" s="2904"/>
      <c r="AW64" s="2750"/>
      <c r="AX64" s="2130"/>
      <c r="AY64" s="2130"/>
    </row>
    <row r="65" spans="1:59" ht="12" customHeight="1" thickBot="1" x14ac:dyDescent="0.25">
      <c r="A65" s="50"/>
      <c r="B65" s="2911"/>
      <c r="C65" s="73"/>
      <c r="D65" s="73"/>
      <c r="E65" s="73"/>
      <c r="F65" s="73"/>
      <c r="G65" s="73"/>
      <c r="H65" s="73"/>
      <c r="I65" s="73"/>
      <c r="J65" s="73"/>
      <c r="K65" s="2019"/>
      <c r="L65" s="3204"/>
      <c r="M65" s="3103" t="s">
        <v>1280</v>
      </c>
      <c r="N65" s="3103"/>
      <c r="O65" s="3105"/>
      <c r="P65" s="3105"/>
      <c r="Q65" s="1765" t="str">
        <f>IF(Alquimia_final="-","-",Alquimia_final+O65)</f>
        <v>-</v>
      </c>
      <c r="R65" s="2027"/>
      <c r="S65" s="2871">
        <f>IF(V65="",MAX($S$41:S64)+1,0)</f>
        <v>24</v>
      </c>
      <c r="T65" s="2551">
        <f>IF(V65="",0,MAX($T$41:T64)+1)</f>
        <v>0</v>
      </c>
      <c r="U65" s="2534">
        <f>IF(V65="",Tablas!A24,IF(COUNTIF(V$42:V64,V65)&gt;0,V65&amp;COUNTIF(V$42:V64,V65)+1,V65&amp;1))</f>
        <v>24</v>
      </c>
      <c r="V65" s="3111"/>
      <c r="W65" s="3112"/>
      <c r="X65" s="3112"/>
      <c r="Y65" s="3112"/>
      <c r="Z65" s="3112"/>
      <c r="AA65" s="3113"/>
      <c r="AB65" s="3107"/>
      <c r="AC65" s="3108"/>
      <c r="AD65" s="3108"/>
      <c r="AE65" s="3108"/>
      <c r="AF65" s="3108"/>
      <c r="AG65" s="3108"/>
      <c r="AH65" s="3109"/>
      <c r="AI65" s="88" t="str">
        <f>IF(AB65=0,"",VLOOKUP(AB65,Tablas!$B$1769:$F$2269,4,FALSE))</f>
        <v/>
      </c>
      <c r="AJ65" s="84" t="str">
        <f>IF(AB65=0,"",IF(OR(TipoDeCriatura="Entre mundos, Elemental",TipoDeCriatura="Ánima, Elemental"),IF(VLOOKUP(AB65,Tablas!$B$1769:$F$2269,5,FALSE)&lt;0,VLOOKUP(AB65,Tablas!$B$1769:$F$2269,5,FALSE),MAX(VLOOKUP(AB65,Tablas!$B$1769:$F$2269,5,FALSE)-10,VLOOKUP(AB65,Tablas!$B$1769:$F$2269,5,FALSE)/2)),VLOOKUP(AB65,Tablas!$B$1769:$F$2269,5,FALSE)))</f>
        <v/>
      </c>
      <c r="AK65" s="2906"/>
      <c r="AL65" s="2904"/>
      <c r="AW65" s="2750"/>
      <c r="AX65" s="2130"/>
      <c r="AY65" s="2130"/>
      <c r="AZ65" s="2703"/>
      <c r="BA65" s="2703"/>
      <c r="BB65" s="2690"/>
      <c r="BC65" s="2690"/>
      <c r="BD65" s="132"/>
      <c r="BE65" s="132"/>
      <c r="BF65" s="132"/>
      <c r="BG65" s="132"/>
    </row>
    <row r="66" spans="1:59" ht="12" customHeight="1" thickBot="1" x14ac:dyDescent="0.25">
      <c r="A66" s="50"/>
      <c r="B66" s="2911"/>
      <c r="C66" s="3292" t="s">
        <v>2329</v>
      </c>
      <c r="D66" s="3292"/>
      <c r="E66" s="133">
        <f>IF(INT=0,0,VLOOKUP(INT,Tabla_Idiomas,2))</f>
        <v>3</v>
      </c>
      <c r="F66" s="73"/>
      <c r="G66" s="3293" t="s">
        <v>2330</v>
      </c>
      <c r="H66" s="3293"/>
      <c r="I66" s="3293"/>
      <c r="J66" s="3293"/>
      <c r="K66" s="2019"/>
      <c r="L66" s="3204"/>
      <c r="M66" s="3103" t="s">
        <v>1281</v>
      </c>
      <c r="N66" s="3103"/>
      <c r="O66" s="3105"/>
      <c r="P66" s="3105"/>
      <c r="Q66" s="1765" t="str">
        <f>IF(Animismo_final="-","-",Animismo_final+O66)</f>
        <v>-</v>
      </c>
      <c r="R66" s="2027"/>
      <c r="S66" s="2871">
        <f>IF(V66="",MAX($S$41:S65)+1,0)</f>
        <v>25</v>
      </c>
      <c r="T66" s="2551">
        <f>IF(V66="",0,MAX($T$41:T65)+1)</f>
        <v>0</v>
      </c>
      <c r="U66" s="2534">
        <f>IF(V66="",Tablas!A25,IF(COUNTIF(V$42:V65,V66)&gt;0,V66&amp;COUNTIF(V$42:V65,V66)+1,V66&amp;1))</f>
        <v>25</v>
      </c>
      <c r="V66" s="3111"/>
      <c r="W66" s="3112"/>
      <c r="X66" s="3112"/>
      <c r="Y66" s="3112"/>
      <c r="Z66" s="3112"/>
      <c r="AA66" s="3113"/>
      <c r="AB66" s="3107"/>
      <c r="AC66" s="3108"/>
      <c r="AD66" s="3108"/>
      <c r="AE66" s="3108"/>
      <c r="AF66" s="3108"/>
      <c r="AG66" s="3108"/>
      <c r="AH66" s="3109"/>
      <c r="AI66" s="88" t="str">
        <f>IF(AB66=0,"",VLOOKUP(AB66,Tablas!$B$1769:$F$2269,4,FALSE))</f>
        <v/>
      </c>
      <c r="AJ66" s="84" t="str">
        <f>IF(AB66=0,"",IF(OR(TipoDeCriatura="Entre mundos, Elemental",TipoDeCriatura="Ánima, Elemental"),IF(VLOOKUP(AB66,Tablas!$B$1769:$F$2269,5,FALSE)&lt;0,VLOOKUP(AB66,Tablas!$B$1769:$F$2269,5,FALSE),MAX(VLOOKUP(AB66,Tablas!$B$1769:$F$2269,5,FALSE)-10,VLOOKUP(AB66,Tablas!$B$1769:$F$2269,5,FALSE)/2)),VLOOKUP(AB66,Tablas!$B$1769:$F$2269,5,FALSE)))</f>
        <v/>
      </c>
      <c r="AK66" s="2906"/>
      <c r="AL66" s="2904"/>
      <c r="AW66" s="2750"/>
      <c r="AX66" s="2130"/>
      <c r="AY66" s="2130"/>
      <c r="AZ66" s="2703"/>
      <c r="BA66" s="2703"/>
      <c r="BB66" s="2690"/>
      <c r="BC66" s="2690"/>
      <c r="BD66" s="132"/>
      <c r="BE66" s="132"/>
      <c r="BF66" s="132"/>
      <c r="BG66" s="132"/>
    </row>
    <row r="67" spans="1:59" ht="12" customHeight="1" thickBot="1" x14ac:dyDescent="0.25">
      <c r="A67" s="50"/>
      <c r="B67" s="2911"/>
      <c r="C67" s="102" t="s">
        <v>2218</v>
      </c>
      <c r="D67" s="3296"/>
      <c r="E67" s="3296"/>
      <c r="F67" s="73"/>
      <c r="G67" s="3297"/>
      <c r="H67" s="3297"/>
      <c r="I67" s="3297"/>
      <c r="J67" s="3297"/>
      <c r="K67" s="2019"/>
      <c r="L67" s="3204"/>
      <c r="M67" s="3103" t="s">
        <v>2328</v>
      </c>
      <c r="N67" s="3103"/>
      <c r="O67" s="3105"/>
      <c r="P67" s="3105"/>
      <c r="Q67" s="1765" t="str">
        <f>IF(Música_final="-","-",Música_final+O67)</f>
        <v>-</v>
      </c>
      <c r="R67" s="2027"/>
      <c r="S67" s="2871">
        <f>IF(V67="",MAX($S$41:S66)+1,0)</f>
        <v>26</v>
      </c>
      <c r="T67" s="2551">
        <f>IF(V67="",0,MAX($T$41:T66)+1)</f>
        <v>0</v>
      </c>
      <c r="U67" s="2534">
        <f>IF(V67="",Tablas!A26,IF(COUNTIF(V$42:V66,V67)&gt;0,V67&amp;COUNTIF(V$42:V66,V67)+1,V67&amp;1))</f>
        <v>26</v>
      </c>
      <c r="V67" s="3111"/>
      <c r="W67" s="3112"/>
      <c r="X67" s="3112"/>
      <c r="Y67" s="3112"/>
      <c r="Z67" s="3112"/>
      <c r="AA67" s="3113"/>
      <c r="AB67" s="3107"/>
      <c r="AC67" s="3108"/>
      <c r="AD67" s="3108"/>
      <c r="AE67" s="3108"/>
      <c r="AF67" s="3108"/>
      <c r="AG67" s="3108"/>
      <c r="AH67" s="3109"/>
      <c r="AI67" s="88" t="str">
        <f>IF(AB67=0,"",VLOOKUP(AB67,Tablas!$B$1769:$F$2269,4,FALSE))</f>
        <v/>
      </c>
      <c r="AJ67" s="84" t="str">
        <f>IF(AB67=0,"",IF(OR(TipoDeCriatura="Entre mundos, Elemental",TipoDeCriatura="Ánima, Elemental"),IF(VLOOKUP(AB67,Tablas!$B$1769:$F$2269,5,FALSE)&lt;0,VLOOKUP(AB67,Tablas!$B$1769:$F$2269,5,FALSE),MAX(VLOOKUP(AB67,Tablas!$B$1769:$F$2269,5,FALSE)-10,VLOOKUP(AB67,Tablas!$B$1769:$F$2269,5,FALSE)/2)),VLOOKUP(AB67,Tablas!$B$1769:$F$2269,5,FALSE)))</f>
        <v/>
      </c>
      <c r="AK67" s="2906"/>
      <c r="AL67" s="2904"/>
      <c r="AW67" s="2750"/>
      <c r="AX67" s="2130"/>
      <c r="AY67" s="2130"/>
      <c r="AZ67" s="2703"/>
      <c r="BA67" s="2703"/>
      <c r="BB67" s="2690"/>
      <c r="BC67" s="2690"/>
      <c r="BD67" s="132"/>
      <c r="BE67" s="132"/>
      <c r="BF67" s="132"/>
      <c r="BG67" s="132"/>
    </row>
    <row r="68" spans="1:59" ht="12" customHeight="1" thickBot="1" x14ac:dyDescent="0.25">
      <c r="A68" s="50"/>
      <c r="B68" s="2911"/>
      <c r="C68" s="135" t="s">
        <v>2333</v>
      </c>
      <c r="D68" s="3261"/>
      <c r="E68" s="3261"/>
      <c r="F68" s="73"/>
      <c r="G68" s="3297"/>
      <c r="H68" s="3297"/>
      <c r="I68" s="3297"/>
      <c r="J68" s="3297"/>
      <c r="K68" s="2019"/>
      <c r="L68" s="3204"/>
      <c r="M68" s="3103" t="s">
        <v>2331</v>
      </c>
      <c r="N68" s="3103"/>
      <c r="O68" s="3105"/>
      <c r="P68" s="3105"/>
      <c r="Q68" s="1765">
        <f>IF(T.Manos_final="-","-",T.Manos_final+O68)</f>
        <v>-20</v>
      </c>
      <c r="R68" s="2027"/>
      <c r="S68" s="2871">
        <f>IF(V68="",MAX($S$41:S67)+1,0)</f>
        <v>27</v>
      </c>
      <c r="T68" s="2551">
        <f>IF(V68="",0,MAX($T$41:T67)+1)</f>
        <v>0</v>
      </c>
      <c r="U68" s="2534">
        <f>IF(V68="",Tablas!A27,IF(COUNTIF(V$42:V67,V68)&gt;0,V68&amp;COUNTIF(V$42:V67,V68)+1,V68&amp;1))</f>
        <v>27</v>
      </c>
      <c r="V68" s="3111"/>
      <c r="W68" s="3112"/>
      <c r="X68" s="3112"/>
      <c r="Y68" s="3112"/>
      <c r="Z68" s="3112"/>
      <c r="AA68" s="3113"/>
      <c r="AB68" s="3107"/>
      <c r="AC68" s="3108"/>
      <c r="AD68" s="3108"/>
      <c r="AE68" s="3108"/>
      <c r="AF68" s="3108"/>
      <c r="AG68" s="3108"/>
      <c r="AH68" s="3109"/>
      <c r="AI68" s="88" t="str">
        <f>IF(AB68=0,"",VLOOKUP(AB68,Tablas!$B$1769:$F$2269,4,FALSE))</f>
        <v/>
      </c>
      <c r="AJ68" s="84" t="str">
        <f>IF(AB68=0,"",IF(OR(TipoDeCriatura="Entre mundos, Elemental",TipoDeCriatura="Ánima, Elemental"),IF(VLOOKUP(AB68,Tablas!$B$1769:$F$2269,5,FALSE)&lt;0,VLOOKUP(AB68,Tablas!$B$1769:$F$2269,5,FALSE),MAX(VLOOKUP(AB68,Tablas!$B$1769:$F$2269,5,FALSE)-10,VLOOKUP(AB68,Tablas!$B$1769:$F$2269,5,FALSE)/2)),VLOOKUP(AB68,Tablas!$B$1769:$F$2269,5,FALSE)))</f>
        <v/>
      </c>
      <c r="AK68" s="2906"/>
      <c r="AL68" s="2904"/>
      <c r="AW68" s="2750"/>
      <c r="AX68" s="2130"/>
      <c r="AY68" s="2130"/>
      <c r="AZ68" s="2703"/>
      <c r="BA68" s="2703"/>
      <c r="BB68" s="2690"/>
      <c r="BC68" s="2690"/>
      <c r="BD68" s="132"/>
      <c r="BE68" s="132"/>
      <c r="BF68" s="132"/>
      <c r="BG68" s="132"/>
    </row>
    <row r="69" spans="1:59" ht="12" customHeight="1" thickBot="1" x14ac:dyDescent="0.25">
      <c r="A69" s="50"/>
      <c r="B69" s="2911"/>
      <c r="C69" s="107" t="s">
        <v>2334</v>
      </c>
      <c r="D69" s="3261"/>
      <c r="E69" s="3261"/>
      <c r="F69" s="73"/>
      <c r="G69" s="3297"/>
      <c r="H69" s="3297"/>
      <c r="I69" s="3297"/>
      <c r="J69" s="3297"/>
      <c r="K69" s="2019"/>
      <c r="L69" s="3204"/>
      <c r="M69" s="3103" t="s">
        <v>8783</v>
      </c>
      <c r="N69" s="3103"/>
      <c r="O69" s="3105"/>
      <c r="P69" s="3105"/>
      <c r="Q69" s="1765" t="str">
        <f>IF(Caligrafíaritual_final="-","-",Caligrafíaritual_final+O69)</f>
        <v>-</v>
      </c>
      <c r="R69" s="2027"/>
      <c r="S69" s="2871">
        <f>IF(V69="",MAX($S$41:S68)+1,0)</f>
        <v>28</v>
      </c>
      <c r="T69" s="2551">
        <f>IF(V69="",0,MAX($T$41:T68)+1)</f>
        <v>0</v>
      </c>
      <c r="U69" s="2534">
        <f>IF(V69="",Tablas!A28,IF(COUNTIF(V$42:V68,V69)&gt;0,V69&amp;COUNTIF(V$42:V68,V69)+1,V69&amp;1))</f>
        <v>28</v>
      </c>
      <c r="V69" s="3273"/>
      <c r="W69" s="3274"/>
      <c r="X69" s="3274"/>
      <c r="Y69" s="3274"/>
      <c r="Z69" s="3274"/>
      <c r="AA69" s="3275"/>
      <c r="AB69" s="3276"/>
      <c r="AC69" s="3277"/>
      <c r="AD69" s="3277"/>
      <c r="AE69" s="3277"/>
      <c r="AF69" s="3277"/>
      <c r="AG69" s="3277"/>
      <c r="AH69" s="3278"/>
      <c r="AI69" s="109" t="str">
        <f>IF(AB69=0,"",VLOOKUP(AB69,Tablas!$B$1769:$F$2269,4,FALSE))</f>
        <v/>
      </c>
      <c r="AJ69" s="84" t="str">
        <f>IF(AB69=0,"",IF(OR(TipoDeCriatura="Entre mundos, Elemental",TipoDeCriatura="Ánima, Elemental"),IF(VLOOKUP(AB69,Tablas!$B$1769:$F$2269,5,FALSE)&lt;0,VLOOKUP(AB69,Tablas!$B$1769:$F$2269,5,FALSE),MAX(VLOOKUP(AB69,Tablas!$B$1769:$F$2269,5,FALSE)-10,VLOOKUP(AB69,Tablas!$B$1769:$F$2269,5,FALSE)/2)),VLOOKUP(AB69,Tablas!$B$1769:$F$2269,5,FALSE)))</f>
        <v/>
      </c>
      <c r="AK69" s="2906"/>
      <c r="AL69" s="2904"/>
      <c r="AW69" s="2750"/>
      <c r="AX69" s="2130"/>
      <c r="AY69" s="2130"/>
      <c r="AZ69" s="2703"/>
      <c r="BA69" s="2703"/>
      <c r="BB69" s="2690"/>
      <c r="BC69" s="2690"/>
      <c r="BD69" s="132"/>
      <c r="BE69" s="132"/>
      <c r="BF69" s="132"/>
      <c r="BG69" s="132"/>
    </row>
    <row r="70" spans="1:59" ht="12" customHeight="1" thickBot="1" x14ac:dyDescent="0.25">
      <c r="A70" s="50"/>
      <c r="B70" s="2911"/>
      <c r="C70" s="107" t="s">
        <v>2335</v>
      </c>
      <c r="D70" s="3261"/>
      <c r="E70" s="3261"/>
      <c r="F70" s="73"/>
      <c r="G70" s="3297"/>
      <c r="H70" s="3297"/>
      <c r="I70" s="3297"/>
      <c r="J70" s="3297"/>
      <c r="K70" s="2023"/>
      <c r="L70" s="3204"/>
      <c r="M70" s="3103" t="s">
        <v>8784</v>
      </c>
      <c r="N70" s="3103"/>
      <c r="O70" s="3105"/>
      <c r="P70" s="3105"/>
      <c r="Q70" s="1765">
        <f>IF(Orfebrería_final="-","-",Orfebrería_final+O70)</f>
        <v>-20</v>
      </c>
      <c r="R70" s="2916"/>
      <c r="S70" s="2919"/>
      <c r="T70" s="2551"/>
      <c r="U70" s="2533"/>
      <c r="V70" s="3279"/>
      <c r="W70" s="3280"/>
      <c r="X70" s="3280"/>
      <c r="Y70" s="3280"/>
      <c r="Z70" s="3280"/>
      <c r="AA70" s="3281"/>
      <c r="AB70" s="3279"/>
      <c r="AC70" s="3280"/>
      <c r="AD70" s="3280"/>
      <c r="AE70" s="3280"/>
      <c r="AF70" s="3280"/>
      <c r="AG70" s="3280"/>
      <c r="AH70" s="3285"/>
      <c r="AI70" s="3271"/>
      <c r="AJ70" s="3289"/>
      <c r="AK70" s="2906"/>
      <c r="AL70" s="2904"/>
      <c r="AW70" s="2750"/>
      <c r="AX70" s="2130"/>
      <c r="AY70" s="2130"/>
      <c r="AZ70" s="2703"/>
      <c r="BA70" s="2703"/>
      <c r="BB70" s="2690"/>
      <c r="BC70" s="2690"/>
      <c r="BD70" s="132"/>
      <c r="BE70" s="132"/>
      <c r="BF70" s="132"/>
      <c r="BG70" s="132"/>
    </row>
    <row r="71" spans="1:59" ht="12" customHeight="1" thickBot="1" x14ac:dyDescent="0.25">
      <c r="A71" s="50"/>
      <c r="B71" s="2911"/>
      <c r="C71" s="107" t="s">
        <v>2336</v>
      </c>
      <c r="D71" s="3261"/>
      <c r="E71" s="3261"/>
      <c r="F71" s="73"/>
      <c r="G71" s="3297"/>
      <c r="H71" s="3297"/>
      <c r="I71" s="3297"/>
      <c r="J71" s="3297"/>
      <c r="K71" s="2023"/>
      <c r="L71" s="3204"/>
      <c r="M71" s="3103" t="s">
        <v>8785</v>
      </c>
      <c r="N71" s="3103"/>
      <c r="O71" s="3105"/>
      <c r="P71" s="3105"/>
      <c r="Q71" s="1765" t="str">
        <f>IF(Confección_final="-","-",Confección_final+O71)</f>
        <v>-</v>
      </c>
      <c r="R71" s="2916"/>
      <c r="S71" s="2919"/>
      <c r="T71" s="2551"/>
      <c r="U71" s="2533"/>
      <c r="V71" s="3282"/>
      <c r="W71" s="3283"/>
      <c r="X71" s="3283"/>
      <c r="Y71" s="3283"/>
      <c r="Z71" s="3283"/>
      <c r="AA71" s="3284"/>
      <c r="AB71" s="3282"/>
      <c r="AC71" s="3283"/>
      <c r="AD71" s="3283"/>
      <c r="AE71" s="3283"/>
      <c r="AF71" s="3283"/>
      <c r="AG71" s="3283"/>
      <c r="AH71" s="3286"/>
      <c r="AI71" s="3272"/>
      <c r="AJ71" s="3290"/>
      <c r="AK71" s="2906"/>
      <c r="AL71" s="2904"/>
      <c r="AW71" s="2750"/>
      <c r="AX71" s="2130"/>
      <c r="AY71" s="2130"/>
      <c r="AZ71" s="2703"/>
      <c r="BA71" s="2703"/>
      <c r="BB71" s="2690"/>
      <c r="BC71" s="2690"/>
      <c r="BD71" s="132"/>
      <c r="BE71" s="132"/>
      <c r="BF71" s="132"/>
      <c r="BG71" s="132"/>
    </row>
    <row r="72" spans="1:59" ht="12" customHeight="1" thickBot="1" x14ac:dyDescent="0.25">
      <c r="A72" s="50"/>
      <c r="B72" s="2911"/>
      <c r="C72" s="107" t="s">
        <v>2337</v>
      </c>
      <c r="D72" s="3261"/>
      <c r="E72" s="3261"/>
      <c r="F72" s="68"/>
      <c r="G72" s="3297"/>
      <c r="H72" s="3297"/>
      <c r="I72" s="3297"/>
      <c r="J72" s="3297"/>
      <c r="K72" s="2019"/>
      <c r="L72" s="3205"/>
      <c r="M72" s="3299" t="s">
        <v>8786</v>
      </c>
      <c r="N72" s="3299"/>
      <c r="O72" s="3104"/>
      <c r="P72" s="3104"/>
      <c r="Q72" s="1766" t="str">
        <f>IF(Conf.marionetas_final="-","-",Conf.marionetas_final+O72)</f>
        <v>-</v>
      </c>
      <c r="R72" s="2027"/>
      <c r="S72" s="2919"/>
      <c r="T72" s="2551"/>
      <c r="U72" s="2533"/>
      <c r="V72" s="3288" t="str">
        <f>IF(SUM(AJ42:AJ69)&gt;PDs!Y5/2,"Exceso de PDs en Poderes","")</f>
        <v/>
      </c>
      <c r="W72" s="3288"/>
      <c r="X72" s="3288"/>
      <c r="Y72" s="3288"/>
      <c r="Z72" s="3288"/>
      <c r="AA72" s="3288"/>
      <c r="AB72" s="3288"/>
      <c r="AC72" s="3288"/>
      <c r="AD72" s="3288"/>
      <c r="AE72" s="3288"/>
      <c r="AF72" s="3288"/>
      <c r="AG72" s="3288"/>
      <c r="AH72" s="3288"/>
      <c r="AI72" s="3288"/>
      <c r="AJ72" s="3288"/>
      <c r="AK72" s="2906"/>
      <c r="AL72" s="2904"/>
      <c r="AW72" s="2750"/>
      <c r="AX72" s="2130"/>
      <c r="AY72" s="2130"/>
      <c r="AZ72" s="2703"/>
      <c r="BA72" s="2703"/>
      <c r="BB72" s="2690"/>
      <c r="BC72" s="2690"/>
      <c r="BD72" s="132"/>
      <c r="BE72" s="132"/>
      <c r="BF72" s="132"/>
      <c r="BG72" s="132"/>
    </row>
    <row r="73" spans="1:59" ht="12" customHeight="1" x14ac:dyDescent="0.2">
      <c r="A73" s="50"/>
      <c r="B73" s="2911"/>
      <c r="C73" s="107" t="s">
        <v>2338</v>
      </c>
      <c r="D73" s="3261"/>
      <c r="E73" s="3261"/>
      <c r="F73" s="68"/>
      <c r="G73" s="3298" t="s">
        <v>2339</v>
      </c>
      <c r="H73" s="3298"/>
      <c r="I73" s="3298"/>
      <c r="J73" s="2536">
        <f>IF(TipoDeCriatura="Natural",IF(AB14&gt;19,9,IF(AB14&gt;14,6,IF(AB14&gt;9,3,0))),"")</f>
        <v>0</v>
      </c>
      <c r="K73" s="2019"/>
      <c r="L73" s="3204" t="s">
        <v>2332</v>
      </c>
      <c r="M73" s="3103" t="str">
        <f>IF(PDs!E177="","-",PDs!E177)</f>
        <v>-</v>
      </c>
      <c r="N73" s="3103"/>
      <c r="O73" s="3105"/>
      <c r="P73" s="3105"/>
      <c r="Q73" s="1765" t="str">
        <f>IF(PDs!AA177="-","-",PDs!AA177+O73)</f>
        <v>-</v>
      </c>
      <c r="R73" s="2027"/>
      <c r="S73" s="2919"/>
      <c r="T73" s="2551"/>
      <c r="U73" s="2533"/>
      <c r="AK73" s="2906"/>
      <c r="AL73" s="2904"/>
      <c r="AW73" s="2750"/>
      <c r="AX73" s="2130"/>
      <c r="AY73" s="2130"/>
      <c r="AZ73" s="2703"/>
      <c r="BA73" s="2703"/>
      <c r="BB73" s="2690"/>
      <c r="BC73" s="2690"/>
      <c r="BD73" s="132"/>
      <c r="BE73" s="132"/>
      <c r="BF73" s="132"/>
      <c r="BG73" s="132"/>
    </row>
    <row r="74" spans="1:59" ht="12" customHeight="1" thickBot="1" x14ac:dyDescent="0.25">
      <c r="A74" s="50"/>
      <c r="B74" s="2911"/>
      <c r="C74" s="107" t="s">
        <v>2340</v>
      </c>
      <c r="D74" s="3261"/>
      <c r="E74" s="3261"/>
      <c r="F74" s="68"/>
      <c r="G74" s="3102" t="s">
        <v>9755</v>
      </c>
      <c r="H74" s="3102"/>
      <c r="I74" s="3102"/>
      <c r="J74" s="29"/>
      <c r="K74" s="2019"/>
      <c r="L74" s="3204"/>
      <c r="M74" s="3103" t="str">
        <f>IF(PDs!E178="","-",PDs!E178)</f>
        <v>-</v>
      </c>
      <c r="N74" s="3103"/>
      <c r="O74" s="3105"/>
      <c r="P74" s="3105"/>
      <c r="Q74" s="1765" t="str">
        <f>IF(PDs!AA178="-","-",PDs!AA178+O74)</f>
        <v>-</v>
      </c>
      <c r="R74" s="2027"/>
      <c r="S74" s="2919"/>
      <c r="T74" s="2551"/>
      <c r="U74" s="2533"/>
      <c r="AK74" s="2906"/>
      <c r="AL74" s="2904"/>
    </row>
    <row r="75" spans="1:59" ht="12" customHeight="1" x14ac:dyDescent="0.2">
      <c r="A75" s="50"/>
      <c r="B75" s="2911"/>
      <c r="C75" s="107" t="s">
        <v>2341</v>
      </c>
      <c r="D75" s="3261"/>
      <c r="E75" s="3261"/>
      <c r="F75" s="68"/>
      <c r="G75" s="68"/>
      <c r="H75" s="68"/>
      <c r="I75" s="68"/>
      <c r="J75" s="68"/>
      <c r="K75" s="2019"/>
      <c r="L75" s="3204"/>
      <c r="M75" s="3103" t="str">
        <f>IF(PDs!E179="","-",PDs!E179)</f>
        <v>-</v>
      </c>
      <c r="N75" s="3103"/>
      <c r="O75" s="3105"/>
      <c r="P75" s="3105"/>
      <c r="Q75" s="1765" t="str">
        <f>IF(PDs!AA179="-","-",PDs!AA179+O75)</f>
        <v>-</v>
      </c>
      <c r="R75" s="2027"/>
      <c r="S75" s="2919"/>
      <c r="T75" s="2551"/>
      <c r="U75" s="2533"/>
      <c r="AK75" s="2906"/>
      <c r="AL75" s="2904"/>
    </row>
    <row r="76" spans="1:59" ht="12" customHeight="1" thickBot="1" x14ac:dyDescent="0.25">
      <c r="A76" s="50"/>
      <c r="B76" s="2911"/>
      <c r="C76" s="138" t="s">
        <v>2342</v>
      </c>
      <c r="D76" s="3291"/>
      <c r="E76" s="3291"/>
      <c r="F76" s="68"/>
      <c r="G76" s="68"/>
      <c r="H76" s="68"/>
      <c r="I76" s="68"/>
      <c r="J76" s="68"/>
      <c r="K76" s="2019"/>
      <c r="L76" s="3204"/>
      <c r="M76" s="3103" t="str">
        <f>IF(PDs!E180="","-",PDs!E180)</f>
        <v>-</v>
      </c>
      <c r="N76" s="3103"/>
      <c r="O76" s="3105"/>
      <c r="P76" s="3105"/>
      <c r="Q76" s="1765" t="str">
        <f>IF(PDs!AA180="-","-",PDs!AA180+O76)</f>
        <v>-</v>
      </c>
      <c r="R76" s="2027"/>
      <c r="S76" s="2919"/>
      <c r="T76" s="2551"/>
      <c r="U76" s="2533"/>
      <c r="AK76" s="2906"/>
      <c r="AL76" s="2904"/>
    </row>
    <row r="77" spans="1:59" ht="12" customHeight="1" thickBot="1" x14ac:dyDescent="0.25">
      <c r="A77" s="50"/>
      <c r="B77" s="2911"/>
      <c r="C77" s="68"/>
      <c r="D77" s="68"/>
      <c r="E77" s="68"/>
      <c r="F77" s="68"/>
      <c r="G77" s="68"/>
      <c r="H77" s="68"/>
      <c r="I77" s="68"/>
      <c r="J77" s="68"/>
      <c r="K77" s="2019"/>
      <c r="L77" s="3294"/>
      <c r="M77" s="3295" t="str">
        <f>IF(PDs!E181="","-",PDs!E181)</f>
        <v>-</v>
      </c>
      <c r="N77" s="3295"/>
      <c r="O77" s="3287"/>
      <c r="P77" s="3287"/>
      <c r="Q77" s="1767" t="str">
        <f>IF(PDs!AA181="-","-",PDs!AA181+O77)</f>
        <v>-</v>
      </c>
      <c r="R77" s="2027"/>
      <c r="S77" s="2919"/>
      <c r="T77" s="2551"/>
      <c r="U77" s="2533"/>
      <c r="AK77" s="2906"/>
      <c r="AL77" s="2904"/>
    </row>
    <row r="78" spans="1:59" ht="12" customHeight="1" thickBot="1" x14ac:dyDescent="0.25">
      <c r="A78" s="50"/>
      <c r="B78" s="2914"/>
      <c r="C78" s="2029"/>
      <c r="D78" s="2029"/>
      <c r="E78" s="2029"/>
      <c r="F78" s="2029"/>
      <c r="G78" s="2029"/>
      <c r="H78" s="2029"/>
      <c r="I78" s="2029"/>
      <c r="J78" s="2029"/>
      <c r="K78" s="2030"/>
      <c r="L78" s="2029"/>
      <c r="M78" s="2029"/>
      <c r="N78" s="2029"/>
      <c r="O78" s="2029"/>
      <c r="P78" s="2029"/>
      <c r="Q78" s="2029"/>
      <c r="R78" s="2031"/>
      <c r="S78" s="2919"/>
      <c r="T78" s="2551"/>
      <c r="U78" s="2535"/>
      <c r="V78" s="141"/>
      <c r="W78" s="141"/>
      <c r="X78" s="141"/>
      <c r="Y78" s="141"/>
      <c r="Z78" s="141"/>
      <c r="AA78" s="141"/>
      <c r="AB78" s="141"/>
      <c r="AC78" s="141"/>
      <c r="AD78" s="141"/>
      <c r="AE78" s="141"/>
      <c r="AF78" s="141"/>
      <c r="AG78" s="141"/>
      <c r="AH78" s="141"/>
      <c r="AI78" s="141"/>
      <c r="AJ78" s="141"/>
      <c r="AK78" s="2908"/>
      <c r="AL78" s="2904"/>
    </row>
    <row r="79" spans="1:59" ht="12" customHeight="1" x14ac:dyDescent="0.2">
      <c r="A79" s="50"/>
      <c r="B79" s="58"/>
      <c r="C79" s="51"/>
      <c r="D79" s="51"/>
      <c r="E79" s="51"/>
      <c r="F79" s="51"/>
      <c r="G79" s="51"/>
      <c r="H79" s="51"/>
      <c r="I79" s="51"/>
      <c r="J79" s="51"/>
      <c r="K79" s="2016"/>
      <c r="L79" s="51"/>
      <c r="M79" s="51"/>
      <c r="N79" s="51"/>
      <c r="O79" s="51"/>
      <c r="P79" s="51"/>
      <c r="Q79" s="51"/>
      <c r="R79" s="2872"/>
      <c r="S79" s="2871"/>
      <c r="T79" s="2551"/>
      <c r="U79" s="2531"/>
      <c r="V79" s="7"/>
      <c r="W79" s="7"/>
      <c r="X79" s="7"/>
      <c r="Y79" s="7"/>
      <c r="Z79" s="7"/>
      <c r="AA79" s="7"/>
      <c r="AB79" s="7"/>
      <c r="AC79" s="7"/>
      <c r="AD79" s="7"/>
      <c r="AE79" s="7"/>
      <c r="AF79" s="7"/>
      <c r="AG79" s="7"/>
      <c r="AH79" s="7"/>
      <c r="AI79" s="7"/>
      <c r="AJ79" s="7"/>
      <c r="AK79" s="2904"/>
      <c r="AL79" s="2904"/>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609" priority="40" stopIfTrue="1">
      <formula>NA()</formula>
    </cfRule>
    <cfRule type="expression" dxfId="608" priority="41" stopIfTrue="1">
      <formula>NA()</formula>
    </cfRule>
  </conditionalFormatting>
  <conditionalFormatting sqref="F32">
    <cfRule type="expression" dxfId="607" priority="42" stopIfTrue="1">
      <formula>A39=1</formula>
    </cfRule>
    <cfRule type="expression" dxfId="606" priority="43" stopIfTrue="1">
      <formula>A39</formula>
    </cfRule>
  </conditionalFormatting>
  <conditionalFormatting sqref="D111:G116">
    <cfRule type="cellIs" dxfId="605" priority="44" stopIfTrue="1" operator="equal">
      <formula>0</formula>
    </cfRule>
    <cfRule type="expression" dxfId="604" priority="45" stopIfTrue="1">
      <formula>NA()</formula>
    </cfRule>
    <cfRule type="expression" dxfId="603" priority="46" stopIfTrue="1">
      <formula>NA()</formula>
    </cfRule>
  </conditionalFormatting>
  <conditionalFormatting sqref="C111:C116">
    <cfRule type="cellIs" dxfId="602" priority="47" stopIfTrue="1" operator="equal">
      <formula>0</formula>
    </cfRule>
    <cfRule type="expression" dxfId="601" priority="48" stopIfTrue="1">
      <formula>F1=1</formula>
    </cfRule>
    <cfRule type="expression" dxfId="600" priority="49" stopIfTrue="1">
      <formula>F1=2</formula>
    </cfRule>
  </conditionalFormatting>
  <conditionalFormatting sqref="AD12:AH23">
    <cfRule type="expression" dxfId="599" priority="50" stopIfTrue="1">
      <formula>H1=1</formula>
    </cfRule>
    <cfRule type="expression" dxfId="598" priority="51" stopIfTrue="1">
      <formula>H1=2</formula>
    </cfRule>
  </conditionalFormatting>
  <conditionalFormatting sqref="AF35:AJ35">
    <cfRule type="expression" dxfId="597" priority="52" stopIfTrue="1">
      <formula>F1=1</formula>
    </cfRule>
    <cfRule type="expression" dxfId="596" priority="53" stopIfTrue="1">
      <formula>F1=2</formula>
    </cfRule>
  </conditionalFormatting>
  <conditionalFormatting sqref="AF30">
    <cfRule type="expression" dxfId="595" priority="54" stopIfTrue="1">
      <formula>F1=1</formula>
    </cfRule>
    <cfRule type="expression" dxfId="594" priority="55" stopIfTrue="1">
      <formula>F1=2</formula>
    </cfRule>
    <cfRule type="cellIs" dxfId="593" priority="56" stopIfTrue="1" operator="equal">
      <formula>0</formula>
    </cfRule>
  </conditionalFormatting>
  <conditionalFormatting sqref="AI12:AI23 AI42:AI58">
    <cfRule type="cellIs" dxfId="592" priority="57" stopIfTrue="1" operator="greaterThan">
      <formula>$AB$13</formula>
    </cfRule>
  </conditionalFormatting>
  <conditionalFormatting sqref="D36:F38">
    <cfRule type="expression" dxfId="591" priority="58" stopIfTrue="1">
      <formula>NA()</formula>
    </cfRule>
    <cfRule type="expression" dxfId="590" priority="59" stopIfTrue="1">
      <formula>NA()</formula>
    </cfRule>
  </conditionalFormatting>
  <conditionalFormatting sqref="AB42:AB58 V42:V68">
    <cfRule type="cellIs" dxfId="589" priority="60" stopIfTrue="1" operator="equal">
      <formula>"Armas naturales"</formula>
    </cfRule>
  </conditionalFormatting>
  <conditionalFormatting sqref="J31">
    <cfRule type="cellIs" dxfId="588" priority="61" stopIfTrue="1" operator="lessThan">
      <formula>0</formula>
    </cfRule>
  </conditionalFormatting>
  <conditionalFormatting sqref="V30:Z30">
    <cfRule type="expression" dxfId="587" priority="72" stopIfTrue="1">
      <formula>$V$39=1</formula>
    </cfRule>
    <cfRule type="expression" dxfId="586" priority="73" stopIfTrue="1">
      <formula>$V$39=2</formula>
    </cfRule>
    <cfRule type="cellIs" dxfId="585" priority="74" stopIfTrue="1" operator="equal">
      <formula>0</formula>
    </cfRule>
  </conditionalFormatting>
  <conditionalFormatting sqref="V31">
    <cfRule type="cellIs" dxfId="584" priority="75" stopIfTrue="1" operator="equal">
      <formula>0</formula>
    </cfRule>
    <cfRule type="expression" dxfId="583" priority="76" stopIfTrue="1">
      <formula>$W$39=1</formula>
    </cfRule>
    <cfRule type="expression" dxfId="582" priority="77" stopIfTrue="1">
      <formula>$W$39=2</formula>
    </cfRule>
  </conditionalFormatting>
  <conditionalFormatting sqref="V32">
    <cfRule type="cellIs" dxfId="581" priority="78" stopIfTrue="1" operator="equal">
      <formula>0</formula>
    </cfRule>
    <cfRule type="expression" dxfId="580" priority="79" stopIfTrue="1">
      <formula>$X$39=1</formula>
    </cfRule>
    <cfRule type="expression" dxfId="579" priority="80" stopIfTrue="1">
      <formula>$X$39=2</formula>
    </cfRule>
  </conditionalFormatting>
  <conditionalFormatting sqref="V33:Z33">
    <cfRule type="cellIs" dxfId="578" priority="81" stopIfTrue="1" operator="equal">
      <formula>0</formula>
    </cfRule>
    <cfRule type="expression" dxfId="577" priority="82" stopIfTrue="1">
      <formula>$Y$39=1</formula>
    </cfRule>
    <cfRule type="expression" dxfId="576" priority="83" stopIfTrue="1">
      <formula>$Y$39=2</formula>
    </cfRule>
  </conditionalFormatting>
  <conditionalFormatting sqref="V34:Z34">
    <cfRule type="cellIs" dxfId="575" priority="84" stopIfTrue="1" operator="equal">
      <formula>0</formula>
    </cfRule>
    <cfRule type="expression" dxfId="574" priority="85" stopIfTrue="1">
      <formula>$Z$39=1</formula>
    </cfRule>
    <cfRule type="expression" dxfId="573" priority="86" stopIfTrue="1">
      <formula>$Z$39=2</formula>
    </cfRule>
  </conditionalFormatting>
  <conditionalFormatting sqref="V35:Z35">
    <cfRule type="cellIs" dxfId="572" priority="87" stopIfTrue="1" operator="equal">
      <formula>0</formula>
    </cfRule>
    <cfRule type="expression" dxfId="571" priority="88" stopIfTrue="1">
      <formula>$AA$39=1</formula>
    </cfRule>
    <cfRule type="expression" dxfId="570" priority="89" stopIfTrue="1">
      <formula>$AA$39=2</formula>
    </cfRule>
  </conditionalFormatting>
  <conditionalFormatting sqref="AA30:AE30">
    <cfRule type="cellIs" dxfId="569" priority="90" stopIfTrue="1" operator="equal">
      <formula>0</formula>
    </cfRule>
    <cfRule type="expression" dxfId="568" priority="91" stopIfTrue="1">
      <formula>$AB$39=1</formula>
    </cfRule>
    <cfRule type="expression" dxfId="567" priority="92" stopIfTrue="1">
      <formula>$AB$39=2</formula>
    </cfRule>
  </conditionalFormatting>
  <conditionalFormatting sqref="AA31">
    <cfRule type="cellIs" dxfId="566" priority="93" stopIfTrue="1" operator="equal">
      <formula>0</formula>
    </cfRule>
    <cfRule type="expression" dxfId="565" priority="94" stopIfTrue="1">
      <formula>$AC$39=1</formula>
    </cfRule>
    <cfRule type="expression" dxfId="564" priority="95" stopIfTrue="1">
      <formula>$AC$39=2</formula>
    </cfRule>
  </conditionalFormatting>
  <conditionalFormatting sqref="AA32">
    <cfRule type="cellIs" dxfId="563" priority="96" stopIfTrue="1" operator="equal">
      <formula>0</formula>
    </cfRule>
    <cfRule type="expression" dxfId="562" priority="97" stopIfTrue="1">
      <formula>$AD$39=1</formula>
    </cfRule>
    <cfRule type="expression" dxfId="561" priority="98" stopIfTrue="1">
      <formula>$AD$39=2</formula>
    </cfRule>
  </conditionalFormatting>
  <conditionalFormatting sqref="AA33:AE33">
    <cfRule type="cellIs" dxfId="560" priority="99" stopIfTrue="1" operator="equal">
      <formula>0</formula>
    </cfRule>
    <cfRule type="expression" dxfId="559" priority="100" stopIfTrue="1">
      <formula>$AE$39=1</formula>
    </cfRule>
    <cfRule type="expression" dxfId="558" priority="101" stopIfTrue="1">
      <formula>$AE$39=2</formula>
    </cfRule>
  </conditionalFormatting>
  <conditionalFormatting sqref="AA34:AE34">
    <cfRule type="cellIs" dxfId="557" priority="102" stopIfTrue="1" operator="equal">
      <formula>0</formula>
    </cfRule>
    <cfRule type="expression" dxfId="556" priority="103" stopIfTrue="1">
      <formula>$AF$39=1</formula>
    </cfRule>
    <cfRule type="expression" dxfId="555" priority="104" stopIfTrue="1">
      <formula>$AF$39=2</formula>
    </cfRule>
  </conditionalFormatting>
  <conditionalFormatting sqref="AA35:AE35">
    <cfRule type="cellIs" dxfId="554" priority="105" stopIfTrue="1" operator="equal">
      <formula>0</formula>
    </cfRule>
    <cfRule type="expression" dxfId="553" priority="106" stopIfTrue="1">
      <formula>$AG$39=1</formula>
    </cfRule>
    <cfRule type="expression" dxfId="552" priority="107" stopIfTrue="1">
      <formula>$AG$39=2</formula>
    </cfRule>
  </conditionalFormatting>
  <conditionalFormatting sqref="D32:E32">
    <cfRule type="expression" dxfId="551" priority="108" stopIfTrue="1">
      <formula>NA()</formula>
    </cfRule>
    <cfRule type="expression" dxfId="550" priority="109" stopIfTrue="1">
      <formula>NA()</formula>
    </cfRule>
  </conditionalFormatting>
  <conditionalFormatting sqref="C32">
    <cfRule type="expression" dxfId="549" priority="110" stopIfTrue="1">
      <formula>NA()</formula>
    </cfRule>
    <cfRule type="expression" dxfId="548" priority="111" stopIfTrue="1">
      <formula>NA()</formula>
    </cfRule>
  </conditionalFormatting>
  <conditionalFormatting sqref="D33:F33">
    <cfRule type="expression" dxfId="547" priority="112" stopIfTrue="1">
      <formula>NA()</formula>
    </cfRule>
    <cfRule type="expression" dxfId="546" priority="113" stopIfTrue="1">
      <formula>NA()</formula>
    </cfRule>
  </conditionalFormatting>
  <conditionalFormatting sqref="C33">
    <cfRule type="expression" dxfId="545" priority="114" stopIfTrue="1">
      <formula>NA()</formula>
    </cfRule>
    <cfRule type="expression" dxfId="544" priority="115" stopIfTrue="1">
      <formula>NA()</formula>
    </cfRule>
  </conditionalFormatting>
  <conditionalFormatting sqref="C37">
    <cfRule type="expression" dxfId="543" priority="116" stopIfTrue="1">
      <formula>NA()</formula>
    </cfRule>
    <cfRule type="expression" dxfId="542" priority="117" stopIfTrue="1">
      <formula>NA()</formula>
    </cfRule>
  </conditionalFormatting>
  <conditionalFormatting sqref="D35:F35">
    <cfRule type="expression" dxfId="541" priority="118" stopIfTrue="1">
      <formula>NA()</formula>
    </cfRule>
    <cfRule type="expression" dxfId="540" priority="119" stopIfTrue="1">
      <formula>NA()</formula>
    </cfRule>
  </conditionalFormatting>
  <conditionalFormatting sqref="C34:C35">
    <cfRule type="expression" dxfId="539" priority="120" stopIfTrue="1">
      <formula>NA()</formula>
    </cfRule>
    <cfRule type="expression" dxfId="538" priority="121" stopIfTrue="1">
      <formula>NA()</formula>
    </cfRule>
  </conditionalFormatting>
  <conditionalFormatting sqref="D34:F34">
    <cfRule type="expression" dxfId="537" priority="122" stopIfTrue="1">
      <formula>NA()</formula>
    </cfRule>
    <cfRule type="expression" dxfId="536" priority="123" stopIfTrue="1">
      <formula>NA()</formula>
    </cfRule>
  </conditionalFormatting>
  <conditionalFormatting sqref="AI59">
    <cfRule type="cellIs" dxfId="535" priority="124" stopIfTrue="1" operator="greaterThan">
      <formula>$AB$13</formula>
    </cfRule>
  </conditionalFormatting>
  <conditionalFormatting sqref="AB59">
    <cfRule type="cellIs" dxfId="534" priority="125" stopIfTrue="1" operator="equal">
      <formula>"Armas naturales"</formula>
    </cfRule>
  </conditionalFormatting>
  <conditionalFormatting sqref="AI60">
    <cfRule type="cellIs" dxfId="533" priority="128" stopIfTrue="1" operator="greaterThan">
      <formula>$AB$13</formula>
    </cfRule>
  </conditionalFormatting>
  <conditionalFormatting sqref="AB60">
    <cfRule type="cellIs" dxfId="532" priority="129" stopIfTrue="1" operator="equal">
      <formula>"Armas naturales"</formula>
    </cfRule>
  </conditionalFormatting>
  <conditionalFormatting sqref="AI61">
    <cfRule type="cellIs" dxfId="531" priority="132" stopIfTrue="1" operator="greaterThan">
      <formula>$AB$13</formula>
    </cfRule>
  </conditionalFormatting>
  <conditionalFormatting sqref="AB61">
    <cfRule type="cellIs" dxfId="530" priority="133" stopIfTrue="1" operator="equal">
      <formula>"Armas naturales"</formula>
    </cfRule>
  </conditionalFormatting>
  <conditionalFormatting sqref="AI62">
    <cfRule type="cellIs" dxfId="529" priority="136" stopIfTrue="1" operator="greaterThan">
      <formula>$AB$13</formula>
    </cfRule>
  </conditionalFormatting>
  <conditionalFormatting sqref="AB62">
    <cfRule type="cellIs" dxfId="528" priority="137" stopIfTrue="1" operator="equal">
      <formula>"Armas naturales"</formula>
    </cfRule>
  </conditionalFormatting>
  <conditionalFormatting sqref="AI63:AI70">
    <cfRule type="cellIs" dxfId="527" priority="140" stopIfTrue="1" operator="greaterThan">
      <formula>$AB$13</formula>
    </cfRule>
  </conditionalFormatting>
  <conditionalFormatting sqref="V69 AB63:AB69">
    <cfRule type="cellIs" dxfId="526" priority="141" stopIfTrue="1" operator="equal">
      <formula>"Armas naturales"</formula>
    </cfRule>
  </conditionalFormatting>
  <conditionalFormatting sqref="C43">
    <cfRule type="expression" dxfId="525" priority="24" stopIfTrue="1">
      <formula>NA()</formula>
    </cfRule>
    <cfRule type="expression" dxfId="524" priority="25" stopIfTrue="1">
      <formula>NA()</formula>
    </cfRule>
  </conditionalFormatting>
  <conditionalFormatting sqref="D40:F40">
    <cfRule type="expression" dxfId="523" priority="28" stopIfTrue="1">
      <formula>NA()</formula>
    </cfRule>
    <cfRule type="expression" dxfId="522" priority="29" stopIfTrue="1">
      <formula>NA()</formula>
    </cfRule>
  </conditionalFormatting>
  <conditionalFormatting sqref="C40">
    <cfRule type="expression" dxfId="521" priority="30" stopIfTrue="1">
      <formula>NA()</formula>
    </cfRule>
    <cfRule type="expression" dxfId="520" priority="31" stopIfTrue="1">
      <formula>NA()</formula>
    </cfRule>
  </conditionalFormatting>
  <conditionalFormatting sqref="C44">
    <cfRule type="expression" dxfId="519" priority="32" stopIfTrue="1">
      <formula>NA()</formula>
    </cfRule>
    <cfRule type="expression" dxfId="518" priority="33" stopIfTrue="1">
      <formula>NA()</formula>
    </cfRule>
  </conditionalFormatting>
  <conditionalFormatting sqref="D42:F42">
    <cfRule type="expression" dxfId="517" priority="34" stopIfTrue="1">
      <formula>NA()</formula>
    </cfRule>
    <cfRule type="expression" dxfId="516" priority="35" stopIfTrue="1">
      <formula>NA()</formula>
    </cfRule>
  </conditionalFormatting>
  <conditionalFormatting sqref="C41:C42">
    <cfRule type="expression" dxfId="515" priority="36" stopIfTrue="1">
      <formula>NA()</formula>
    </cfRule>
    <cfRule type="expression" dxfId="514" priority="37" stopIfTrue="1">
      <formula>NA()</formula>
    </cfRule>
  </conditionalFormatting>
  <conditionalFormatting sqref="D41:F41">
    <cfRule type="expression" dxfId="513" priority="38" stopIfTrue="1">
      <formula>NA()</formula>
    </cfRule>
    <cfRule type="expression" dxfId="512" priority="39" stopIfTrue="1">
      <formula>NA()</formula>
    </cfRule>
  </conditionalFormatting>
  <conditionalFormatting sqref="C40:F44 C46:F46">
    <cfRule type="expression" dxfId="511" priority="1724">
      <formula>AND(NOT($AN$36),NOT($AN$37))</formula>
    </cfRule>
  </conditionalFormatting>
  <conditionalFormatting sqref="D45:F45">
    <cfRule type="expression" dxfId="510" priority="12" stopIfTrue="1">
      <formula>NA()</formula>
    </cfRule>
    <cfRule type="expression" dxfId="509" priority="13" stopIfTrue="1">
      <formula>NA()</formula>
    </cfRule>
  </conditionalFormatting>
  <conditionalFormatting sqref="C45">
    <cfRule type="expression" dxfId="508" priority="10" stopIfTrue="1">
      <formula>NA()</formula>
    </cfRule>
    <cfRule type="expression" dxfId="507" priority="11" stopIfTrue="1">
      <formula>NA()</formula>
    </cfRule>
  </conditionalFormatting>
  <conditionalFormatting sqref="C45:F45">
    <cfRule type="expression" dxfId="506" priority="14">
      <formula>AND(NOT($AN$36),NOT($AN$37))</formula>
    </cfRule>
  </conditionalFormatting>
  <conditionalFormatting sqref="J51 F51">
    <cfRule type="cellIs" dxfId="505" priority="9" operator="greaterThan">
      <formula>0</formula>
    </cfRule>
  </conditionalFormatting>
  <conditionalFormatting sqref="G51:J51">
    <cfRule type="expression" dxfId="504" priority="8">
      <formula>$J$51&lt;=0</formula>
    </cfRule>
  </conditionalFormatting>
  <conditionalFormatting sqref="C51:F51">
    <cfRule type="expression" dxfId="503" priority="7">
      <formula>$F$51&lt;=0</formula>
    </cfRule>
  </conditionalFormatting>
  <conditionalFormatting sqref="F51">
    <cfRule type="expression" dxfId="502" priority="2">
      <formula>$F$51&gt;0</formula>
    </cfRule>
    <cfRule type="expression" dxfId="501" priority="6">
      <formula>AND($C$51="",$G$51="")</formula>
    </cfRule>
  </conditionalFormatting>
  <conditionalFormatting sqref="Y23:Z23">
    <cfRule type="expression" dxfId="500" priority="5">
      <formula>$AB$13&lt;30</formula>
    </cfRule>
  </conditionalFormatting>
  <conditionalFormatting sqref="E12">
    <cfRule type="expression" dxfId="499" priority="2263" stopIfTrue="1">
      <formula>$D$12="-"</formula>
    </cfRule>
  </conditionalFormatting>
  <conditionalFormatting sqref="E17">
    <cfRule type="expression" dxfId="498" priority="2272" stopIfTrue="1">
      <formula>AND(OR($K$7="Ánima",$K$7="Ánima, Elemental",$K$7="No muerto, Espectro"),NOT($E$12=$E$17))</formula>
    </cfRule>
  </conditionalFormatting>
  <conditionalFormatting sqref="E11:E14">
    <cfRule type="cellIs" dxfId="497" priority="2262" stopIfTrue="1" operator="greaterThan">
      <formula>$B$2</formula>
    </cfRule>
  </conditionalFormatting>
  <conditionalFormatting sqref="E15:E18">
    <cfRule type="cellIs" dxfId="496" priority="3" operator="greaterThan">
      <formula>$B$3</formula>
    </cfRule>
  </conditionalFormatting>
  <conditionalFormatting sqref="G51:I51">
    <cfRule type="expression" dxfId="495"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5" zoomScaleNormal="100" workbookViewId="0">
      <selection activeCell="AJ24" sqref="AJ24"/>
    </sheetView>
  </sheetViews>
  <sheetFormatPr defaultColWidth="5.7109375" defaultRowHeight="12" customHeight="1" x14ac:dyDescent="0.2"/>
  <cols>
    <col min="1" max="1" width="1.7109375" style="49" customWidth="1"/>
    <col min="2" max="2" width="3" style="195"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49" customWidth="1"/>
    <col min="29" max="29" width="1.140625" style="49" customWidth="1"/>
    <col min="30" max="30" width="6.42578125" style="2856" customWidth="1"/>
    <col min="31" max="31" width="6.42578125" style="2857" customWidth="1"/>
    <col min="32" max="32" width="6.42578125" style="2896" customWidth="1"/>
    <col min="33" max="33" width="6.42578125" style="2857" customWidth="1"/>
    <col min="34" max="34" width="6.42578125" style="2885" customWidth="1"/>
    <col min="35" max="37" width="6.42578125" style="2857" customWidth="1"/>
    <col min="38" max="42" width="6.42578125" style="27" customWidth="1"/>
    <col min="43" max="45" width="6.42578125" style="49" customWidth="1"/>
    <col min="46" max="46" width="6.42578125" style="1910" customWidth="1"/>
    <col min="47" max="51" width="5.7109375" style="1910"/>
    <col min="52" max="16384" width="5.7109375" style="48"/>
  </cols>
  <sheetData>
    <row r="1" spans="1:52" ht="12" customHeight="1" thickBot="1" x14ac:dyDescent="0.25">
      <c r="A1" s="2128"/>
      <c r="B1" s="5186"/>
      <c r="C1" s="50"/>
      <c r="D1" s="50"/>
      <c r="E1" s="50"/>
      <c r="F1" s="50"/>
      <c r="G1" s="50"/>
      <c r="H1" s="50"/>
      <c r="I1" s="50"/>
      <c r="J1" s="50"/>
      <c r="K1" s="50"/>
      <c r="L1" s="50"/>
      <c r="M1" s="50"/>
      <c r="N1" s="50"/>
      <c r="O1" s="50"/>
      <c r="P1" s="50"/>
      <c r="Q1" s="50"/>
      <c r="R1" s="50"/>
      <c r="S1" s="50"/>
      <c r="T1" s="50"/>
      <c r="U1" s="21"/>
      <c r="V1" s="142"/>
      <c r="W1" s="142"/>
      <c r="X1" s="142"/>
      <c r="Y1" s="142"/>
      <c r="Z1" s="142"/>
      <c r="AA1" s="142"/>
      <c r="AB1" s="142"/>
      <c r="AC1" s="2126"/>
      <c r="AZ1" s="49"/>
    </row>
    <row r="2" spans="1:52" ht="12" customHeight="1" x14ac:dyDescent="0.2">
      <c r="A2" s="2128"/>
      <c r="B2" s="5187"/>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2886"/>
      <c r="AC2" s="2887"/>
      <c r="AH2" s="2888"/>
      <c r="AI2" s="386"/>
      <c r="AJ2" s="654"/>
      <c r="AK2" s="654"/>
      <c r="AZ2" s="49"/>
    </row>
    <row r="3" spans="1:52" ht="12" customHeight="1" thickBot="1" x14ac:dyDescent="0.25">
      <c r="A3" s="2128"/>
      <c r="B3" s="5188"/>
      <c r="AB3" s="150"/>
      <c r="AC3" s="2887"/>
    </row>
    <row r="4" spans="1:52" ht="12" customHeight="1" x14ac:dyDescent="0.2">
      <c r="A4" s="2128"/>
      <c r="B4" s="5188"/>
      <c r="C4" s="3576"/>
      <c r="D4" s="3577"/>
      <c r="E4" s="3577"/>
      <c r="F4" s="3577"/>
      <c r="G4" s="3577"/>
      <c r="H4" s="3577"/>
      <c r="I4" s="1774"/>
      <c r="J4" s="1774"/>
      <c r="K4" s="1774"/>
      <c r="L4" s="1775"/>
      <c r="M4" s="1774"/>
      <c r="N4" s="1774"/>
      <c r="O4" s="1774"/>
      <c r="P4" s="1774"/>
      <c r="Q4" s="1774"/>
      <c r="R4" s="1776"/>
      <c r="T4" s="3562" t="s">
        <v>2343</v>
      </c>
      <c r="U4" s="3167" t="s">
        <v>2344</v>
      </c>
      <c r="V4" s="3561"/>
      <c r="W4" s="3029"/>
      <c r="X4" s="71" t="s">
        <v>2256</v>
      </c>
      <c r="Y4" s="152" t="s">
        <v>2218</v>
      </c>
      <c r="Z4" s="1735" t="s">
        <v>2345</v>
      </c>
      <c r="AA4" s="30" t="s">
        <v>2230</v>
      </c>
      <c r="AB4" s="153"/>
      <c r="AC4" s="2887"/>
    </row>
    <row r="5" spans="1:52" ht="12" customHeight="1" x14ac:dyDescent="0.2">
      <c r="A5" s="2128"/>
      <c r="B5" s="5188"/>
      <c r="C5" s="3578"/>
      <c r="D5" s="3579"/>
      <c r="E5" s="3579"/>
      <c r="F5" s="3579"/>
      <c r="G5" s="3579"/>
      <c r="H5" s="3579"/>
      <c r="I5" s="16"/>
      <c r="J5" s="16"/>
      <c r="K5" s="16"/>
      <c r="L5" s="61"/>
      <c r="M5" s="61"/>
      <c r="N5" s="61"/>
      <c r="O5" s="61"/>
      <c r="P5" s="61"/>
      <c r="Q5" s="61"/>
      <c r="R5" s="1777"/>
      <c r="T5" s="3563"/>
      <c r="U5" s="3583" t="s">
        <v>3065</v>
      </c>
      <c r="V5" s="3584"/>
      <c r="W5" s="3585"/>
      <c r="X5" s="3271">
        <v>1</v>
      </c>
      <c r="Y5" s="3545">
        <f>IF($X$5&gt;0,(500+100*$X$5),400)</f>
        <v>600</v>
      </c>
      <c r="Z5" s="3553">
        <f>MAX(Principal!AJ10+Principal!AJ40-Principal!$AB$27,0)</f>
        <v>20</v>
      </c>
      <c r="AA5" s="3544">
        <f>Y5-Z5</f>
        <v>580</v>
      </c>
      <c r="AB5" s="2889"/>
      <c r="AC5" s="2887"/>
    </row>
    <row r="6" spans="1:52" ht="12" customHeight="1" x14ac:dyDescent="0.2">
      <c r="A6" s="2128"/>
      <c r="B6" s="5188"/>
      <c r="C6" s="3578"/>
      <c r="D6" s="3579"/>
      <c r="E6" s="3579"/>
      <c r="F6" s="3579"/>
      <c r="G6" s="3579"/>
      <c r="H6" s="3579"/>
      <c r="I6" s="3599" t="s">
        <v>2169</v>
      </c>
      <c r="J6" s="3599"/>
      <c r="K6" s="2964" t="str">
        <f>IF(OR(General!$G$22="",General!$G$22=0),"",General!$G$22)</f>
        <v/>
      </c>
      <c r="L6" s="2964"/>
      <c r="M6" s="2964"/>
      <c r="N6" s="2964"/>
      <c r="O6" s="2964"/>
      <c r="P6" s="440"/>
      <c r="Q6" s="440"/>
      <c r="R6" s="1777"/>
      <c r="T6" s="3563"/>
      <c r="U6" s="3586"/>
      <c r="V6" s="3587"/>
      <c r="W6" s="3588"/>
      <c r="X6" s="3547"/>
      <c r="Y6" s="3546"/>
      <c r="Z6" s="3554"/>
      <c r="AA6" s="3541"/>
      <c r="AB6" s="150"/>
      <c r="AC6" s="2887"/>
    </row>
    <row r="7" spans="1:52" ht="12" customHeight="1" x14ac:dyDescent="0.2">
      <c r="A7" s="2128"/>
      <c r="B7" s="5188"/>
      <c r="C7" s="3578"/>
      <c r="D7" s="3579"/>
      <c r="E7" s="3579"/>
      <c r="F7" s="3579"/>
      <c r="G7" s="3579"/>
      <c r="H7" s="3579"/>
      <c r="I7" s="3600" t="s">
        <v>2170</v>
      </c>
      <c r="J7" s="3600"/>
      <c r="K7" s="3043" t="str">
        <f>Principal!$L$5</f>
        <v>Hechicero</v>
      </c>
      <c r="L7" s="3043"/>
      <c r="M7" s="3043"/>
      <c r="N7" s="3043"/>
      <c r="O7" s="1773"/>
      <c r="P7" s="18" t="s">
        <v>2171</v>
      </c>
      <c r="Q7" s="19" t="str">
        <f>Principal!$P$5</f>
        <v>1 + 2</v>
      </c>
      <c r="R7" s="1777"/>
      <c r="T7" s="3563"/>
      <c r="U7" s="3589"/>
      <c r="V7" s="3590"/>
      <c r="W7" s="3591"/>
      <c r="X7" s="3550"/>
      <c r="Y7" s="3551">
        <f>IF($X$7&gt;0,(100*$X$7),0)</f>
        <v>0</v>
      </c>
      <c r="Z7" s="3555">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$579&gt;0,0.5,1))</f>
        <v>0</v>
      </c>
      <c r="AA7" s="3543">
        <f>IF(Raza="Criatura",0,Y7-Z7)</f>
        <v>0</v>
      </c>
      <c r="AB7" s="2890"/>
      <c r="AC7" s="2887"/>
    </row>
    <row r="8" spans="1:52" ht="12" customHeight="1" x14ac:dyDescent="0.2">
      <c r="A8" s="2128"/>
      <c r="B8" s="5188"/>
      <c r="C8" s="3578"/>
      <c r="D8" s="3579"/>
      <c r="E8" s="3579"/>
      <c r="F8" s="3579"/>
      <c r="G8" s="3579"/>
      <c r="H8" s="3579"/>
      <c r="I8" s="3600" t="s">
        <v>2214</v>
      </c>
      <c r="J8" s="3600"/>
      <c r="K8" s="1738">
        <f>Tamaño</f>
        <v>16</v>
      </c>
      <c r="L8" s="3043" t="str">
        <f>Principal!M6</f>
        <v>Medio</v>
      </c>
      <c r="M8" s="3043"/>
      <c r="N8" s="3043"/>
      <c r="O8" s="1773"/>
      <c r="P8" s="61"/>
      <c r="Q8" s="61"/>
      <c r="R8" s="1777"/>
      <c r="T8" s="3563"/>
      <c r="U8" s="3589"/>
      <c r="V8" s="3590"/>
      <c r="W8" s="3591"/>
      <c r="X8" s="3550"/>
      <c r="Y8" s="3551"/>
      <c r="Z8" s="3555"/>
      <c r="AA8" s="3543"/>
      <c r="AB8" s="2890"/>
      <c r="AC8" s="2887"/>
    </row>
    <row r="9" spans="1:52" ht="12" customHeight="1" x14ac:dyDescent="0.2">
      <c r="A9" s="2128"/>
      <c r="B9" s="5188"/>
      <c r="C9" s="3578"/>
      <c r="D9" s="3579"/>
      <c r="E9" s="3579"/>
      <c r="F9" s="3579"/>
      <c r="G9" s="3579"/>
      <c r="H9" s="3579"/>
      <c r="I9" s="63" t="s">
        <v>2216</v>
      </c>
      <c r="J9" s="3524" t="str">
        <f>Principal!K7</f>
        <v>Natural, Turak  10</v>
      </c>
      <c r="K9" s="3524"/>
      <c r="L9" s="3524"/>
      <c r="M9" s="3524"/>
      <c r="N9" s="3524"/>
      <c r="O9" s="3524"/>
      <c r="P9" s="3524"/>
      <c r="Q9" s="3524"/>
      <c r="R9" s="3525"/>
      <c r="T9" s="3563"/>
      <c r="U9" s="3586"/>
      <c r="V9" s="3587"/>
      <c r="W9" s="3588"/>
      <c r="X9" s="3548"/>
      <c r="Y9" s="3552">
        <f>IF($X$9&gt;0,(100*$X$9),0)</f>
        <v>0</v>
      </c>
      <c r="Z9" s="3554">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$579&gt;0,0.5,1))</f>
        <v>0</v>
      </c>
      <c r="AA9" s="3541">
        <f>IF(Raza="Criatura",0,Y9-Z9)</f>
        <v>0</v>
      </c>
      <c r="AB9" s="2890"/>
      <c r="AC9" s="2887"/>
    </row>
    <row r="10" spans="1:52" ht="12" customHeight="1" x14ac:dyDescent="0.2">
      <c r="A10" s="2128"/>
      <c r="B10" s="5188"/>
      <c r="C10" s="3578"/>
      <c r="D10" s="3579"/>
      <c r="E10" s="3579"/>
      <c r="F10" s="3579"/>
      <c r="G10" s="3579"/>
      <c r="H10" s="3579"/>
      <c r="I10" s="63"/>
      <c r="J10" s="3524"/>
      <c r="K10" s="3524"/>
      <c r="L10" s="3524"/>
      <c r="M10" s="3524"/>
      <c r="N10" s="3524"/>
      <c r="O10" s="3524"/>
      <c r="P10" s="3524"/>
      <c r="Q10" s="3524"/>
      <c r="R10" s="3525"/>
      <c r="S10" s="69"/>
      <c r="T10" s="3563"/>
      <c r="U10" s="3586"/>
      <c r="V10" s="3587"/>
      <c r="W10" s="3588"/>
      <c r="X10" s="3548"/>
      <c r="Y10" s="3552"/>
      <c r="Z10" s="3554"/>
      <c r="AA10" s="3541"/>
      <c r="AB10" s="2890"/>
      <c r="AC10" s="2887"/>
    </row>
    <row r="11" spans="1:52" ht="12" customHeight="1" x14ac:dyDescent="0.2">
      <c r="A11" s="2128"/>
      <c r="B11" s="5188"/>
      <c r="C11" s="3578"/>
      <c r="D11" s="3579"/>
      <c r="E11" s="3579"/>
      <c r="F11" s="3579"/>
      <c r="G11" s="3579"/>
      <c r="H11" s="3579"/>
      <c r="I11" s="63"/>
      <c r="J11" s="3524"/>
      <c r="K11" s="3524"/>
      <c r="L11" s="3524"/>
      <c r="M11" s="3524"/>
      <c r="N11" s="3524"/>
      <c r="O11" s="3524"/>
      <c r="P11" s="3524"/>
      <c r="Q11" s="3524"/>
      <c r="R11" s="3525"/>
      <c r="T11" s="3563"/>
      <c r="U11" s="3589"/>
      <c r="V11" s="3590"/>
      <c r="W11" s="3591"/>
      <c r="X11" s="3575"/>
      <c r="Y11" s="3573">
        <f>IF($X$11&gt;0,(100*$X$11),0)</f>
        <v>0</v>
      </c>
      <c r="Z11" s="3555">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$579&gt;0,0.5,1))</f>
        <v>0</v>
      </c>
      <c r="AA11" s="3543">
        <f>IF(Raza="Criatura",0,Y11-Z11)</f>
        <v>0</v>
      </c>
      <c r="AB11" s="150"/>
      <c r="AC11" s="2887"/>
    </row>
    <row r="12" spans="1:52" ht="12" customHeight="1" x14ac:dyDescent="0.2">
      <c r="A12" s="2128"/>
      <c r="B12" s="5188"/>
      <c r="C12" s="3580"/>
      <c r="D12" s="3581"/>
      <c r="E12" s="3581"/>
      <c r="F12" s="3581"/>
      <c r="G12" s="3581"/>
      <c r="H12" s="3581"/>
      <c r="I12" s="1778"/>
      <c r="J12" s="1778"/>
      <c r="K12" s="1779"/>
      <c r="L12" s="1779"/>
      <c r="M12" s="1779"/>
      <c r="N12" s="1779"/>
      <c r="O12" s="1779"/>
      <c r="P12" s="1779"/>
      <c r="Q12" s="1779"/>
      <c r="R12" s="1780"/>
      <c r="T12" s="3563"/>
      <c r="U12" s="3589"/>
      <c r="V12" s="3590"/>
      <c r="W12" s="3591"/>
      <c r="X12" s="3575"/>
      <c r="Y12" s="3573"/>
      <c r="Z12" s="3555"/>
      <c r="AA12" s="3543"/>
      <c r="AB12" s="150"/>
      <c r="AC12" s="2887"/>
    </row>
    <row r="13" spans="1:52" ht="12" customHeight="1" x14ac:dyDescent="0.2">
      <c r="A13" s="2128"/>
      <c r="B13" s="5188"/>
      <c r="C13" s="3565" t="s">
        <v>2346</v>
      </c>
      <c r="D13" s="3044"/>
      <c r="E13" s="3044"/>
      <c r="F13" s="3044"/>
      <c r="G13" s="3044"/>
      <c r="H13" s="3044"/>
      <c r="I13" s="3044"/>
      <c r="J13" s="3044"/>
      <c r="K13" s="3044"/>
      <c r="L13" s="3044"/>
      <c r="M13" s="3044"/>
      <c r="N13" s="3044"/>
      <c r="O13" s="3044"/>
      <c r="P13" s="3044"/>
      <c r="Q13" s="3044"/>
      <c r="R13" s="3566"/>
      <c r="T13" s="3563"/>
      <c r="U13" s="3586"/>
      <c r="V13" s="3587"/>
      <c r="W13" s="3588"/>
      <c r="X13" s="3548"/>
      <c r="Y13" s="3552">
        <f>IF($X$13&gt;0,(100*$X$13),0)</f>
        <v>0</v>
      </c>
      <c r="Z13" s="3554">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$579&gt;0,0.5,1))</f>
        <v>0</v>
      </c>
      <c r="AA13" s="3541">
        <f>IF(Raza="Criatura",0,Y13-Z13)</f>
        <v>0</v>
      </c>
      <c r="AB13" s="2891" t="str">
        <f>IF(Principal!AD18=0,"",VLOOKUP(Principal!AD18,Tabla_HabEsenciales,5,FALSE))</f>
        <v/>
      </c>
      <c r="AC13" s="2887"/>
    </row>
    <row r="14" spans="1:52" ht="12" customHeight="1" thickBot="1" x14ac:dyDescent="0.25">
      <c r="A14" s="2128"/>
      <c r="B14" s="5188"/>
      <c r="C14" s="3565"/>
      <c r="D14" s="3044"/>
      <c r="E14" s="3044"/>
      <c r="F14" s="3044"/>
      <c r="G14" s="3044"/>
      <c r="H14" s="3044"/>
      <c r="I14" s="3044"/>
      <c r="J14" s="3044"/>
      <c r="K14" s="3044"/>
      <c r="L14" s="3044"/>
      <c r="M14" s="3044"/>
      <c r="N14" s="3044"/>
      <c r="O14" s="3044"/>
      <c r="P14" s="3044"/>
      <c r="Q14" s="3044"/>
      <c r="R14" s="3566"/>
      <c r="T14" s="3563"/>
      <c r="U14" s="3592"/>
      <c r="V14" s="3593"/>
      <c r="W14" s="3594"/>
      <c r="X14" s="3549"/>
      <c r="Y14" s="3574"/>
      <c r="Z14" s="3556"/>
      <c r="AA14" s="3542"/>
      <c r="AB14" s="2891" t="str">
        <f>IF(Principal!AD19=0,"",VLOOKUP(Principal!AD19,Tabla_HabEsenciales,5,FALSE))</f>
        <v/>
      </c>
      <c r="AC14" s="2892"/>
    </row>
    <row r="15" spans="1:52" ht="12" customHeight="1" x14ac:dyDescent="0.2">
      <c r="A15" s="2128"/>
      <c r="B15" s="5188"/>
      <c r="C15" s="3565"/>
      <c r="D15" s="3044"/>
      <c r="E15" s="3044"/>
      <c r="F15" s="3044"/>
      <c r="G15" s="3044"/>
      <c r="H15" s="3044"/>
      <c r="I15" s="3044"/>
      <c r="J15" s="3044"/>
      <c r="K15" s="3044"/>
      <c r="L15" s="3044"/>
      <c r="M15" s="3044"/>
      <c r="N15" s="3044"/>
      <c r="O15" s="3044"/>
      <c r="P15" s="3044"/>
      <c r="Q15" s="3044"/>
      <c r="R15" s="3566"/>
      <c r="T15" s="3563"/>
      <c r="U15" s="3595" t="s">
        <v>2347</v>
      </c>
      <c r="V15" s="3596"/>
      <c r="W15" s="3559"/>
      <c r="X15" s="3557">
        <f>SUM(X5:X14)</f>
        <v>1</v>
      </c>
      <c r="Y15" s="3478" t="s">
        <v>2348</v>
      </c>
      <c r="Z15" s="3559"/>
      <c r="AA15" s="3539">
        <f>SUM(AA5:AA14)</f>
        <v>580</v>
      </c>
      <c r="AB15" s="2891" t="str">
        <f>IF(Principal!AD20=0,"",VLOOKUP(Principal!AD20,Tabla_HabEsenciales,5,FALSE))</f>
        <v/>
      </c>
      <c r="AC15" s="2892"/>
    </row>
    <row r="16" spans="1:52" ht="12" customHeight="1" thickBot="1" x14ac:dyDescent="0.25">
      <c r="A16" s="2128"/>
      <c r="B16" s="5188"/>
      <c r="C16" s="3567"/>
      <c r="D16" s="3568"/>
      <c r="E16" s="3568"/>
      <c r="F16" s="3568"/>
      <c r="G16" s="3568"/>
      <c r="H16" s="3568"/>
      <c r="I16" s="3568"/>
      <c r="J16" s="3568"/>
      <c r="K16" s="3568"/>
      <c r="L16" s="3568"/>
      <c r="M16" s="3568"/>
      <c r="N16" s="3568"/>
      <c r="O16" s="3568"/>
      <c r="P16" s="3568"/>
      <c r="Q16" s="3568"/>
      <c r="R16" s="3569"/>
      <c r="T16" s="3564"/>
      <c r="U16" s="3597"/>
      <c r="V16" s="3598"/>
      <c r="W16" s="3560"/>
      <c r="X16" s="3558"/>
      <c r="Y16" s="3479"/>
      <c r="Z16" s="3560"/>
      <c r="AA16" s="3540"/>
      <c r="AB16" s="2891" t="str">
        <f>IF(Principal!AD21=0,"",VLOOKUP(Principal!AD21,Tabla_HabEsenciales,5,FALSE))</f>
        <v/>
      </c>
      <c r="AC16" s="2892"/>
    </row>
    <row r="17" spans="1:31" ht="12" customHeight="1" x14ac:dyDescent="0.2">
      <c r="A17" s="2128"/>
      <c r="B17" s="5188"/>
      <c r="AB17" s="2891" t="str">
        <f>IF(Principal!AD22=0,"",VLOOKUP(Principal!AD22,Tabla_HabEsenciales,5,FALSE))</f>
        <v/>
      </c>
      <c r="AC17" s="2892"/>
    </row>
    <row r="18" spans="1:31" ht="12" customHeight="1" thickBot="1" x14ac:dyDescent="0.25">
      <c r="A18" s="2128"/>
      <c r="B18" s="5188"/>
      <c r="AB18" s="2891" t="str">
        <f>IF(Principal!AD23=0,"",VLOOKUP(Principal!AD23,Tabla_HabEsenciales,5,FALSE))</f>
        <v/>
      </c>
      <c r="AC18" s="2893"/>
    </row>
    <row r="19" spans="1:31" ht="12" customHeight="1" x14ac:dyDescent="0.2">
      <c r="A19" s="2128"/>
      <c r="B19" s="5188"/>
      <c r="C19" s="73"/>
      <c r="D19" s="73"/>
      <c r="E19" s="73"/>
      <c r="F19" s="73"/>
      <c r="I19" s="73"/>
      <c r="J19" s="73"/>
      <c r="K19" s="73"/>
      <c r="L19" s="3453" t="str">
        <f>IF(Categoría_1=0,"",Categoría_1)</f>
        <v>Hechicero</v>
      </c>
      <c r="M19" s="3449"/>
      <c r="N19" s="3427" t="str">
        <f>IF(Categoría_2=0,"",Categoría_2)</f>
        <v/>
      </c>
      <c r="O19" s="3449"/>
      <c r="P19" s="3427" t="str">
        <f>IF(Categoría_3=0,"",Categoría_3)</f>
        <v/>
      </c>
      <c r="Q19" s="3449"/>
      <c r="R19" s="3427" t="str">
        <f>IF(Categoría_4=0,"",Categoría_4)</f>
        <v/>
      </c>
      <c r="S19" s="3449"/>
      <c r="T19" s="3427" t="str">
        <f>IF(Categoría_5=0,"",Categoría_5)</f>
        <v/>
      </c>
      <c r="U19" s="3428"/>
      <c r="V19" s="73"/>
      <c r="AB19" s="2890"/>
      <c r="AC19" s="2894"/>
    </row>
    <row r="20" spans="1:31" ht="12" customHeight="1" thickBot="1" x14ac:dyDescent="0.25">
      <c r="A20" s="2128"/>
      <c r="B20" s="5188"/>
      <c r="C20" s="73"/>
      <c r="D20" s="73"/>
      <c r="E20" s="73"/>
      <c r="F20" s="73"/>
      <c r="I20" s="73"/>
      <c r="J20" s="73"/>
      <c r="K20" s="73"/>
      <c r="L20" s="3570"/>
      <c r="M20" s="3571"/>
      <c r="N20" s="3572"/>
      <c r="O20" s="3571"/>
      <c r="P20" s="3572"/>
      <c r="Q20" s="3571"/>
      <c r="R20" s="3572"/>
      <c r="S20" s="3571"/>
      <c r="T20" s="3572"/>
      <c r="U20" s="3582"/>
      <c r="V20" s="73"/>
      <c r="W20" s="73"/>
      <c r="X20" s="73"/>
      <c r="Y20" s="73"/>
      <c r="Z20" s="73"/>
      <c r="AA20" s="73"/>
      <c r="AB20" s="2890"/>
      <c r="AC20" s="2892"/>
    </row>
    <row r="21" spans="1:31" ht="12" customHeight="1" thickBot="1" x14ac:dyDescent="0.25">
      <c r="A21" s="2128"/>
      <c r="B21" s="5188"/>
      <c r="C21" s="3391" t="s">
        <v>2247</v>
      </c>
      <c r="D21" s="1781" t="s">
        <v>2252</v>
      </c>
      <c r="E21" s="3530" t="s">
        <v>2228</v>
      </c>
      <c r="F21" s="3531"/>
      <c r="G21" s="3531"/>
      <c r="H21" s="3531"/>
      <c r="I21" s="3531"/>
      <c r="J21" s="3531"/>
      <c r="K21" s="3532"/>
      <c r="L21" s="1782" t="s">
        <v>2345</v>
      </c>
      <c r="M21" s="1783" t="s">
        <v>2230</v>
      </c>
      <c r="N21" s="1782" t="s">
        <v>2345</v>
      </c>
      <c r="O21" s="1783" t="s">
        <v>2230</v>
      </c>
      <c r="P21" s="1782" t="s">
        <v>2345</v>
      </c>
      <c r="Q21" s="1783" t="s">
        <v>2230</v>
      </c>
      <c r="R21" s="1782" t="s">
        <v>2345</v>
      </c>
      <c r="S21" s="1783" t="s">
        <v>2230</v>
      </c>
      <c r="T21" s="1782" t="s">
        <v>2345</v>
      </c>
      <c r="U21" s="1783" t="s">
        <v>2230</v>
      </c>
      <c r="V21" s="1782" t="s">
        <v>2218</v>
      </c>
      <c r="W21" s="1782" t="s">
        <v>2220</v>
      </c>
      <c r="X21" s="3417" t="s">
        <v>2344</v>
      </c>
      <c r="Y21" s="3417"/>
      <c r="Z21" s="1782" t="s">
        <v>2272</v>
      </c>
      <c r="AA21" s="1784" t="s">
        <v>2202</v>
      </c>
      <c r="AB21" s="2890"/>
      <c r="AC21" s="2892"/>
      <c r="AE21" s="2856"/>
    </row>
    <row r="22" spans="1:31" ht="12" customHeight="1" x14ac:dyDescent="0.2">
      <c r="A22" s="2128"/>
      <c r="B22" s="5188"/>
      <c r="C22" s="3392"/>
      <c r="D22" s="3603" t="s">
        <v>2218</v>
      </c>
      <c r="E22" s="3533" t="s">
        <v>2349</v>
      </c>
      <c r="F22" s="3534"/>
      <c r="G22" s="3534"/>
      <c r="H22" s="3534"/>
      <c r="I22" s="3534"/>
      <c r="J22" s="3534"/>
      <c r="K22" s="3535"/>
      <c r="L22" s="1799">
        <f>IF(Categoría_1=0,0,VLOOKUP(Categoría_1,Tabla_Categorías,MATCH("Coste"&amp;$E22,Name_Tabla_Cat,FALSE),FALSE))</f>
        <v>3</v>
      </c>
      <c r="M22" s="1800"/>
      <c r="N22" s="1801">
        <f>IF(Categoría_2=0,0,VLOOKUP(Categoría_2,Tabla_Categorías,MATCH("Coste"&amp;$E22,Name_Tabla_Cat,FALSE),FALSE))</f>
        <v>0</v>
      </c>
      <c r="O22" s="1802"/>
      <c r="P22" s="1801">
        <f>IF(Categoría_3=0,0,VLOOKUP(Categoría_3,Tabla_Categorías,MATCH("Coste"&amp;$E22,Name_Tabla_Cat,FALSE),FALSE))</f>
        <v>0</v>
      </c>
      <c r="Q22" s="1802"/>
      <c r="R22" s="1801">
        <f>IF(Categoría_4=0,0,VLOOKUP(Categoría_4,Tabla_Categorías,MATCH("Coste"&amp;$E22,Name_Tabla_Cat,FALSE),FALSE))</f>
        <v>0</v>
      </c>
      <c r="S22" s="1802"/>
      <c r="T22" s="1801">
        <f>IF(Categoría_5=0,0,VLOOKUP(Categoría_5,Tabla_Categorías,MATCH("Coste"&amp;$E22,Name_Tabla_Cat,FALSE),FALSE))</f>
        <v>0</v>
      </c>
      <c r="U22" s="1802"/>
      <c r="V22" s="1799">
        <f>IF(L22=0,0,TRUNC(M22/L22,0))+IF(N22=0,0,TRUNC(O22/N22,0))+IF(P22=0,0,TRUNC(Q22/P22,0))+IF(R22=0,0,TRUNC(S22/R22,0))+IF(T22=0,0,TRUNC(U22/T22,0))</f>
        <v>0</v>
      </c>
      <c r="W22" s="1801">
        <f>Bono_Des</f>
        <v>10</v>
      </c>
      <c r="X22" s="3538">
        <f>MIN(50,HLOOKUP($E22,Bonos_Cat_Base,2,FALSE)+5*Nivel_Total*Tablas!$F$572)</f>
        <v>0</v>
      </c>
      <c r="Y22" s="3538"/>
      <c r="Z22" s="1803"/>
      <c r="AA22" s="1804">
        <f>Z22+X22+V22+W22+Combate!$AB$15</f>
        <v>10</v>
      </c>
      <c r="AB22" s="2890"/>
      <c r="AC22" s="2892"/>
      <c r="AD22" s="2856" t="s">
        <v>9939</v>
      </c>
    </row>
    <row r="23" spans="1:31" ht="12" customHeight="1" x14ac:dyDescent="0.2">
      <c r="A23" s="2128"/>
      <c r="B23" s="5188"/>
      <c r="C23" s="3392"/>
      <c r="D23" s="3602"/>
      <c r="E23" s="3467" t="s">
        <v>2350</v>
      </c>
      <c r="F23" s="3468"/>
      <c r="G23" s="3468"/>
      <c r="H23" s="3468"/>
      <c r="I23" s="3468"/>
      <c r="J23" s="3468"/>
      <c r="K23" s="3469"/>
      <c r="L23" s="164">
        <f>IF(Categoría_1=0,0,VLOOKUP(Categoría_1,Tabla_Categorías,MATCH("Coste"&amp;$E23,Name_Tabla_Cat,FALSE),FALSE))</f>
        <v>3</v>
      </c>
      <c r="M23" s="165"/>
      <c r="N23" s="1740">
        <f>IF(Categoría_2=0,0,VLOOKUP(Categoría_2,Tabla_Categorías,MATCH("Coste"&amp;$E23,Name_Tabla_Cat,FALSE),FALSE))</f>
        <v>0</v>
      </c>
      <c r="O23" s="1743"/>
      <c r="P23" s="1740">
        <f>IF(Categoría_3=0,0,VLOOKUP(Categoría_3,Tabla_Categorías,MATCH("Coste"&amp;$E23,Name_Tabla_Cat,FALSE),FALSE))</f>
        <v>0</v>
      </c>
      <c r="Q23" s="1743"/>
      <c r="R23" s="1740">
        <f>IF(Categoría_4=0,0,VLOOKUP(Categoría_4,Tabla_Categorías,MATCH("Coste"&amp;$E23,Name_Tabla_Cat,FALSE),FALSE))</f>
        <v>0</v>
      </c>
      <c r="S23" s="1743"/>
      <c r="T23" s="1740">
        <f>IF(Categoría_5=0,0,VLOOKUP(Categoría_5,Tabla_Categorías,MATCH("Coste"&amp;$E23,Name_Tabla_Cat,FALSE),FALSE))</f>
        <v>0</v>
      </c>
      <c r="U23" s="1743"/>
      <c r="V23" s="164">
        <f>IF(L23=0,0,TRUNC(M23/L23,0))+IF(N23=0,0,TRUNC(O23/N23,0))+IF(P23=0,0,TRUNC(Q23/P23,0))+IF(R23=0,0,TRUNC(S23/R23,0))+IF(T23=0,0,TRUNC(U23/T23,0))</f>
        <v>0</v>
      </c>
      <c r="W23" s="1740">
        <f>Bono_Des</f>
        <v>10</v>
      </c>
      <c r="X23" s="3419">
        <f>HLOOKUP($E23,Bonos_Cat_Base,2,FALSE)+5*Nivel_Total*Tablas!F573</f>
        <v>0</v>
      </c>
      <c r="Y23" s="3419"/>
      <c r="Z23" s="166"/>
      <c r="AA23" s="1805">
        <f>W23+X23+V23+Z23+Combate!$AB$15</f>
        <v>10</v>
      </c>
      <c r="AB23" s="2890"/>
      <c r="AC23" s="2892"/>
      <c r="AD23" s="2856">
        <f>MAX(HP_final,HE_final)</f>
        <v>10</v>
      </c>
    </row>
    <row r="24" spans="1:31" ht="12" customHeight="1" x14ac:dyDescent="0.2">
      <c r="A24" s="2128"/>
      <c r="B24" s="5188"/>
      <c r="C24" s="3392"/>
      <c r="D24" s="3602"/>
      <c r="E24" s="3465" t="s">
        <v>2351</v>
      </c>
      <c r="F24" s="3103"/>
      <c r="G24" s="3103"/>
      <c r="H24" s="3103"/>
      <c r="I24" s="3103"/>
      <c r="J24" s="3103"/>
      <c r="K24" s="3466"/>
      <c r="L24" s="159">
        <f>IF(Categoría_1=0,0,VLOOKUP(Categoría_1,Tabla_Categorías,MATCH("Coste"&amp;$E24,Name_Tabla_Cat,FALSE),FALSE))</f>
        <v>2</v>
      </c>
      <c r="M24" s="160"/>
      <c r="N24" s="1745">
        <f>IF(Categoría_2=0,0,VLOOKUP(Categoría_2,Tabla_Categorías,MATCH("Coste"&amp;$E24,Name_Tabla_Cat,FALSE),FALSE))</f>
        <v>0</v>
      </c>
      <c r="O24" s="1744"/>
      <c r="P24" s="1745">
        <f>IF(Categoría_3=0,0,VLOOKUP(Categoría_3,Tabla_Categorías,MATCH("Coste"&amp;$E24,Name_Tabla_Cat,FALSE),FALSE))</f>
        <v>0</v>
      </c>
      <c r="Q24" s="1744"/>
      <c r="R24" s="1745">
        <f>IF(Categoría_4=0,0,VLOOKUP(Categoría_4,Tabla_Categorías,MATCH("Coste"&amp;$E24,Name_Tabla_Cat,FALSE),FALSE))</f>
        <v>0</v>
      </c>
      <c r="S24" s="1744"/>
      <c r="T24" s="1745">
        <f>IF(Categoría_5=0,0,VLOOKUP(Categoría_5,Tabla_Categorías,MATCH("Coste"&amp;$E24,Name_Tabla_Cat,FALSE),FALSE))</f>
        <v>0</v>
      </c>
      <c r="U24" s="1744"/>
      <c r="V24" s="159">
        <f>IF(L24=0,0,TRUNC(M24/L24,0))+IF(N24=0,0,TRUNC(O24/N24,0))+IF(P24=0,0,TRUNC(Q24/P24,0))+IF(R24=0,0,TRUNC(S24/R24,0))+IF(T24=0,0,TRUNC(U24/T24,0))</f>
        <v>0</v>
      </c>
      <c r="W24" s="1745">
        <f>Bono_Agi</f>
        <v>10</v>
      </c>
      <c r="X24" s="3418">
        <f>MIN(50,HLOOKUP($E24,Bonos_Cat_Base,2,FALSE)+5*Nivel_Total*Tablas!F574)</f>
        <v>0</v>
      </c>
      <c r="Y24" s="3418"/>
      <c r="Z24" s="82"/>
      <c r="AA24" s="1806">
        <f>V24+W24+X24+Z24+Combate!$AB$15</f>
        <v>10</v>
      </c>
      <c r="AB24" s="2890"/>
      <c r="AC24" s="2892"/>
    </row>
    <row r="25" spans="1:31" ht="12" customHeight="1" x14ac:dyDescent="0.2">
      <c r="A25" s="2128"/>
      <c r="B25" s="5188"/>
      <c r="C25" s="3392"/>
      <c r="D25" s="3602"/>
      <c r="E25" s="3467" t="s">
        <v>2352</v>
      </c>
      <c r="F25" s="3468"/>
      <c r="G25" s="3468"/>
      <c r="H25" s="3468"/>
      <c r="I25" s="3468"/>
      <c r="J25" s="3468"/>
      <c r="K25" s="3469"/>
      <c r="L25" s="164">
        <f>IF(Categoría_1=0,0,VLOOKUP(Categoría_1,Tabla_Categorías,MATCH("Coste"&amp;$E25,Name_Tabla_Cat,FALSE),FALSE))</f>
        <v>3</v>
      </c>
      <c r="M25" s="165"/>
      <c r="N25" s="1740">
        <f>IF(Categoría_2=0,0,VLOOKUP(Categoría_2,Tabla_Categorías,MATCH("Coste"&amp;$E25,Name_Tabla_Cat,FALSE),FALSE))</f>
        <v>0</v>
      </c>
      <c r="O25" s="1743"/>
      <c r="P25" s="1740">
        <f>IF(Categoría_3=0,0,VLOOKUP(Categoría_3,Tabla_Categorías,MATCH("Coste"&amp;$E25,Name_Tabla_Cat,FALSE),FALSE))</f>
        <v>0</v>
      </c>
      <c r="Q25" s="1743"/>
      <c r="R25" s="1740">
        <f>IF(Categoría_4=0,0,VLOOKUP(Categoría_4,Tabla_Categorías,MATCH("Coste"&amp;$E25,Name_Tabla_Cat,FALSE),FALSE))</f>
        <v>0</v>
      </c>
      <c r="S25" s="1743"/>
      <c r="T25" s="1740">
        <f>IF(Categoría_5=0,0,VLOOKUP(Categoría_5,Tabla_Categorías,MATCH("Coste"&amp;$E25,Name_Tabla_Cat,FALSE),FALSE))</f>
        <v>0</v>
      </c>
      <c r="U25" s="1743"/>
      <c r="V25" s="164">
        <f>IF(L25=0,0,TRUNC(M25/L25,0))+IF(N25=0,0,TRUNC(O25/N25,0))+IF(P25=0,0,TRUNC(Q25/P25,0))+IF(R25=0,0,TRUNC(S25/R25,0))+IF(T25=0,0,TRUNC(U25/T25,0))</f>
        <v>0</v>
      </c>
      <c r="W25" s="1740">
        <f>Bono_Fue+Nivel_Total*(5*Tablas!$F$576+10*Tablas!$F$577+15*Tablas!$F$578)</f>
        <v>10</v>
      </c>
      <c r="X25" s="3513">
        <f>HLOOKUP($E25,Bonos_Cat_Base,2,FALSE)</f>
        <v>0</v>
      </c>
      <c r="Y25" s="3513">
        <f>HLOOKUP($E25,Bonos_Cat_Base,2,FALSE)</f>
        <v>0</v>
      </c>
      <c r="Z25" s="166"/>
      <c r="AA25" s="1807">
        <f>V25+W25+X25+Z25</f>
        <v>10</v>
      </c>
      <c r="AB25" s="2890"/>
      <c r="AC25" s="2892"/>
    </row>
    <row r="26" spans="1:31" ht="12" customHeight="1" x14ac:dyDescent="0.2">
      <c r="A26" s="2128"/>
      <c r="B26" s="5188"/>
      <c r="C26" s="3392"/>
      <c r="D26" s="3604"/>
      <c r="E26" s="353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37"/>
      <c r="G26" s="3537"/>
      <c r="H26" s="3537"/>
      <c r="I26" s="3537"/>
      <c r="J26" s="3537"/>
      <c r="K26" s="3537"/>
      <c r="L26" s="3537"/>
      <c r="M26" s="3537"/>
      <c r="N26" s="3537"/>
      <c r="O26" s="3537"/>
      <c r="P26" s="3537"/>
      <c r="Q26" s="3537"/>
      <c r="R26" s="3537"/>
      <c r="S26" s="3537"/>
      <c r="T26" s="3537"/>
      <c r="U26" s="3537"/>
      <c r="V26" s="3537"/>
      <c r="W26" s="3537"/>
      <c r="X26" s="3537"/>
      <c r="Y26" s="3537"/>
      <c r="Z26" s="3537"/>
      <c r="AA26" s="1808" t="str">
        <f>IF((M22+M23+M24+O22+O23+O24+Q22+Q23+Q24+S22+S23+S24+U22+U23+U24)&gt;(($Y$5+$Y$7+$Y$9+$Y$11+$Y$13)/2),($Y$5+$Y$7+$Y$9+$Y$11+$Y$13)/2,"")</f>
        <v/>
      </c>
      <c r="AB26" s="2890"/>
      <c r="AC26" s="2892"/>
    </row>
    <row r="27" spans="1:31" ht="12" customHeight="1" x14ac:dyDescent="0.2">
      <c r="A27" s="2128"/>
      <c r="B27" s="5188"/>
      <c r="C27" s="3392"/>
      <c r="D27" s="3601" t="s">
        <v>2353</v>
      </c>
      <c r="E27" s="3526" t="s">
        <v>2226</v>
      </c>
      <c r="F27" s="3527"/>
      <c r="G27" s="3527"/>
      <c r="H27" s="3527"/>
      <c r="I27" s="3527"/>
      <c r="J27" s="3527"/>
      <c r="K27" s="3612"/>
      <c r="L27" s="1785">
        <f>IF(Categoría_1=0,0,VLOOKUP(Categoría_1,Tabla_Categorías,MATCH("CosteKi",Name_Tabla_Cat,FALSE),FALSE))</f>
        <v>3</v>
      </c>
      <c r="M27" s="1786"/>
      <c r="N27" s="1785">
        <f>IF(Categoría_2=0,0,VLOOKUP(Categoría_2,Tabla_Categorías,MATCH("CosteKi",Name_Tabla_Cat,FALSE),FALSE))</f>
        <v>0</v>
      </c>
      <c r="O27" s="1786"/>
      <c r="P27" s="1785">
        <f>IF(Categoría_3=0,0,VLOOKUP(Categoría_3,Tabla_Categorías,MATCH("CosteKi",Name_Tabla_Cat,FALSE),FALSE))</f>
        <v>0</v>
      </c>
      <c r="Q27" s="1786"/>
      <c r="R27" s="1785">
        <f>IF(Categoría_4=0,0,VLOOKUP(Categoría_4,Tabla_Categorías,MATCH("CosteKi",Name_Tabla_Cat,FALSE),FALSE))</f>
        <v>0</v>
      </c>
      <c r="S27" s="1786"/>
      <c r="T27" s="1746">
        <f>IF(Categoría_5=0,0,VLOOKUP(Categoría_5,Tabla_Categorías,MATCH("CosteKi",Name_Tabla_Cat,FALSE),FALSE))</f>
        <v>0</v>
      </c>
      <c r="U27" s="1787"/>
      <c r="V27" s="1360">
        <f t="shared" ref="V27:V38" si="0">IF(L27=0,0,TRUNC(M27/L27,0))+IF(N27=0,0,TRUNC(O27/N27,0))+IF(P27=0,0,TRUNC(Q27/P27,0))+IF(R27=0,0,TRUNC(S27/R27,0))+IF(T27=0,0,TRUNC(U27/T27,0))</f>
        <v>0</v>
      </c>
      <c r="W27" s="1746">
        <f>AGI+IF(AGI-10&gt;0,AGI-10,0)</f>
        <v>8</v>
      </c>
      <c r="X27" s="3512" t="s">
        <v>2310</v>
      </c>
      <c r="Y27" s="3512"/>
      <c r="Z27" s="1361"/>
      <c r="AA27" s="1809">
        <f t="shared" ref="AA27:AA32" si="1">W27+V27+Z27</f>
        <v>8</v>
      </c>
      <c r="AB27" s="2890"/>
      <c r="AC27" s="2892"/>
    </row>
    <row r="28" spans="1:31" ht="12" customHeight="1" x14ac:dyDescent="0.2">
      <c r="A28" s="2128"/>
      <c r="B28" s="5188"/>
      <c r="C28" s="3392"/>
      <c r="D28" s="3602"/>
      <c r="E28" s="3467" t="s">
        <v>2354</v>
      </c>
      <c r="F28" s="3468"/>
      <c r="G28" s="3468"/>
      <c r="H28" s="3468"/>
      <c r="I28" s="3468"/>
      <c r="J28" s="3468"/>
      <c r="K28" s="3469"/>
      <c r="L28" s="164">
        <f>IF(Categoría_1=0,0,VLOOKUP(Categoría_1,Tabla_Categorías,MATCH("CosteKi",Name_Tabla_Cat,FALSE),FALSE))</f>
        <v>3</v>
      </c>
      <c r="M28" s="1743"/>
      <c r="N28" s="164">
        <f>IF(Categoría_2=0,0,VLOOKUP(Categoría_2,Tabla_Categorías,MATCH("CosteKi",Name_Tabla_Cat,FALSE),FALSE))</f>
        <v>0</v>
      </c>
      <c r="O28" s="1743"/>
      <c r="P28" s="164">
        <f>IF(Categoría_3=0,0,VLOOKUP(Categoría_3,Tabla_Categorías,MATCH("CosteKi",Name_Tabla_Cat,FALSE),FALSE))</f>
        <v>0</v>
      </c>
      <c r="Q28" s="1743"/>
      <c r="R28" s="164">
        <f>IF(Categoría_4=0,0,VLOOKUP(Categoría_4,Tabla_Categorías,MATCH("CosteKi",Name_Tabla_Cat,FALSE),FALSE))</f>
        <v>0</v>
      </c>
      <c r="S28" s="1743"/>
      <c r="T28" s="1740">
        <f>IF(Categoría_5=0,0,VLOOKUP(Categoría_5,Tabla_Categorías,MATCH("CosteKi",Name_Tabla_Cat,FALSE),FALSE))</f>
        <v>0</v>
      </c>
      <c r="U28" s="170"/>
      <c r="V28" s="1362">
        <f t="shared" si="0"/>
        <v>0</v>
      </c>
      <c r="W28" s="1747">
        <f>CON+IF(CON-10&gt;0,CON-10,0)</f>
        <v>8</v>
      </c>
      <c r="X28" s="3419" t="s">
        <v>2310</v>
      </c>
      <c r="Y28" s="3419"/>
      <c r="Z28" s="1363"/>
      <c r="AA28" s="1810">
        <f t="shared" si="1"/>
        <v>8</v>
      </c>
      <c r="AB28" s="2890"/>
      <c r="AC28" s="2892"/>
    </row>
    <row r="29" spans="1:31" ht="12" customHeight="1" x14ac:dyDescent="0.2">
      <c r="A29" s="2128"/>
      <c r="B29" s="5188"/>
      <c r="C29" s="3392"/>
      <c r="D29" s="3602"/>
      <c r="E29" s="3465" t="s">
        <v>2231</v>
      </c>
      <c r="F29" s="3103"/>
      <c r="G29" s="3103"/>
      <c r="H29" s="3103"/>
      <c r="I29" s="3103"/>
      <c r="J29" s="3103"/>
      <c r="K29" s="3466"/>
      <c r="L29" s="159">
        <f>IF(Categoría_1=0,0,VLOOKUP(Categoría_1,Tabla_Categorías,MATCH("CosteKi",Name_Tabla_Cat,FALSE),FALSE))</f>
        <v>3</v>
      </c>
      <c r="M29" s="1744"/>
      <c r="N29" s="159">
        <f>IF(Categoría_2=0,0,VLOOKUP(Categoría_2,Tabla_Categorías,MATCH("CosteKi",Name_Tabla_Cat,FALSE),FALSE))</f>
        <v>0</v>
      </c>
      <c r="O29" s="1744"/>
      <c r="P29" s="159">
        <f>IF(Categoría_3=0,0,VLOOKUP(Categoría_3,Tabla_Categorías,MATCH("CosteKi",Name_Tabla_Cat,FALSE),FALSE))</f>
        <v>0</v>
      </c>
      <c r="Q29" s="1744"/>
      <c r="R29" s="159">
        <f>IF(Categoría_4=0,0,VLOOKUP(Categoría_4,Tabla_Categorías,MATCH("CosteKi",Name_Tabla_Cat,FALSE),FALSE))</f>
        <v>0</v>
      </c>
      <c r="S29" s="1744"/>
      <c r="T29" s="1745">
        <f>IF(Categoría_5=0,0,VLOOKUP(Categoría_5,Tabla_Categorías,MATCH("CosteKi",Name_Tabla_Cat,FALSE),FALSE))</f>
        <v>0</v>
      </c>
      <c r="U29" s="77"/>
      <c r="V29" s="1364">
        <f t="shared" si="0"/>
        <v>0</v>
      </c>
      <c r="W29" s="1748">
        <f>DES+IF(DES-10&gt;0,DES-10,0)</f>
        <v>8</v>
      </c>
      <c r="X29" s="3418" t="s">
        <v>2310</v>
      </c>
      <c r="Y29" s="3418"/>
      <c r="Z29" s="1365"/>
      <c r="AA29" s="1811">
        <f t="shared" si="1"/>
        <v>8</v>
      </c>
      <c r="AB29" s="2890"/>
      <c r="AC29" s="2892"/>
    </row>
    <row r="30" spans="1:31" ht="12" customHeight="1" x14ac:dyDescent="0.2">
      <c r="A30" s="2128"/>
      <c r="B30" s="5188"/>
      <c r="C30" s="3392"/>
      <c r="D30" s="3602"/>
      <c r="E30" s="3467" t="s">
        <v>2236</v>
      </c>
      <c r="F30" s="3468"/>
      <c r="G30" s="3468"/>
      <c r="H30" s="3468"/>
      <c r="I30" s="3468"/>
      <c r="J30" s="3468"/>
      <c r="K30" s="3469"/>
      <c r="L30" s="164">
        <f>IF(Categoría_1=0,0,VLOOKUP(Categoría_1,Tabla_Categorías,MATCH("CosteKi",Name_Tabla_Cat,FALSE),FALSE))</f>
        <v>3</v>
      </c>
      <c r="M30" s="1743"/>
      <c r="N30" s="164">
        <f>IF(Categoría_2=0,0,VLOOKUP(Categoría_2,Tabla_Categorías,MATCH("CosteKi",Name_Tabla_Cat,FALSE),FALSE))</f>
        <v>0</v>
      </c>
      <c r="O30" s="1743"/>
      <c r="P30" s="164">
        <f>IF(Categoría_3=0,0,VLOOKUP(Categoría_3,Tabla_Categorías,MATCH("CosteKi",Name_Tabla_Cat,FALSE),FALSE))</f>
        <v>0</v>
      </c>
      <c r="Q30" s="1743"/>
      <c r="R30" s="164">
        <f>IF(Categoría_4=0,0,VLOOKUP(Categoría_4,Tabla_Categorías,MATCH("CosteKi",Name_Tabla_Cat,FALSE),FALSE))</f>
        <v>0</v>
      </c>
      <c r="S30" s="1743"/>
      <c r="T30" s="1740">
        <f>IF(Categoría_5=0,0,VLOOKUP(Categoría_5,Tabla_Categorías,MATCH("CosteKi",Name_Tabla_Cat,FALSE),FALSE))</f>
        <v>0</v>
      </c>
      <c r="U30" s="170"/>
      <c r="V30" s="1362">
        <f t="shared" si="0"/>
        <v>0</v>
      </c>
      <c r="W30" s="1747">
        <f>FUE+IF(FUE-10&gt;0,FUE-10,0)</f>
        <v>8</v>
      </c>
      <c r="X30" s="3419" t="s">
        <v>2310</v>
      </c>
      <c r="Y30" s="3419"/>
      <c r="Z30" s="1363"/>
      <c r="AA30" s="1810">
        <f t="shared" si="1"/>
        <v>8</v>
      </c>
      <c r="AB30" s="2890"/>
      <c r="AC30" s="2892"/>
    </row>
    <row r="31" spans="1:31" ht="12" customHeight="1" x14ac:dyDescent="0.2">
      <c r="A31" s="2128"/>
      <c r="B31" s="5188"/>
      <c r="C31" s="3392"/>
      <c r="D31" s="3602"/>
      <c r="E31" s="3465" t="s">
        <v>2244</v>
      </c>
      <c r="F31" s="3103"/>
      <c r="G31" s="3103"/>
      <c r="H31" s="3103"/>
      <c r="I31" s="3103"/>
      <c r="J31" s="3103"/>
      <c r="K31" s="3466"/>
      <c r="L31" s="159">
        <f>IF(Categoría_1=0,0,VLOOKUP(Categoría_1,Tabla_Categorías,MATCH("CosteKi",Name_Tabla_Cat,FALSE),FALSE))</f>
        <v>3</v>
      </c>
      <c r="M31" s="1744"/>
      <c r="N31" s="159">
        <f>IF(Categoría_2=0,0,VLOOKUP(Categoría_2,Tabla_Categorías,MATCH("CosteKi",Name_Tabla_Cat,FALSE),FALSE))</f>
        <v>0</v>
      </c>
      <c r="O31" s="1744"/>
      <c r="P31" s="159">
        <f>IF(Categoría_3=0,0,VLOOKUP(Categoría_3,Tabla_Categorías,MATCH("CosteKi",Name_Tabla_Cat,FALSE),FALSE))</f>
        <v>0</v>
      </c>
      <c r="Q31" s="1744"/>
      <c r="R31" s="159">
        <f>IF(Categoría_4=0,0,VLOOKUP(Categoría_4,Tabla_Categorías,MATCH("CosteKi",Name_Tabla_Cat,FALSE),FALSE))</f>
        <v>0</v>
      </c>
      <c r="S31" s="1744"/>
      <c r="T31" s="1745">
        <f>IF(Categoría_5=0,0,VLOOKUP(Categoría_5,Tabla_Categorías,MATCH("CosteKi",Name_Tabla_Cat,FALSE),FALSE))</f>
        <v>0</v>
      </c>
      <c r="U31" s="77"/>
      <c r="V31" s="1364">
        <f t="shared" si="0"/>
        <v>0</v>
      </c>
      <c r="W31" s="1748">
        <f>POD+IF(POD-10&gt;0,POD-10,0)</f>
        <v>8</v>
      </c>
      <c r="X31" s="3418" t="s">
        <v>2310</v>
      </c>
      <c r="Y31" s="3418"/>
      <c r="Z31" s="1365"/>
      <c r="AA31" s="1811">
        <f t="shared" si="1"/>
        <v>8</v>
      </c>
      <c r="AB31" s="2890"/>
      <c r="AC31" s="2892"/>
    </row>
    <row r="32" spans="1:31" ht="12" customHeight="1" x14ac:dyDescent="0.2">
      <c r="A32" s="2128"/>
      <c r="B32" s="5188"/>
      <c r="C32" s="3392"/>
      <c r="D32" s="3602"/>
      <c r="E32" s="3467" t="s">
        <v>2245</v>
      </c>
      <c r="F32" s="3468"/>
      <c r="G32" s="3468"/>
      <c r="H32" s="3468"/>
      <c r="I32" s="3468"/>
      <c r="J32" s="3468"/>
      <c r="K32" s="3469"/>
      <c r="L32" s="173">
        <f>IF(Categoría_1=0,0,VLOOKUP(Categoría_1,Tabla_Categorías,MATCH("CosteKi",Name_Tabla_Cat,FALSE),FALSE))</f>
        <v>3</v>
      </c>
      <c r="M32" s="174"/>
      <c r="N32" s="173">
        <f>IF(Categoría_2=0,0,VLOOKUP(Categoría_2,Tabla_Categorías,MATCH("CosteKi",Name_Tabla_Cat,FALSE),FALSE))</f>
        <v>0</v>
      </c>
      <c r="O32" s="174"/>
      <c r="P32" s="173">
        <f>IF(Categoría_3=0,0,VLOOKUP(Categoría_3,Tabla_Categorías,MATCH("CosteKi",Name_Tabla_Cat,FALSE),FALSE))</f>
        <v>0</v>
      </c>
      <c r="Q32" s="174"/>
      <c r="R32" s="173">
        <f>IF(Categoría_4=0,0,VLOOKUP(Categoría_4,Tabla_Categorías,MATCH("CosteKi",Name_Tabla_Cat,FALSE),FALSE))</f>
        <v>0</v>
      </c>
      <c r="S32" s="174"/>
      <c r="T32" s="175">
        <f>IF(Categoría_5=0,0,VLOOKUP(Categoría_5,Tabla_Categorías,MATCH("CosteKi",Name_Tabla_Cat,FALSE),FALSE))</f>
        <v>0</v>
      </c>
      <c r="U32" s="176"/>
      <c r="V32" s="1366">
        <f t="shared" si="0"/>
        <v>0</v>
      </c>
      <c r="W32" s="1359">
        <f>VOL+IF(VOL-10&gt;0,VOL-10,0)</f>
        <v>8</v>
      </c>
      <c r="X32" s="3513" t="s">
        <v>2310</v>
      </c>
      <c r="Y32" s="3513"/>
      <c r="Z32" s="1367"/>
      <c r="AA32" s="1812">
        <f t="shared" si="1"/>
        <v>8</v>
      </c>
      <c r="AB32" s="150"/>
      <c r="AC32" s="2126"/>
    </row>
    <row r="33" spans="1:60" ht="12" customHeight="1" x14ac:dyDescent="0.2">
      <c r="A33" s="2128"/>
      <c r="B33" s="5188"/>
      <c r="C33" s="3392"/>
      <c r="D33" s="3605" t="s">
        <v>2355</v>
      </c>
      <c r="E33" s="3526" t="s">
        <v>2226</v>
      </c>
      <c r="F33" s="3527"/>
      <c r="G33" s="3527"/>
      <c r="H33" s="3527"/>
      <c r="I33" s="3527"/>
      <c r="J33" s="3527"/>
      <c r="K33" s="3528"/>
      <c r="L33" s="178">
        <f>IF(Categoría_1=0,0,VLOOKUP(Categoría_1,Tabla_Categorías,MATCH("CosteAcumKi",Name_Tabla_Cat,FALSE),FALSE))</f>
        <v>30</v>
      </c>
      <c r="M33" s="1760"/>
      <c r="N33" s="177">
        <f>IF(Categoría_2=0,0,VLOOKUP(Categoría_2,Tabla_Categorías,MATCH("CosteAcumKi",Name_Tabla_Cat,FALSE),FALSE))</f>
        <v>0</v>
      </c>
      <c r="O33" s="1760"/>
      <c r="P33" s="177">
        <f>IF(Categoría_3=0,0,VLOOKUP(Categoría_3,Tabla_Categorías,MATCH("CosteAcumKi",Name_Tabla_Cat,FALSE),FALSE))</f>
        <v>0</v>
      </c>
      <c r="Q33" s="1760"/>
      <c r="R33" s="177">
        <f>IF(Categoría_4=0,0,VLOOKUP(Categoría_4,Tabla_Categorías,MATCH("CosteAcumKi",Name_Tabla_Cat,FALSE),FALSE))</f>
        <v>0</v>
      </c>
      <c r="S33" s="1760"/>
      <c r="T33" s="178">
        <f>IF(Categoría_5=0,0,VLOOKUP(Categoría_5,Tabla_Categorías,MATCH("CosteAcumKi",Name_Tabla_Cat,FALSE),FALSE))</f>
        <v>0</v>
      </c>
      <c r="U33" s="179"/>
      <c r="V33" s="1368">
        <f t="shared" si="0"/>
        <v>0</v>
      </c>
      <c r="W33" s="686">
        <f>IF(AGI=0,0,VLOOKUP(AGI,Tabla_Acum,2))</f>
        <v>1</v>
      </c>
      <c r="X33" s="3514" t="s">
        <v>2310</v>
      </c>
      <c r="Y33" s="3514"/>
      <c r="Z33" s="1361"/>
      <c r="AA33" s="1813">
        <f>W33+V33+Z33+IF(Combate!$AB$15&lt;0,TRUNC(Combate!$AB$15/20,0),0)</f>
        <v>1</v>
      </c>
      <c r="AB33" s="150"/>
      <c r="AC33" s="2126"/>
    </row>
    <row r="34" spans="1:60" ht="12" customHeight="1" x14ac:dyDescent="0.2">
      <c r="A34" s="2128"/>
      <c r="B34" s="5188"/>
      <c r="C34" s="3392"/>
      <c r="D34" s="3602"/>
      <c r="E34" s="3467" t="s">
        <v>2354</v>
      </c>
      <c r="F34" s="3468"/>
      <c r="G34" s="3468"/>
      <c r="H34" s="3468"/>
      <c r="I34" s="3468"/>
      <c r="J34" s="3468"/>
      <c r="K34" s="3529"/>
      <c r="L34" s="1740">
        <f>IF(Categoría_1=0,0,VLOOKUP(Categoría_1,Tabla_Categorías,MATCH("CosteAcumKi",Name_Tabla_Cat,FALSE),FALSE))</f>
        <v>30</v>
      </c>
      <c r="M34" s="1743"/>
      <c r="N34" s="164">
        <f>IF(Categoría_2=0,0,VLOOKUP(Categoría_2,Tabla_Categorías,MATCH("CosteAcumKi",Name_Tabla_Cat,FALSE),FALSE))</f>
        <v>0</v>
      </c>
      <c r="O34" s="1743"/>
      <c r="P34" s="164">
        <f>IF(Categoría_3=0,0,VLOOKUP(Categoría_3,Tabla_Categorías,MATCH("CosteAcumKi",Name_Tabla_Cat,FALSE),FALSE))</f>
        <v>0</v>
      </c>
      <c r="Q34" s="1743"/>
      <c r="R34" s="164">
        <f>IF(Categoría_4=0,0,VLOOKUP(Categoría_4,Tabla_Categorías,MATCH("CosteAcumKi",Name_Tabla_Cat,FALSE),FALSE))</f>
        <v>0</v>
      </c>
      <c r="S34" s="1743"/>
      <c r="T34" s="1740">
        <f>IF(Categoría_5=0,0,VLOOKUP(Categoría_5,Tabla_Categorías,MATCH("CosteAcumKi",Name_Tabla_Cat,FALSE),FALSE))</f>
        <v>0</v>
      </c>
      <c r="U34" s="170"/>
      <c r="V34" s="1362">
        <f t="shared" si="0"/>
        <v>0</v>
      </c>
      <c r="W34" s="1747">
        <f>IF(CON=0,0,VLOOKUP(CON,Tabla_Acum,2))</f>
        <v>1</v>
      </c>
      <c r="X34" s="3419" t="s">
        <v>2310</v>
      </c>
      <c r="Y34" s="3419"/>
      <c r="Z34" s="1363"/>
      <c r="AA34" s="1810">
        <f>W34+V34+Z34+IF(Combate!$AB$15&lt;0,TRUNC(Combate!$AB$15/20,0),0)</f>
        <v>1</v>
      </c>
      <c r="AB34" s="150"/>
      <c r="AC34" s="2126"/>
    </row>
    <row r="35" spans="1:60" ht="12" customHeight="1" x14ac:dyDescent="0.2">
      <c r="A35" s="2128"/>
      <c r="B35" s="5188"/>
      <c r="C35" s="3392"/>
      <c r="D35" s="3602"/>
      <c r="E35" s="3465" t="s">
        <v>2231</v>
      </c>
      <c r="F35" s="3103"/>
      <c r="G35" s="3103"/>
      <c r="H35" s="3103"/>
      <c r="I35" s="3103"/>
      <c r="J35" s="3103"/>
      <c r="K35" s="3515"/>
      <c r="L35" s="1745">
        <f>IF(Categoría_1=0,0,VLOOKUP(Categoría_1,Tabla_Categorías,MATCH("CosteAcumKi",Name_Tabla_Cat,FALSE),FALSE))</f>
        <v>30</v>
      </c>
      <c r="M35" s="1744"/>
      <c r="N35" s="159">
        <f>IF(Categoría_2=0,0,VLOOKUP(Categoría_2,Tabla_Categorías,MATCH("CosteAcumKi",Name_Tabla_Cat,FALSE),FALSE))</f>
        <v>0</v>
      </c>
      <c r="O35" s="1744"/>
      <c r="P35" s="159">
        <f>IF(Categoría_3=0,0,VLOOKUP(Categoría_3,Tabla_Categorías,MATCH("CosteAcumKi",Name_Tabla_Cat,FALSE),FALSE))</f>
        <v>0</v>
      </c>
      <c r="Q35" s="1744"/>
      <c r="R35" s="159">
        <f>IF(Categoría_4=0,0,VLOOKUP(Categoría_4,Tabla_Categorías,MATCH("CosteAcumKi",Name_Tabla_Cat,FALSE),FALSE))</f>
        <v>0</v>
      </c>
      <c r="S35" s="1744"/>
      <c r="T35" s="1745">
        <f>IF(Categoría_5=0,0,VLOOKUP(Categoría_5,Tabla_Categorías,MATCH("CosteAcumKi",Name_Tabla_Cat,FALSE),FALSE))</f>
        <v>0</v>
      </c>
      <c r="U35" s="77"/>
      <c r="V35" s="1364">
        <f t="shared" si="0"/>
        <v>0</v>
      </c>
      <c r="W35" s="1748">
        <f>IF(DES=0,0,VLOOKUP(DES,Tabla_Acum,2))</f>
        <v>1</v>
      </c>
      <c r="X35" s="3418" t="s">
        <v>2310</v>
      </c>
      <c r="Y35" s="3418"/>
      <c r="Z35" s="1365"/>
      <c r="AA35" s="1811">
        <f>W35+V35+Z35+IF(Combate!$AB$15&lt;0,TRUNC(Combate!$AB$15/20,0),0)</f>
        <v>1</v>
      </c>
      <c r="AB35" s="150"/>
      <c r="AC35" s="2126"/>
    </row>
    <row r="36" spans="1:60" ht="12" customHeight="1" x14ac:dyDescent="0.2">
      <c r="A36" s="2128"/>
      <c r="B36" s="5188"/>
      <c r="C36" s="3392"/>
      <c r="D36" s="3602"/>
      <c r="E36" s="3467" t="s">
        <v>2236</v>
      </c>
      <c r="F36" s="3468"/>
      <c r="G36" s="3468"/>
      <c r="H36" s="3468"/>
      <c r="I36" s="3468"/>
      <c r="J36" s="3468"/>
      <c r="K36" s="3529"/>
      <c r="L36" s="1740">
        <f>IF(Categoría_1=0,0,VLOOKUP(Categoría_1,Tabla_Categorías,MATCH("CosteAcumKi",Name_Tabla_Cat,FALSE),FALSE))</f>
        <v>30</v>
      </c>
      <c r="M36" s="1743"/>
      <c r="N36" s="164">
        <f>IF(Categoría_2=0,0,VLOOKUP(Categoría_2,Tabla_Categorías,MATCH("CosteAcumKi",Name_Tabla_Cat,FALSE),FALSE))</f>
        <v>0</v>
      </c>
      <c r="O36" s="1743"/>
      <c r="P36" s="164">
        <f>IF(Categoría_3=0,0,VLOOKUP(Categoría_3,Tabla_Categorías,MATCH("CosteAcumKi",Name_Tabla_Cat,FALSE),FALSE))</f>
        <v>0</v>
      </c>
      <c r="Q36" s="1743"/>
      <c r="R36" s="164">
        <f>IF(Categoría_4=0,0,VLOOKUP(Categoría_4,Tabla_Categorías,MATCH("CosteAcumKi",Name_Tabla_Cat,FALSE),FALSE))</f>
        <v>0</v>
      </c>
      <c r="S36" s="1743"/>
      <c r="T36" s="1740">
        <f>IF(Categoría_5=0,0,VLOOKUP(Categoría_5,Tabla_Categorías,MATCH("CosteAcumKi",Name_Tabla_Cat,FALSE),FALSE))</f>
        <v>0</v>
      </c>
      <c r="U36" s="170"/>
      <c r="V36" s="1362">
        <f t="shared" si="0"/>
        <v>0</v>
      </c>
      <c r="W36" s="1747">
        <f>IF(FUE=0,0,VLOOKUP(FUE,Tabla_Acum,2))</f>
        <v>1</v>
      </c>
      <c r="X36" s="3419" t="s">
        <v>2310</v>
      </c>
      <c r="Y36" s="3419"/>
      <c r="Z36" s="1363"/>
      <c r="AA36" s="1810">
        <f>W36+V36+Z36+IF(Combate!$AB$15&lt;0,TRUNC(Combate!$AB$15/20,0),0)</f>
        <v>1</v>
      </c>
      <c r="AB36" s="150"/>
      <c r="AC36" s="2126"/>
      <c r="BB36" s="180"/>
      <c r="BC36" s="180"/>
      <c r="BD36" s="181"/>
      <c r="BE36" s="181"/>
      <c r="BF36" s="181"/>
      <c r="BG36" s="181"/>
      <c r="BH36" s="181"/>
    </row>
    <row r="37" spans="1:60" ht="12" customHeight="1" x14ac:dyDescent="0.2">
      <c r="A37" s="2128"/>
      <c r="B37" s="5188"/>
      <c r="C37" s="3392"/>
      <c r="D37" s="3602"/>
      <c r="E37" s="3465" t="s">
        <v>2244</v>
      </c>
      <c r="F37" s="3103"/>
      <c r="G37" s="3103"/>
      <c r="H37" s="3103"/>
      <c r="I37" s="3103"/>
      <c r="J37" s="3103"/>
      <c r="K37" s="3515"/>
      <c r="L37" s="1745">
        <f>IF(Categoría_1=0,0,VLOOKUP(Categoría_1,Tabla_Categorías,MATCH("CosteAcumKi",Name_Tabla_Cat,FALSE),FALSE))</f>
        <v>30</v>
      </c>
      <c r="M37" s="1744"/>
      <c r="N37" s="159">
        <f>IF(Categoría_2=0,0,VLOOKUP(Categoría_2,Tabla_Categorías,MATCH("CosteAcumKi",Name_Tabla_Cat,FALSE),FALSE))</f>
        <v>0</v>
      </c>
      <c r="O37" s="1744"/>
      <c r="P37" s="159">
        <f>IF(Categoría_3=0,0,VLOOKUP(Categoría_3,Tabla_Categorías,MATCH("CosteAcumKi",Name_Tabla_Cat,FALSE),FALSE))</f>
        <v>0</v>
      </c>
      <c r="Q37" s="1744"/>
      <c r="R37" s="159">
        <f>IF(Categoría_4=0,0,VLOOKUP(Categoría_4,Tabla_Categorías,MATCH("CosteAcumKi",Name_Tabla_Cat,FALSE),FALSE))</f>
        <v>0</v>
      </c>
      <c r="S37" s="1744"/>
      <c r="T37" s="1745">
        <f>IF(Categoría_5=0,0,VLOOKUP(Categoría_5,Tabla_Categorías,MATCH("CosteAcumKi",Name_Tabla_Cat,FALSE),FALSE))</f>
        <v>0</v>
      </c>
      <c r="U37" s="77"/>
      <c r="V37" s="1364">
        <f t="shared" si="0"/>
        <v>0</v>
      </c>
      <c r="W37" s="1748">
        <f>IF(POD=0,0,VLOOKUP(POD,Tabla_Acum,2))</f>
        <v>1</v>
      </c>
      <c r="X37" s="3418" t="s">
        <v>2310</v>
      </c>
      <c r="Y37" s="3418"/>
      <c r="Z37" s="1365"/>
      <c r="AA37" s="1811">
        <f>W37+V37+Z37+IF(Combate!$AB$15&lt;0,TRUNC(Combate!$AB$15/20,0),0)</f>
        <v>1</v>
      </c>
      <c r="AB37" s="150"/>
      <c r="AC37" s="2126"/>
      <c r="BB37" s="73"/>
      <c r="BC37" s="73"/>
      <c r="BD37" s="73"/>
      <c r="BE37" s="73"/>
      <c r="BF37" s="73"/>
      <c r="BG37" s="73"/>
      <c r="BH37" s="73"/>
    </row>
    <row r="38" spans="1:60" ht="12" customHeight="1" x14ac:dyDescent="0.2">
      <c r="A38" s="2128"/>
      <c r="B38" s="5188"/>
      <c r="C38" s="3392"/>
      <c r="D38" s="3606"/>
      <c r="E38" s="3516" t="s">
        <v>2245</v>
      </c>
      <c r="F38" s="3517"/>
      <c r="G38" s="3517"/>
      <c r="H38" s="3517"/>
      <c r="I38" s="3517"/>
      <c r="J38" s="3517"/>
      <c r="K38" s="3518"/>
      <c r="L38" s="175">
        <f>IF(Categoría_1=0,0,VLOOKUP(Categoría_1,Tabla_Categorías,MATCH("CosteAcumKi",Name_Tabla_Cat,FALSE),FALSE))</f>
        <v>30</v>
      </c>
      <c r="M38" s="174"/>
      <c r="N38" s="173">
        <f>IF(Categoría_2=0,0,VLOOKUP(Categoría_2,Tabla_Categorías,MATCH("CosteAcumKi",Name_Tabla_Cat,FALSE),FALSE))</f>
        <v>0</v>
      </c>
      <c r="O38" s="174"/>
      <c r="P38" s="173">
        <f>IF(Categoría_3=0,0,VLOOKUP(Categoría_3,Tabla_Categorías,MATCH("CosteAcumKi",Name_Tabla_Cat,FALSE),FALSE))</f>
        <v>0</v>
      </c>
      <c r="Q38" s="174"/>
      <c r="R38" s="173">
        <f>IF(Categoría_4=0,0,VLOOKUP(Categoría_4,Tabla_Categorías,MATCH("CosteAcumKi",Name_Tabla_Cat,FALSE),FALSE))</f>
        <v>0</v>
      </c>
      <c r="S38" s="174"/>
      <c r="T38" s="175">
        <f>IF(Categoría_5=0,0,VLOOKUP(Categoría_5,Tabla_Categorías,MATCH("CosteAcumKi",Name_Tabla_Cat,FALSE),FALSE))</f>
        <v>0</v>
      </c>
      <c r="U38" s="176"/>
      <c r="V38" s="1366">
        <f t="shared" si="0"/>
        <v>0</v>
      </c>
      <c r="W38" s="1369">
        <f>IF(VOL=0,0,VLOOKUP(VOL,Tabla_Acum,2))</f>
        <v>1</v>
      </c>
      <c r="X38" s="3607" t="s">
        <v>2310</v>
      </c>
      <c r="Y38" s="3607"/>
      <c r="Z38" s="1367"/>
      <c r="AA38" s="1812">
        <f>W38+V38+Z38+IF(Combate!$AB$15&lt;0,TRUNC(Combate!$AB$15/20,0),0)</f>
        <v>1</v>
      </c>
      <c r="AB38" s="150"/>
      <c r="AC38" s="2126"/>
      <c r="BB38" s="73"/>
      <c r="BC38" s="73"/>
      <c r="BD38" s="73"/>
      <c r="BE38" s="73"/>
      <c r="BF38" s="73"/>
      <c r="BG38" s="73"/>
      <c r="BH38" s="73"/>
    </row>
    <row r="39" spans="1:60" ht="12" customHeight="1" x14ac:dyDescent="0.2">
      <c r="A39" s="2128"/>
      <c r="B39" s="5188"/>
      <c r="C39" s="3392"/>
      <c r="D39" s="1814" t="s">
        <v>2356</v>
      </c>
      <c r="E39" s="3519" t="s">
        <v>2357</v>
      </c>
      <c r="F39" s="3520"/>
      <c r="G39" s="3520"/>
      <c r="H39" s="3520"/>
      <c r="I39" s="3520"/>
      <c r="J39" s="3520"/>
      <c r="K39" s="3521"/>
      <c r="L39" s="185">
        <v>5</v>
      </c>
      <c r="M39" s="184"/>
      <c r="N39" s="183">
        <v>5</v>
      </c>
      <c r="O39" s="184"/>
      <c r="P39" s="183">
        <v>5</v>
      </c>
      <c r="Q39" s="184"/>
      <c r="R39" s="183">
        <v>5</v>
      </c>
      <c r="S39" s="184"/>
      <c r="T39" s="185">
        <v>5</v>
      </c>
      <c r="U39" s="91"/>
      <c r="V39" s="1370">
        <f>(IF(L39=0,0,TRUNC(M39/L39,0))+IF(N39=0,0,TRUNC(O39/N39,0))+IF(P39=0,0,TRUNC(Q39/P39,0))+IF(R39=0,0,TRUNC(S39/R39,0))+IF(T39=0,0,TRUNC(U39/T39,0)))*5</f>
        <v>0</v>
      </c>
      <c r="W39" s="1371">
        <f>SUM(Combate!AM31:AM49)+Tablas!F544*40+Tablas!F545*80+Tablas!F546*120</f>
        <v>0</v>
      </c>
      <c r="X39" s="3608">
        <f>HLOOKUP($E39,Bonos_Cat_Base,2,FALSE)</f>
        <v>10</v>
      </c>
      <c r="Y39" s="3608">
        <f>HLOOKUP($E39,Bonos_Cat_Base,2,FALSE)</f>
        <v>10</v>
      </c>
      <c r="Z39" s="1372"/>
      <c r="AA39" s="1815">
        <f>Z39+X39+W39+V39</f>
        <v>10</v>
      </c>
      <c r="AB39" s="150"/>
      <c r="AC39" s="2126"/>
      <c r="BB39" s="73"/>
      <c r="BC39" s="73"/>
      <c r="BD39" s="73"/>
      <c r="BE39" s="73"/>
      <c r="BF39" s="73"/>
      <c r="BG39" s="73"/>
      <c r="BH39" s="73"/>
    </row>
    <row r="40" spans="1:60" ht="12" customHeight="1" x14ac:dyDescent="0.2">
      <c r="A40" s="2128"/>
      <c r="B40" s="5188"/>
      <c r="C40" s="3392"/>
      <c r="D40" s="3601" t="s">
        <v>2358</v>
      </c>
      <c r="E40" s="3522"/>
      <c r="F40" s="3447"/>
      <c r="G40" s="3447"/>
      <c r="H40" s="3447"/>
      <c r="I40" s="3447"/>
      <c r="J40" s="3447"/>
      <c r="K40" s="3448"/>
      <c r="L40" s="186">
        <f>IF($E40=0,0,TRUNC(IF(Categoría_1="Maestro de armas",0.5,1)*VLOOKUP($E40,Tablas!$D$825:$E$830,2,FALSE),0))</f>
        <v>0</v>
      </c>
      <c r="M40" s="187"/>
      <c r="N40" s="186">
        <f>IF($E40=0,0,TRUNC(IF(Categoría_2="Maestro de armas",0.5,1)*VLOOKUP($E40,Tablas!$D$825:$E$830,2,FALSE),0))</f>
        <v>0</v>
      </c>
      <c r="O40" s="187"/>
      <c r="P40" s="186">
        <f>IF($E40=0,0,TRUNC(IF(Categoría_3="Maestro de armas",0.5,1)*VLOOKUP($E40,Tablas!$D$825:$E$830,2,FALSE),0))</f>
        <v>0</v>
      </c>
      <c r="Q40" s="188"/>
      <c r="R40" s="186">
        <f>IF($E40=0,0,TRUNC(IF(Categoría_4="Maestro de armas",0.5,1)*VLOOKUP($E40,Tablas!$D$825:$E$830,2,FALSE),0))</f>
        <v>0</v>
      </c>
      <c r="S40" s="188"/>
      <c r="T40" s="186">
        <f>IF($E40=0,0,TRUNC(IF(Categoría_5="Maestro de armas",0.5,1)*VLOOKUP($E40,Tablas!$D$825:$E$830,2,FALSE),0))</f>
        <v>0</v>
      </c>
      <c r="U40" s="187"/>
      <c r="V40" s="3402" t="str">
        <f>IF(E40=0,"",VLOOKUP(E40,Tabla_TablasArmas,3,FALSE))</f>
        <v/>
      </c>
      <c r="W40" s="3403"/>
      <c r="X40" s="3403"/>
      <c r="Y40" s="3410"/>
      <c r="Z40" s="3410"/>
      <c r="AA40" s="3411"/>
      <c r="AB40" s="150"/>
      <c r="AC40" s="2126"/>
      <c r="AD40" s="2856" t="str">
        <f t="shared" ref="AD40:AD45" si="2">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28"/>
      <c r="B41" s="5188"/>
      <c r="C41" s="3392"/>
      <c r="D41" s="3602"/>
      <c r="E41" s="3523"/>
      <c r="F41" s="3444"/>
      <c r="G41" s="3444"/>
      <c r="H41" s="3444"/>
      <c r="I41" s="3444"/>
      <c r="J41" s="3444"/>
      <c r="K41" s="3445"/>
      <c r="L41" s="159">
        <f>IF($E41=0,0,TRUNC(IF(Categoría_1="Maestro de armas",0.5,1)*VLOOKUP($E41,Tablas!$D$825:$E$830,2,FALSE),0))</f>
        <v>0</v>
      </c>
      <c r="M41" s="77"/>
      <c r="N41" s="159">
        <f>IF($E41=0,0,TRUNC(IF(Categoría_2="Maestro de armas",0.5,1)*VLOOKUP($E41,Tablas!$D$825:$E$830,2,FALSE),0))</f>
        <v>0</v>
      </c>
      <c r="O41" s="77"/>
      <c r="P41" s="159">
        <f>IF($E41=0,0,TRUNC(IF(Categoría_3="Maestro de armas",0.5,1)*VLOOKUP($E41,Tablas!$D$825:$E$830,2,FALSE),0))</f>
        <v>0</v>
      </c>
      <c r="Q41" s="1744"/>
      <c r="R41" s="159">
        <f>IF($E41=0,0,TRUNC(IF(Categoría_4="Maestro de armas",0.5,1)*VLOOKUP($E41,Tablas!$D$825:$E$830,2,FALSE),0))</f>
        <v>0</v>
      </c>
      <c r="S41" s="1744"/>
      <c r="T41" s="159">
        <f>IF($E41=0,0,TRUNC(IF(Categoría_5="Maestro de armas",0.5,1)*VLOOKUP($E41,Tablas!$D$825:$E$830,2,FALSE),0))</f>
        <v>0</v>
      </c>
      <c r="U41" s="77"/>
      <c r="V41" s="3404" t="str">
        <f>IF(E41=0,"",VLOOKUP(E41,Tabla_TablasArmas,3,FALSE))</f>
        <v/>
      </c>
      <c r="W41" s="3405"/>
      <c r="X41" s="3405"/>
      <c r="Y41" s="3412"/>
      <c r="Z41" s="3412"/>
      <c r="AA41" s="3413"/>
      <c r="AB41" s="150"/>
      <c r="AC41" s="2126"/>
      <c r="AD41" s="2856" t="str">
        <f t="shared" si="2"/>
        <v>Armas_Desarrolladas</v>
      </c>
      <c r="BB41" s="73"/>
      <c r="BC41" s="73"/>
      <c r="BD41" s="73"/>
      <c r="BE41" s="73"/>
      <c r="BF41" s="73"/>
      <c r="BG41" s="73"/>
      <c r="BH41" s="73"/>
    </row>
    <row r="42" spans="1:60" ht="12" customHeight="1" x14ac:dyDescent="0.2">
      <c r="A42" s="2128"/>
      <c r="B42" s="5188"/>
      <c r="C42" s="3392"/>
      <c r="D42" s="3602"/>
      <c r="E42" s="3522"/>
      <c r="F42" s="3447"/>
      <c r="G42" s="3447"/>
      <c r="H42" s="3447"/>
      <c r="I42" s="3447"/>
      <c r="J42" s="3447"/>
      <c r="K42" s="3448"/>
      <c r="L42" s="164">
        <f>IF($E42=0,0,TRUNC(IF(Categoría_1="Maestro de armas",0.5,1)*VLOOKUP($E42,Tablas!$D$825:$E$830,2,FALSE),0))</f>
        <v>0</v>
      </c>
      <c r="M42" s="170"/>
      <c r="N42" s="164">
        <f>IF($E42=0,0,TRUNC(IF(Categoría_2="Maestro de armas",0.5,1)*VLOOKUP($E42,Tablas!$D$825:$E$830,2,FALSE),0))</f>
        <v>0</v>
      </c>
      <c r="O42" s="170"/>
      <c r="P42" s="164">
        <f>IF($E42=0,0,TRUNC(IF(Categoría_3="Maestro de armas",0.5,1)*VLOOKUP($E42,Tablas!$D$825:$E$830,2,FALSE),0))</f>
        <v>0</v>
      </c>
      <c r="Q42" s="1743"/>
      <c r="R42" s="164">
        <f>IF($E42=0,0,TRUNC(IF(Categoría_4="Maestro de armas",0.5,1)*VLOOKUP($E42,Tablas!$D$825:$E$830,2,FALSE),0))</f>
        <v>0</v>
      </c>
      <c r="S42" s="1743"/>
      <c r="T42" s="164">
        <f>IF($E42=0,0,TRUNC(IF(Categoría_5="Maestro de armas",0.5,1)*VLOOKUP($E42,Tablas!$D$825:$E$830,2,FALSE),0))</f>
        <v>0</v>
      </c>
      <c r="U42" s="170"/>
      <c r="V42" s="3406" t="str">
        <f>IF(E42=0,"",VLOOKUP(E42,Tabla_TablasArmas,3,FALSE))</f>
        <v/>
      </c>
      <c r="W42" s="3407"/>
      <c r="X42" s="3407"/>
      <c r="Y42" s="3410"/>
      <c r="Z42" s="3410"/>
      <c r="AA42" s="3411"/>
      <c r="AB42" s="150"/>
      <c r="AC42" s="2126"/>
      <c r="AD42" s="2856" t="str">
        <f t="shared" si="2"/>
        <v>Armas_Desarrolladas</v>
      </c>
      <c r="BB42" s="73"/>
      <c r="BC42" s="73"/>
      <c r="BD42" s="73"/>
      <c r="BE42" s="73"/>
      <c r="BF42" s="73"/>
      <c r="BG42" s="73"/>
      <c r="BH42" s="73"/>
    </row>
    <row r="43" spans="1:60" ht="12" customHeight="1" x14ac:dyDescent="0.2">
      <c r="A43" s="2128"/>
      <c r="B43" s="5188"/>
      <c r="C43" s="3392"/>
      <c r="D43" s="3602"/>
      <c r="E43" s="3523"/>
      <c r="F43" s="3444"/>
      <c r="G43" s="3444"/>
      <c r="H43" s="3444"/>
      <c r="I43" s="3444"/>
      <c r="J43" s="3444"/>
      <c r="K43" s="3445"/>
      <c r="L43" s="159">
        <f>IF($E43=0,0,TRUNC(IF(Categoría_1="Maestro de armas",0.5,1)*VLOOKUP($E43,Tablas!$D$825:$E$830,2,FALSE),0))</f>
        <v>0</v>
      </c>
      <c r="M43" s="77"/>
      <c r="N43" s="159">
        <f>IF($E43=0,0,TRUNC(IF(Categoría_2="Maestro de armas",0.5,1)*VLOOKUP($E43,Tablas!$D$825:$E$830,2,FALSE),0))</f>
        <v>0</v>
      </c>
      <c r="O43" s="77"/>
      <c r="P43" s="159">
        <f>IF($E43=0,0,TRUNC(IF(Categoría_3="Maestro de armas",0.5,1)*VLOOKUP($E43,Tablas!$D$825:$E$830,2,FALSE),0))</f>
        <v>0</v>
      </c>
      <c r="Q43" s="1744"/>
      <c r="R43" s="159">
        <f>IF($E43=0,0,TRUNC(IF(Categoría_4="Maestro de armas",0.5,1)*VLOOKUP($E43,Tablas!$D$825:$E$830,2,FALSE),0))</f>
        <v>0</v>
      </c>
      <c r="S43" s="1744"/>
      <c r="T43" s="159">
        <f>IF($E43=0,0,TRUNC(IF(Categoría_5="Maestro de armas",0.5,1)*VLOOKUP($E43,Tablas!$D$825:$E$830,2,FALSE),0))</f>
        <v>0</v>
      </c>
      <c r="U43" s="77"/>
      <c r="V43" s="3404" t="str">
        <f>IF(E43=0,"",VLOOKUP(E43,Tabla_TablasArmas,3,FALSE))</f>
        <v/>
      </c>
      <c r="W43" s="3405"/>
      <c r="X43" s="3405"/>
      <c r="Y43" s="3412"/>
      <c r="Z43" s="3412"/>
      <c r="AA43" s="3413"/>
      <c r="AB43" s="150"/>
      <c r="AC43" s="2126"/>
      <c r="AD43" s="2856" t="str">
        <f t="shared" si="2"/>
        <v>Armas_Desarrolladas</v>
      </c>
      <c r="BB43" s="90"/>
      <c r="BC43" s="90"/>
      <c r="BD43" s="90"/>
      <c r="BE43" s="90"/>
      <c r="BF43" s="90"/>
      <c r="BG43" s="90"/>
      <c r="BH43" s="90"/>
    </row>
    <row r="44" spans="1:60" ht="12" customHeight="1" x14ac:dyDescent="0.2">
      <c r="A44" s="2128"/>
      <c r="B44" s="5188"/>
      <c r="C44" s="3392"/>
      <c r="D44" s="3602"/>
      <c r="E44" s="3522"/>
      <c r="F44" s="3447"/>
      <c r="G44" s="3447"/>
      <c r="H44" s="3447"/>
      <c r="I44" s="3447"/>
      <c r="J44" s="3447"/>
      <c r="K44" s="3448"/>
      <c r="L44" s="164">
        <f>IF($E44=0,0,TRUNC(IF(Categoría_1="Maestro de armas",0.5,1)*VLOOKUP($E44,Tablas!$D$825:$E$830,2,FALSE),0))</f>
        <v>0</v>
      </c>
      <c r="M44" s="170"/>
      <c r="N44" s="164">
        <f>IF($E44=0,0,TRUNC(IF(Categoría_2="Maestro de armas",0.5,1)*VLOOKUP($E44,Tablas!$D$825:$E$830,2,FALSE),0))</f>
        <v>0</v>
      </c>
      <c r="O44" s="170"/>
      <c r="P44" s="164">
        <f>IF($E44=0,0,TRUNC(IF(Categoría_3="Maestro de armas",0.5,1)*VLOOKUP($E44,Tablas!$D$825:$E$830,2,FALSE),0))</f>
        <v>0</v>
      </c>
      <c r="Q44" s="1743"/>
      <c r="R44" s="164">
        <f>IF($E44=0,0,TRUNC(IF(Categoría_4="Maestro de armas",0.5,1)*VLOOKUP($E44,Tablas!$D$825:$E$830,2,FALSE),0))</f>
        <v>0</v>
      </c>
      <c r="S44" s="1743"/>
      <c r="T44" s="164">
        <f>IF($E44=0,0,TRUNC(IF(Categoría_5="Maestro de armas",0.5,1)*VLOOKUP($E44,Tablas!$D$825:$E$830,2,FALSE),0))</f>
        <v>0</v>
      </c>
      <c r="U44" s="170"/>
      <c r="V44" s="3406" t="str">
        <f>IF(E44=0,"",VLOOKUP(E44,Tabla_TablasArmas,3,FALSE))</f>
        <v/>
      </c>
      <c r="W44" s="3407"/>
      <c r="X44" s="3407"/>
      <c r="Y44" s="3410"/>
      <c r="Z44" s="3410"/>
      <c r="AA44" s="3411"/>
      <c r="AB44" s="150"/>
      <c r="AC44" s="2126"/>
      <c r="AD44" s="2856" t="str">
        <f t="shared" si="2"/>
        <v>Armas_Desarrolladas</v>
      </c>
      <c r="BB44" s="90"/>
      <c r="BC44" s="90"/>
      <c r="BD44" s="90"/>
      <c r="BE44" s="90"/>
      <c r="BF44" s="90"/>
      <c r="BG44" s="90"/>
      <c r="BH44" s="90"/>
    </row>
    <row r="45" spans="1:60" ht="12" customHeight="1" x14ac:dyDescent="0.2">
      <c r="A45" s="2128"/>
      <c r="B45" s="5188"/>
      <c r="C45" s="3392"/>
      <c r="D45" s="3604"/>
      <c r="E45" s="3523"/>
      <c r="F45" s="3444"/>
      <c r="G45" s="3444"/>
      <c r="H45" s="3444"/>
      <c r="I45" s="3444"/>
      <c r="J45" s="3444"/>
      <c r="K45" s="3445"/>
      <c r="L45" s="159">
        <f>IF($E45=0,0,TRUNC(IF(Categoría_1="Maestro de armas",0.5,1)*VLOOKUP($E45,Tablas!$D$825:$E$830,2,FALSE),0))</f>
        <v>0</v>
      </c>
      <c r="M45" s="77"/>
      <c r="N45" s="159">
        <f>IF($E45=0,0,TRUNC(IF(Categoría_2="Maestro de armas",0.5,1)*VLOOKUP($E45,Tablas!$D$825:$E$830,2,FALSE),0))</f>
        <v>0</v>
      </c>
      <c r="O45" s="77"/>
      <c r="P45" s="159">
        <f>IF($E45=0,0,TRUNC(IF(Categoría_3="Maestro de armas",0.5,1)*VLOOKUP($E45,Tablas!$D$825:$E$830,2,FALSE),0))</f>
        <v>0</v>
      </c>
      <c r="Q45" s="1744"/>
      <c r="R45" s="159">
        <f>IF($E45=0,0,TRUNC(IF(Categoría_4="Maestro de armas",0.5,1)*VLOOKUP($E45,Tablas!$D$825:$E$830,2,FALSE),0))</f>
        <v>0</v>
      </c>
      <c r="S45" s="1744"/>
      <c r="T45" s="159">
        <f>IF($E45=0,0,TRUNC(IF(Categoría_5="Maestro de armas",0.5,1)*VLOOKUP($E45,Tablas!$D$825:$E$830,2,FALSE),0))</f>
        <v>0</v>
      </c>
      <c r="U45" s="77"/>
      <c r="V45" s="3408" t="str">
        <f>IF(E45=0,"",VLOOKUP(E45,Tabla_TablasArmas,3,FALSE))</f>
        <v/>
      </c>
      <c r="W45" s="3409"/>
      <c r="X45" s="3409"/>
      <c r="Y45" s="3414"/>
      <c r="Z45" s="3414"/>
      <c r="AA45" s="3415"/>
      <c r="AB45" s="150"/>
      <c r="AC45" s="2126"/>
      <c r="AD45" s="2856" t="str">
        <f t="shared" si="2"/>
        <v>Armas_Desarrolladas</v>
      </c>
      <c r="BB45" s="90"/>
      <c r="BC45" s="90"/>
      <c r="BD45" s="90"/>
      <c r="BE45" s="90"/>
      <c r="BF45" s="90"/>
      <c r="BG45" s="90"/>
      <c r="BH45" s="90"/>
    </row>
    <row r="46" spans="1:60" ht="12" customHeight="1" x14ac:dyDescent="0.2">
      <c r="A46" s="2128"/>
      <c r="B46" s="5188"/>
      <c r="C46" s="3392"/>
      <c r="D46" s="3609" t="s">
        <v>2359</v>
      </c>
      <c r="E46" s="3440"/>
      <c r="F46" s="3441"/>
      <c r="G46" s="3441"/>
      <c r="H46" s="3441"/>
      <c r="I46" s="3441"/>
      <c r="J46" s="3441"/>
      <c r="K46" s="3442"/>
      <c r="L46" s="1790">
        <f>IF($E46=0,0,TRUNC(IF(Categoría_1="Maestro de armas",0.5,1)*VLOOKUP($E46,Tabla_Tabla_Estilos,2,FALSE),0))</f>
        <v>0</v>
      </c>
      <c r="M46" s="1791"/>
      <c r="N46" s="1790">
        <f>IF($E46=0,0,TRUNC(IF(Categoría_2="Maestro de armas",0.5,1)*VLOOKUP($E46,Tabla_Tabla_Estilos,2,FALSE),0))</f>
        <v>0</v>
      </c>
      <c r="O46" s="1791"/>
      <c r="P46" s="1790">
        <f>IF($E46=0,0,TRUNC(IF(Categoría_3="Maestro de armas",0.5,1)*VLOOKUP($E46,Tabla_Tabla_Estilos,2,FALSE),0))</f>
        <v>0</v>
      </c>
      <c r="Q46" s="1791"/>
      <c r="R46" s="1790">
        <f>IF($E46=0,0,TRUNC(IF(Categoría_4="Maestro de armas",0.5,1)*VLOOKUP($E46,Tabla_Tabla_Estilos,2,FALSE),0))</f>
        <v>0</v>
      </c>
      <c r="S46" s="1791"/>
      <c r="T46" s="1790">
        <f>IF($E46=0,0,TRUNC(IF(Categoría_5="Maestro de armas",0.5,1)*VLOOKUP($E46,Tabla_Tabla_Estilos,2,FALSE),0))</f>
        <v>0</v>
      </c>
      <c r="U46" s="1792"/>
      <c r="V46" s="3510" t="str">
        <f>IF($E46="","",VLOOKUP($E46,Tabla_Tabla_Estilos,3,FALSE))</f>
        <v/>
      </c>
      <c r="W46" s="3510"/>
      <c r="X46" s="3510"/>
      <c r="Y46" s="3510"/>
      <c r="Z46" s="3510"/>
      <c r="AA46" s="3511"/>
      <c r="AB46" s="150"/>
      <c r="AC46" s="2126"/>
      <c r="BB46" s="90"/>
      <c r="BC46" s="90"/>
      <c r="BD46" s="90"/>
      <c r="BE46" s="90"/>
      <c r="BF46" s="90"/>
      <c r="BG46" s="90"/>
      <c r="BH46" s="90"/>
    </row>
    <row r="47" spans="1:60" ht="12" customHeight="1" x14ac:dyDescent="0.2">
      <c r="A47" s="2128"/>
      <c r="B47" s="5188"/>
      <c r="C47" s="3392"/>
      <c r="D47" s="3610"/>
      <c r="E47" s="3443"/>
      <c r="F47" s="3444"/>
      <c r="G47" s="3444"/>
      <c r="H47" s="3444"/>
      <c r="I47" s="3444"/>
      <c r="J47" s="3444"/>
      <c r="K47" s="3445"/>
      <c r="L47" s="159">
        <f>IF($E47=0,0,TRUNC(IF(Categoría_1="Maestro de armas",0.5,1)*VLOOKUP($E47,Tabla_Tabla_Estilos,2,FALSE),0))</f>
        <v>0</v>
      </c>
      <c r="M47" s="1744"/>
      <c r="N47" s="159">
        <f>IF($E47=0,0,TRUNC(IF(Categoría_2="Maestro de armas",0.5,1)*VLOOKUP($E47,Tabla_Tabla_Estilos,2,FALSE),0))</f>
        <v>0</v>
      </c>
      <c r="O47" s="1744"/>
      <c r="P47" s="159">
        <f>IF($E47=0,0,TRUNC(IF(Categoría_3="Maestro de armas",0.5,1)*VLOOKUP($E47,Tabla_Tabla_Estilos,2,FALSE),0))</f>
        <v>0</v>
      </c>
      <c r="Q47" s="1744"/>
      <c r="R47" s="159">
        <f>IF($E47=0,0,TRUNC(IF(Categoría_4="Maestro de armas",0.5,1)*VLOOKUP($E47,Tabla_Tabla_Estilos,2,FALSE),0))</f>
        <v>0</v>
      </c>
      <c r="S47" s="1744"/>
      <c r="T47" s="159">
        <f>IF($E47=0,0,TRUNC(IF(Categoría_5="Maestro de armas",0.5,1)*VLOOKUP($E47,Tabla_Tabla_Estilos,2,FALSE),0))</f>
        <v>0</v>
      </c>
      <c r="U47" s="1793"/>
      <c r="V47" s="3474" t="str">
        <f>IF($E47="","",VLOOKUP($E47,Tabla_Tabla_Estilos,3,FALSE))</f>
        <v/>
      </c>
      <c r="W47" s="3474"/>
      <c r="X47" s="3474"/>
      <c r="Y47" s="3474"/>
      <c r="Z47" s="3474"/>
      <c r="AA47" s="3475"/>
      <c r="AB47" s="150"/>
      <c r="AC47" s="2126"/>
      <c r="BB47" s="90"/>
      <c r="BC47" s="90"/>
      <c r="BD47" s="90"/>
      <c r="BE47" s="90"/>
      <c r="BF47" s="90"/>
      <c r="BG47" s="90"/>
      <c r="BH47" s="90"/>
    </row>
    <row r="48" spans="1:60" ht="12" customHeight="1" x14ac:dyDescent="0.2">
      <c r="A48" s="2128"/>
      <c r="B48" s="5188"/>
      <c r="C48" s="3392"/>
      <c r="D48" s="3610"/>
      <c r="E48" s="3446"/>
      <c r="F48" s="3447"/>
      <c r="G48" s="3447"/>
      <c r="H48" s="3447"/>
      <c r="I48" s="3447"/>
      <c r="J48" s="3447"/>
      <c r="K48" s="3448"/>
      <c r="L48" s="164">
        <f>IF($E48=0,0,TRUNC(IF(Categoría_1="Maestro de armas",0.5,1)*VLOOKUP($E48,Tabla_Tabla_Estilos,2,FALSE),0))</f>
        <v>0</v>
      </c>
      <c r="M48" s="1743"/>
      <c r="N48" s="164">
        <f>IF($E48=0,0,TRUNC(IF(Categoría_2="Maestro de armas",0.5,1)*VLOOKUP($E48,Tabla_Tabla_Estilos,2,FALSE),0))</f>
        <v>0</v>
      </c>
      <c r="O48" s="1743"/>
      <c r="P48" s="164">
        <f>IF($E48=0,0,TRUNC(IF(Categoría_3="Maestro de armas",0.5,1)*VLOOKUP($E48,Tabla_Tabla_Estilos,2,FALSE),0))</f>
        <v>0</v>
      </c>
      <c r="Q48" s="1743"/>
      <c r="R48" s="164">
        <f>IF($E48=0,0,TRUNC(IF(Categoría_4="Maestro de armas",0.5,1)*VLOOKUP($E48,Tabla_Tabla_Estilos,2,FALSE),0))</f>
        <v>0</v>
      </c>
      <c r="S48" s="1743"/>
      <c r="T48" s="164">
        <f>IF($E48=0,0,TRUNC(IF(Categoría_5="Maestro de armas",0.5,1)*VLOOKUP($E48,Tabla_Tabla_Estilos,2,FALSE),0))</f>
        <v>0</v>
      </c>
      <c r="U48" s="1794"/>
      <c r="V48" s="3493" t="str">
        <f>IF($E48="","",VLOOKUP($E48,Tabla_Tabla_Estilos,3,FALSE))</f>
        <v/>
      </c>
      <c r="W48" s="3493"/>
      <c r="X48" s="3493"/>
      <c r="Y48" s="3493"/>
      <c r="Z48" s="3493"/>
      <c r="AA48" s="3494"/>
      <c r="AB48" s="150"/>
      <c r="AC48" s="2126"/>
      <c r="BB48" s="90"/>
      <c r="BC48" s="90"/>
      <c r="BD48" s="90"/>
      <c r="BE48" s="90"/>
      <c r="BF48" s="90"/>
      <c r="BG48" s="90"/>
      <c r="BH48" s="90"/>
    </row>
    <row r="49" spans="1:65" ht="12" customHeight="1" x14ac:dyDescent="0.2">
      <c r="A49" s="2128"/>
      <c r="B49" s="5188"/>
      <c r="C49" s="3392"/>
      <c r="D49" s="3610"/>
      <c r="E49" s="3443"/>
      <c r="F49" s="3444"/>
      <c r="G49" s="3444"/>
      <c r="H49" s="3444"/>
      <c r="I49" s="3444"/>
      <c r="J49" s="3444"/>
      <c r="K49" s="3445"/>
      <c r="L49" s="159">
        <f>IF($E49=0,0,TRUNC(IF(Categoría_1="Maestro de armas",0.5,1)*VLOOKUP($E49,Tabla_Tabla_Estilos,2,FALSE),0))</f>
        <v>0</v>
      </c>
      <c r="M49" s="1744"/>
      <c r="N49" s="159">
        <f>IF($E49=0,0,TRUNC(IF(Categoría_2="Maestro de armas",0.5,1)*VLOOKUP($E49,Tabla_Tabla_Estilos,2,FALSE),0))</f>
        <v>0</v>
      </c>
      <c r="O49" s="1744"/>
      <c r="P49" s="159">
        <f>IF($E49=0,0,TRUNC(IF(Categoría_3="Maestro de armas",0.5,1)*VLOOKUP($E49,Tabla_Tabla_Estilos,2,FALSE),0))</f>
        <v>0</v>
      </c>
      <c r="Q49" s="1744"/>
      <c r="R49" s="159">
        <f>IF($E49=0,0,TRUNC(IF(Categoría_4="Maestro de armas",0.5,1)*VLOOKUP($E49,Tabla_Tabla_Estilos,2,FALSE),0))</f>
        <v>0</v>
      </c>
      <c r="S49" s="1744"/>
      <c r="T49" s="159">
        <f>IF($E49=0,0,TRUNC(IF(Categoría_5="Maestro de armas",0.5,1)*VLOOKUP($E49,Tabla_Tabla_Estilos,2,FALSE),0))</f>
        <v>0</v>
      </c>
      <c r="U49" s="1793"/>
      <c r="V49" s="3474" t="str">
        <f>IF($E49="","",VLOOKUP($E49,Tabla_Tabla_Estilos,3,FALSE))</f>
        <v/>
      </c>
      <c r="W49" s="3474"/>
      <c r="X49" s="3474"/>
      <c r="Y49" s="3474"/>
      <c r="Z49" s="3474"/>
      <c r="AA49" s="3475"/>
      <c r="AB49" s="150"/>
      <c r="AC49" s="2126"/>
    </row>
    <row r="50" spans="1:65" ht="12" customHeight="1" x14ac:dyDescent="0.2">
      <c r="A50" s="2128"/>
      <c r="B50" s="5188"/>
      <c r="C50" s="3392"/>
      <c r="D50" s="3610"/>
      <c r="E50" s="3446"/>
      <c r="F50" s="3447"/>
      <c r="G50" s="3447"/>
      <c r="H50" s="3447"/>
      <c r="I50" s="3447"/>
      <c r="J50" s="3447"/>
      <c r="K50" s="3448"/>
      <c r="L50" s="164">
        <f>IF($E50=0,0,TRUNC(IF(Categoría_1="Maestro de armas",0.5,1)*VLOOKUP($E50,Tabla_Tabla_Estilos,2,FALSE),0))</f>
        <v>0</v>
      </c>
      <c r="M50" s="1743"/>
      <c r="N50" s="164">
        <f>IF($E50=0,0,TRUNC(IF(Categoría_2="Maestro de armas",0.5,1)*VLOOKUP($E50,Tabla_Tabla_Estilos,2,FALSE),0))</f>
        <v>0</v>
      </c>
      <c r="O50" s="1743"/>
      <c r="P50" s="164">
        <f>IF($E50=0,0,TRUNC(IF(Categoría_3="Maestro de armas",0.5,1)*VLOOKUP($E50,Tabla_Tabla_Estilos,2,FALSE),0))</f>
        <v>0</v>
      </c>
      <c r="Q50" s="1743"/>
      <c r="R50" s="164">
        <f>IF($E50=0,0,TRUNC(IF(Categoría_4="Maestro de armas",0.5,1)*VLOOKUP($E50,Tabla_Tabla_Estilos,2,FALSE),0))</f>
        <v>0</v>
      </c>
      <c r="S50" s="1743"/>
      <c r="T50" s="164">
        <f>IF($E50=0,0,TRUNC(IF(Categoría_5="Maestro de armas",0.5,1)*VLOOKUP($E50,Tabla_Tabla_Estilos,2,FALSE),0))</f>
        <v>0</v>
      </c>
      <c r="U50" s="1794"/>
      <c r="V50" s="3493" t="str">
        <f>IF($E50="","",VLOOKUP($E50,Tabla_Tabla_Estilos,3,FALSE))</f>
        <v/>
      </c>
      <c r="W50" s="3493"/>
      <c r="X50" s="3493"/>
      <c r="Y50" s="3493"/>
      <c r="Z50" s="3493"/>
      <c r="AA50" s="3494"/>
      <c r="AB50" s="150"/>
      <c r="AC50" s="2126"/>
      <c r="AD50" s="2856" t="str">
        <f>IF(PDs!$AD75=0,"",IF(PDs!$V75="FALTAN REQUISITOS",PDs!$V75,VLOOKUP(X50,Tabla_ArtesM_Armas,9,FALSE)))</f>
        <v/>
      </c>
    </row>
    <row r="51" spans="1:65" ht="12" customHeight="1" x14ac:dyDescent="0.2">
      <c r="A51" s="2128"/>
      <c r="B51" s="5188"/>
      <c r="C51" s="3392"/>
      <c r="D51" s="3610"/>
      <c r="E51" s="3443"/>
      <c r="F51" s="3444"/>
      <c r="G51" s="3444"/>
      <c r="H51" s="3444"/>
      <c r="I51" s="3444"/>
      <c r="J51" s="3444"/>
      <c r="K51" s="3445"/>
      <c r="L51" s="159">
        <f>IF($E51=0,0,TRUNC(IF(Categoría_1="Maestro de armas",0.5,1)*VLOOKUP($E51,Tabla_Tabla_Estilos,2,FALSE),0))</f>
        <v>0</v>
      </c>
      <c r="M51" s="1744"/>
      <c r="N51" s="159">
        <f>IF($E51=0,0,TRUNC(IF(Categoría_2="Maestro de armas",0.5,1)*VLOOKUP($E51,Tabla_Tabla_Estilos,2,FALSE),0))</f>
        <v>0</v>
      </c>
      <c r="O51" s="1744"/>
      <c r="P51" s="159">
        <f>IF($E51=0,0,TRUNC(IF(Categoría_3="Maestro de armas",0.5,1)*VLOOKUP($E51,Tabla_Tabla_Estilos,2,FALSE),0))</f>
        <v>0</v>
      </c>
      <c r="Q51" s="1744"/>
      <c r="R51" s="159">
        <f>IF($E51=0,0,TRUNC(IF(Categoría_4="Maestro de armas",0.5,1)*VLOOKUP($E51,Tabla_Tabla_Estilos,2,FALSE),0))</f>
        <v>0</v>
      </c>
      <c r="S51" s="1744"/>
      <c r="T51" s="159">
        <f>IF($E51=0,0,TRUNC(IF(Categoría_5="Maestro de armas",0.5,1)*VLOOKUP($E51,Tabla_Tabla_Estilos,2,FALSE),0))</f>
        <v>0</v>
      </c>
      <c r="U51" s="1793"/>
      <c r="V51" s="3474" t="str">
        <f>IF($E51="","",VLOOKUP($E51,Tabla_Tabla_Estilos,3,FALSE))</f>
        <v/>
      </c>
      <c r="W51" s="3474"/>
      <c r="X51" s="3474"/>
      <c r="Y51" s="3474"/>
      <c r="Z51" s="3474"/>
      <c r="AA51" s="3475"/>
      <c r="AB51" s="150"/>
      <c r="AC51" s="2126"/>
      <c r="AD51" s="2856" t="str">
        <f>IF(PDs!$AD76=0,"",IF(PDs!$V76="FALTAN REQUISITOS",PDs!$V76,VLOOKUP(X51,Tabla_ArtesM_Armas,9,FALSE)))</f>
        <v/>
      </c>
    </row>
    <row r="52" spans="1:65" ht="12" customHeight="1" x14ac:dyDescent="0.2">
      <c r="A52" s="2128"/>
      <c r="B52" s="5188"/>
      <c r="C52" s="3392"/>
      <c r="D52" s="3610"/>
      <c r="E52" s="3446"/>
      <c r="F52" s="3447"/>
      <c r="G52" s="3447"/>
      <c r="H52" s="3447"/>
      <c r="I52" s="3447"/>
      <c r="J52" s="3447"/>
      <c r="K52" s="3448"/>
      <c r="L52" s="164">
        <f>IF($E52=0,0,TRUNC(IF(Categoría_1="Maestro de armas",0.5,1)*VLOOKUP($E52,Tabla_Tabla_Estilos,2,FALSE),0))</f>
        <v>0</v>
      </c>
      <c r="M52" s="190"/>
      <c r="N52" s="164">
        <f>IF($E52=0,0,TRUNC(IF(Categoría_2="Maestro de armas",0.5,1)*VLOOKUP($E52,Tabla_Tabla_Estilos,2,FALSE),0))</f>
        <v>0</v>
      </c>
      <c r="O52" s="190"/>
      <c r="P52" s="164">
        <f>IF($E52=0,0,TRUNC(IF(Categoría_3="Maestro de armas",0.5,1)*VLOOKUP($E52,Tabla_Tabla_Estilos,2,FALSE),0))</f>
        <v>0</v>
      </c>
      <c r="Q52" s="190"/>
      <c r="R52" s="164">
        <f>IF($E52=0,0,TRUNC(IF(Categoría_4="Maestro de armas",0.5,1)*VLOOKUP($E52,Tabla_Tabla_Estilos,2,FALSE),0))</f>
        <v>0</v>
      </c>
      <c r="S52" s="190"/>
      <c r="T52" s="164">
        <f>IF($E52=0,0,TRUNC(IF(Categoría_5="Maestro de armas",0.5,1)*VLOOKUP($E52,Tabla_Tabla_Estilos,2,FALSE),0))</f>
        <v>0</v>
      </c>
      <c r="U52" s="1795"/>
      <c r="V52" s="3493" t="str">
        <f>IF($E52="","",VLOOKUP($E52,Tabla_Tabla_Estilos,3,FALSE))</f>
        <v/>
      </c>
      <c r="W52" s="3493"/>
      <c r="X52" s="3493"/>
      <c r="Y52" s="3493"/>
      <c r="Z52" s="3493"/>
      <c r="AA52" s="3494"/>
      <c r="AB52" s="150"/>
      <c r="AC52" s="2126"/>
      <c r="AD52" s="2856" t="str">
        <f>IF(PDs!$AD77=0,"",IF(PDs!$V77="FALTAN REQUISITOS",PDs!$V77,VLOOKUP(X52,Tabla_ArtesM_Armas,9,FALSE)))</f>
        <v/>
      </c>
    </row>
    <row r="53" spans="1:65" ht="12" customHeight="1" x14ac:dyDescent="0.2">
      <c r="A53" s="2128"/>
      <c r="B53" s="5188"/>
      <c r="C53" s="3392"/>
      <c r="D53" s="3610"/>
      <c r="E53" s="3443"/>
      <c r="F53" s="3444"/>
      <c r="G53" s="3444"/>
      <c r="H53" s="3444"/>
      <c r="I53" s="3444"/>
      <c r="J53" s="3444"/>
      <c r="K53" s="3445"/>
      <c r="L53" s="159">
        <f>IF($E53=0,0,TRUNC(IF(Categoría_1="Maestro de armas",0.5,1)*VLOOKUP($E53,Tabla_Tabla_Estilos,2,FALSE),0))</f>
        <v>0</v>
      </c>
      <c r="M53" s="191"/>
      <c r="N53" s="159">
        <f>IF($E53=0,0,TRUNC(IF(Categoría_2="Maestro de armas",0.5,1)*VLOOKUP($E53,Tabla_Tabla_Estilos,2,FALSE),0))</f>
        <v>0</v>
      </c>
      <c r="O53" s="191"/>
      <c r="P53" s="159">
        <f>IF($E53=0,0,TRUNC(IF(Categoría_3="Maestro de armas",0.5,1)*VLOOKUP($E53,Tabla_Tabla_Estilos,2,FALSE),0))</f>
        <v>0</v>
      </c>
      <c r="Q53" s="191"/>
      <c r="R53" s="159">
        <f>IF($E53=0,0,TRUNC(IF(Categoría_4="Maestro de armas",0.5,1)*VLOOKUP($E53,Tabla_Tabla_Estilos,2,FALSE),0))</f>
        <v>0</v>
      </c>
      <c r="S53" s="191"/>
      <c r="T53" s="159">
        <f>IF($E53=0,0,TRUNC(IF(Categoría_5="Maestro de armas",0.5,1)*VLOOKUP($E53,Tabla_Tabla_Estilos,2,FALSE),0))</f>
        <v>0</v>
      </c>
      <c r="U53" s="1796"/>
      <c r="V53" s="3474" t="str">
        <f>IF($E53="","",VLOOKUP($E53,Tabla_Tabla_Estilos,3,FALSE))</f>
        <v/>
      </c>
      <c r="W53" s="3474"/>
      <c r="X53" s="3474"/>
      <c r="Y53" s="3474"/>
      <c r="Z53" s="3474"/>
      <c r="AA53" s="3475"/>
      <c r="AB53" s="150"/>
      <c r="AC53" s="2126"/>
    </row>
    <row r="54" spans="1:65" ht="12" customHeight="1" x14ac:dyDescent="0.2">
      <c r="A54" s="2128"/>
      <c r="B54" s="5188"/>
      <c r="C54" s="3392"/>
      <c r="D54" s="3610"/>
      <c r="E54" s="3446"/>
      <c r="F54" s="3447"/>
      <c r="G54" s="3447"/>
      <c r="H54" s="3447"/>
      <c r="I54" s="3447"/>
      <c r="J54" s="3447"/>
      <c r="K54" s="3448"/>
      <c r="L54" s="164">
        <f>IF($E54=0,0,TRUNC(IF(Categoría_1="Maestro de armas",0.5,1)*VLOOKUP($E54,Tabla_Tabla_Estilos,2,FALSE),0))</f>
        <v>0</v>
      </c>
      <c r="M54" s="190"/>
      <c r="N54" s="164">
        <f>IF($E54=0,0,TRUNC(IF(Categoría_2="Maestro de armas",0.5,1)*VLOOKUP($E54,Tabla_Tabla_Estilos,2,FALSE),0))</f>
        <v>0</v>
      </c>
      <c r="O54" s="190"/>
      <c r="P54" s="164">
        <f>IF($E54=0,0,TRUNC(IF(Categoría_3="Maestro de armas",0.5,1)*VLOOKUP($E54,Tabla_Tabla_Estilos,2,FALSE),0))</f>
        <v>0</v>
      </c>
      <c r="Q54" s="190"/>
      <c r="R54" s="164">
        <f>IF($E54=0,0,TRUNC(IF(Categoría_4="Maestro de armas",0.5,1)*VLOOKUP($E54,Tabla_Tabla_Estilos,2,FALSE),0))</f>
        <v>0</v>
      </c>
      <c r="S54" s="190"/>
      <c r="T54" s="164">
        <f>IF($E54=0,0,TRUNC(IF(Categoría_5="Maestro de armas",0.5,1)*VLOOKUP($E54,Tabla_Tabla_Estilos,2,FALSE),0))</f>
        <v>0</v>
      </c>
      <c r="U54" s="1795"/>
      <c r="V54" s="3493" t="str">
        <f>IF($E54="","",VLOOKUP($E54,Tabla_Tabla_Estilos,3,FALSE))</f>
        <v/>
      </c>
      <c r="W54" s="3493"/>
      <c r="X54" s="3493"/>
      <c r="Y54" s="3493"/>
      <c r="Z54" s="3493"/>
      <c r="AA54" s="3494"/>
      <c r="AB54" s="150"/>
      <c r="AC54" s="2126"/>
      <c r="BB54" s="73"/>
      <c r="BC54" s="73"/>
      <c r="BD54" s="73"/>
      <c r="BE54" s="73"/>
      <c r="BF54" s="73"/>
      <c r="BG54" s="73"/>
      <c r="BH54" s="73"/>
      <c r="BI54" s="73"/>
    </row>
    <row r="55" spans="1:65" ht="12" customHeight="1" x14ac:dyDescent="0.2">
      <c r="A55" s="2128"/>
      <c r="B55" s="5188"/>
      <c r="C55" s="3392"/>
      <c r="D55" s="3611"/>
      <c r="E55" s="3495"/>
      <c r="F55" s="3496"/>
      <c r="G55" s="3496"/>
      <c r="H55" s="3496"/>
      <c r="I55" s="3496"/>
      <c r="J55" s="3496"/>
      <c r="K55" s="3497"/>
      <c r="L55" s="1788">
        <f>IF($E55=0,0,TRUNC(IF(Categoría_1="Maestro de armas",0.5,1)*VLOOKUP($E55,Tabla_Tabla_Estilos,2,FALSE),0))</f>
        <v>0</v>
      </c>
      <c r="M55" s="1797"/>
      <c r="N55" s="1788">
        <f>IF($E55=0,0,TRUNC(IF(Categoría_2="Maestro de armas",0.5,1)*VLOOKUP($E55,Tabla_Tabla_Estilos,2,FALSE),0))</f>
        <v>0</v>
      </c>
      <c r="O55" s="1797"/>
      <c r="P55" s="1788">
        <f>IF($E55=0,0,TRUNC(IF(Categoría_3="Maestro de armas",0.5,1)*VLOOKUP($E55,Tabla_Tabla_Estilos,2,FALSE),0))</f>
        <v>0</v>
      </c>
      <c r="Q55" s="1797"/>
      <c r="R55" s="1788">
        <f>IF($E55=0,0,TRUNC(IF(Categoría_4="Maestro de armas",0.5,1)*VLOOKUP($E55,Tabla_Tabla_Estilos,2,FALSE),0))</f>
        <v>0</v>
      </c>
      <c r="S55" s="1797"/>
      <c r="T55" s="1788">
        <f>IF($E55=0,0,TRUNC(IF(Categoría_5="Maestro de armas",0.5,1)*VLOOKUP($E55,Tabla_Tabla_Estilos,2,FALSE),0))</f>
        <v>0</v>
      </c>
      <c r="U55" s="1798"/>
      <c r="V55" s="3507" t="str">
        <f>IF($E55="","",VLOOKUP($E55,Tabla_Tabla_Estilos,3,FALSE))</f>
        <v/>
      </c>
      <c r="W55" s="3507"/>
      <c r="X55" s="3507"/>
      <c r="Y55" s="3507"/>
      <c r="Z55" s="3507"/>
      <c r="AA55" s="3508"/>
      <c r="AB55" s="150"/>
      <c r="AC55" s="2126"/>
      <c r="AE55" s="2896"/>
      <c r="BB55" s="73"/>
      <c r="BC55" s="73"/>
      <c r="BD55" s="73"/>
      <c r="BE55" s="73"/>
      <c r="BF55" s="73"/>
      <c r="BG55" s="73"/>
      <c r="BH55" s="73"/>
      <c r="BI55" s="73"/>
    </row>
    <row r="56" spans="1:65" ht="12" customHeight="1" x14ac:dyDescent="0.2">
      <c r="A56" s="2128"/>
      <c r="B56" s="5188"/>
      <c r="C56" s="3392"/>
      <c r="D56" s="3609" t="s">
        <v>2360</v>
      </c>
      <c r="E56" s="3650"/>
      <c r="F56" s="3651"/>
      <c r="G56" s="3651"/>
      <c r="H56" s="3651"/>
      <c r="I56" s="3652"/>
      <c r="J56" s="3648"/>
      <c r="K56" s="3649"/>
      <c r="L56" s="2632">
        <f>IF($AD56=0,0,IF(Categoría_1="Tao",IF(VLOOKUP($AD56,Tabla_Artes_Marciales,21,FALSE)&lt;20,5,IF(VLOOKUP($AD56,Tabla_Artes_Marciales,21,FALSE)&gt;30,20,10)),VLOOKUP($AD56,Tabla_Artes_Marciales,21,FALSE)))</f>
        <v>0</v>
      </c>
      <c r="M56" s="1743"/>
      <c r="N56" s="164">
        <f>IF($AD56=0,0,IF(Categoría_2="Tao",IF(VLOOKUP($AD56,Tabla_Artes_Marciales,21,FALSE)&lt;20,5,IF(VLOOKUP($AD56,Tabla_Artes_Marciales,21,FALSE)&gt;30,20,10)),VLOOKUP($AD56,Tabla_Artes_Marciales,21,FALSE)))</f>
        <v>0</v>
      </c>
      <c r="O56" s="1743"/>
      <c r="P56" s="164">
        <f>IF($AD56=0,0,IF(Categoría_3="Tao",IF(VLOOKUP($AD56,Tabla_Artes_Marciales,21,FALSE)&lt;20,5,IF(VLOOKUP($AD56,Tabla_Artes_Marciales,21,FALSE)&gt;30,20,10)),VLOOKUP($AD56,Tabla_Artes_Marciales,21,FALSE)))</f>
        <v>0</v>
      </c>
      <c r="Q56" s="1743"/>
      <c r="R56" s="164">
        <f>IF($AD56=0,0,IF(Categoría_4="Tao",IF(VLOOKUP($AD56,Tabla_Artes_Marciales,21,FALSE)&lt;20,5,IF(VLOOKUP($AD56,Tabla_Artes_Marciales,21,FALSE)&gt;30,20,10)),VLOOKUP($AD56,Tabla_Artes_Marciales,21,FALSE)))</f>
        <v>0</v>
      </c>
      <c r="S56" s="1743"/>
      <c r="T56" s="164">
        <f>IF($AD56=0,0,IF(Categoría_5="Tao",IF(VLOOKUP($AD56,Tabla_Artes_Marciales,21,FALSE)&lt;20,5,IF(VLOOKUP($AD56,Tabla_Artes_Marciales,21,FALSE)&gt;30,20,10)),VLOOKUP($AD56,Tabla_Artes_Marciales,21,FALSE)))</f>
        <v>0</v>
      </c>
      <c r="U56" s="1743"/>
      <c r="V56" s="3509" t="str">
        <f>IF($AD56=0,"",IF(VLOOKUP($AD56,Tabla_Artes_Marciales,14,FALSE)="-",VLOOKUP($AD56,Tabla_Artes_Marciales,9,FALSE),"FALTAN REQUISITOS"))</f>
        <v/>
      </c>
      <c r="W56" s="3510"/>
      <c r="X56" s="3510"/>
      <c r="Y56" s="3510"/>
      <c r="Z56" s="3510"/>
      <c r="AA56" s="3511"/>
      <c r="AB56" s="150"/>
      <c r="AC56" s="2126"/>
      <c r="AD56" s="2856">
        <f>IF(OR(E56="",J56=""),,E56&amp;" ("&amp;J56&amp;")")</f>
        <v>0</v>
      </c>
      <c r="AE56" s="2857">
        <f>IF(ISNUMBER(MATCH(E56,Tablas!$L$889:$L$907,0)),"Grado_AM_Básicas",IF(ISNUMBER(MATCH(E56,Tablas!$L$908:$L$925,0)),"Grado_AM_Avanzadas",))</f>
        <v>0</v>
      </c>
      <c r="BB56" s="73"/>
      <c r="BC56" s="73"/>
      <c r="BD56" s="73"/>
      <c r="BE56" s="73"/>
      <c r="BF56" s="73"/>
      <c r="BG56" s="73"/>
      <c r="BH56" s="73"/>
      <c r="BI56" s="73"/>
    </row>
    <row r="57" spans="1:65" ht="12" customHeight="1" x14ac:dyDescent="0.2">
      <c r="A57" s="2128"/>
      <c r="B57" s="5188"/>
      <c r="C57" s="3392"/>
      <c r="D57" s="3610"/>
      <c r="E57" s="3653"/>
      <c r="F57" s="3654"/>
      <c r="G57" s="3654"/>
      <c r="H57" s="3654"/>
      <c r="I57" s="3655"/>
      <c r="J57" s="3656"/>
      <c r="K57" s="3657"/>
      <c r="L57" s="2633">
        <f>IF($AD57=0,0,IF(Categoría_1="Tao",IF(VLOOKUP($AD57,Tabla_Artes_Marciales,21,FALSE)&lt;20,5,IF(VLOOKUP($AD57,Tabla_Artes_Marciales,21,FALSE)&gt;30,20,10)),VLOOKUP($AD57,Tabla_Artes_Marciales,21,FALSE)))</f>
        <v>0</v>
      </c>
      <c r="M57" s="1744"/>
      <c r="N57" s="159">
        <f>IF($AD57=0,0,IF(Categoría_2="Tao",IF(VLOOKUP($AD57,Tabla_Artes_Marciales,21,FALSE)&lt;20,5,IF(VLOOKUP($AD57,Tabla_Artes_Marciales,21,FALSE)&gt;30,20,10)),VLOOKUP($AD57,Tabla_Artes_Marciales,21,FALSE)))</f>
        <v>0</v>
      </c>
      <c r="O57" s="1744"/>
      <c r="P57" s="159">
        <f>IF($AD57=0,0,IF(Categoría_3="Tao",IF(VLOOKUP($AD57,Tabla_Artes_Marciales,21,FALSE)&lt;20,5,IF(VLOOKUP($AD57,Tabla_Artes_Marciales,21,FALSE)&gt;30,20,10)),VLOOKUP($AD57,Tabla_Artes_Marciales,21,FALSE)))</f>
        <v>0</v>
      </c>
      <c r="Q57" s="1744"/>
      <c r="R57" s="159">
        <f>IF($AD57=0,0,IF(Categoría_4="Tao",IF(VLOOKUP($AD57,Tabla_Artes_Marciales,21,FALSE)&lt;20,5,IF(VLOOKUP($AD57,Tabla_Artes_Marciales,21,FALSE)&gt;30,20,10)),VLOOKUP($AD57,Tabla_Artes_Marciales,21,FALSE)))</f>
        <v>0</v>
      </c>
      <c r="S57" s="1744"/>
      <c r="T57" s="159">
        <f>IF($AD57=0,0,IF(Categoría_5="Tao",IF(VLOOKUP($AD57,Tabla_Artes_Marciales,21,FALSE)&lt;20,5,IF(VLOOKUP($AD57,Tabla_Artes_Marciales,21,FALSE)&gt;30,20,10)),VLOOKUP($AD57,Tabla_Artes_Marciales,21,FALSE)))</f>
        <v>0</v>
      </c>
      <c r="U57" s="1744"/>
      <c r="V57" s="3473" t="str">
        <f>IF($AD57=0,"",IF(VLOOKUP($AD57,Tabla_Artes_Marciales,14,FALSE)="-",VLOOKUP($AD57,Tabla_Artes_Marciales,9,FALSE),"FALTAN REQUISITOS"))</f>
        <v/>
      </c>
      <c r="W57" s="3474"/>
      <c r="X57" s="3474"/>
      <c r="Y57" s="3474"/>
      <c r="Z57" s="3474"/>
      <c r="AA57" s="3475"/>
      <c r="AB57" s="150"/>
      <c r="AC57" s="2126"/>
      <c r="AD57" s="2856">
        <f t="shared" ref="AD57" si="3">IF(OR(E57="",J57=""),,E57&amp;" ("&amp;J57&amp;")")</f>
        <v>0</v>
      </c>
      <c r="AE57" s="2857">
        <f>IF(ISNUMBER(MATCH(E57,Tablas!$L$889:$L$907,0)),"Grado_AM_Básicas",IF(ISNUMBER(MATCH(E57,Tablas!$L$908:$L$925,0)),"Grado_AM_Avanzadas",))</f>
        <v>0</v>
      </c>
      <c r="BB57" s="73"/>
      <c r="BC57" s="73"/>
      <c r="BD57" s="73"/>
      <c r="BE57" s="73"/>
      <c r="BF57" s="73"/>
      <c r="BG57" s="73"/>
      <c r="BH57" s="73"/>
      <c r="BI57" s="73"/>
    </row>
    <row r="58" spans="1:65" ht="12" customHeight="1" x14ac:dyDescent="0.2">
      <c r="A58" s="2128"/>
      <c r="B58" s="5188"/>
      <c r="C58" s="3392"/>
      <c r="D58" s="3610"/>
      <c r="E58" s="3658"/>
      <c r="F58" s="3659"/>
      <c r="G58" s="3659"/>
      <c r="H58" s="3659"/>
      <c r="I58" s="3660"/>
      <c r="J58" s="3661"/>
      <c r="K58" s="3662"/>
      <c r="L58" s="2632">
        <f>IF($AD58=0,0,IF(Categoría_1="Tao",IF(VLOOKUP($AD58,Tabla_Artes_Marciales,21,FALSE)&lt;20,5,IF(VLOOKUP($AD58,Tabla_Artes_Marciales,21,FALSE)&gt;30,20,10)),VLOOKUP($AD58,Tabla_Artes_Marciales,21,FALSE)))</f>
        <v>0</v>
      </c>
      <c r="M58" s="1743"/>
      <c r="N58" s="164">
        <f>IF($AD58=0,0,IF(Categoría_2="Tao",IF(VLOOKUP($AD58,Tabla_Artes_Marciales,21,FALSE)&lt;20,5,IF(VLOOKUP($AD58,Tabla_Artes_Marciales,21,FALSE)&gt;30,20,10)),VLOOKUP($AD58,Tabla_Artes_Marciales,21,FALSE)))</f>
        <v>0</v>
      </c>
      <c r="O58" s="1743"/>
      <c r="P58" s="164">
        <f>IF($AD58=0,0,IF(Categoría_3="Tao",IF(VLOOKUP($AD58,Tabla_Artes_Marciales,21,FALSE)&lt;20,5,IF(VLOOKUP($AD58,Tabla_Artes_Marciales,21,FALSE)&gt;30,20,10)),VLOOKUP($AD58,Tabla_Artes_Marciales,21,FALSE)))</f>
        <v>0</v>
      </c>
      <c r="Q58" s="1743"/>
      <c r="R58" s="164">
        <f>IF($AD58=0,0,IF(Categoría_4="Tao",IF(VLOOKUP($AD58,Tabla_Artes_Marciales,21,FALSE)&lt;20,5,IF(VLOOKUP($AD58,Tabla_Artes_Marciales,21,FALSE)&gt;30,20,10)),VLOOKUP($AD58,Tabla_Artes_Marciales,21,FALSE)))</f>
        <v>0</v>
      </c>
      <c r="S58" s="1743"/>
      <c r="T58" s="164">
        <f>IF($AD58=0,0,IF(Categoría_5="Tao",IF(VLOOKUP($AD58,Tabla_Artes_Marciales,21,FALSE)&lt;20,5,IF(VLOOKUP($AD58,Tabla_Artes_Marciales,21,FALSE)&gt;30,20,10)),VLOOKUP($AD58,Tabla_Artes_Marciales,21,FALSE)))</f>
        <v>0</v>
      </c>
      <c r="U58" s="1743"/>
      <c r="V58" s="3492" t="str">
        <f>IF($AD58=0,"",IF(VLOOKUP($AD58,Tabla_Artes_Marciales,14,FALSE)="-",VLOOKUP($AD58,Tabla_Artes_Marciales,9,FALSE),"FALTAN REQUISITOS"))</f>
        <v/>
      </c>
      <c r="W58" s="3493"/>
      <c r="X58" s="3493"/>
      <c r="Y58" s="3493"/>
      <c r="Z58" s="3493"/>
      <c r="AA58" s="3494"/>
      <c r="AB58" s="150"/>
      <c r="AC58" s="2126"/>
      <c r="AD58" s="2856">
        <f>IF(OR(E58="",J58=""),,E58&amp;" ("&amp;J58&amp;")")</f>
        <v>0</v>
      </c>
      <c r="AE58" s="2857">
        <f>IF(ISNUMBER(MATCH(E58,Tablas!$L$889:$L$907,0)),"Grado_AM_Básicas",IF(ISNUMBER(MATCH(E58,Tablas!$L$908:$L$925,0)),"Grado_AM_Avanzadas",))</f>
        <v>0</v>
      </c>
      <c r="BB58" s="73"/>
      <c r="BC58" s="73"/>
      <c r="BD58" s="73"/>
      <c r="BE58" s="73"/>
      <c r="BF58" s="73"/>
      <c r="BG58" s="73"/>
      <c r="BH58" s="73"/>
      <c r="BI58" s="73"/>
    </row>
    <row r="59" spans="1:65" ht="12" customHeight="1" x14ac:dyDescent="0.2">
      <c r="A59" s="2128"/>
      <c r="B59" s="5188"/>
      <c r="C59" s="3392"/>
      <c r="D59" s="3610"/>
      <c r="E59" s="3653"/>
      <c r="F59" s="3654"/>
      <c r="G59" s="3654"/>
      <c r="H59" s="3654"/>
      <c r="I59" s="3655"/>
      <c r="J59" s="3656"/>
      <c r="K59" s="3657"/>
      <c r="L59" s="2633">
        <f>IF($AD59=0,0,IF(Categoría_1="Tao",IF(VLOOKUP($AD59,Tabla_Artes_Marciales,21,FALSE)&lt;20,5,IF(VLOOKUP($AD59,Tabla_Artes_Marciales,21,FALSE)&gt;30,20,10)),VLOOKUP($AD59,Tabla_Artes_Marciales,21,FALSE)))</f>
        <v>0</v>
      </c>
      <c r="M59" s="1744"/>
      <c r="N59" s="159">
        <f>IF($AD59=0,0,IF(Categoría_2="Tao",IF(VLOOKUP($AD59,Tabla_Artes_Marciales,21,FALSE)&lt;20,5,IF(VLOOKUP($AD59,Tabla_Artes_Marciales,21,FALSE)&gt;30,20,10)),VLOOKUP($AD59,Tabla_Artes_Marciales,21,FALSE)))</f>
        <v>0</v>
      </c>
      <c r="O59" s="1744"/>
      <c r="P59" s="159">
        <f>IF($AD59=0,0,IF(Categoría_3="Tao",IF(VLOOKUP($AD59,Tabla_Artes_Marciales,21,FALSE)&lt;20,5,IF(VLOOKUP($AD59,Tabla_Artes_Marciales,21,FALSE)&gt;30,20,10)),VLOOKUP($AD59,Tabla_Artes_Marciales,21,FALSE)))</f>
        <v>0</v>
      </c>
      <c r="Q59" s="1744"/>
      <c r="R59" s="159">
        <f>IF($AD59=0,0,IF(Categoría_4="Tao",IF(VLOOKUP($AD59,Tabla_Artes_Marciales,21,FALSE)&lt;20,5,IF(VLOOKUP($AD59,Tabla_Artes_Marciales,21,FALSE)&gt;30,20,10)),VLOOKUP($AD59,Tabla_Artes_Marciales,21,FALSE)))</f>
        <v>0</v>
      </c>
      <c r="S59" s="1744"/>
      <c r="T59" s="159">
        <f>IF($AD59=0,0,IF(Categoría_5="Tao",IF(VLOOKUP($AD59,Tabla_Artes_Marciales,21,FALSE)&lt;20,5,IF(VLOOKUP($AD59,Tabla_Artes_Marciales,21,FALSE)&gt;30,20,10)),VLOOKUP($AD59,Tabla_Artes_Marciales,21,FALSE)))</f>
        <v>0</v>
      </c>
      <c r="U59" s="1744"/>
      <c r="V59" s="3473" t="str">
        <f>IF($AD59=0,"",IF(VLOOKUP($AD59,Tabla_Artes_Marciales,14,FALSE)="-",VLOOKUP($AD59,Tabla_Artes_Marciales,9,FALSE),"FALTAN REQUISITOS"))</f>
        <v/>
      </c>
      <c r="W59" s="3474"/>
      <c r="X59" s="3474"/>
      <c r="Y59" s="3474"/>
      <c r="Z59" s="3474"/>
      <c r="AA59" s="3475"/>
      <c r="AB59" s="150"/>
      <c r="AC59" s="2126"/>
      <c r="AD59" s="2856">
        <f t="shared" ref="AD59:AD74" si="4">IF(OR(E59="",J59=""),,E59&amp;" ("&amp;J59&amp;")")</f>
        <v>0</v>
      </c>
      <c r="AE59" s="2857">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28"/>
      <c r="B60" s="5188"/>
      <c r="C60" s="3392"/>
      <c r="D60" s="3610"/>
      <c r="E60" s="3658"/>
      <c r="F60" s="3659"/>
      <c r="G60" s="3659"/>
      <c r="H60" s="3659"/>
      <c r="I60" s="3660"/>
      <c r="J60" s="3661"/>
      <c r="K60" s="3662"/>
      <c r="L60" s="2632">
        <f>IF($AD60=0,0,IF(Categoría_1="Tao",IF(VLOOKUP($AD60,Tabla_Artes_Marciales,21,FALSE)&lt;20,5,IF(VLOOKUP($AD60,Tabla_Artes_Marciales,21,FALSE)&gt;30,20,10)),VLOOKUP($AD60,Tabla_Artes_Marciales,21,FALSE)))</f>
        <v>0</v>
      </c>
      <c r="M60" s="1743"/>
      <c r="N60" s="164">
        <f>IF($AD60=0,0,IF(Categoría_2="Tao",IF(VLOOKUP($AD60,Tabla_Artes_Marciales,21,FALSE)&lt;20,5,IF(VLOOKUP($AD60,Tabla_Artes_Marciales,21,FALSE)&gt;30,20,10)),VLOOKUP($AD60,Tabla_Artes_Marciales,21,FALSE)))</f>
        <v>0</v>
      </c>
      <c r="O60" s="1743"/>
      <c r="P60" s="164">
        <f>IF($AD60=0,0,IF(Categoría_3="Tao",IF(VLOOKUP($AD60,Tabla_Artes_Marciales,21,FALSE)&lt;20,5,IF(VLOOKUP($AD60,Tabla_Artes_Marciales,21,FALSE)&gt;30,20,10)),VLOOKUP($AD60,Tabla_Artes_Marciales,21,FALSE)))</f>
        <v>0</v>
      </c>
      <c r="Q60" s="1743"/>
      <c r="R60" s="164">
        <f>IF($AD60=0,0,IF(Categoría_4="Tao",IF(VLOOKUP($AD60,Tabla_Artes_Marciales,21,FALSE)&lt;20,5,IF(VLOOKUP($AD60,Tabla_Artes_Marciales,21,FALSE)&gt;30,20,10)),VLOOKUP($AD60,Tabla_Artes_Marciales,21,FALSE)))</f>
        <v>0</v>
      </c>
      <c r="S60" s="1743"/>
      <c r="T60" s="164">
        <f>IF($AD60=0,0,IF(Categoría_5="Tao",IF(VLOOKUP($AD60,Tabla_Artes_Marciales,21,FALSE)&lt;20,5,IF(VLOOKUP($AD60,Tabla_Artes_Marciales,21,FALSE)&gt;30,20,10)),VLOOKUP($AD60,Tabla_Artes_Marciales,21,FALSE)))</f>
        <v>0</v>
      </c>
      <c r="U60" s="1743"/>
      <c r="V60" s="3492" t="str">
        <f>IF($AD60=0,"",IF(VLOOKUP($AD60,Tabla_Artes_Marciales,14,FALSE)="-",VLOOKUP($AD60,Tabla_Artes_Marciales,9,FALSE),"FALTAN REQUISITOS"))</f>
        <v/>
      </c>
      <c r="W60" s="3493"/>
      <c r="X60" s="3493"/>
      <c r="Y60" s="3493"/>
      <c r="Z60" s="3493"/>
      <c r="AA60" s="3494"/>
      <c r="AB60" s="150"/>
      <c r="AC60" s="2126"/>
      <c r="AD60" s="2856">
        <f t="shared" si="4"/>
        <v>0</v>
      </c>
      <c r="AE60" s="2857">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28"/>
      <c r="B61" s="5188"/>
      <c r="C61" s="3392"/>
      <c r="D61" s="3610"/>
      <c r="E61" s="3653"/>
      <c r="F61" s="3654"/>
      <c r="G61" s="3654"/>
      <c r="H61" s="3654"/>
      <c r="I61" s="3655"/>
      <c r="J61" s="3656"/>
      <c r="K61" s="3657"/>
      <c r="L61" s="2633">
        <f>IF($AD61=0,0,IF(Categoría_1="Tao",IF(VLOOKUP($AD61,Tabla_Artes_Marciales,21,FALSE)&lt;20,5,IF(VLOOKUP($AD61,Tabla_Artes_Marciales,21,FALSE)&gt;30,20,10)),VLOOKUP($AD61,Tabla_Artes_Marciales,21,FALSE)))</f>
        <v>0</v>
      </c>
      <c r="M61" s="1744"/>
      <c r="N61" s="159">
        <f>IF($AD61=0,0,IF(Categoría_2="Tao",IF(VLOOKUP($AD61,Tabla_Artes_Marciales,21,FALSE)&lt;20,5,IF(VLOOKUP($AD61,Tabla_Artes_Marciales,21,FALSE)&gt;30,20,10)),VLOOKUP($AD61,Tabla_Artes_Marciales,21,FALSE)))</f>
        <v>0</v>
      </c>
      <c r="O61" s="1744"/>
      <c r="P61" s="159">
        <f>IF($AD61=0,0,IF(Categoría_3="Tao",IF(VLOOKUP($AD61,Tabla_Artes_Marciales,21,FALSE)&lt;20,5,IF(VLOOKUP($AD61,Tabla_Artes_Marciales,21,FALSE)&gt;30,20,10)),VLOOKUP($AD61,Tabla_Artes_Marciales,21,FALSE)))</f>
        <v>0</v>
      </c>
      <c r="Q61" s="1744"/>
      <c r="R61" s="159">
        <f>IF($AD61=0,0,IF(Categoría_4="Tao",IF(VLOOKUP($AD61,Tabla_Artes_Marciales,21,FALSE)&lt;20,5,IF(VLOOKUP($AD61,Tabla_Artes_Marciales,21,FALSE)&gt;30,20,10)),VLOOKUP($AD61,Tabla_Artes_Marciales,21,FALSE)))</f>
        <v>0</v>
      </c>
      <c r="S61" s="1744"/>
      <c r="T61" s="159">
        <f>IF($AD61=0,0,IF(Categoría_5="Tao",IF(VLOOKUP($AD61,Tabla_Artes_Marciales,21,FALSE)&lt;20,5,IF(VLOOKUP($AD61,Tabla_Artes_Marciales,21,FALSE)&gt;30,20,10)),VLOOKUP($AD61,Tabla_Artes_Marciales,21,FALSE)))</f>
        <v>0</v>
      </c>
      <c r="U61" s="1744"/>
      <c r="V61" s="3473" t="str">
        <f>IF($AD61=0,"",IF(VLOOKUP($AD61,Tabla_Artes_Marciales,14,FALSE)="-",VLOOKUP($AD61,Tabla_Artes_Marciales,9,FALSE),"FALTAN REQUISITOS"))</f>
        <v/>
      </c>
      <c r="W61" s="3474"/>
      <c r="X61" s="3474"/>
      <c r="Y61" s="3474"/>
      <c r="Z61" s="3474"/>
      <c r="AA61" s="3475"/>
      <c r="AB61" s="2891"/>
      <c r="AC61" s="2895"/>
      <c r="AD61" s="2856">
        <f t="shared" si="4"/>
        <v>0</v>
      </c>
      <c r="AE61" s="2857">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28"/>
      <c r="B62" s="5188"/>
      <c r="C62" s="3392"/>
      <c r="D62" s="3610"/>
      <c r="E62" s="3658"/>
      <c r="F62" s="3659"/>
      <c r="G62" s="3659"/>
      <c r="H62" s="3659"/>
      <c r="I62" s="3660"/>
      <c r="J62" s="3661"/>
      <c r="K62" s="3662"/>
      <c r="L62" s="2632">
        <f>IF($AD62=0,0,IF(Categoría_1="Tao",IF(VLOOKUP($AD62,Tabla_Artes_Marciales,21,FALSE)&lt;20,5,IF(VLOOKUP($AD62,Tabla_Artes_Marciales,21,FALSE)&gt;30,20,10)),VLOOKUP($AD62,Tabla_Artes_Marciales,21,FALSE)))</f>
        <v>0</v>
      </c>
      <c r="M62" s="1743"/>
      <c r="N62" s="164">
        <f>IF($AD62=0,0,IF(Categoría_2="Tao",IF(VLOOKUP($AD62,Tabla_Artes_Marciales,21,FALSE)&lt;20,5,IF(VLOOKUP($AD62,Tabla_Artes_Marciales,21,FALSE)&gt;30,20,10)),VLOOKUP($AD62,Tabla_Artes_Marciales,21,FALSE)))</f>
        <v>0</v>
      </c>
      <c r="O62" s="1743"/>
      <c r="P62" s="164">
        <f>IF($AD62=0,0,IF(Categoría_3="Tao",IF(VLOOKUP($AD62,Tabla_Artes_Marciales,21,FALSE)&lt;20,5,IF(VLOOKUP($AD62,Tabla_Artes_Marciales,21,FALSE)&gt;30,20,10)),VLOOKUP($AD62,Tabla_Artes_Marciales,21,FALSE)))</f>
        <v>0</v>
      </c>
      <c r="Q62" s="1743"/>
      <c r="R62" s="164">
        <f>IF($AD62=0,0,IF(Categoría_4="Tao",IF(VLOOKUP($AD62,Tabla_Artes_Marciales,21,FALSE)&lt;20,5,IF(VLOOKUP($AD62,Tabla_Artes_Marciales,21,FALSE)&gt;30,20,10)),VLOOKUP($AD62,Tabla_Artes_Marciales,21,FALSE)))</f>
        <v>0</v>
      </c>
      <c r="S62" s="1743"/>
      <c r="T62" s="164">
        <f>IF($AD62=0,0,IF(Categoría_5="Tao",IF(VLOOKUP($AD62,Tabla_Artes_Marciales,21,FALSE)&lt;20,5,IF(VLOOKUP($AD62,Tabla_Artes_Marciales,21,FALSE)&gt;30,20,10)),VLOOKUP($AD62,Tabla_Artes_Marciales,21,FALSE)))</f>
        <v>0</v>
      </c>
      <c r="U62" s="1743"/>
      <c r="V62" s="3492" t="str">
        <f>IF($AD62=0,"",IF(VLOOKUP($AD62,Tabla_Artes_Marciales,14,FALSE)="-",VLOOKUP($AD62,Tabla_Artes_Marciales,9,FALSE),"FALTAN REQUISITOS"))</f>
        <v/>
      </c>
      <c r="W62" s="3493"/>
      <c r="X62" s="3493"/>
      <c r="Y62" s="3493"/>
      <c r="Z62" s="3493"/>
      <c r="AA62" s="3494"/>
      <c r="AB62" s="150"/>
      <c r="AC62" s="2126"/>
      <c r="AD62" s="2856">
        <f>IF(OR(E62="",J62=""),,E62&amp;" ("&amp;J62&amp;")")</f>
        <v>0</v>
      </c>
      <c r="AE62" s="2857">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28"/>
      <c r="B63" s="5188"/>
      <c r="C63" s="3392"/>
      <c r="D63" s="3610"/>
      <c r="E63" s="3653"/>
      <c r="F63" s="3654"/>
      <c r="G63" s="3654"/>
      <c r="H63" s="3654"/>
      <c r="I63" s="3655"/>
      <c r="J63" s="3656"/>
      <c r="K63" s="3657"/>
      <c r="L63" s="2633">
        <f>IF($AD63=0,0,IF(Categoría_1="Tao",IF(VLOOKUP($AD63,Tabla_Artes_Marciales,21,FALSE)&lt;20,5,IF(VLOOKUP($AD63,Tabla_Artes_Marciales,21,FALSE)&gt;30,20,10)),VLOOKUP($AD63,Tabla_Artes_Marciales,21,FALSE)))</f>
        <v>0</v>
      </c>
      <c r="M63" s="1744"/>
      <c r="N63" s="159">
        <f>IF($AD63=0,0,IF(Categoría_2="Tao",IF(VLOOKUP($AD63,Tabla_Artes_Marciales,21,FALSE)&lt;20,5,IF(VLOOKUP($AD63,Tabla_Artes_Marciales,21,FALSE)&gt;30,20,10)),VLOOKUP($AD63,Tabla_Artes_Marciales,21,FALSE)))</f>
        <v>0</v>
      </c>
      <c r="O63" s="1744"/>
      <c r="P63" s="159">
        <f>IF($AD63=0,0,IF(Categoría_3="Tao",IF(VLOOKUP($AD63,Tabla_Artes_Marciales,21,FALSE)&lt;20,5,IF(VLOOKUP($AD63,Tabla_Artes_Marciales,21,FALSE)&gt;30,20,10)),VLOOKUP($AD63,Tabla_Artes_Marciales,21,FALSE)))</f>
        <v>0</v>
      </c>
      <c r="Q63" s="1744"/>
      <c r="R63" s="159">
        <f>IF($AD63=0,0,IF(Categoría_4="Tao",IF(VLOOKUP($AD63,Tabla_Artes_Marciales,21,FALSE)&lt;20,5,IF(VLOOKUP($AD63,Tabla_Artes_Marciales,21,FALSE)&gt;30,20,10)),VLOOKUP($AD63,Tabla_Artes_Marciales,21,FALSE)))</f>
        <v>0</v>
      </c>
      <c r="S63" s="1744"/>
      <c r="T63" s="159">
        <f>IF($AD63=0,0,IF(Categoría_5="Tao",IF(VLOOKUP($AD63,Tabla_Artes_Marciales,21,FALSE)&lt;20,5,IF(VLOOKUP($AD63,Tabla_Artes_Marciales,21,FALSE)&gt;30,20,10)),VLOOKUP($AD63,Tabla_Artes_Marciales,21,FALSE)))</f>
        <v>0</v>
      </c>
      <c r="U63" s="1744"/>
      <c r="V63" s="3473" t="str">
        <f>IF($AD63=0,"",IF(VLOOKUP($AD63,Tabla_Artes_Marciales,14,FALSE)="-",VLOOKUP($AD63,Tabla_Artes_Marciales,9,FALSE),"FALTAN REQUISITOS"))</f>
        <v/>
      </c>
      <c r="W63" s="3474"/>
      <c r="X63" s="3474"/>
      <c r="Y63" s="3474"/>
      <c r="Z63" s="3474"/>
      <c r="AA63" s="3475"/>
      <c r="AB63" s="15"/>
      <c r="AC63" s="8"/>
      <c r="AD63" s="2856">
        <f t="shared" si="4"/>
        <v>0</v>
      </c>
      <c r="AE63" s="2857">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28"/>
      <c r="B64" s="5188"/>
      <c r="C64" s="3392"/>
      <c r="D64" s="3610"/>
      <c r="E64" s="3658"/>
      <c r="F64" s="3659"/>
      <c r="G64" s="3659"/>
      <c r="H64" s="3659"/>
      <c r="I64" s="3660"/>
      <c r="J64" s="3661"/>
      <c r="K64" s="3662"/>
      <c r="L64" s="2632">
        <f>IF($AD64=0,0,IF(Categoría_1="Tao",IF(VLOOKUP($AD64,Tabla_Artes_Marciales,21,FALSE)&lt;20,5,IF(VLOOKUP($AD64,Tabla_Artes_Marciales,21,FALSE)&gt;30,20,10)),VLOOKUP($AD64,Tabla_Artes_Marciales,21,FALSE)))</f>
        <v>0</v>
      </c>
      <c r="M64" s="1743"/>
      <c r="N64" s="164">
        <f>IF($AD64=0,0,IF(Categoría_2="Tao",IF(VLOOKUP($AD64,Tabla_Artes_Marciales,21,FALSE)&lt;20,5,IF(VLOOKUP($AD64,Tabla_Artes_Marciales,21,FALSE)&gt;30,20,10)),VLOOKUP($AD64,Tabla_Artes_Marciales,21,FALSE)))</f>
        <v>0</v>
      </c>
      <c r="O64" s="1743"/>
      <c r="P64" s="164">
        <f>IF($AD64=0,0,IF(Categoría_3="Tao",IF(VLOOKUP($AD64,Tabla_Artes_Marciales,21,FALSE)&lt;20,5,IF(VLOOKUP($AD64,Tabla_Artes_Marciales,21,FALSE)&gt;30,20,10)),VLOOKUP($AD64,Tabla_Artes_Marciales,21,FALSE)))</f>
        <v>0</v>
      </c>
      <c r="Q64" s="1743"/>
      <c r="R64" s="164">
        <f>IF($AD64=0,0,IF(Categoría_4="Tao",IF(VLOOKUP($AD64,Tabla_Artes_Marciales,21,FALSE)&lt;20,5,IF(VLOOKUP($AD64,Tabla_Artes_Marciales,21,FALSE)&gt;30,20,10)),VLOOKUP($AD64,Tabla_Artes_Marciales,21,FALSE)))</f>
        <v>0</v>
      </c>
      <c r="S64" s="1743"/>
      <c r="T64" s="164">
        <f>IF($AD64=0,0,IF(Categoría_5="Tao",IF(VLOOKUP($AD64,Tabla_Artes_Marciales,21,FALSE)&lt;20,5,IF(VLOOKUP($AD64,Tabla_Artes_Marciales,21,FALSE)&gt;30,20,10)),VLOOKUP($AD64,Tabla_Artes_Marciales,21,FALSE)))</f>
        <v>0</v>
      </c>
      <c r="U64" s="1743"/>
      <c r="V64" s="3492" t="str">
        <f>IF($AD64=0,"",IF(VLOOKUP($AD64,Tabla_Artes_Marciales,14,FALSE)="-",VLOOKUP($AD64,Tabla_Artes_Marciales,9,FALSE),"FALTAN REQUISITOS"))</f>
        <v/>
      </c>
      <c r="W64" s="3493"/>
      <c r="X64" s="3493"/>
      <c r="Y64" s="3493"/>
      <c r="Z64" s="3493"/>
      <c r="AA64" s="3494"/>
      <c r="AB64" s="15"/>
      <c r="AC64" s="8"/>
      <c r="AD64" s="2856">
        <f t="shared" si="4"/>
        <v>0</v>
      </c>
      <c r="AE64" s="2857">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28"/>
      <c r="B65" s="5188"/>
      <c r="C65" s="3392"/>
      <c r="D65" s="3610"/>
      <c r="E65" s="3653"/>
      <c r="F65" s="3654"/>
      <c r="G65" s="3654"/>
      <c r="H65" s="3654"/>
      <c r="I65" s="3655"/>
      <c r="J65" s="3656"/>
      <c r="K65" s="3657"/>
      <c r="L65" s="2633">
        <f>IF($AD65=0,0,IF(Categoría_1="Tao",IF(VLOOKUP($AD65,Tabla_Artes_Marciales,21,FALSE)&lt;20,5,IF(VLOOKUP($AD65,Tabla_Artes_Marciales,21,FALSE)&gt;30,20,10)),VLOOKUP($AD65,Tabla_Artes_Marciales,21,FALSE)))</f>
        <v>0</v>
      </c>
      <c r="M65" s="1744"/>
      <c r="N65" s="159">
        <f>IF($AD65=0,0,IF(Categoría_2="Tao",IF(VLOOKUP($AD65,Tabla_Artes_Marciales,21,FALSE)&lt;20,5,IF(VLOOKUP($AD65,Tabla_Artes_Marciales,21,FALSE)&gt;30,20,10)),VLOOKUP($AD65,Tabla_Artes_Marciales,21,FALSE)))</f>
        <v>0</v>
      </c>
      <c r="O65" s="1744"/>
      <c r="P65" s="159">
        <f>IF($AD65=0,0,IF(Categoría_3="Tao",IF(VLOOKUP($AD65,Tabla_Artes_Marciales,21,FALSE)&lt;20,5,IF(VLOOKUP($AD65,Tabla_Artes_Marciales,21,FALSE)&gt;30,20,10)),VLOOKUP($AD65,Tabla_Artes_Marciales,21,FALSE)))</f>
        <v>0</v>
      </c>
      <c r="Q65" s="1744"/>
      <c r="R65" s="159">
        <f>IF($AD65=0,0,IF(Categoría_4="Tao",IF(VLOOKUP($AD65,Tabla_Artes_Marciales,21,FALSE)&lt;20,5,IF(VLOOKUP($AD65,Tabla_Artes_Marciales,21,FALSE)&gt;30,20,10)),VLOOKUP($AD65,Tabla_Artes_Marciales,21,FALSE)))</f>
        <v>0</v>
      </c>
      <c r="S65" s="1744"/>
      <c r="T65" s="159">
        <f>IF($AD65=0,0,IF(Categoría_5="Tao",IF(VLOOKUP($AD65,Tabla_Artes_Marciales,21,FALSE)&lt;20,5,IF(VLOOKUP($AD65,Tabla_Artes_Marciales,21,FALSE)&gt;30,20,10)),VLOOKUP($AD65,Tabla_Artes_Marciales,21,FALSE)))</f>
        <v>0</v>
      </c>
      <c r="U65" s="1744"/>
      <c r="V65" s="3473" t="str">
        <f>IF($AD65=0,"",IF(VLOOKUP($AD65,Tabla_Artes_Marciales,14,FALSE)="-",VLOOKUP($AD65,Tabla_Artes_Marciales,9,FALSE),"FALTAN REQUISITOS"))</f>
        <v/>
      </c>
      <c r="W65" s="3474"/>
      <c r="X65" s="3474"/>
      <c r="Y65" s="3474"/>
      <c r="Z65" s="3474"/>
      <c r="AA65" s="3475"/>
      <c r="AB65" s="15"/>
      <c r="AC65" s="8"/>
      <c r="AD65" s="2856">
        <f t="shared" si="4"/>
        <v>0</v>
      </c>
      <c r="AE65" s="2857">
        <f>IF(ISNUMBER(MATCH(E65,Tablas!$L$889:$L$907,0)),"Grado_AM_Básicas",IF(ISNUMBER(MATCH(E65,Tablas!$L$908:$L$925,0)),"Grado_AM_Avanzadas",))</f>
        <v>0</v>
      </c>
    </row>
    <row r="66" spans="1:52" ht="12" customHeight="1" x14ac:dyDescent="0.2">
      <c r="A66" s="2128"/>
      <c r="B66" s="5188"/>
      <c r="C66" s="3392"/>
      <c r="D66" s="3610"/>
      <c r="E66" s="3658"/>
      <c r="F66" s="3659"/>
      <c r="G66" s="3659"/>
      <c r="H66" s="3659"/>
      <c r="I66" s="3660"/>
      <c r="J66" s="3661"/>
      <c r="K66" s="3662"/>
      <c r="L66" s="2632">
        <f>IF($AD66=0,0,IF(Categoría_1="Tao",IF(VLOOKUP($AD66,Tabla_Artes_Marciales,21,FALSE)&lt;20,5,IF(VLOOKUP($AD66,Tabla_Artes_Marciales,21,FALSE)&gt;30,20,10)),VLOOKUP($AD66,Tabla_Artes_Marciales,21,FALSE)))</f>
        <v>0</v>
      </c>
      <c r="M66" s="1743"/>
      <c r="N66" s="164">
        <f>IF($AD66=0,0,IF(Categoría_2="Tao",IF(VLOOKUP($AD66,Tabla_Artes_Marciales,21,FALSE)&lt;20,5,IF(VLOOKUP($AD66,Tabla_Artes_Marciales,21,FALSE)&gt;30,20,10)),VLOOKUP($AD66,Tabla_Artes_Marciales,21,FALSE)))</f>
        <v>0</v>
      </c>
      <c r="O66" s="1743"/>
      <c r="P66" s="164">
        <f>IF($AD66=0,0,IF(Categoría_3="Tao",IF(VLOOKUP($AD66,Tabla_Artes_Marciales,21,FALSE)&lt;20,5,IF(VLOOKUP($AD66,Tabla_Artes_Marciales,21,FALSE)&gt;30,20,10)),VLOOKUP($AD66,Tabla_Artes_Marciales,21,FALSE)))</f>
        <v>0</v>
      </c>
      <c r="Q66" s="1743"/>
      <c r="R66" s="164">
        <f>IF($AD66=0,0,IF(Categoría_4="Tao",IF(VLOOKUP($AD66,Tabla_Artes_Marciales,21,FALSE)&lt;20,5,IF(VLOOKUP($AD66,Tabla_Artes_Marciales,21,FALSE)&gt;30,20,10)),VLOOKUP($AD66,Tabla_Artes_Marciales,21,FALSE)))</f>
        <v>0</v>
      </c>
      <c r="S66" s="1743"/>
      <c r="T66" s="164">
        <f>IF($AD66=0,0,IF(Categoría_5="Tao",IF(VLOOKUP($AD66,Tabla_Artes_Marciales,21,FALSE)&lt;20,5,IF(VLOOKUP($AD66,Tabla_Artes_Marciales,21,FALSE)&gt;30,20,10)),VLOOKUP($AD66,Tabla_Artes_Marciales,21,FALSE)))</f>
        <v>0</v>
      </c>
      <c r="U66" s="1743"/>
      <c r="V66" s="3492" t="str">
        <f>IF($AD66=0,"",IF(VLOOKUP($AD66,Tabla_Artes_Marciales,14,FALSE)="-",VLOOKUP($AD66,Tabla_Artes_Marciales,9,FALSE),"FALTAN REQUISITOS"))</f>
        <v/>
      </c>
      <c r="W66" s="3493"/>
      <c r="X66" s="3493"/>
      <c r="Y66" s="3493"/>
      <c r="Z66" s="3493"/>
      <c r="AA66" s="3494"/>
      <c r="AB66" s="15"/>
      <c r="AC66" s="8"/>
      <c r="AD66" s="2856">
        <f t="shared" si="4"/>
        <v>0</v>
      </c>
      <c r="AE66" s="2857">
        <f>IF(ISNUMBER(MATCH(E66,Tablas!$L$889:$L$907,0)),"Grado_AM_Básicas",IF(ISNUMBER(MATCH(E66,Tablas!$L$908:$L$925,0)),"Grado_AM_Avanzadas",))</f>
        <v>0</v>
      </c>
    </row>
    <row r="67" spans="1:52" ht="12" customHeight="1" x14ac:dyDescent="0.2">
      <c r="A67" s="2128"/>
      <c r="B67" s="5188"/>
      <c r="C67" s="3392"/>
      <c r="D67" s="3610"/>
      <c r="E67" s="3653"/>
      <c r="F67" s="3654"/>
      <c r="G67" s="3654"/>
      <c r="H67" s="3654"/>
      <c r="I67" s="3655"/>
      <c r="J67" s="3656"/>
      <c r="K67" s="3657"/>
      <c r="L67" s="2633">
        <f>IF($AD67=0,0,IF(Categoría_1="Tao",IF(VLOOKUP($AD67,Tabla_Artes_Marciales,21,FALSE)&lt;20,5,IF(VLOOKUP($AD67,Tabla_Artes_Marciales,21,FALSE)&gt;30,20,10)),VLOOKUP($AD67,Tabla_Artes_Marciales,21,FALSE)))</f>
        <v>0</v>
      </c>
      <c r="M67" s="1744"/>
      <c r="N67" s="159">
        <f>IF($AD67=0,0,IF(Categoría_2="Tao",IF(VLOOKUP($AD67,Tabla_Artes_Marciales,21,FALSE)&lt;20,5,IF(VLOOKUP($AD67,Tabla_Artes_Marciales,21,FALSE)&gt;30,20,10)),VLOOKUP($AD67,Tabla_Artes_Marciales,21,FALSE)))</f>
        <v>0</v>
      </c>
      <c r="O67" s="1744"/>
      <c r="P67" s="159">
        <f>IF($AD67=0,0,IF(Categoría_3="Tao",IF(VLOOKUP($AD67,Tabla_Artes_Marciales,21,FALSE)&lt;20,5,IF(VLOOKUP($AD67,Tabla_Artes_Marciales,21,FALSE)&gt;30,20,10)),VLOOKUP($AD67,Tabla_Artes_Marciales,21,FALSE)))</f>
        <v>0</v>
      </c>
      <c r="Q67" s="1744"/>
      <c r="R67" s="159">
        <f>IF($AD67=0,0,IF(Categoría_4="Tao",IF(VLOOKUP($AD67,Tabla_Artes_Marciales,21,FALSE)&lt;20,5,IF(VLOOKUP($AD67,Tabla_Artes_Marciales,21,FALSE)&gt;30,20,10)),VLOOKUP($AD67,Tabla_Artes_Marciales,21,FALSE)))</f>
        <v>0</v>
      </c>
      <c r="S67" s="1744"/>
      <c r="T67" s="159">
        <f>IF($AD67=0,0,IF(Categoría_5="Tao",IF(VLOOKUP($AD67,Tabla_Artes_Marciales,21,FALSE)&lt;20,5,IF(VLOOKUP($AD67,Tabla_Artes_Marciales,21,FALSE)&gt;30,20,10)),VLOOKUP($AD67,Tabla_Artes_Marciales,21,FALSE)))</f>
        <v>0</v>
      </c>
      <c r="U67" s="1744"/>
      <c r="V67" s="3473" t="str">
        <f>IF($AD67=0,"",IF(VLOOKUP($AD67,Tabla_Artes_Marciales,14,FALSE)="-",VLOOKUP($AD67,Tabla_Artes_Marciales,9,FALSE),"FALTAN REQUISITOS"))</f>
        <v/>
      </c>
      <c r="W67" s="3474"/>
      <c r="X67" s="3474"/>
      <c r="Y67" s="3474"/>
      <c r="Z67" s="3474"/>
      <c r="AA67" s="3475"/>
      <c r="AB67" s="15"/>
      <c r="AC67" s="8"/>
      <c r="AD67" s="2856">
        <f t="shared" si="4"/>
        <v>0</v>
      </c>
      <c r="AE67" s="2857">
        <f>IF(ISNUMBER(MATCH(E67,Tablas!$L$889:$L$907,0)),"Grado_AM_Básicas",IF(ISNUMBER(MATCH(E67,Tablas!$L$908:$L$925,0)),"Grado_AM_Avanzadas",))</f>
        <v>0</v>
      </c>
    </row>
    <row r="68" spans="1:52" ht="12" customHeight="1" x14ac:dyDescent="0.2">
      <c r="A68" s="2128"/>
      <c r="B68" s="5188"/>
      <c r="C68" s="3392"/>
      <c r="D68" s="3610"/>
      <c r="E68" s="3658"/>
      <c r="F68" s="3659"/>
      <c r="G68" s="3659"/>
      <c r="H68" s="3659"/>
      <c r="I68" s="3660"/>
      <c r="J68" s="3661"/>
      <c r="K68" s="3662"/>
      <c r="L68" s="2632">
        <f>IF($AD68=0,0,IF(Categoría_1="Tao",IF(VLOOKUP($AD68,Tabla_Artes_Marciales,21,FALSE)&lt;20,5,IF(VLOOKUP($AD68,Tabla_Artes_Marciales,21,FALSE)&gt;30,20,10)),VLOOKUP($AD68,Tabla_Artes_Marciales,21,FALSE)))</f>
        <v>0</v>
      </c>
      <c r="M68" s="1743"/>
      <c r="N68" s="164">
        <f>IF($AD68=0,0,IF(Categoría_2="Tao",IF(VLOOKUP($AD68,Tabla_Artes_Marciales,21,FALSE)&lt;20,5,IF(VLOOKUP($AD68,Tabla_Artes_Marciales,21,FALSE)&gt;30,20,10)),VLOOKUP($AD68,Tabla_Artes_Marciales,21,FALSE)))</f>
        <v>0</v>
      </c>
      <c r="O68" s="1743"/>
      <c r="P68" s="164">
        <f>IF($AD68=0,0,IF(Categoría_3="Tao",IF(VLOOKUP($AD68,Tabla_Artes_Marciales,21,FALSE)&lt;20,5,IF(VLOOKUP($AD68,Tabla_Artes_Marciales,21,FALSE)&gt;30,20,10)),VLOOKUP($AD68,Tabla_Artes_Marciales,21,FALSE)))</f>
        <v>0</v>
      </c>
      <c r="Q68" s="1743"/>
      <c r="R68" s="164">
        <f>IF($AD68=0,0,IF(Categoría_4="Tao",IF(VLOOKUP($AD68,Tabla_Artes_Marciales,21,FALSE)&lt;20,5,IF(VLOOKUP($AD68,Tabla_Artes_Marciales,21,FALSE)&gt;30,20,10)),VLOOKUP($AD68,Tabla_Artes_Marciales,21,FALSE)))</f>
        <v>0</v>
      </c>
      <c r="S68" s="1743"/>
      <c r="T68" s="164">
        <f>IF($AD68=0,0,IF(Categoría_5="Tao",IF(VLOOKUP($AD68,Tabla_Artes_Marciales,21,FALSE)&lt;20,5,IF(VLOOKUP($AD68,Tabla_Artes_Marciales,21,FALSE)&gt;30,20,10)),VLOOKUP($AD68,Tabla_Artes_Marciales,21,FALSE)))</f>
        <v>0</v>
      </c>
      <c r="U68" s="1743"/>
      <c r="V68" s="3492" t="str">
        <f>IF($AD68=0,"",IF(VLOOKUP($AD68,Tabla_Artes_Marciales,14,FALSE)="-",VLOOKUP($AD68,Tabla_Artes_Marciales,9,FALSE),"FALTAN REQUISITOS"))</f>
        <v/>
      </c>
      <c r="W68" s="3493"/>
      <c r="X68" s="3493"/>
      <c r="Y68" s="3493"/>
      <c r="Z68" s="3493"/>
      <c r="AA68" s="3494"/>
      <c r="AB68" s="15"/>
      <c r="AC68" s="8"/>
      <c r="AD68" s="2856">
        <f t="shared" si="4"/>
        <v>0</v>
      </c>
      <c r="AE68" s="2857">
        <f>IF(ISNUMBER(MATCH(E68,Tablas!$L$889:$L$907,0)),"Grado_AM_Básicas",IF(ISNUMBER(MATCH(E68,Tablas!$L$908:$L$925,0)),"Grado_AM_Avanzadas",))</f>
        <v>0</v>
      </c>
    </row>
    <row r="69" spans="1:52" s="27" customFormat="1" ht="12" customHeight="1" x14ac:dyDescent="0.2">
      <c r="A69" s="2128"/>
      <c r="B69" s="5188"/>
      <c r="C69" s="3392"/>
      <c r="D69" s="3610"/>
      <c r="E69" s="3653"/>
      <c r="F69" s="3654"/>
      <c r="G69" s="3654"/>
      <c r="H69" s="3654"/>
      <c r="I69" s="3655"/>
      <c r="J69" s="3656"/>
      <c r="K69" s="3657"/>
      <c r="L69" s="2633">
        <f>IF($AD69=0,0,IF(Categoría_1="Tao",IF(VLOOKUP($AD69,Tabla_Artes_Marciales,21,FALSE)&lt;20,5,IF(VLOOKUP($AD69,Tabla_Artes_Marciales,21,FALSE)&gt;30,20,10)),VLOOKUP($AD69,Tabla_Artes_Marciales,21,FALSE)))</f>
        <v>0</v>
      </c>
      <c r="M69" s="1744"/>
      <c r="N69" s="159">
        <f>IF($AD69=0,0,IF(Categoría_2="Tao",IF(VLOOKUP($AD69,Tabla_Artes_Marciales,21,FALSE)&lt;20,5,IF(VLOOKUP($AD69,Tabla_Artes_Marciales,21,FALSE)&gt;30,20,10)),VLOOKUP($AD69,Tabla_Artes_Marciales,21,FALSE)))</f>
        <v>0</v>
      </c>
      <c r="O69" s="1744"/>
      <c r="P69" s="159">
        <f>IF($AD69=0,0,IF(Categoría_3="Tao",IF(VLOOKUP($AD69,Tabla_Artes_Marciales,21,FALSE)&lt;20,5,IF(VLOOKUP($AD69,Tabla_Artes_Marciales,21,FALSE)&gt;30,20,10)),VLOOKUP($AD69,Tabla_Artes_Marciales,21,FALSE)))</f>
        <v>0</v>
      </c>
      <c r="Q69" s="1744"/>
      <c r="R69" s="159">
        <f>IF($AD69=0,0,IF(Categoría_4="Tao",IF(VLOOKUP($AD69,Tabla_Artes_Marciales,21,FALSE)&lt;20,5,IF(VLOOKUP($AD69,Tabla_Artes_Marciales,21,FALSE)&gt;30,20,10)),VLOOKUP($AD69,Tabla_Artes_Marciales,21,FALSE)))</f>
        <v>0</v>
      </c>
      <c r="S69" s="1744"/>
      <c r="T69" s="159">
        <f>IF($AD69=0,0,IF(Categoría_5="Tao",IF(VLOOKUP($AD69,Tabla_Artes_Marciales,21,FALSE)&lt;20,5,IF(VLOOKUP($AD69,Tabla_Artes_Marciales,21,FALSE)&gt;30,20,10)),VLOOKUP($AD69,Tabla_Artes_Marciales,21,FALSE)))</f>
        <v>0</v>
      </c>
      <c r="U69" s="1744"/>
      <c r="V69" s="3473" t="str">
        <f>IF($AD69=0,"",IF(VLOOKUP($AD69,Tabla_Artes_Marciales,14,FALSE)="-",VLOOKUP($AD69,Tabla_Artes_Marciales,9,FALSE),"FALTAN REQUISITOS"))</f>
        <v/>
      </c>
      <c r="W69" s="3474"/>
      <c r="X69" s="3474"/>
      <c r="Y69" s="3474"/>
      <c r="Z69" s="3474"/>
      <c r="AA69" s="3475"/>
      <c r="AB69" s="15"/>
      <c r="AC69" s="8"/>
      <c r="AD69" s="2856">
        <f t="shared" si="4"/>
        <v>0</v>
      </c>
      <c r="AE69" s="2857">
        <f>IF(ISNUMBER(MATCH(E69,Tablas!$L$889:$L$907,0)),"Grado_AM_Básicas",IF(ISNUMBER(MATCH(E69,Tablas!$L$908:$L$925,0)),"Grado_AM_Avanzadas",))</f>
        <v>0</v>
      </c>
      <c r="AF69" s="2896"/>
      <c r="AG69" s="2857"/>
      <c r="AH69" s="2885"/>
      <c r="AI69" s="2857"/>
      <c r="AJ69" s="2857"/>
      <c r="AK69" s="2857"/>
      <c r="AO69" s="2856"/>
      <c r="AQ69" s="49"/>
      <c r="AR69" s="49"/>
      <c r="AS69" s="49"/>
      <c r="AT69" s="1910"/>
      <c r="AU69" s="1910"/>
      <c r="AV69" s="1910"/>
      <c r="AW69" s="1910"/>
      <c r="AX69" s="1910"/>
      <c r="AY69" s="1910"/>
      <c r="AZ69" s="49"/>
    </row>
    <row r="70" spans="1:52" s="27" customFormat="1" ht="12" customHeight="1" x14ac:dyDescent="0.2">
      <c r="A70" s="8"/>
      <c r="B70" s="2953"/>
      <c r="C70" s="3392"/>
      <c r="D70" s="3610"/>
      <c r="E70" s="3658"/>
      <c r="F70" s="3659"/>
      <c r="G70" s="3659"/>
      <c r="H70" s="3659"/>
      <c r="I70" s="3660"/>
      <c r="J70" s="3661"/>
      <c r="K70" s="3662"/>
      <c r="L70" s="2632">
        <f>IF($AD70=0,0,IF(Categoría_1="Tao",IF(VLOOKUP($AD70,Tabla_Artes_Marciales,21,FALSE)&lt;20,5,IF(VLOOKUP($AD70,Tabla_Artes_Marciales,21,FALSE)&gt;30,20,10)),VLOOKUP($AD70,Tabla_Artes_Marciales,21,FALSE)))</f>
        <v>0</v>
      </c>
      <c r="M70" s="1743"/>
      <c r="N70" s="164">
        <f>IF($AD70=0,0,IF(Categoría_2="Tao",IF(VLOOKUP($AD70,Tabla_Artes_Marciales,21,FALSE)&lt;20,5,IF(VLOOKUP($AD70,Tabla_Artes_Marciales,21,FALSE)&gt;30,20,10)),VLOOKUP($AD70,Tabla_Artes_Marciales,21,FALSE)))</f>
        <v>0</v>
      </c>
      <c r="O70" s="1743"/>
      <c r="P70" s="164">
        <f>IF($AD70=0,0,IF(Categoría_3="Tao",IF(VLOOKUP($AD70,Tabla_Artes_Marciales,21,FALSE)&lt;20,5,IF(VLOOKUP($AD70,Tabla_Artes_Marciales,21,FALSE)&gt;30,20,10)),VLOOKUP($AD70,Tabla_Artes_Marciales,21,FALSE)))</f>
        <v>0</v>
      </c>
      <c r="Q70" s="1743"/>
      <c r="R70" s="164">
        <f>IF($AD70=0,0,IF(Categoría_4="Tao",IF(VLOOKUP($AD70,Tabla_Artes_Marciales,21,FALSE)&lt;20,5,IF(VLOOKUP($AD70,Tabla_Artes_Marciales,21,FALSE)&gt;30,20,10)),VLOOKUP($AD70,Tabla_Artes_Marciales,21,FALSE)))</f>
        <v>0</v>
      </c>
      <c r="S70" s="1743"/>
      <c r="T70" s="164">
        <f>IF($AD70=0,0,IF(Categoría_5="Tao",IF(VLOOKUP($AD70,Tabla_Artes_Marciales,21,FALSE)&lt;20,5,IF(VLOOKUP($AD70,Tabla_Artes_Marciales,21,FALSE)&gt;30,20,10)),VLOOKUP($AD70,Tabla_Artes_Marciales,21,FALSE)))</f>
        <v>0</v>
      </c>
      <c r="U70" s="1743"/>
      <c r="V70" s="3492" t="str">
        <f>IF($AD70=0,"",IF(VLOOKUP($AD70,Tabla_Artes_Marciales,14,FALSE)="-",VLOOKUP($AD70,Tabla_Artes_Marciales,9,FALSE),"FALTAN REQUISITOS"))</f>
        <v/>
      </c>
      <c r="W70" s="3493"/>
      <c r="X70" s="3493"/>
      <c r="Y70" s="3493"/>
      <c r="Z70" s="3493"/>
      <c r="AA70" s="3494"/>
      <c r="AB70" s="15"/>
      <c r="AC70" s="8"/>
      <c r="AD70" s="2856">
        <f t="shared" si="4"/>
        <v>0</v>
      </c>
      <c r="AE70" s="2857">
        <f>IF(ISNUMBER(MATCH(E70,Tablas!$L$889:$L$907,0)),"Grado_AM_Básicas",IF(ISNUMBER(MATCH(E70,Tablas!$L$908:$L$925,0)),"Grado_AM_Avanzadas",))</f>
        <v>0</v>
      </c>
      <c r="AF70" s="2896"/>
      <c r="AG70" s="2857"/>
      <c r="AH70" s="2885"/>
      <c r="AI70" s="2857"/>
      <c r="AJ70" s="2857"/>
      <c r="AK70" s="2857"/>
      <c r="AO70" s="2856"/>
      <c r="AT70" s="2149"/>
      <c r="AU70" s="2149"/>
      <c r="AV70" s="2149"/>
      <c r="AW70" s="2149"/>
      <c r="AX70" s="2149"/>
      <c r="AY70" s="2149"/>
    </row>
    <row r="71" spans="1:52" s="27" customFormat="1" ht="12" customHeight="1" x14ac:dyDescent="0.2">
      <c r="A71" s="8"/>
      <c r="B71" s="2953"/>
      <c r="C71" s="3392"/>
      <c r="D71" s="3610"/>
      <c r="E71" s="3653"/>
      <c r="F71" s="3654"/>
      <c r="G71" s="3654"/>
      <c r="H71" s="3654"/>
      <c r="I71" s="3655"/>
      <c r="J71" s="3656"/>
      <c r="K71" s="3657"/>
      <c r="L71" s="2633">
        <f>IF($AD71=0,0,IF(Categoría_1="Tao",IF(VLOOKUP($AD71,Tabla_Artes_Marciales,21,FALSE)&lt;20,5,IF(VLOOKUP($AD71,Tabla_Artes_Marciales,21,FALSE)&gt;30,20,10)),VLOOKUP($AD71,Tabla_Artes_Marciales,21,FALSE)))</f>
        <v>0</v>
      </c>
      <c r="M71" s="1744"/>
      <c r="N71" s="1745">
        <f>IF($AD71=0,0,IF(Categoría_2="Tao",IF(VLOOKUP($AD71,Tabla_Artes_Marciales,21,FALSE)&lt;20,5,IF(VLOOKUP($AD71,Tabla_Artes_Marciales,21,FALSE)&gt;30,20,10)),VLOOKUP($AD71,Tabla_Artes_Marciales,21,FALSE)))</f>
        <v>0</v>
      </c>
      <c r="O71" s="1744"/>
      <c r="P71" s="1745">
        <f>IF($AD71=0,0,IF(Categoría_3="Tao",IF(VLOOKUP($AD71,Tabla_Artes_Marciales,21,FALSE)&lt;20,5,IF(VLOOKUP($AD71,Tabla_Artes_Marciales,21,FALSE)&gt;30,20,10)),VLOOKUP($AD71,Tabla_Artes_Marciales,21,FALSE)))</f>
        <v>0</v>
      </c>
      <c r="Q71" s="1744"/>
      <c r="R71" s="1745">
        <f>IF($AD71=0,0,IF(Categoría_4="Tao",IF(VLOOKUP($AD71,Tabla_Artes_Marciales,21,FALSE)&lt;20,5,IF(VLOOKUP($AD71,Tabla_Artes_Marciales,21,FALSE)&gt;30,20,10)),VLOOKUP($AD71,Tabla_Artes_Marciales,21,FALSE)))</f>
        <v>0</v>
      </c>
      <c r="S71" s="1744"/>
      <c r="T71" s="1745">
        <f>IF($AD71=0,0,IF(Categoría_5="Tao",IF(VLOOKUP($AD71,Tabla_Artes_Marciales,21,FALSE)&lt;20,5,IF(VLOOKUP($AD71,Tabla_Artes_Marciales,21,FALSE)&gt;30,20,10)),VLOOKUP($AD71,Tabla_Artes_Marciales,21,FALSE)))</f>
        <v>0</v>
      </c>
      <c r="U71" s="1744"/>
      <c r="V71" s="3473" t="str">
        <f>IF($AD71=0,"",IF(VLOOKUP($AD71,Tabla_Artes_Marciales,14,FALSE)="-",VLOOKUP($AD71,Tabla_Artes_Marciales,9,FALSE),"FALTAN REQUISITOS"))</f>
        <v/>
      </c>
      <c r="W71" s="3474"/>
      <c r="X71" s="3474"/>
      <c r="Y71" s="3474"/>
      <c r="Z71" s="3474"/>
      <c r="AA71" s="3475"/>
      <c r="AB71" s="15"/>
      <c r="AC71" s="8"/>
      <c r="AD71" s="2856">
        <f t="shared" si="4"/>
        <v>0</v>
      </c>
      <c r="AE71" s="2857">
        <f>IF(ISNUMBER(MATCH(E71,Tablas!$L$889:$L$907,0)),"Grado_AM_Básicas",IF(ISNUMBER(MATCH(E71,Tablas!$L$908:$L$925,0)),"Grado_AM_Avanzadas",))</f>
        <v>0</v>
      </c>
      <c r="AF71" s="2896"/>
      <c r="AG71" s="2857"/>
      <c r="AH71" s="2885"/>
      <c r="AI71" s="2857"/>
      <c r="AJ71" s="2857"/>
      <c r="AK71" s="2857"/>
      <c r="AT71" s="2149"/>
      <c r="AU71" s="2149"/>
      <c r="AV71" s="2149"/>
      <c r="AW71" s="2149"/>
      <c r="AX71" s="2149"/>
      <c r="AY71" s="2149"/>
    </row>
    <row r="72" spans="1:52" s="27" customFormat="1" ht="12" customHeight="1" x14ac:dyDescent="0.2">
      <c r="A72" s="8"/>
      <c r="B72" s="2953"/>
      <c r="C72" s="3392"/>
      <c r="D72" s="3610"/>
      <c r="E72" s="3658"/>
      <c r="F72" s="3659"/>
      <c r="G72" s="3659"/>
      <c r="H72" s="3659"/>
      <c r="I72" s="3660"/>
      <c r="J72" s="3661"/>
      <c r="K72" s="3662"/>
      <c r="L72" s="2632">
        <f>IF($AD72=0,0,IF(Categoría_1="Tao",IF(VLOOKUP($AD72,Tabla_Artes_Marciales,21,FALSE)&lt;20,5,IF(VLOOKUP($AD72,Tabla_Artes_Marciales,21,FALSE)&gt;30,20,10)),VLOOKUP($AD72,Tabla_Artes_Marciales,21,FALSE)))</f>
        <v>0</v>
      </c>
      <c r="M72" s="1743"/>
      <c r="N72" s="1740">
        <f>IF($AD72=0,0,IF(Categoría_2="Tao",IF(VLOOKUP($AD72,Tabla_Artes_Marciales,21,FALSE)&lt;20,5,IF(VLOOKUP($AD72,Tabla_Artes_Marciales,21,FALSE)&gt;30,20,10)),VLOOKUP($AD72,Tabla_Artes_Marciales,21,FALSE)))</f>
        <v>0</v>
      </c>
      <c r="O72" s="1743"/>
      <c r="P72" s="1740">
        <f>IF($AD72=0,0,IF(Categoría_3="Tao",IF(VLOOKUP($AD72,Tabla_Artes_Marciales,21,FALSE)&lt;20,5,IF(VLOOKUP($AD72,Tabla_Artes_Marciales,21,FALSE)&gt;30,20,10)),VLOOKUP($AD72,Tabla_Artes_Marciales,21,FALSE)))</f>
        <v>0</v>
      </c>
      <c r="Q72" s="1743"/>
      <c r="R72" s="1740">
        <f>IF($AD72=0,0,IF(Categoría_4="Tao",IF(VLOOKUP($AD72,Tabla_Artes_Marciales,21,FALSE)&lt;20,5,IF(VLOOKUP($AD72,Tabla_Artes_Marciales,21,FALSE)&gt;30,20,10)),VLOOKUP($AD72,Tabla_Artes_Marciales,21,FALSE)))</f>
        <v>0</v>
      </c>
      <c r="S72" s="1743"/>
      <c r="T72" s="1740">
        <f>IF($AD72=0,0,IF(Categoría_5="Tao",IF(VLOOKUP($AD72,Tabla_Artes_Marciales,21,FALSE)&lt;20,5,IF(VLOOKUP($AD72,Tabla_Artes_Marciales,21,FALSE)&gt;30,20,10)),VLOOKUP($AD72,Tabla_Artes_Marciales,21,FALSE)))</f>
        <v>0</v>
      </c>
      <c r="U72" s="1743"/>
      <c r="V72" s="3492" t="str">
        <f>IF($AD72=0,"",IF(VLOOKUP($AD72,Tabla_Artes_Marciales,14,FALSE)="-",VLOOKUP($AD72,Tabla_Artes_Marciales,9,FALSE),"FALTAN REQUISITOS"))</f>
        <v/>
      </c>
      <c r="W72" s="3493"/>
      <c r="X72" s="3493"/>
      <c r="Y72" s="3493"/>
      <c r="Z72" s="3493"/>
      <c r="AA72" s="3494"/>
      <c r="AB72" s="15"/>
      <c r="AC72" s="8"/>
      <c r="AD72" s="2856">
        <f t="shared" si="4"/>
        <v>0</v>
      </c>
      <c r="AE72" s="2857">
        <f>IF(ISNUMBER(MATCH(E72,Tablas!$L$889:$L$907,0)),"Grado_AM_Básicas",IF(ISNUMBER(MATCH(E72,Tablas!$L$908:$L$925,0)),"Grado_AM_Avanzadas",))</f>
        <v>0</v>
      </c>
      <c r="AF72" s="2896"/>
      <c r="AG72" s="2857"/>
      <c r="AH72" s="2885"/>
      <c r="AI72" s="2857"/>
      <c r="AJ72" s="2857"/>
      <c r="AK72" s="2857"/>
      <c r="AT72" s="2149"/>
      <c r="AU72" s="2149"/>
      <c r="AV72" s="2149"/>
      <c r="AW72" s="2149"/>
      <c r="AX72" s="2149"/>
      <c r="AY72" s="2149"/>
    </row>
    <row r="73" spans="1:52" s="27" customFormat="1" ht="12" customHeight="1" x14ac:dyDescent="0.2">
      <c r="A73" s="8"/>
      <c r="B73" s="2953"/>
      <c r="C73" s="3392"/>
      <c r="D73" s="3610"/>
      <c r="E73" s="3653"/>
      <c r="F73" s="3654"/>
      <c r="G73" s="3654"/>
      <c r="H73" s="3654"/>
      <c r="I73" s="3655"/>
      <c r="J73" s="3656"/>
      <c r="K73" s="3657"/>
      <c r="L73" s="2633">
        <f>IF($AD73=0,0,IF(Categoría_1="Tao",IF(VLOOKUP($AD73,Tabla_Artes_Marciales,21,FALSE)&lt;20,5,IF(VLOOKUP($AD73,Tabla_Artes_Marciales,21,FALSE)&gt;30,20,10)),VLOOKUP($AD73,Tabla_Artes_Marciales,21,FALSE)))</f>
        <v>0</v>
      </c>
      <c r="M73" s="1744"/>
      <c r="N73" s="1745">
        <f>IF($AD73=0,0,IF(Categoría_2="Tao",IF(VLOOKUP($AD73,Tabla_Artes_Marciales,21,FALSE)&lt;20,5,IF(VLOOKUP($AD73,Tabla_Artes_Marciales,21,FALSE)&gt;30,20,10)),VLOOKUP($AD73,Tabla_Artes_Marciales,21,FALSE)))</f>
        <v>0</v>
      </c>
      <c r="O73" s="1744"/>
      <c r="P73" s="1745">
        <f>IF($AD73=0,0,IF(Categoría_3="Tao",IF(VLOOKUP($AD73,Tabla_Artes_Marciales,21,FALSE)&lt;20,5,IF(VLOOKUP($AD73,Tabla_Artes_Marciales,21,FALSE)&gt;30,20,10)),VLOOKUP($AD73,Tabla_Artes_Marciales,21,FALSE)))</f>
        <v>0</v>
      </c>
      <c r="Q73" s="1744"/>
      <c r="R73" s="1745">
        <f>IF($AD73=0,0,IF(Categoría_4="Tao",IF(VLOOKUP($AD73,Tabla_Artes_Marciales,21,FALSE)&lt;20,5,IF(VLOOKUP($AD73,Tabla_Artes_Marciales,21,FALSE)&gt;30,20,10)),VLOOKUP($AD73,Tabla_Artes_Marciales,21,FALSE)))</f>
        <v>0</v>
      </c>
      <c r="S73" s="1744"/>
      <c r="T73" s="1745">
        <f>IF($AD73=0,0,IF(Categoría_5="Tao",IF(VLOOKUP($AD73,Tabla_Artes_Marciales,21,FALSE)&lt;20,5,IF(VLOOKUP($AD73,Tabla_Artes_Marciales,21,FALSE)&gt;30,20,10)),VLOOKUP($AD73,Tabla_Artes_Marciales,21,FALSE)))</f>
        <v>0</v>
      </c>
      <c r="U73" s="1744"/>
      <c r="V73" s="3473" t="str">
        <f>IF($AD73=0,"",IF(VLOOKUP($AD73,Tabla_Artes_Marciales,14,FALSE)="-",VLOOKUP($AD73,Tabla_Artes_Marciales,9,FALSE),"FALTAN REQUISITOS"))</f>
        <v/>
      </c>
      <c r="W73" s="3474"/>
      <c r="X73" s="3474"/>
      <c r="Y73" s="3474"/>
      <c r="Z73" s="3474"/>
      <c r="AA73" s="3475"/>
      <c r="AB73" s="15"/>
      <c r="AC73" s="8"/>
      <c r="AD73" s="2856">
        <f t="shared" si="4"/>
        <v>0</v>
      </c>
      <c r="AE73" s="2857">
        <f>IF(ISNUMBER(MATCH(E73,Tablas!$L$889:$L$907,0)),"Grado_AM_Básicas",IF(ISNUMBER(MATCH(E73,Tablas!$L$908:$L$925,0)),"Grado_AM_Avanzadas",))</f>
        <v>0</v>
      </c>
      <c r="AF73" s="2896"/>
      <c r="AG73" s="2857"/>
      <c r="AH73" s="2885"/>
      <c r="AI73" s="2857"/>
      <c r="AJ73" s="2857"/>
      <c r="AK73" s="2857"/>
      <c r="AT73" s="2149"/>
      <c r="AU73" s="2149"/>
      <c r="AV73" s="2149"/>
      <c r="AW73" s="2149"/>
      <c r="AX73" s="2149"/>
      <c r="AY73" s="2149"/>
    </row>
    <row r="74" spans="1:52" s="27" customFormat="1" ht="12" customHeight="1" x14ac:dyDescent="0.2">
      <c r="A74" s="8"/>
      <c r="B74" s="2953"/>
      <c r="C74" s="3392"/>
      <c r="D74" s="3610"/>
      <c r="E74" s="3663"/>
      <c r="F74" s="3664"/>
      <c r="G74" s="3664"/>
      <c r="H74" s="3664"/>
      <c r="I74" s="3665"/>
      <c r="J74" s="3666"/>
      <c r="K74" s="3667"/>
      <c r="L74" s="2632">
        <f>IF($AD74=0,0,IF(Categoría_1="Tao",IF(VLOOKUP($AD74,Tabla_Artes_Marciales,21,FALSE)&lt;20,5,IF(VLOOKUP($AD74,Tabla_Artes_Marciales,21,FALSE)&gt;30,20,10)),VLOOKUP($AD74,Tabla_Artes_Marciales,21,FALSE)))</f>
        <v>0</v>
      </c>
      <c r="M74" s="1743"/>
      <c r="N74" s="1740">
        <f>IF($AD74=0,0,IF(Categoría_2="Tao",IF(VLOOKUP($AD74,Tabla_Artes_Marciales,21,FALSE)&lt;20,5,IF(VLOOKUP($AD74,Tabla_Artes_Marciales,21,FALSE)&gt;30,20,10)),VLOOKUP($AD74,Tabla_Artes_Marciales,21,FALSE)))</f>
        <v>0</v>
      </c>
      <c r="O74" s="1743"/>
      <c r="P74" s="1740">
        <f>IF($AD74=0,0,IF(Categoría_3="Tao",IF(VLOOKUP($AD74,Tabla_Artes_Marciales,21,FALSE)&lt;20,5,IF(VLOOKUP($AD74,Tabla_Artes_Marciales,21,FALSE)&gt;30,20,10)),VLOOKUP($AD74,Tabla_Artes_Marciales,21,FALSE)))</f>
        <v>0</v>
      </c>
      <c r="Q74" s="1743"/>
      <c r="R74" s="1740">
        <f>IF($AD74=0,0,IF(Categoría_4="Tao",IF(VLOOKUP($AD74,Tabla_Artes_Marciales,21,FALSE)&lt;20,5,IF(VLOOKUP($AD74,Tabla_Artes_Marciales,21,FALSE)&gt;30,20,10)),VLOOKUP($AD74,Tabla_Artes_Marciales,21,FALSE)))</f>
        <v>0</v>
      </c>
      <c r="S74" s="1743"/>
      <c r="T74" s="1740">
        <f>IF($AD74=0,0,IF(Categoría_5="Tao",IF(VLOOKUP($AD74,Tabla_Artes_Marciales,21,FALSE)&lt;20,5,IF(VLOOKUP($AD74,Tabla_Artes_Marciales,21,FALSE)&gt;30,20,10)),VLOOKUP($AD74,Tabla_Artes_Marciales,21,FALSE)))</f>
        <v>0</v>
      </c>
      <c r="U74" s="1743"/>
      <c r="V74" s="3492" t="str">
        <f>IF($AD74=0,"",IF(VLOOKUP($AD74,Tabla_Artes_Marciales,14,FALSE)="-",VLOOKUP($AD74,Tabla_Artes_Marciales,9,FALSE),"FALTAN REQUISITOS"))</f>
        <v/>
      </c>
      <c r="W74" s="3493"/>
      <c r="X74" s="3493"/>
      <c r="Y74" s="3493"/>
      <c r="Z74" s="3493"/>
      <c r="AA74" s="3494"/>
      <c r="AB74" s="15"/>
      <c r="AC74" s="8"/>
      <c r="AD74" s="2856">
        <f t="shared" si="4"/>
        <v>0</v>
      </c>
      <c r="AE74" s="2857">
        <f>IF(ISNUMBER(MATCH(E74,Tablas!$L$889:$L$907,0)),"Grado_AM_Básicas",IF(ISNUMBER(MATCH(E74,Tablas!$L$908:$L$925,0)),"Grado_AM_Avanzadas",))</f>
        <v>0</v>
      </c>
      <c r="AF74" s="2896"/>
      <c r="AG74" s="2857"/>
      <c r="AH74" s="2885"/>
      <c r="AI74" s="2857"/>
      <c r="AJ74" s="2857"/>
      <c r="AK74" s="2857"/>
      <c r="AT74" s="2149"/>
      <c r="AU74" s="2149"/>
      <c r="AV74" s="2149"/>
      <c r="AW74" s="2149"/>
      <c r="AX74" s="2149"/>
      <c r="AY74" s="2149"/>
    </row>
    <row r="75" spans="1:52" s="27" customFormat="1" ht="12" customHeight="1" x14ac:dyDescent="0.2">
      <c r="A75" s="8"/>
      <c r="B75" s="2953"/>
      <c r="C75" s="3392"/>
      <c r="D75" s="3610"/>
      <c r="E75" s="3443"/>
      <c r="F75" s="3444"/>
      <c r="G75" s="3444"/>
      <c r="H75" s="3444"/>
      <c r="I75" s="3444"/>
      <c r="J75" s="3444"/>
      <c r="K75" s="3445"/>
      <c r="L75" s="1785">
        <f>IF($E75=0,0,TRUNC(IF(Categoría_1="Tao",0.5,1)*VLOOKUP($E75,Tabla_ArtesM_Armas,2,FALSE),0))</f>
        <v>0</v>
      </c>
      <c r="M75" s="1786"/>
      <c r="N75" s="1785">
        <f>IF($E75=0,0,TRUNC(IF(Categoría_2="Tao",0.5,1)*VLOOKUP($E75,Tabla_ArtesM_Armas,2,FALSE),0))</f>
        <v>0</v>
      </c>
      <c r="O75" s="1786"/>
      <c r="P75" s="1785">
        <f>IF($E75=0,0,TRUNC(IF(Categoría_3="Tao",0.5,1)*VLOOKUP($E75,Tabla_ArtesM_Armas,2,FALSE),0))</f>
        <v>0</v>
      </c>
      <c r="Q75" s="1786"/>
      <c r="R75" s="1785">
        <f>IF($E75=0,0,TRUNC(IF(Categoría_4="Tao",0.5,1)*VLOOKUP($E75,Tabla_ArtesM_Armas,2,FALSE),0))</f>
        <v>0</v>
      </c>
      <c r="S75" s="1786"/>
      <c r="T75" s="1785">
        <f>IF($E75=0,0,TRUNC(IF(Categoría_5="Tao",0.5,1)*VLOOKUP($E75,Tabla_ArtesM_Armas,2,FALSE),0))</f>
        <v>0</v>
      </c>
      <c r="U75" s="1786"/>
      <c r="V75" s="3498" t="str">
        <f>IF(E75=0,"",IF(VLOOKUP(E75,Tabla_ArtesM_Armas,4,FALSE)="-","-","FALTAN REQUISITOS"))</f>
        <v/>
      </c>
      <c r="W75" s="3499"/>
      <c r="X75" s="3499"/>
      <c r="Y75" s="3499"/>
      <c r="Z75" s="3499"/>
      <c r="AA75" s="3500"/>
      <c r="AB75" s="15"/>
      <c r="AC75" s="8"/>
      <c r="AD75" s="2287"/>
      <c r="AE75" s="2857"/>
      <c r="AF75" s="2896"/>
      <c r="AG75" s="2857"/>
      <c r="AH75" s="2885"/>
      <c r="AI75" s="2857"/>
      <c r="AJ75" s="2857"/>
      <c r="AK75" s="2857"/>
      <c r="AO75" s="2856"/>
      <c r="AT75" s="2149"/>
      <c r="AU75" s="2149"/>
      <c r="AV75" s="2149"/>
      <c r="AW75" s="2149"/>
      <c r="AX75" s="2149"/>
      <c r="AY75" s="2149"/>
    </row>
    <row r="76" spans="1:52" s="27" customFormat="1" ht="12" customHeight="1" x14ac:dyDescent="0.2">
      <c r="A76" s="8"/>
      <c r="B76" s="2953"/>
      <c r="C76" s="3392"/>
      <c r="D76" s="3610"/>
      <c r="E76" s="3446"/>
      <c r="F76" s="3447"/>
      <c r="G76" s="3447"/>
      <c r="H76" s="3447"/>
      <c r="I76" s="3447"/>
      <c r="J76" s="3447"/>
      <c r="K76" s="3448"/>
      <c r="L76" s="164">
        <f>IF($E76=0,0,TRUNC(IF(Categoría_1="Tao",0.5,1)*VLOOKUP($E76,Tabla_ArtesM_Armas,2,FALSE),0))</f>
        <v>0</v>
      </c>
      <c r="M76" s="1743"/>
      <c r="N76" s="164">
        <f>IF($E76=0,0,TRUNC(IF(Categoría_2="Tao",0.5,1)*VLOOKUP($E76,Tabla_ArtesM_Armas,2,FALSE),0))</f>
        <v>0</v>
      </c>
      <c r="O76" s="1743"/>
      <c r="P76" s="164">
        <f>IF($E76=0,0,TRUNC(IF(Categoría_3="Tao",0.5,1)*VLOOKUP($E76,Tabla_ArtesM_Armas,2,FALSE),0))</f>
        <v>0</v>
      </c>
      <c r="Q76" s="1743"/>
      <c r="R76" s="164">
        <f>IF($E76=0,0,TRUNC(IF(Categoría_4="Tao",0.5,1)*VLOOKUP($E76,Tabla_ArtesM_Armas,2,FALSE),0))</f>
        <v>0</v>
      </c>
      <c r="S76" s="1743"/>
      <c r="T76" s="164">
        <f>IF($E76=0,0,TRUNC(IF(Categoría_5="Tao",0.5,1)*VLOOKUP($E76,Tabla_ArtesM_Armas,2,FALSE),0))</f>
        <v>0</v>
      </c>
      <c r="U76" s="1743"/>
      <c r="V76" s="3501" t="str">
        <f>IF(E76=0,"",IF(VLOOKUP(E76,Tabla_ArtesM_Armas,4,FALSE)="-","-","FALTAN REQUISITOS"))</f>
        <v/>
      </c>
      <c r="W76" s="3502"/>
      <c r="X76" s="3502"/>
      <c r="Y76" s="3502"/>
      <c r="Z76" s="3502"/>
      <c r="AA76" s="3503"/>
      <c r="AB76" s="15"/>
      <c r="AC76" s="8"/>
      <c r="AD76" s="2287"/>
      <c r="AE76" s="2857"/>
      <c r="AF76" s="2896"/>
      <c r="AG76" s="2857"/>
      <c r="AH76" s="2885"/>
      <c r="AI76" s="2857"/>
      <c r="AJ76" s="2857"/>
      <c r="AK76" s="2857"/>
      <c r="AO76" s="2856"/>
      <c r="AT76" s="2149"/>
      <c r="AU76" s="2149"/>
      <c r="AV76" s="2149"/>
      <c r="AW76" s="2149"/>
      <c r="AX76" s="2149"/>
      <c r="AY76" s="2149"/>
    </row>
    <row r="77" spans="1:52" s="27" customFormat="1" ht="12" customHeight="1" x14ac:dyDescent="0.2">
      <c r="A77" s="8"/>
      <c r="B77" s="2953"/>
      <c r="C77" s="3392"/>
      <c r="D77" s="3611"/>
      <c r="E77" s="3495"/>
      <c r="F77" s="3496"/>
      <c r="G77" s="3496"/>
      <c r="H77" s="3496"/>
      <c r="I77" s="3496"/>
      <c r="J77" s="3496"/>
      <c r="K77" s="3497"/>
      <c r="L77" s="1788">
        <f>IF($E77=0,0,TRUNC(IF(Categoría_1="Tao",0.5,1)*VLOOKUP($E77,Tabla_ArtesM_Armas,2,FALSE),0))</f>
        <v>0</v>
      </c>
      <c r="M77" s="1789"/>
      <c r="N77" s="1788">
        <f>IF($E77=0,0,TRUNC(IF(Categoría_2="Tao",0.5,1)*VLOOKUP($E77,Tabla_ArtesM_Armas,2,FALSE),0))</f>
        <v>0</v>
      </c>
      <c r="O77" s="1789"/>
      <c r="P77" s="1788">
        <f>IF($E77=0,0,TRUNC(IF(Categoría_3="Tao",0.5,1)*VLOOKUP($E77,Tabla_ArtesM_Armas,2,FALSE),0))</f>
        <v>0</v>
      </c>
      <c r="Q77" s="1789"/>
      <c r="R77" s="1788">
        <f>IF($E77=0,0,TRUNC(IF(Categoría_4="Tao",0.5,1)*VLOOKUP($E77,Tabla_ArtesM_Armas,2,FALSE),0))</f>
        <v>0</v>
      </c>
      <c r="S77" s="1789"/>
      <c r="T77" s="1788">
        <f>IF($E77=0,0,TRUNC(IF(Categoría_5="Tao",0.5,1)*VLOOKUP($E77,Tabla_ArtesM_Armas,2,FALSE),0))</f>
        <v>0</v>
      </c>
      <c r="U77" s="1789"/>
      <c r="V77" s="3504" t="str">
        <f>IF(E77=0,"",IF(VLOOKUP(E77,Tabla_ArtesM_Armas,4,FALSE)="-","-","FALTAN REQUISITOS"))</f>
        <v/>
      </c>
      <c r="W77" s="3505"/>
      <c r="X77" s="3505"/>
      <c r="Y77" s="3505"/>
      <c r="Z77" s="3505"/>
      <c r="AA77" s="3506"/>
      <c r="AB77" s="15"/>
      <c r="AC77" s="8"/>
      <c r="AD77" s="2287"/>
      <c r="AE77" s="2857"/>
      <c r="AF77" s="2896"/>
      <c r="AG77" s="2857"/>
      <c r="AH77" s="2885"/>
      <c r="AI77" s="2857"/>
      <c r="AJ77" s="2857"/>
      <c r="AK77" s="2857"/>
      <c r="AO77" s="2856"/>
      <c r="AT77" s="2149"/>
      <c r="AU77" s="2149"/>
      <c r="AV77" s="2149"/>
      <c r="AW77" s="2149"/>
      <c r="AX77" s="2149"/>
      <c r="AY77" s="2149"/>
    </row>
    <row r="78" spans="1:52" s="27" customFormat="1" ht="12" customHeight="1" x14ac:dyDescent="0.2">
      <c r="A78" s="8"/>
      <c r="B78" s="2953"/>
      <c r="C78" s="3392"/>
      <c r="D78" s="3601" t="s">
        <v>2361</v>
      </c>
      <c r="E78" s="3613"/>
      <c r="F78" s="3614"/>
      <c r="G78" s="3614"/>
      <c r="H78" s="3614"/>
      <c r="I78" s="3614"/>
      <c r="J78" s="3614"/>
      <c r="K78" s="3615"/>
      <c r="L78" s="164">
        <f>IF($E78=0,0,VLOOKUP($E78,Tabla_Ars_Magnus,2,FALSE))*IF(AND($E78="Kiai",Categoría_1="Tao"),0.5,1)</f>
        <v>0</v>
      </c>
      <c r="M78" s="170"/>
      <c r="N78" s="164">
        <f>IF($E78=0,0,VLOOKUP($E78,Tabla_Ars_Magnus,2,FALSE))*IF(AND($E78="Kiai",Categoría_2="Tao"),0.5,1)</f>
        <v>0</v>
      </c>
      <c r="O78" s="170"/>
      <c r="P78" s="164">
        <f>IF($E78=0,0,VLOOKUP($E78,Tabla_Ars_Magnus,2,FALSE))*IF(AND($E78="Kiai",Categoría_3="Tao"),0.5,1)</f>
        <v>0</v>
      </c>
      <c r="Q78" s="170"/>
      <c r="R78" s="164">
        <f>IF($E78=0,0,VLOOKUP($E78,Tabla_Ars_Magnus,2,FALSE))*IF(AND($E78="Kiai",Categoría_4="Tao"),0.5,1)</f>
        <v>0</v>
      </c>
      <c r="S78" s="170"/>
      <c r="T78" s="164">
        <f>IF($E78=0,0,VLOOKUP($E78,Tabla_Ars_Magnus,2,FALSE))*IF(AND($E78="Kiai",Categoría_5="Tao"),0.5,1)</f>
        <v>0</v>
      </c>
      <c r="U78" s="1743"/>
      <c r="V78" s="3619" t="str">
        <f>IF(E78=0,"",IF(VLOOKUP(E78,Tabla_Ars_Magnus,5,FALSE)="-","Ver Descripción","FALTAN REQUISITOS"))</f>
        <v/>
      </c>
      <c r="W78" s="3620"/>
      <c r="X78" s="3620"/>
      <c r="Y78" s="3620"/>
      <c r="Z78" s="197" t="s">
        <v>2362</v>
      </c>
      <c r="AA78" s="1816">
        <f>IF(E78=0,0,VLOOKUP(E78,Tabla_Ars_Magnus,3,FALSE))</f>
        <v>0</v>
      </c>
      <c r="AB78" s="15"/>
      <c r="AC78" s="8"/>
      <c r="AD78" s="2856"/>
      <c r="AE78" s="2857"/>
      <c r="AF78" s="2896"/>
      <c r="AG78" s="2857"/>
      <c r="AH78" s="2885"/>
      <c r="AI78" s="2857"/>
      <c r="AJ78" s="2857"/>
      <c r="AK78" s="2857"/>
      <c r="AO78" s="2856"/>
      <c r="AT78" s="2149"/>
      <c r="AU78" s="2149"/>
      <c r="AV78" s="2149"/>
      <c r="AW78" s="2149"/>
      <c r="AX78" s="2149"/>
      <c r="AY78" s="2149"/>
    </row>
    <row r="79" spans="1:52" s="27" customFormat="1" ht="12" customHeight="1" x14ac:dyDescent="0.2">
      <c r="A79" s="8"/>
      <c r="B79" s="2953"/>
      <c r="C79" s="3392"/>
      <c r="D79" s="3602"/>
      <c r="E79" s="3616"/>
      <c r="F79" s="3617"/>
      <c r="G79" s="3617"/>
      <c r="H79" s="3617"/>
      <c r="I79" s="3617"/>
      <c r="J79" s="3617"/>
      <c r="K79" s="3618"/>
      <c r="L79" s="159">
        <f>IF($E79=0,0,VLOOKUP($E79,Tabla_Ars_Magnus,2,FALSE))*IF(AND($E79="Kiai",Categoría_1="Tao"),0.5,1)</f>
        <v>0</v>
      </c>
      <c r="M79" s="77"/>
      <c r="N79" s="159">
        <f>IF($E79=0,0,VLOOKUP($E79,Tabla_Ars_Magnus,2,FALSE))*IF(AND($E79="Kiai",Categoría_2="Tao"),0.5,1)</f>
        <v>0</v>
      </c>
      <c r="O79" s="77"/>
      <c r="P79" s="159">
        <f>IF($E79=0,0,VLOOKUP($E79,Tabla_Ars_Magnus,2,FALSE))*IF(AND($E79="Kiai",Categoría_3="Tao"),0.5,1)</f>
        <v>0</v>
      </c>
      <c r="Q79" s="77"/>
      <c r="R79" s="159">
        <f>IF($E79=0,0,VLOOKUP($E79,Tabla_Ars_Magnus,2,FALSE))*IF(AND($E79="Kiai",Categoría_4="Tao"),0.5,1)</f>
        <v>0</v>
      </c>
      <c r="S79" s="77"/>
      <c r="T79" s="159">
        <f>IF($E79=0,0,VLOOKUP($E79,Tabla_Ars_Magnus,2,FALSE))*IF(AND($E79="Kiai",Categoría_5="Tao"),0.5,1)</f>
        <v>0</v>
      </c>
      <c r="U79" s="1744"/>
      <c r="V79" s="3621" t="str">
        <f>IF(E79=0,"",IF(VLOOKUP(E79,Tabla_Ars_Magnus,5,FALSE)="-","Ver Descripción","FALTAN REQUISITOS"))</f>
        <v/>
      </c>
      <c r="W79" s="3622"/>
      <c r="X79" s="3622"/>
      <c r="Y79" s="3622"/>
      <c r="Z79" s="196" t="s">
        <v>2362</v>
      </c>
      <c r="AA79" s="1817">
        <f>IF(E79=0,0,VLOOKUP(E79,Tabla_Ars_Magnus,3,FALSE))</f>
        <v>0</v>
      </c>
      <c r="AB79" s="15"/>
      <c r="AC79" s="8"/>
      <c r="AD79" s="2856"/>
      <c r="AE79" s="2857"/>
      <c r="AF79" s="2896"/>
      <c r="AG79" s="2857"/>
      <c r="AH79" s="2885"/>
      <c r="AI79" s="2857"/>
      <c r="AJ79" s="2857"/>
      <c r="AK79" s="2857"/>
      <c r="AT79" s="2149"/>
      <c r="AU79" s="2149"/>
      <c r="AV79" s="2149"/>
      <c r="AW79" s="2149"/>
      <c r="AX79" s="2149"/>
      <c r="AY79" s="2149"/>
    </row>
    <row r="80" spans="1:52" s="27" customFormat="1" ht="12" customHeight="1" x14ac:dyDescent="0.2">
      <c r="A80" s="8"/>
      <c r="B80" s="2953"/>
      <c r="C80" s="3392"/>
      <c r="D80" s="3602"/>
      <c r="E80" s="3613"/>
      <c r="F80" s="3614"/>
      <c r="G80" s="3614"/>
      <c r="H80" s="3614"/>
      <c r="I80" s="3614"/>
      <c r="J80" s="3614"/>
      <c r="K80" s="3615"/>
      <c r="L80" s="164">
        <f>IF($E80=0,0,VLOOKUP($E80,Tabla_Ars_Magnus,2,FALSE))*IF(AND($E80="Kiai",Categoría_1="Tao"),0.5,1)</f>
        <v>0</v>
      </c>
      <c r="M80" s="170"/>
      <c r="N80" s="164">
        <f>IF($E80=0,0,VLOOKUP($E80,Tabla_Ars_Magnus,2,FALSE))*IF(AND($E80="Kiai",Categoría_2="Tao"),0.5,1)</f>
        <v>0</v>
      </c>
      <c r="O80" s="170"/>
      <c r="P80" s="164">
        <f>IF($E80=0,0,VLOOKUP($E80,Tabla_Ars_Magnus,2,FALSE))*IF(AND($E80="Kiai",Categoría_3="Tao"),0.5,1)</f>
        <v>0</v>
      </c>
      <c r="Q80" s="170"/>
      <c r="R80" s="164">
        <f>IF($E80=0,0,VLOOKUP($E80,Tabla_Ars_Magnus,2,FALSE))*IF(AND($E80="Kiai",Categoría_4="Tao"),0.5,1)</f>
        <v>0</v>
      </c>
      <c r="S80" s="170"/>
      <c r="T80" s="164">
        <f>IF($E80=0,0,VLOOKUP($E80,Tabla_Ars_Magnus,2,FALSE))*IF(AND($E80="Kiai",Categoría_5="Tao"),0.5,1)</f>
        <v>0</v>
      </c>
      <c r="U80" s="1743"/>
      <c r="V80" s="3619" t="str">
        <f>IF(E80=0,"",IF(VLOOKUP(E80,Tabla_Ars_Magnus,5,FALSE)="-","Ver Descripción","FALTAN REQUISITOS"))</f>
        <v/>
      </c>
      <c r="W80" s="3620"/>
      <c r="X80" s="3620"/>
      <c r="Y80" s="3620"/>
      <c r="Z80" s="197" t="s">
        <v>2362</v>
      </c>
      <c r="AA80" s="1816">
        <f>IF(E80=0,0,VLOOKUP(E80,Tabla_Ars_Magnus,3,FALSE))</f>
        <v>0</v>
      </c>
      <c r="AB80" s="15"/>
      <c r="AC80" s="8"/>
      <c r="AD80" s="2856"/>
      <c r="AE80" s="2857"/>
      <c r="AF80" s="2896"/>
      <c r="AG80" s="2857"/>
      <c r="AH80" s="2885"/>
      <c r="AI80" s="2857"/>
      <c r="AJ80" s="2857"/>
      <c r="AK80" s="2857"/>
      <c r="AT80" s="2149"/>
      <c r="AU80" s="2149"/>
      <c r="AV80" s="2149"/>
      <c r="AW80" s="2149"/>
      <c r="AX80" s="2149"/>
      <c r="AY80" s="2149"/>
    </row>
    <row r="81" spans="1:51" s="27" customFormat="1" ht="12" customHeight="1" x14ac:dyDescent="0.2">
      <c r="A81" s="8"/>
      <c r="B81" s="2953"/>
      <c r="C81" s="3392"/>
      <c r="D81" s="3602"/>
      <c r="E81" s="3616"/>
      <c r="F81" s="3617"/>
      <c r="G81" s="3617"/>
      <c r="H81" s="3617"/>
      <c r="I81" s="3617"/>
      <c r="J81" s="3617"/>
      <c r="K81" s="3618"/>
      <c r="L81" s="159">
        <f>IF($E81=0,0,VLOOKUP($E81,Tabla_Ars_Magnus,2,FALSE))*IF(AND($E81="Kiai",Categoría_1="Tao"),0.5,1)</f>
        <v>0</v>
      </c>
      <c r="M81" s="77"/>
      <c r="N81" s="159">
        <f>IF($E81=0,0,VLOOKUP($E81,Tabla_Ars_Magnus,2,FALSE))*IF(AND($E81="Kiai",Categoría_2="Tao"),0.5,1)</f>
        <v>0</v>
      </c>
      <c r="O81" s="77"/>
      <c r="P81" s="159">
        <f>IF($E81=0,0,VLOOKUP($E81,Tabla_Ars_Magnus,2,FALSE))*IF(AND($E81="Kiai",Categoría_3="Tao"),0.5,1)</f>
        <v>0</v>
      </c>
      <c r="Q81" s="77"/>
      <c r="R81" s="159">
        <f>IF($E81=0,0,VLOOKUP($E81,Tabla_Ars_Magnus,2,FALSE))*IF(AND($E81="Kiai",Categoría_4="Tao"),0.5,1)</f>
        <v>0</v>
      </c>
      <c r="S81" s="77"/>
      <c r="T81" s="159">
        <f>IF($E81=0,0,VLOOKUP($E81,Tabla_Ars_Magnus,2,FALSE))*IF(AND($E81="Kiai",Categoría_5="Tao"),0.5,1)</f>
        <v>0</v>
      </c>
      <c r="U81" s="1744"/>
      <c r="V81" s="3621" t="str">
        <f>IF(E81=0,"",IF(VLOOKUP(E81,Tabla_Ars_Magnus,5,FALSE)="-","Ver Descripción","FALTAN REQUISITOS"))</f>
        <v/>
      </c>
      <c r="W81" s="3622"/>
      <c r="X81" s="3622"/>
      <c r="Y81" s="3622"/>
      <c r="Z81" s="196" t="s">
        <v>2362</v>
      </c>
      <c r="AA81" s="1817">
        <f>IF(E81=0,0,VLOOKUP(E81,Tabla_Ars_Magnus,3,FALSE))</f>
        <v>0</v>
      </c>
      <c r="AB81" s="15"/>
      <c r="AC81" s="8"/>
      <c r="AD81" s="2856"/>
      <c r="AE81" s="2857"/>
      <c r="AF81" s="2896"/>
      <c r="AG81" s="2857"/>
      <c r="AH81" s="2885"/>
      <c r="AI81" s="2857"/>
      <c r="AJ81" s="2857"/>
      <c r="AK81" s="2857"/>
      <c r="AT81" s="2149"/>
      <c r="AU81" s="2149"/>
      <c r="AV81" s="2149"/>
      <c r="AW81" s="2149"/>
      <c r="AX81" s="2149"/>
      <c r="AY81" s="2149"/>
    </row>
    <row r="82" spans="1:51" s="27" customFormat="1" ht="12" customHeight="1" thickBot="1" x14ac:dyDescent="0.25">
      <c r="A82" s="8"/>
      <c r="B82" s="2953"/>
      <c r="C82" s="3392"/>
      <c r="D82" s="3602"/>
      <c r="E82" s="3613"/>
      <c r="F82" s="3614"/>
      <c r="G82" s="3614"/>
      <c r="H82" s="3614"/>
      <c r="I82" s="3614"/>
      <c r="J82" s="3614"/>
      <c r="K82" s="3615"/>
      <c r="L82" s="164">
        <f>IF($E82=0,0,VLOOKUP($E82,Tabla_Ars_Magnus,2,FALSE))*IF(AND($E82="Kiai",Categoría_1="Tao"),0.5,1)</f>
        <v>0</v>
      </c>
      <c r="M82" s="170"/>
      <c r="N82" s="164">
        <f>IF($E82=0,0,VLOOKUP($E82,Tabla_Ars_Magnus,2,FALSE))*IF(AND($E82="Kiai",Categoría_2="Tao"),0.5,1)</f>
        <v>0</v>
      </c>
      <c r="O82" s="170"/>
      <c r="P82" s="164">
        <f>IF($E82=0,0,VLOOKUP($E82,Tabla_Ars_Magnus,2,FALSE))*IF(AND($E82="Kiai",Categoría_3="Tao"),0.5,1)</f>
        <v>0</v>
      </c>
      <c r="Q82" s="170"/>
      <c r="R82" s="164">
        <f>IF($E82=0,0,VLOOKUP($E82,Tabla_Ars_Magnus,2,FALSE))*IF(AND($E82="Kiai",Categoría_4="Tao"),0.5,1)</f>
        <v>0</v>
      </c>
      <c r="S82" s="170"/>
      <c r="T82" s="164">
        <f>IF($E82=0,0,VLOOKUP($E82,Tabla_Ars_Magnus,2,FALSE))*IF(AND($E82="Kiai",Categoría_5="Tao"),0.5,1)</f>
        <v>0</v>
      </c>
      <c r="U82" s="1743"/>
      <c r="V82" s="3619" t="str">
        <f>IF(E82=0,"",IF(VLOOKUP(E82,Tabla_Ars_Magnus,5,FALSE)="-","Ver Descripción","FALTAN REQUISITOS"))</f>
        <v/>
      </c>
      <c r="W82" s="3620"/>
      <c r="X82" s="3620"/>
      <c r="Y82" s="3620"/>
      <c r="Z82" s="197" t="s">
        <v>2362</v>
      </c>
      <c r="AA82" s="1816">
        <f>IF(E82=0,0,VLOOKUP(E82,Tabla_Ars_Magnus,3,FALSE))</f>
        <v>0</v>
      </c>
      <c r="AB82" s="15"/>
      <c r="AC82" s="8"/>
      <c r="AD82" s="2856"/>
      <c r="AE82" s="2857"/>
      <c r="AF82" s="2896"/>
      <c r="AG82" s="2857"/>
      <c r="AH82" s="2885"/>
      <c r="AI82" s="2857"/>
      <c r="AJ82" s="2857"/>
      <c r="AK82" s="2857"/>
      <c r="AT82" s="2149"/>
      <c r="AU82" s="2149"/>
      <c r="AV82" s="2149"/>
      <c r="AW82" s="2149"/>
      <c r="AX82" s="2149"/>
      <c r="AY82" s="2149"/>
    </row>
    <row r="83" spans="1:51" s="27" customFormat="1" ht="12" customHeight="1" x14ac:dyDescent="0.2">
      <c r="A83" s="8"/>
      <c r="B83" s="2953"/>
      <c r="C83" s="3392"/>
      <c r="D83" s="3480" t="s">
        <v>2363</v>
      </c>
      <c r="E83" s="3481"/>
      <c r="F83" s="3481"/>
      <c r="G83" s="3481"/>
      <c r="H83" s="3481"/>
      <c r="I83" s="3481"/>
      <c r="J83" s="3481"/>
      <c r="K83" s="3623"/>
      <c r="L83" s="3372">
        <f>Y$5*IF(Categoría_1=0,0.5,VLOOKUP(Categoría_1,Tabla_Categorías,6,FALSE))</f>
        <v>300</v>
      </c>
      <c r="M83" s="3370">
        <f>SUM(M27:M82)+SUM(M22:M25)</f>
        <v>0</v>
      </c>
      <c r="N83" s="3372">
        <f>SUM(Y$5:Y$7)*IF(Categoría_2=0,0,VLOOKUP(Categoría_2,Tabla_Categorías,6,FALSE))</f>
        <v>0</v>
      </c>
      <c r="O83" s="3370">
        <f>(SUM(O27:O82)+SUM(O22:O25)+M83)*IF(Categoría_2=0,0,1)</f>
        <v>0</v>
      </c>
      <c r="P83" s="3372">
        <f>SUM(Y$5:Y$9)*IF(Categoría_3=0,0,VLOOKUP(Categoría_3,Tabla_Categorías,6,FALSE))</f>
        <v>0</v>
      </c>
      <c r="Q83" s="3376">
        <f>(SUM(Q27:Q82)+SUM(Q22:Q25)+O83)*IF(Categoría_3=0,0,1)</f>
        <v>0</v>
      </c>
      <c r="R83" s="3372">
        <f>SUM(Y$5:Y$11)*IF(Categoría_4=0,0,VLOOKUP(Categoría_4,Tabla_Categorías,6,FALSE))</f>
        <v>0</v>
      </c>
      <c r="S83" s="3370">
        <f>(SUM(S27:S82)+SUM(S22:S25)+Q83)*IF(Categoría_4=0,0,1)</f>
        <v>0</v>
      </c>
      <c r="T83" s="3372">
        <f>SUM(Y$5:Y$13)*IF(Categoría_5=0,0,VLOOKUP(Categoría_5,Tabla_Categorías,6,FALSE))</f>
        <v>0</v>
      </c>
      <c r="U83" s="3370">
        <f>(SUM(U27:U82)+SUM(U22:U25)+S83)*IF(Categoría_5=0,0,1)</f>
        <v>0</v>
      </c>
      <c r="V83" s="3421"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422"/>
      <c r="X83" s="3422"/>
      <c r="Y83" s="3422"/>
      <c r="Z83" s="3422"/>
      <c r="AA83" s="3423"/>
      <c r="AB83" s="15"/>
      <c r="AC83" s="8"/>
      <c r="AD83" s="2856"/>
      <c r="AE83" s="2857"/>
      <c r="AF83" s="2896"/>
      <c r="AG83" s="2857"/>
      <c r="AH83" s="2885"/>
      <c r="AI83" s="2857"/>
      <c r="AJ83" s="2857"/>
      <c r="AK83" s="2857"/>
      <c r="AT83" s="2149"/>
      <c r="AU83" s="2149"/>
      <c r="AV83" s="2149"/>
      <c r="AW83" s="2149"/>
      <c r="AX83" s="2149"/>
      <c r="AY83" s="2149"/>
    </row>
    <row r="84" spans="1:51" s="27" customFormat="1" ht="12" customHeight="1" thickBot="1" x14ac:dyDescent="0.25">
      <c r="A84" s="8"/>
      <c r="B84" s="2953"/>
      <c r="C84" s="3393"/>
      <c r="D84" s="3483"/>
      <c r="E84" s="3484"/>
      <c r="F84" s="3484"/>
      <c r="G84" s="3484"/>
      <c r="H84" s="3484"/>
      <c r="I84" s="3484"/>
      <c r="J84" s="3484"/>
      <c r="K84" s="3624"/>
      <c r="L84" s="3373"/>
      <c r="M84" s="3371"/>
      <c r="N84" s="3373"/>
      <c r="O84" s="3371"/>
      <c r="P84" s="3373"/>
      <c r="Q84" s="3379"/>
      <c r="R84" s="3373"/>
      <c r="S84" s="3371"/>
      <c r="T84" s="3373"/>
      <c r="U84" s="3371"/>
      <c r="V84" s="3424"/>
      <c r="W84" s="3425"/>
      <c r="X84" s="3425"/>
      <c r="Y84" s="3425"/>
      <c r="Z84" s="3425"/>
      <c r="AA84" s="3426"/>
      <c r="AB84" s="15"/>
      <c r="AC84" s="8"/>
      <c r="AD84" s="2856"/>
      <c r="AE84" s="2857"/>
      <c r="AF84" s="2896"/>
      <c r="AG84" s="2857"/>
      <c r="AH84" s="2885"/>
      <c r="AI84" s="2857"/>
      <c r="AJ84" s="2857"/>
      <c r="AK84" s="2857"/>
      <c r="AT84" s="2149"/>
      <c r="AU84" s="2149"/>
      <c r="AV84" s="2149"/>
      <c r="AW84" s="2149"/>
      <c r="AX84" s="2149"/>
      <c r="AY84" s="2149"/>
    </row>
    <row r="85" spans="1:51" s="27" customFormat="1" ht="12" customHeight="1" x14ac:dyDescent="0.2">
      <c r="A85" s="8"/>
      <c r="B85" s="2953"/>
      <c r="C85" s="23"/>
      <c r="D85" s="23"/>
      <c r="E85" s="23"/>
      <c r="F85" s="23"/>
      <c r="I85" s="23"/>
      <c r="J85" s="23"/>
      <c r="K85" s="23"/>
      <c r="L85" s="23"/>
      <c r="M85" s="23"/>
      <c r="N85" s="23"/>
      <c r="O85" s="23"/>
      <c r="P85" s="23"/>
      <c r="Q85" s="23"/>
      <c r="R85" s="23"/>
      <c r="S85" s="23"/>
      <c r="T85" s="23"/>
      <c r="U85" s="23"/>
      <c r="V85" s="23"/>
      <c r="W85" s="23"/>
      <c r="X85" s="23"/>
      <c r="Y85" s="23"/>
      <c r="Z85" s="23"/>
      <c r="AA85" s="23"/>
      <c r="AB85" s="15"/>
      <c r="AC85" s="8"/>
      <c r="AD85" s="2856"/>
      <c r="AE85" s="2857"/>
      <c r="AF85" s="2896"/>
      <c r="AG85" s="2857"/>
      <c r="AH85" s="2885"/>
      <c r="AI85" s="2857"/>
      <c r="AJ85" s="2857"/>
      <c r="AK85" s="2857"/>
      <c r="AT85" s="2149"/>
      <c r="AU85" s="2149"/>
      <c r="AV85" s="2149"/>
      <c r="AW85" s="2149"/>
      <c r="AX85" s="2149"/>
      <c r="AY85" s="2149"/>
    </row>
    <row r="86" spans="1:51" s="27" customFormat="1" ht="12" customHeight="1" thickBot="1" x14ac:dyDescent="0.25">
      <c r="A86" s="8"/>
      <c r="B86" s="2953"/>
      <c r="C86" s="23"/>
      <c r="D86" s="23"/>
      <c r="E86" s="23"/>
      <c r="F86" s="23"/>
      <c r="I86" s="23"/>
      <c r="J86" s="23"/>
      <c r="K86" s="23"/>
      <c r="L86" s="23"/>
      <c r="M86" s="23"/>
      <c r="N86" s="23"/>
      <c r="O86" s="23"/>
      <c r="P86" s="23"/>
      <c r="Q86" s="23"/>
      <c r="R86" s="23"/>
      <c r="S86" s="23"/>
      <c r="T86" s="23"/>
      <c r="U86" s="23"/>
      <c r="V86" s="23"/>
      <c r="W86" s="23"/>
      <c r="X86" s="23"/>
      <c r="Y86" s="23"/>
      <c r="Z86" s="23"/>
      <c r="AA86" s="23"/>
      <c r="AB86" s="15"/>
      <c r="AC86" s="8"/>
      <c r="AD86" s="2856"/>
      <c r="AE86" s="2857"/>
      <c r="AF86" s="2896"/>
      <c r="AG86" s="2857"/>
      <c r="AH86" s="2885"/>
      <c r="AI86" s="2857"/>
      <c r="AJ86" s="2857"/>
      <c r="AK86" s="2857"/>
      <c r="AT86" s="2149"/>
      <c r="AU86" s="2149"/>
      <c r="AV86" s="2149"/>
      <c r="AW86" s="2149"/>
      <c r="AX86" s="2149"/>
      <c r="AY86" s="2149"/>
    </row>
    <row r="87" spans="1:51" s="27" customFormat="1" ht="12" customHeight="1" x14ac:dyDescent="0.2">
      <c r="A87" s="8"/>
      <c r="B87" s="2953"/>
      <c r="C87" s="199"/>
      <c r="D87" s="199"/>
      <c r="E87" s="199"/>
      <c r="F87" s="199"/>
      <c r="I87" s="199"/>
      <c r="J87" s="199"/>
      <c r="K87" s="199"/>
      <c r="L87" s="3453" t="str">
        <f>IF(Categoría_1=0,"",Categoría_1)</f>
        <v>Hechicero</v>
      </c>
      <c r="M87" s="3449"/>
      <c r="N87" s="3427" t="str">
        <f>IF(Categoría_2=0,"",Categoría_2)</f>
        <v/>
      </c>
      <c r="O87" s="3449"/>
      <c r="P87" s="3427" t="str">
        <f>IF(Categoría_3=0,"",Categoría_3)</f>
        <v/>
      </c>
      <c r="Q87" s="3449"/>
      <c r="R87" s="3427" t="str">
        <f>IF(Categoría_4=0,"",Categoría_4)</f>
        <v/>
      </c>
      <c r="S87" s="3449"/>
      <c r="T87" s="3427" t="str">
        <f>IF(Categoría_5=0,"",Categoría_5)</f>
        <v/>
      </c>
      <c r="U87" s="3428"/>
      <c r="V87" s="200"/>
      <c r="W87" s="200"/>
      <c r="X87" s="200"/>
      <c r="Y87" s="200"/>
      <c r="Z87" s="200"/>
      <c r="AA87" s="200"/>
      <c r="AB87" s="15"/>
      <c r="AC87" s="8"/>
      <c r="AD87" s="2856"/>
      <c r="AE87" s="2857"/>
      <c r="AF87" s="2896"/>
      <c r="AG87" s="2857"/>
      <c r="AH87" s="2885"/>
      <c r="AI87" s="2857"/>
      <c r="AJ87" s="2857"/>
      <c r="AK87" s="2857"/>
      <c r="AO87" s="2856"/>
      <c r="AT87" s="2149"/>
      <c r="AU87" s="2149"/>
      <c r="AV87" s="2149"/>
      <c r="AW87" s="2149"/>
      <c r="AX87" s="2149"/>
      <c r="AY87" s="2149"/>
    </row>
    <row r="88" spans="1:51" s="27" customFormat="1" ht="12" customHeight="1" thickBot="1" x14ac:dyDescent="0.25">
      <c r="A88" s="8"/>
      <c r="B88" s="2953"/>
      <c r="C88" s="201"/>
      <c r="D88" s="199"/>
      <c r="E88" s="199"/>
      <c r="F88" s="199"/>
      <c r="I88" s="199"/>
      <c r="J88" s="199"/>
      <c r="K88" s="199"/>
      <c r="L88" s="3625"/>
      <c r="M88" s="3626"/>
      <c r="N88" s="3627"/>
      <c r="O88" s="3626"/>
      <c r="P88" s="3627"/>
      <c r="Q88" s="3626"/>
      <c r="R88" s="3627"/>
      <c r="S88" s="3626"/>
      <c r="T88" s="3627"/>
      <c r="U88" s="3628"/>
      <c r="V88" s="200"/>
      <c r="W88" s="200"/>
      <c r="X88" s="200"/>
      <c r="Y88" s="200"/>
      <c r="Z88" s="200"/>
      <c r="AA88" s="200"/>
      <c r="AB88" s="15"/>
      <c r="AC88" s="8"/>
      <c r="AD88" s="2856"/>
      <c r="AE88" s="2857"/>
      <c r="AF88" s="2896"/>
      <c r="AG88" s="2857"/>
      <c r="AH88" s="2885"/>
      <c r="AI88" s="2857"/>
      <c r="AJ88" s="2857"/>
      <c r="AK88" s="2857"/>
      <c r="AO88" s="2856"/>
      <c r="AT88" s="2149"/>
      <c r="AU88" s="2149"/>
      <c r="AV88" s="2149"/>
      <c r="AW88" s="2149"/>
      <c r="AX88" s="2149"/>
      <c r="AY88" s="2149"/>
    </row>
    <row r="89" spans="1:51" s="27" customFormat="1" ht="12" customHeight="1" thickBot="1" x14ac:dyDescent="0.25">
      <c r="A89" s="8"/>
      <c r="B89" s="2953"/>
      <c r="C89" s="3391" t="s">
        <v>2364</v>
      </c>
      <c r="D89" s="1781" t="s">
        <v>2252</v>
      </c>
      <c r="E89" s="3463" t="s">
        <v>2228</v>
      </c>
      <c r="F89" s="3417"/>
      <c r="G89" s="3417"/>
      <c r="H89" s="3417"/>
      <c r="I89" s="3417"/>
      <c r="J89" s="3417"/>
      <c r="K89" s="3464"/>
      <c r="L89" s="1782" t="s">
        <v>2345</v>
      </c>
      <c r="M89" s="1783" t="s">
        <v>2230</v>
      </c>
      <c r="N89" s="1782" t="s">
        <v>2345</v>
      </c>
      <c r="O89" s="1783" t="s">
        <v>2230</v>
      </c>
      <c r="P89" s="1782" t="s">
        <v>2345</v>
      </c>
      <c r="Q89" s="1783" t="s">
        <v>2230</v>
      </c>
      <c r="R89" s="1782" t="s">
        <v>2345</v>
      </c>
      <c r="S89" s="1783" t="s">
        <v>2230</v>
      </c>
      <c r="T89" s="1782" t="s">
        <v>2345</v>
      </c>
      <c r="U89" s="1783" t="s">
        <v>2230</v>
      </c>
      <c r="V89" s="1782" t="s">
        <v>2218</v>
      </c>
      <c r="W89" s="1782" t="s">
        <v>2220</v>
      </c>
      <c r="X89" s="3417" t="s">
        <v>2344</v>
      </c>
      <c r="Y89" s="3417"/>
      <c r="Z89" s="1782" t="s">
        <v>2272</v>
      </c>
      <c r="AA89" s="1784" t="s">
        <v>2202</v>
      </c>
      <c r="AB89" s="15"/>
      <c r="AC89" s="8"/>
      <c r="AD89" s="2856"/>
      <c r="AE89" s="2856"/>
      <c r="AF89" s="2896"/>
      <c r="AG89" s="2857"/>
      <c r="AH89" s="2885"/>
      <c r="AI89" s="2857"/>
      <c r="AJ89" s="2857"/>
      <c r="AK89" s="2857"/>
      <c r="AO89" s="2856"/>
      <c r="AT89" s="2149"/>
      <c r="AU89" s="2149"/>
      <c r="AV89" s="2149"/>
      <c r="AW89" s="2149"/>
      <c r="AX89" s="2149"/>
      <c r="AY89" s="2149"/>
    </row>
    <row r="90" spans="1:51" s="27" customFormat="1" ht="12" customHeight="1" x14ac:dyDescent="0.2">
      <c r="A90" s="8"/>
      <c r="B90" s="2953"/>
      <c r="C90" s="3563"/>
      <c r="D90" s="3629" t="s">
        <v>2218</v>
      </c>
      <c r="E90" s="3465" t="s">
        <v>2365</v>
      </c>
      <c r="F90" s="3103"/>
      <c r="G90" s="3103"/>
      <c r="H90" s="3103"/>
      <c r="I90" s="3103"/>
      <c r="J90" s="3103"/>
      <c r="K90" s="3466"/>
      <c r="L90" s="159">
        <f>IF(Categoría_1=0,0,VLOOKUP(Categoría_1,Tabla_Categorías,MATCH("Coste"&amp;$E90,Name_Tabla_Cat,FALSE),FALSE))</f>
        <v>1</v>
      </c>
      <c r="M90" s="1744"/>
      <c r="N90" s="159">
        <f>IF(Categoría_2=0,0,VLOOKUP(Categoría_2,Tabla_Categorías,MATCH("Coste"&amp;$E90,Name_Tabla_Cat,FALSE),FALSE))</f>
        <v>0</v>
      </c>
      <c r="O90" s="1744"/>
      <c r="P90" s="159">
        <f>IF(Categoría_3=0,0,VLOOKUP(Categoría_3,Tabla_Categorías,MATCH("Coste"&amp;$E90,Name_Tabla_Cat,FALSE),FALSE))</f>
        <v>0</v>
      </c>
      <c r="Q90" s="1744"/>
      <c r="R90" s="159">
        <f>IF(Categoría_4=0,0,VLOOKUP(Categoría_4,Tabla_Categorías,MATCH("Coste"&amp;$E90,Name_Tabla_Cat,FALSE),FALSE))</f>
        <v>0</v>
      </c>
      <c r="S90" s="1744"/>
      <c r="T90" s="159">
        <f>IF(Categoría_5=0,0,VLOOKUP(Categoría_5,Tabla_Categorías,MATCH("Coste"&amp;$E90,Name_Tabla_Cat,FALSE),FALSE))</f>
        <v>0</v>
      </c>
      <c r="U90" s="1744"/>
      <c r="V90" s="159">
        <f>5*(IF(L90=0,0,TRUNC(M90/L90,0))+IF(N90=0,0,TRUNC(O90/N90,0))+IF(P90=0,0,TRUNC(Q90/P90,0))+IF(R90=0,0,TRUNC(S90/R90,0))+IF(T90=0,0,TRUNC(U90/T90,0)))</f>
        <v>0</v>
      </c>
      <c r="W90" s="1745">
        <f>IF(POD=0,0,VLOOKUP(POD,Tabla_ValoresBase,2))+Nivel_Total*(50*Tablas!F649+100*Tablas!F650+150*Tablas!F651)</f>
        <v>110</v>
      </c>
      <c r="X90" s="3418">
        <f>HLOOKUP($E90,Bonos_Cat_Base,2,FALSE)</f>
        <v>100</v>
      </c>
      <c r="Y90" s="3418">
        <f>HLOOKUP($E90,Bonos_Cat_Base,2,FALSE)</f>
        <v>100</v>
      </c>
      <c r="Z90" s="82"/>
      <c r="AA90" s="163">
        <f>Z90+X90+V90+W90</f>
        <v>210</v>
      </c>
      <c r="AB90" s="15"/>
      <c r="AC90" s="8"/>
      <c r="AD90" s="2856"/>
      <c r="AE90" s="2857"/>
      <c r="AF90" s="2896"/>
      <c r="AG90" s="2857"/>
      <c r="AH90" s="2885"/>
      <c r="AI90" s="2857"/>
      <c r="AJ90" s="2857"/>
      <c r="AK90" s="2857"/>
      <c r="AO90" s="2856"/>
      <c r="AT90" s="2149"/>
      <c r="AU90" s="2149"/>
      <c r="AV90" s="2149"/>
      <c r="AW90" s="2149"/>
      <c r="AX90" s="2149"/>
      <c r="AY90" s="2149"/>
    </row>
    <row r="91" spans="1:51" s="27" customFormat="1" ht="12" customHeight="1" x14ac:dyDescent="0.2">
      <c r="A91" s="8"/>
      <c r="B91" s="2953"/>
      <c r="C91" s="3563"/>
      <c r="D91" s="3629"/>
      <c r="E91" s="3467" t="s">
        <v>2366</v>
      </c>
      <c r="F91" s="3468"/>
      <c r="G91" s="3468"/>
      <c r="H91" s="3468"/>
      <c r="I91" s="3468"/>
      <c r="J91" s="3468"/>
      <c r="K91" s="3469"/>
      <c r="L91" s="164">
        <f>IF(Categoría_1=0,0,VLOOKUP(Categoría_1,Tabla_Categorías,MATCH("Coste"&amp;$E91,Name_Tabla_Cat,FALSE),FALSE))</f>
        <v>50</v>
      </c>
      <c r="M91" s="1743"/>
      <c r="N91" s="164">
        <f>IF(Categoría_2=0,0,VLOOKUP(Categoría_2,Tabla_Categorías,MATCH("Coste"&amp;$E91,Name_Tabla_Cat,FALSE),FALSE))</f>
        <v>0</v>
      </c>
      <c r="O91" s="1743"/>
      <c r="P91" s="164">
        <f>IF(Categoría_3=0,0,VLOOKUP(Categoría_3,Tabla_Categorías,MATCH("Coste"&amp;$E91,Name_Tabla_Cat,FALSE),FALSE))</f>
        <v>0</v>
      </c>
      <c r="Q91" s="1743"/>
      <c r="R91" s="164">
        <f>IF(Categoría_4=0,0,VLOOKUP(Categoría_4,Tabla_Categorías,MATCH("Coste"&amp;$E91,Name_Tabla_Cat,FALSE),FALSE))</f>
        <v>0</v>
      </c>
      <c r="S91" s="1743"/>
      <c r="T91" s="164">
        <f>IF(Categoría_5=0,0,VLOOKUP(Categoría_5,Tabla_Categorías,MATCH("Coste"&amp;$E91,Name_Tabla_Cat,FALSE),FALSE))</f>
        <v>0</v>
      </c>
      <c r="U91" s="1743"/>
      <c r="V91" s="164">
        <f>(IF(L91=0,0,TRUNC((M91/L91),0))+IF(N91=0,0,TRUNC((O91/N91),0))+IF(P91=0,0,TRUNC((Q91/P91),0))+IF(R91=0,0,TRUNC((S91/R91),0))+IF(T91=0,0,TRUNC((U91/T91),0)))*W91</f>
        <v>0</v>
      </c>
      <c r="W91" s="1740">
        <f>IF(POD=0,0,VLOOKUP(POD,TablaValoresBase,3))</f>
        <v>10</v>
      </c>
      <c r="X91" s="3419" t="s">
        <v>2310</v>
      </c>
      <c r="Y91" s="3419"/>
      <c r="Z91" s="166"/>
      <c r="AA91" s="167">
        <f>Z91+W91+V91+IF(Combate!$AB$15&lt;0,TRUNC(Combate!$AB$15/2,0),0)</f>
        <v>10</v>
      </c>
      <c r="AB91" s="15"/>
      <c r="AC91" s="8"/>
      <c r="AD91" s="2856"/>
      <c r="AE91" s="2857"/>
      <c r="AF91" s="2896"/>
      <c r="AG91" s="2857"/>
      <c r="AH91" s="2885"/>
      <c r="AI91" s="2857"/>
      <c r="AJ91" s="2857"/>
      <c r="AK91" s="2857"/>
      <c r="AO91" s="2856"/>
      <c r="AT91" s="2149"/>
      <c r="AU91" s="2149"/>
      <c r="AV91" s="2149"/>
      <c r="AW91" s="2149"/>
      <c r="AX91" s="2149"/>
      <c r="AY91" s="2149"/>
    </row>
    <row r="92" spans="1:51" s="27" customFormat="1" ht="12" customHeight="1" x14ac:dyDescent="0.2">
      <c r="A92" s="8"/>
      <c r="B92" s="2953"/>
      <c r="C92" s="3563"/>
      <c r="D92" s="3629"/>
      <c r="E92" s="3465" t="s">
        <v>2367</v>
      </c>
      <c r="F92" s="3103"/>
      <c r="G92" s="3103"/>
      <c r="H92" s="3103"/>
      <c r="I92" s="3103"/>
      <c r="J92" s="3103"/>
      <c r="K92" s="3466"/>
      <c r="L92" s="159">
        <f>L$91/2</f>
        <v>25</v>
      </c>
      <c r="M92" s="1744"/>
      <c r="N92" s="159">
        <f>N$91/2</f>
        <v>0</v>
      </c>
      <c r="O92" s="1744"/>
      <c r="P92" s="159">
        <f>P$91/2</f>
        <v>0</v>
      </c>
      <c r="Q92" s="1744"/>
      <c r="R92" s="159">
        <f>R$91/2</f>
        <v>0</v>
      </c>
      <c r="S92" s="1744"/>
      <c r="T92" s="159">
        <f>T$91/2</f>
        <v>0</v>
      </c>
      <c r="U92" s="1744"/>
      <c r="V92" s="1745">
        <f>(IF(L92=0,0,TRUNC((M92/L92),0))+IF(N92=0,0,TRUNC((O92/N92),0))+IF(P92=0,0,TRUNC((Q92/P92),0))+IF(R92=0,0,TRUNC((S92/R92),0))+IF(T92=0,0,TRUNC((U92/T92),0)))*W91</f>
        <v>0</v>
      </c>
      <c r="W92" s="1745">
        <f>$AA$91+10*(Metamagia!$R$59+Metamagia!$X$63+Metamagia!$X$48)</f>
        <v>10</v>
      </c>
      <c r="X92" s="3418" t="s">
        <v>2310</v>
      </c>
      <c r="Y92" s="3418"/>
      <c r="Z92" s="128"/>
      <c r="AA92" s="163">
        <f>W92+V92+Z92</f>
        <v>10</v>
      </c>
      <c r="AB92" s="15"/>
      <c r="AC92" s="8"/>
      <c r="AD92" s="2856"/>
      <c r="AE92" s="2857"/>
      <c r="AF92" s="2896"/>
      <c r="AG92" s="2857"/>
      <c r="AH92" s="2885"/>
      <c r="AI92" s="2857"/>
      <c r="AJ92" s="2857"/>
      <c r="AK92" s="2857"/>
      <c r="AO92" s="2856"/>
      <c r="AT92" s="2149"/>
      <c r="AU92" s="2149"/>
      <c r="AV92" s="2149"/>
      <c r="AW92" s="2149"/>
      <c r="AX92" s="2149"/>
      <c r="AY92" s="2149"/>
    </row>
    <row r="93" spans="1:51" s="27" customFormat="1" ht="12" customHeight="1" x14ac:dyDescent="0.2">
      <c r="A93" s="8"/>
      <c r="B93" s="2953"/>
      <c r="C93" s="3563"/>
      <c r="D93" s="3629"/>
      <c r="E93" s="3467" t="s">
        <v>2368</v>
      </c>
      <c r="F93" s="3468"/>
      <c r="G93" s="3468"/>
      <c r="H93" s="3468"/>
      <c r="I93" s="3468"/>
      <c r="J93" s="3468"/>
      <c r="K93" s="3469"/>
      <c r="L93" s="164">
        <f>IF(Categoría_1=0,0,VLOOKUP(Categoría_1,Tabla_Categorías,MATCH("Coste"&amp;$E93,Name_Tabla_Cat,FALSE),FALSE))</f>
        <v>2</v>
      </c>
      <c r="M93" s="1743"/>
      <c r="N93" s="164">
        <f>IF(Categoría_2=0,0,VLOOKUP(Categoría_2,Tabla_Categorías,MATCH("Coste"&amp;$E93,Name_Tabla_Cat,FALSE),FALSE))</f>
        <v>0</v>
      </c>
      <c r="O93" s="1743"/>
      <c r="P93" s="164">
        <f>IF(Categoría_3=0,0,VLOOKUP(Categoría_3,Tabla_Categorías,MATCH("Coste"&amp;$E93,Name_Tabla_Cat,FALSE),FALSE))</f>
        <v>0</v>
      </c>
      <c r="Q93" s="1743"/>
      <c r="R93" s="164">
        <f>IF(Categoría_4=0,0,VLOOKUP(Categoría_4,Tabla_Categorías,MATCH("Coste"&amp;$E93,Name_Tabla_Cat,FALSE),FALSE))</f>
        <v>0</v>
      </c>
      <c r="S93" s="1743"/>
      <c r="T93" s="164">
        <f>IF(Categoría_5=0,0,VLOOKUP(Categoría_5,Tabla_Categorías,MATCH("Coste"&amp;$E93,Name_Tabla_Cat,FALSE),FALSE))</f>
        <v>0</v>
      </c>
      <c r="U93" s="1743"/>
      <c r="V93" s="164">
        <f>IF(L93=0,0,TRUNC(M93/L93,0))+IF(N93=0,0,TRUNC(O93/N93,0))+IF(P93=0,0,TRUNC(Q93/P93,0))+IF(R93=0,0,TRUNC(S93/R93,0))+IF(T93=0,0,TRUNC(U93/T93,0))</f>
        <v>0</v>
      </c>
      <c r="W93" s="1740">
        <f>Bono_Des</f>
        <v>10</v>
      </c>
      <c r="X93" s="3419" t="s">
        <v>2310</v>
      </c>
      <c r="Y93" s="3419"/>
      <c r="Z93" s="166"/>
      <c r="AA93" s="167">
        <f>Z93+V93+W93+Combate!$AB$15</f>
        <v>10</v>
      </c>
      <c r="AB93" s="15"/>
      <c r="AC93" s="8"/>
      <c r="AD93" s="2856"/>
      <c r="AE93" s="2857"/>
      <c r="AF93" s="2896"/>
      <c r="AG93" s="2857"/>
      <c r="AH93" s="2885"/>
      <c r="AI93" s="2857"/>
      <c r="AJ93" s="2857"/>
      <c r="AK93" s="2857"/>
      <c r="AO93" s="2856"/>
      <c r="AT93" s="2149"/>
      <c r="AU93" s="2149"/>
      <c r="AV93" s="2149"/>
      <c r="AW93" s="2149"/>
      <c r="AX93" s="2149"/>
      <c r="AY93" s="2149"/>
    </row>
    <row r="94" spans="1:51" s="27" customFormat="1" ht="12" customHeight="1" x14ac:dyDescent="0.2">
      <c r="A94" s="8"/>
      <c r="B94" s="2953"/>
      <c r="C94" s="3563"/>
      <c r="D94" s="3630"/>
      <c r="E94" s="3465" t="s">
        <v>2369</v>
      </c>
      <c r="F94" s="3103"/>
      <c r="G94" s="3103"/>
      <c r="H94" s="3103"/>
      <c r="I94" s="3103"/>
      <c r="J94" s="3103"/>
      <c r="K94" s="3466"/>
      <c r="L94" s="159">
        <v>5</v>
      </c>
      <c r="M94" s="1744"/>
      <c r="N94" s="159">
        <v>5</v>
      </c>
      <c r="O94" s="1744"/>
      <c r="P94" s="159">
        <v>5</v>
      </c>
      <c r="Q94" s="1744"/>
      <c r="R94" s="159">
        <v>5</v>
      </c>
      <c r="S94" s="1744"/>
      <c r="T94" s="159">
        <v>5</v>
      </c>
      <c r="U94" s="1744"/>
      <c r="V94" s="169">
        <f>(IF(L94=0,0,TRUNC(M94/L94,0))+IF(N94=0,0,TRUNC(O94/N94,0))+IF(P94=0,0,TRUNC(Q94/P94,0))+IF(R94=0,0,TRUNC(S94/R94,0))+IF(T94=0,0,TRUNC(U94/T94,0)))*5</f>
        <v>0</v>
      </c>
      <c r="W94" s="1745">
        <f>IF(INT=0,0,VLOOKUP(INT-Principal!$F$15,Tabla_NivelMagia,2))</f>
        <v>20</v>
      </c>
      <c r="X94" s="3418">
        <f>IF(Tablas!F657&gt;0,5*[0]!Nivel_Total,0)</f>
        <v>0</v>
      </c>
      <c r="Y94" s="3418"/>
      <c r="Z94" s="82"/>
      <c r="AA94" s="204">
        <f>Z94+V94+W94+X94</f>
        <v>20</v>
      </c>
      <c r="AB94" s="15"/>
      <c r="AC94" s="8"/>
      <c r="AD94" s="2856"/>
      <c r="AE94" s="2857"/>
      <c r="AF94" s="2896"/>
      <c r="AG94" s="2857"/>
      <c r="AH94" s="2885"/>
      <c r="AI94" s="2857"/>
      <c r="AJ94" s="2857"/>
      <c r="AK94" s="2857"/>
      <c r="AO94" s="2856"/>
      <c r="AT94" s="2149"/>
      <c r="AU94" s="2149"/>
      <c r="AV94" s="2149"/>
      <c r="AW94" s="2149"/>
      <c r="AX94" s="2149"/>
      <c r="AY94" s="2149"/>
    </row>
    <row r="95" spans="1:51" s="27" customFormat="1" ht="12" customHeight="1" x14ac:dyDescent="0.2">
      <c r="A95" s="8"/>
      <c r="B95" s="2953"/>
      <c r="C95" s="3563"/>
      <c r="D95" s="3631" t="s">
        <v>2370</v>
      </c>
      <c r="E95" s="3470" t="s">
        <v>2371</v>
      </c>
      <c r="F95" s="3471"/>
      <c r="G95" s="3471"/>
      <c r="H95" s="3471"/>
      <c r="I95" s="3471"/>
      <c r="J95" s="3471"/>
      <c r="K95" s="3472"/>
      <c r="L95" s="1818">
        <f>IF(Categoría_1=0,0,VLOOKUP(Categoría_1,Tabla_Categorías,MATCH("Coste"&amp;$E95,Name_Tabla_Cat,FALSE),FALSE))</f>
        <v>2</v>
      </c>
      <c r="M95" s="1819"/>
      <c r="N95" s="1818">
        <f>IF(Categoría_2=0,0,VLOOKUP(Categoría_2,Tabla_Categorías,MATCH("Coste"&amp;$E95,Name_Tabla_Cat,FALSE),FALSE))</f>
        <v>0</v>
      </c>
      <c r="O95" s="1819"/>
      <c r="P95" s="1818">
        <f>IF(Categoría_3=0,0,VLOOKUP(Categoría_3,Tabla_Categorías,MATCH("Coste"&amp;$E95,Name_Tabla_Cat,FALSE),FALSE))</f>
        <v>0</v>
      </c>
      <c r="Q95" s="1819"/>
      <c r="R95" s="1818">
        <f>IF(Categoría_4=0,0,VLOOKUP(Categoría_4,Tabla_Categorías,MATCH("Coste"&amp;$E95,Name_Tabla_Cat,FALSE),FALSE))</f>
        <v>0</v>
      </c>
      <c r="S95" s="1819"/>
      <c r="T95" s="1818">
        <f>IF(Categoría_5=0,0,VLOOKUP(Categoría_5,Tabla_Categorías,MATCH("Coste"&amp;$E95,Name_Tabla_Cat,FALSE),FALSE))</f>
        <v>0</v>
      </c>
      <c r="U95" s="1692"/>
      <c r="V95" s="1790">
        <f>IF(L95=0,0,TRUNC(M95/L95,0))+IF(N95=0,0,TRUNC(O95/N95,0))+IF(P95=0,0,TRUNC(Q95/P95,0))+IF(R95=0,0,TRUNC(S95/R95,0))+IF(T95=0,0,TRUNC(U95/T95,0))</f>
        <v>0</v>
      </c>
      <c r="W95" s="1820">
        <f>Bono_Pod</f>
        <v>10</v>
      </c>
      <c r="X95" s="3420">
        <f t="shared" ref="X95:Y98" si="5">HLOOKUP($E95,Bonos_Cat_Base,2,FALSE)</f>
        <v>0</v>
      </c>
      <c r="Y95" s="3420">
        <f t="shared" si="5"/>
        <v>0</v>
      </c>
      <c r="Z95" s="1821"/>
      <c r="AA95" s="205">
        <f>Z95+X95+V95+W95+IF(Combate!$AB$15&lt;0,Combate!$AB$15,0)+IF(Raza="Devah",10,0)+IF(Nephilim="Nephilim Devah",10,0)</f>
        <v>10</v>
      </c>
      <c r="AB95" s="15"/>
      <c r="AC95" s="8"/>
      <c r="AD95" s="2856"/>
      <c r="AE95" s="2857"/>
      <c r="AF95" s="2896"/>
      <c r="AG95" s="2857"/>
      <c r="AH95" s="2885"/>
      <c r="AI95" s="2857"/>
      <c r="AJ95" s="2857"/>
      <c r="AK95" s="2857"/>
      <c r="AO95" s="2856"/>
      <c r="AT95" s="2149"/>
      <c r="AU95" s="2149"/>
      <c r="AV95" s="2149"/>
      <c r="AW95" s="2149"/>
      <c r="AX95" s="2149"/>
      <c r="AY95" s="2149"/>
    </row>
    <row r="96" spans="1:51" s="27" customFormat="1" ht="12" customHeight="1" x14ac:dyDescent="0.2">
      <c r="A96" s="8"/>
      <c r="B96" s="2953"/>
      <c r="C96" s="3563"/>
      <c r="D96" s="3632"/>
      <c r="E96" s="3325" t="s">
        <v>9588</v>
      </c>
      <c r="F96" s="3326"/>
      <c r="G96" s="3326"/>
      <c r="H96" s="3326"/>
      <c r="I96" s="3326"/>
      <c r="J96" s="3326"/>
      <c r="K96" s="3434"/>
      <c r="L96" s="169">
        <f>IF(Categoría_1=0,0,VLOOKUP(Categoría_1,Tabla_Categorías,MATCH("Coste"&amp;$E96,Name_Tabla_Cat,FALSE),FALSE))</f>
        <v>2</v>
      </c>
      <c r="M96" s="206"/>
      <c r="N96" s="169">
        <f>IF(Categoría_2=0,0,VLOOKUP(Categoría_2,Tabla_Categorías,MATCH("Coste"&amp;$E96,Name_Tabla_Cat,FALSE),FALSE))</f>
        <v>0</v>
      </c>
      <c r="O96" s="206"/>
      <c r="P96" s="169">
        <f>IF(Categoría_3=0,0,VLOOKUP(Categoría_3,Tabla_Categorías,MATCH("Coste"&amp;$E96,Name_Tabla_Cat,FALSE),FALSE))</f>
        <v>0</v>
      </c>
      <c r="Q96" s="206"/>
      <c r="R96" s="169">
        <f>IF(Categoría_4=0,0,VLOOKUP(Categoría_4,Tabla_Categorías,MATCH("Coste"&amp;$E96,Name_Tabla_Cat,FALSE),FALSE))</f>
        <v>0</v>
      </c>
      <c r="S96" s="206"/>
      <c r="T96" s="169">
        <f>IF(Categoría_5=0,0,VLOOKUP(Categoría_5,Tabla_Categorías,MATCH("Coste"&amp;$E96,Name_Tabla_Cat,FALSE),FALSE))</f>
        <v>0</v>
      </c>
      <c r="U96" s="1736"/>
      <c r="V96" s="159">
        <f>IF(L96=0,0,TRUNC(M96/L96,0))+IF(N96=0,0,TRUNC(O96/N96,0))+IF(P96=0,0,TRUNC(Q96/P96,0))+IF(R96=0,0,TRUNC(S96/R96,0))+IF(T96=0,0,TRUNC(U96/T96,0))</f>
        <v>0</v>
      </c>
      <c r="W96" s="1748">
        <f>Bono_Vol</f>
        <v>10</v>
      </c>
      <c r="X96" s="3461">
        <f t="shared" si="5"/>
        <v>0</v>
      </c>
      <c r="Y96" s="3461">
        <f t="shared" si="5"/>
        <v>0</v>
      </c>
      <c r="Z96" s="1365"/>
      <c r="AA96" s="1739">
        <f>Z96+X96+V96+W96+IF(Combate!$AB$15&lt;0,Combate!$AB$15,0)+IF(Raza="Devah",10,0)+IF(Tablas!M3472=0,0,ROUNDDOWN(Elan/2,0))</f>
        <v>10</v>
      </c>
      <c r="AB96" s="15"/>
      <c r="AC96" s="8"/>
      <c r="AD96" s="2856"/>
      <c r="AE96" s="2857"/>
      <c r="AF96" s="2896"/>
      <c r="AG96" s="2857"/>
      <c r="AH96" s="2897"/>
      <c r="AI96" s="2857"/>
      <c r="AJ96" s="2857"/>
      <c r="AK96" s="2857"/>
      <c r="AO96" s="2856"/>
      <c r="AT96" s="2149"/>
      <c r="AU96" s="2149"/>
      <c r="AV96" s="2149"/>
      <c r="AW96" s="2149"/>
      <c r="AX96" s="2149"/>
      <c r="AY96" s="2149"/>
    </row>
    <row r="97" spans="1:63" s="27" customFormat="1" ht="12" customHeight="1" x14ac:dyDescent="0.2">
      <c r="A97" s="8"/>
      <c r="B97" s="2953"/>
      <c r="C97" s="3563"/>
      <c r="D97" s="3632"/>
      <c r="E97" s="3323" t="s">
        <v>831</v>
      </c>
      <c r="F97" s="3324"/>
      <c r="G97" s="3324"/>
      <c r="H97" s="3324"/>
      <c r="I97" s="3324"/>
      <c r="J97" s="3324"/>
      <c r="K97" s="3436"/>
      <c r="L97" s="171">
        <f>IF(Categoría_1=0,0,VLOOKUP(Categoría_1,Tabla_Categorías,MATCH("Coste"&amp;$E97,Name_Tabla_Cat,FALSE),FALSE))</f>
        <v>2</v>
      </c>
      <c r="M97" s="207"/>
      <c r="N97" s="171">
        <f>IF(Categoría_2=0,0,VLOOKUP(Categoría_2,Tabla_Categorías,MATCH("Coste"&amp;$E97,Name_Tabla_Cat,FALSE),FALSE))</f>
        <v>0</v>
      </c>
      <c r="O97" s="207"/>
      <c r="P97" s="171">
        <f>IF(Categoría_3=0,0,VLOOKUP(Categoría_3,Tabla_Categorías,MATCH("Coste"&amp;$E97,Name_Tabla_Cat,FALSE),FALSE))</f>
        <v>0</v>
      </c>
      <c r="Q97" s="207"/>
      <c r="R97" s="171">
        <f>IF(Categoría_4=0,0,VLOOKUP(Categoría_4,Tabla_Categorías,MATCH("Coste"&amp;$E97,Name_Tabla_Cat,FALSE),FALSE))</f>
        <v>0</v>
      </c>
      <c r="S97" s="207"/>
      <c r="T97" s="171">
        <f>IF(Categoría_5=0,0,VLOOKUP(Categoría_5,Tabla_Categorías,MATCH("Coste"&amp;$E97,Name_Tabla_Cat,FALSE),FALSE))</f>
        <v>0</v>
      </c>
      <c r="U97" s="208"/>
      <c r="V97" s="164">
        <f>IF(L97=0,0,TRUNC(M97/L97,0))+IF(N97=0,0,TRUNC(O97/N97,0))+IF(P97=0,0,TRUNC(Q97/P97,0))+IF(R97=0,0,TRUNC(S97/R97,0))+IF(T97=0,0,TRUNC(U97/T97,0))</f>
        <v>0</v>
      </c>
      <c r="W97" s="1747">
        <f>Bono_Pod</f>
        <v>10</v>
      </c>
      <c r="X97" s="3462">
        <f t="shared" si="5"/>
        <v>0</v>
      </c>
      <c r="Y97" s="3462">
        <f t="shared" si="5"/>
        <v>0</v>
      </c>
      <c r="Z97" s="1363"/>
      <c r="AA97" s="1742">
        <f>Z97+X97+V97+W97+IF(Combate!$AB$15&lt;0,Combate!$AB$15,0)+IF(Raza="Devah",10,0)</f>
        <v>10</v>
      </c>
      <c r="AB97" s="15"/>
      <c r="AC97" s="8"/>
      <c r="AD97" s="2856"/>
      <c r="AE97" s="2857"/>
      <c r="AF97" s="2896"/>
      <c r="AG97" s="2857"/>
      <c r="AH97" s="2885"/>
      <c r="AI97" s="2857"/>
      <c r="AJ97" s="2857"/>
      <c r="AK97" s="2857"/>
      <c r="AO97" s="2856"/>
      <c r="AT97" s="2149"/>
      <c r="AU97" s="2149"/>
      <c r="AV97" s="2149"/>
      <c r="AW97" s="2149"/>
      <c r="AX97" s="2149"/>
      <c r="AY97" s="2149"/>
    </row>
    <row r="98" spans="1:63" s="27" customFormat="1" ht="12" customHeight="1" x14ac:dyDescent="0.2">
      <c r="A98" s="8"/>
      <c r="B98" s="2953"/>
      <c r="C98" s="3563"/>
      <c r="D98" s="3633"/>
      <c r="E98" s="3327" t="s">
        <v>2374</v>
      </c>
      <c r="F98" s="3328"/>
      <c r="G98" s="3328"/>
      <c r="H98" s="3328"/>
      <c r="I98" s="3328"/>
      <c r="J98" s="3328"/>
      <c r="K98" s="3636"/>
      <c r="L98" s="1822">
        <f>IF(Categoría_1=0,0,VLOOKUP(Categoría_1,Tabla_Categorías,MATCH("Coste"&amp;$E98,Name_Tabla_Cat,FALSE),FALSE))</f>
        <v>2</v>
      </c>
      <c r="M98" s="1823"/>
      <c r="N98" s="1822">
        <f>IF(Categoría_2=0,0,VLOOKUP(Categoría_2,Tabla_Categorías,MATCH("Coste"&amp;$E98,Name_Tabla_Cat,FALSE),FALSE))</f>
        <v>0</v>
      </c>
      <c r="O98" s="1823"/>
      <c r="P98" s="1822">
        <f>IF(Categoría_3=0,0,VLOOKUP(Categoría_3,Tabla_Categorías,MATCH("Coste"&amp;$E98,Name_Tabla_Cat,FALSE),FALSE))</f>
        <v>0</v>
      </c>
      <c r="Q98" s="1823"/>
      <c r="R98" s="1822">
        <f>IF(Categoría_4=0,0,VLOOKUP(Categoría_4,Tabla_Categorías,MATCH("Coste"&amp;$E98,Name_Tabla_Cat,FALSE),FALSE))</f>
        <v>0</v>
      </c>
      <c r="S98" s="1823"/>
      <c r="T98" s="1822">
        <f>IF(Categoría_5=0,0,VLOOKUP(Categoría_5,Tabla_Categorías,MATCH("Coste"&amp;$E98,Name_Tabla_Cat,FALSE),FALSE))</f>
        <v>0</v>
      </c>
      <c r="U98" s="1689"/>
      <c r="V98" s="1788">
        <f>IF(L98=0,0,TRUNC(M98/L98,0))+IF(N98=0,0,TRUNC(O98/N98,0))+IF(P98=0,0,TRUNC(Q98/P98,0))+IF(R98=0,0,TRUNC(S98/R98,0))+IF(T98=0,0,TRUNC(U98/T98,0))</f>
        <v>0</v>
      </c>
      <c r="W98" s="1749">
        <f>Bono_Pod</f>
        <v>10</v>
      </c>
      <c r="X98" s="3637">
        <f t="shared" si="5"/>
        <v>0</v>
      </c>
      <c r="Y98" s="3637">
        <f t="shared" si="5"/>
        <v>0</v>
      </c>
      <c r="Z98" s="1824"/>
      <c r="AA98" s="209">
        <f>Z98+X98+V98+W98+IF(Combate!$AB$15&lt;0,Combate!$AB$15,0)+IF(Raza="Devah",10,0)+IF(Nephilim="Nephilim Devah",10,0)</f>
        <v>10</v>
      </c>
      <c r="AB98" s="15"/>
      <c r="AC98" s="8"/>
      <c r="AD98" s="2856"/>
      <c r="AE98" s="2857"/>
      <c r="AF98" s="2896"/>
      <c r="AG98" s="2857"/>
      <c r="AH98" s="2885"/>
      <c r="AI98" s="2857"/>
      <c r="AJ98" s="2857"/>
      <c r="AK98" s="2857"/>
      <c r="AO98" s="2856"/>
      <c r="AT98" s="2149"/>
      <c r="AU98" s="2149"/>
      <c r="AV98" s="2149"/>
      <c r="AW98" s="2149"/>
      <c r="AX98" s="2149"/>
      <c r="AY98" s="2149"/>
    </row>
    <row r="99" spans="1:63" s="27" customFormat="1" ht="12" customHeight="1" x14ac:dyDescent="0.2">
      <c r="A99" s="8"/>
      <c r="B99" s="2953"/>
      <c r="C99" s="3563"/>
      <c r="D99" s="3634" t="s">
        <v>2375</v>
      </c>
      <c r="E99" s="3522"/>
      <c r="F99" s="3447"/>
      <c r="G99" s="3447"/>
      <c r="H99" s="3447"/>
      <c r="I99" s="3447"/>
      <c r="J99" s="3447"/>
      <c r="K99" s="3448"/>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501" t="str">
        <f>IF(E99=0,"",VLOOKUP(E99,Tablas!$D$1120:$F$1121,3))</f>
        <v/>
      </c>
      <c r="W99" s="3502"/>
      <c r="X99" s="3502"/>
      <c r="Y99" s="3502"/>
      <c r="Z99" s="3502"/>
      <c r="AA99" s="3638"/>
      <c r="AB99" s="15"/>
      <c r="AC99" s="8"/>
      <c r="AD99" s="2856"/>
      <c r="AE99" s="2857"/>
      <c r="AF99" s="2896"/>
      <c r="AG99" s="2857"/>
      <c r="AH99" s="2885"/>
      <c r="AI99" s="2857"/>
      <c r="AJ99" s="2857"/>
      <c r="AK99" s="2857"/>
      <c r="AO99" s="2856"/>
      <c r="AT99" s="2149"/>
      <c r="AU99" s="2149"/>
      <c r="AV99" s="2149"/>
      <c r="AW99" s="2149"/>
      <c r="AX99" s="2149"/>
      <c r="AY99" s="2149"/>
    </row>
    <row r="100" spans="1:63" s="27" customFormat="1" ht="12" customHeight="1" thickBot="1" x14ac:dyDescent="0.25">
      <c r="A100" s="8"/>
      <c r="B100" s="2953"/>
      <c r="C100" s="3563"/>
      <c r="D100" s="3635"/>
      <c r="E100" s="3523"/>
      <c r="F100" s="3444"/>
      <c r="G100" s="3444"/>
      <c r="H100" s="3444"/>
      <c r="I100" s="3444"/>
      <c r="J100" s="3444"/>
      <c r="K100" s="3445"/>
      <c r="L100" s="159">
        <f>IF($E$100=0,0,VLOOKUP($E$100,Tablas!$D$1120:$F$1121,2))</f>
        <v>0</v>
      </c>
      <c r="M100" s="1744"/>
      <c r="N100" s="159">
        <f>IF($E$100=0,0,VLOOKUP($E$100,Tablas!$D$1120:$F$1121,2))</f>
        <v>0</v>
      </c>
      <c r="O100" s="1744"/>
      <c r="P100" s="159">
        <f>IF($E$100=0,0,VLOOKUP($E$100,Tablas!$D$1120:$F$1121,2))</f>
        <v>0</v>
      </c>
      <c r="Q100" s="1744"/>
      <c r="R100" s="159">
        <f>IF($E$100=0,0,VLOOKUP($E$100,Tablas!$D$1120:$F$1121,2))</f>
        <v>0</v>
      </c>
      <c r="S100" s="1744"/>
      <c r="T100" s="159">
        <f>IF($E$100=0,0,VLOOKUP($E$100,Tablas!$D$1120:$F$1121,2))</f>
        <v>0</v>
      </c>
      <c r="U100" s="1761"/>
      <c r="V100" s="3639" t="str">
        <f>IF(E100=0,"",VLOOKUP(E100,Tablas!$D$1120:$F$1121,3))</f>
        <v/>
      </c>
      <c r="W100" s="3640"/>
      <c r="X100" s="3640"/>
      <c r="Y100" s="3640"/>
      <c r="Z100" s="3640"/>
      <c r="AA100" s="3641"/>
      <c r="AB100" s="15"/>
      <c r="AC100" s="8"/>
      <c r="AD100" s="2856"/>
      <c r="AE100" s="2857"/>
      <c r="AF100" s="2896"/>
      <c r="AG100" s="2857"/>
      <c r="AH100" s="2885"/>
      <c r="AI100" s="2857"/>
      <c r="AJ100" s="2857"/>
      <c r="AK100" s="2857"/>
      <c r="AO100" s="2856"/>
      <c r="AT100" s="2149"/>
      <c r="AU100" s="2149"/>
      <c r="AV100" s="2149"/>
      <c r="AW100" s="2149"/>
      <c r="AX100" s="2149"/>
      <c r="AY100" s="2149"/>
    </row>
    <row r="101" spans="1:63" s="27" customFormat="1" ht="12" customHeight="1" x14ac:dyDescent="0.2">
      <c r="A101" s="2126"/>
      <c r="B101" s="554"/>
      <c r="C101" s="3392"/>
      <c r="D101" s="3480" t="s">
        <v>2376</v>
      </c>
      <c r="E101" s="3481"/>
      <c r="F101" s="3481"/>
      <c r="G101" s="3481"/>
      <c r="H101" s="3481"/>
      <c r="I101" s="3481"/>
      <c r="J101" s="3481"/>
      <c r="K101" s="3482"/>
      <c r="L101" s="3596">
        <f>Y$5*IF(Categoría_1=0,0.5,VLOOKUP(Categoría_1,Tabla_Categorías,7,FALSE))</f>
        <v>360.00000000000006</v>
      </c>
      <c r="M101" s="3476">
        <f>SUM(M90:M100)</f>
        <v>0</v>
      </c>
      <c r="N101" s="3478">
        <f>SUM(Y$5:Y$8)*IF(Categoría_2=0,0,VLOOKUP(Categoría_2,Tabla_Categorías,7,FALSE))</f>
        <v>0</v>
      </c>
      <c r="O101" s="3476">
        <f>(SUM(O90:O100)+M101)*IF(Categoría_2=0,0,1)</f>
        <v>0</v>
      </c>
      <c r="P101" s="3478">
        <f>SUM(Y$5:Y$10)*IF(Categoría_3=0,0,VLOOKUP(Categoría_3,Tabla_Categorías,7,FALSE))</f>
        <v>0</v>
      </c>
      <c r="Q101" s="3559">
        <f>(SUM(Q90:Q100)+O101)*IF(Categoría_3=0,0,1)</f>
        <v>0</v>
      </c>
      <c r="R101" s="3478">
        <f>SUM(Y$5:Y$11)*IF(Categoría_4=0,0,VLOOKUP(Categoría_4,Tabla_Categorías,7,FALSE))</f>
        <v>0</v>
      </c>
      <c r="S101" s="3476">
        <f>(SUM(S90:S100)+Q101)*IF(Categoría_4=0,0,1)</f>
        <v>0</v>
      </c>
      <c r="T101" s="3478">
        <f>SUM(Y$5:Y$13)*IF(Categoría_5=0,0,VLOOKUP(Categoría_5,Tabla_Categorías,7,FALSE))</f>
        <v>0</v>
      </c>
      <c r="U101" s="3476">
        <f>(SUM(U90:U100)+S101)*IF(Categoría_5=0,0,1)</f>
        <v>0</v>
      </c>
      <c r="V101" s="348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487"/>
      <c r="X101" s="3487"/>
      <c r="Y101" s="3487"/>
      <c r="Z101" s="3487"/>
      <c r="AA101" s="3488"/>
      <c r="AB101" s="150"/>
      <c r="AC101" s="2126"/>
      <c r="AD101" s="2856"/>
      <c r="AE101" s="2857"/>
      <c r="AF101" s="2896"/>
      <c r="AG101" s="2857"/>
      <c r="AH101" s="2885"/>
      <c r="AI101" s="2857"/>
      <c r="AJ101" s="2857"/>
      <c r="AK101" s="2857"/>
      <c r="AO101" s="2856"/>
      <c r="AT101" s="2149"/>
      <c r="AU101" s="2149"/>
      <c r="AV101" s="2149"/>
      <c r="AW101" s="2149"/>
      <c r="AX101" s="2149"/>
      <c r="AY101" s="2149"/>
    </row>
    <row r="102" spans="1:63" s="27" customFormat="1" ht="12" customHeight="1" thickBot="1" x14ac:dyDescent="0.25">
      <c r="A102" s="2126"/>
      <c r="B102" s="554"/>
      <c r="C102" s="3393"/>
      <c r="D102" s="3483"/>
      <c r="E102" s="3484"/>
      <c r="F102" s="3484"/>
      <c r="G102" s="3484"/>
      <c r="H102" s="3484"/>
      <c r="I102" s="3484"/>
      <c r="J102" s="3484"/>
      <c r="K102" s="3485"/>
      <c r="L102" s="3598"/>
      <c r="M102" s="3477"/>
      <c r="N102" s="3479"/>
      <c r="O102" s="3477"/>
      <c r="P102" s="3479"/>
      <c r="Q102" s="3560"/>
      <c r="R102" s="3479"/>
      <c r="S102" s="3477"/>
      <c r="T102" s="3479"/>
      <c r="U102" s="3477"/>
      <c r="V102" s="3489"/>
      <c r="W102" s="3490"/>
      <c r="X102" s="3490"/>
      <c r="Y102" s="3490"/>
      <c r="Z102" s="3490"/>
      <c r="AA102" s="3491"/>
      <c r="AB102" s="150"/>
      <c r="AC102" s="2126"/>
      <c r="AD102" s="2856"/>
      <c r="AE102" s="2857"/>
      <c r="AF102" s="2896"/>
      <c r="AG102" s="2857"/>
      <c r="AH102" s="2885"/>
      <c r="AI102" s="2857"/>
      <c r="AJ102" s="2857"/>
      <c r="AK102" s="2857"/>
      <c r="AO102" s="2856"/>
      <c r="AT102" s="2149"/>
      <c r="AU102" s="2149"/>
      <c r="AV102" s="2149"/>
      <c r="AW102" s="2149"/>
      <c r="AX102" s="2149"/>
      <c r="AY102" s="2149"/>
    </row>
    <row r="103" spans="1:63" s="27" customFormat="1" ht="12" customHeight="1" x14ac:dyDescent="0.2">
      <c r="A103" s="2126"/>
      <c r="B103" s="554"/>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50"/>
      <c r="AC103" s="2126"/>
      <c r="AD103" s="2856"/>
      <c r="AE103" s="2857"/>
      <c r="AF103" s="2896"/>
      <c r="AG103" s="2857"/>
      <c r="AH103" s="2885"/>
      <c r="AI103" s="2857"/>
      <c r="AJ103" s="2857"/>
      <c r="AK103" s="2857"/>
      <c r="AO103" s="2856"/>
      <c r="AT103" s="2149"/>
      <c r="AU103" s="2149"/>
      <c r="AV103" s="2149"/>
      <c r="AW103" s="2149"/>
      <c r="AX103" s="2149"/>
      <c r="AY103" s="2149"/>
    </row>
    <row r="104" spans="1:63" s="27" customFormat="1" ht="12" customHeight="1" thickBot="1" x14ac:dyDescent="0.25">
      <c r="A104" s="2126"/>
      <c r="B104" s="554"/>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50"/>
      <c r="AC104" s="2126"/>
      <c r="AD104" s="2856"/>
      <c r="AE104" s="2857"/>
      <c r="AF104" s="2896"/>
      <c r="AG104" s="2857"/>
      <c r="AH104" s="2885"/>
      <c r="AI104" s="2857"/>
      <c r="AJ104" s="2857"/>
      <c r="AK104" s="2857"/>
      <c r="AO104" s="2856"/>
      <c r="AT104" s="2149"/>
      <c r="AU104" s="2149"/>
      <c r="AV104" s="2149"/>
      <c r="AW104" s="2149"/>
      <c r="AX104" s="2149"/>
      <c r="AY104" s="2149"/>
    </row>
    <row r="105" spans="1:63" s="27" customFormat="1" ht="12" customHeight="1" x14ac:dyDescent="0.2">
      <c r="A105" s="2126"/>
      <c r="B105" s="554"/>
      <c r="C105" s="73"/>
      <c r="D105" s="73"/>
      <c r="E105" s="73"/>
      <c r="F105" s="73"/>
      <c r="I105" s="73"/>
      <c r="J105" s="73"/>
      <c r="K105" s="73"/>
      <c r="L105" s="3453" t="str">
        <f>IF(Categoría_1=0,"",Categoría_1)</f>
        <v>Hechicero</v>
      </c>
      <c r="M105" s="3449"/>
      <c r="N105" s="3427" t="str">
        <f>IF(Categoría_2=0,"",Categoría_2)</f>
        <v/>
      </c>
      <c r="O105" s="3449"/>
      <c r="P105" s="3427" t="str">
        <f>IF(Categoría_3=0,"",Categoría_3)</f>
        <v/>
      </c>
      <c r="Q105" s="3449"/>
      <c r="R105" s="3427" t="str">
        <f>IF(Categoría_4=0,"",Categoría_4)</f>
        <v/>
      </c>
      <c r="S105" s="3449"/>
      <c r="T105" s="3427" t="str">
        <f>IF(Categoría_5=0,"",Categoría_5)</f>
        <v/>
      </c>
      <c r="U105" s="3428"/>
      <c r="V105" s="73"/>
      <c r="W105" s="73"/>
      <c r="X105" s="73"/>
      <c r="Y105" s="73"/>
      <c r="Z105" s="73"/>
      <c r="AA105" s="73"/>
      <c r="AB105" s="150"/>
      <c r="AC105" s="2126"/>
      <c r="AD105" s="2856"/>
      <c r="AE105" s="2857"/>
      <c r="AF105" s="2896"/>
      <c r="AG105" s="2857"/>
      <c r="AH105" s="2885"/>
      <c r="AI105" s="2857"/>
      <c r="AJ105" s="2857"/>
      <c r="AK105" s="2857"/>
      <c r="AO105" s="2856"/>
      <c r="AT105" s="2149"/>
      <c r="AU105" s="2149"/>
      <c r="AV105" s="2149"/>
      <c r="AW105" s="2149"/>
      <c r="AX105" s="2149"/>
      <c r="AY105" s="2149"/>
      <c r="AZ105" s="49"/>
      <c r="BA105" s="48"/>
      <c r="BB105" s="48"/>
      <c r="BC105" s="48"/>
      <c r="BD105" s="48"/>
      <c r="BE105" s="48"/>
      <c r="BF105" s="48"/>
      <c r="BG105" s="48"/>
      <c r="BH105" s="48"/>
      <c r="BI105" s="213"/>
      <c r="BJ105" s="48"/>
      <c r="BK105" s="48"/>
    </row>
    <row r="106" spans="1:63" s="27" customFormat="1" ht="12" customHeight="1" thickBot="1" x14ac:dyDescent="0.25">
      <c r="A106" s="2126"/>
      <c r="B106" s="554"/>
      <c r="C106" s="73"/>
      <c r="D106" s="73"/>
      <c r="E106" s="73"/>
      <c r="F106" s="73"/>
      <c r="I106" s="73"/>
      <c r="J106" s="73"/>
      <c r="K106" s="73"/>
      <c r="L106" s="3454"/>
      <c r="M106" s="3450"/>
      <c r="N106" s="3429"/>
      <c r="O106" s="3450"/>
      <c r="P106" s="3429"/>
      <c r="Q106" s="3450"/>
      <c r="R106" s="3429"/>
      <c r="S106" s="3450"/>
      <c r="T106" s="3429"/>
      <c r="U106" s="3430"/>
      <c r="V106" s="73"/>
      <c r="W106" s="73"/>
      <c r="X106" s="73"/>
      <c r="Y106" s="73"/>
      <c r="Z106" s="73"/>
      <c r="AA106" s="73"/>
      <c r="AB106" s="150"/>
      <c r="AC106" s="2126"/>
      <c r="AD106" s="2856"/>
      <c r="AE106" s="2857"/>
      <c r="AF106" s="2896"/>
      <c r="AG106" s="2857"/>
      <c r="AH106" s="2885"/>
      <c r="AI106" s="2857"/>
      <c r="AJ106" s="2857"/>
      <c r="AK106" s="2857"/>
      <c r="AO106" s="2856"/>
      <c r="AT106" s="2149"/>
      <c r="AU106" s="2149"/>
      <c r="AV106" s="2149"/>
      <c r="AW106" s="2149"/>
      <c r="AX106" s="2149"/>
      <c r="AY106" s="2149"/>
      <c r="AZ106" s="49"/>
      <c r="BA106" s="48"/>
    </row>
    <row r="107" spans="1:63" ht="12" customHeight="1" thickBot="1" x14ac:dyDescent="0.25">
      <c r="A107" s="2126"/>
      <c r="B107" s="554"/>
      <c r="C107" s="3562" t="s">
        <v>2377</v>
      </c>
      <c r="D107" s="1741" t="s">
        <v>2252</v>
      </c>
      <c r="E107" s="3642" t="s">
        <v>2228</v>
      </c>
      <c r="F107" s="3643"/>
      <c r="G107" s="3643"/>
      <c r="H107" s="3643"/>
      <c r="I107" s="3643"/>
      <c r="J107" s="3643"/>
      <c r="K107" s="3644"/>
      <c r="L107" s="1741" t="s">
        <v>2345</v>
      </c>
      <c r="M107" s="157" t="s">
        <v>2230</v>
      </c>
      <c r="N107" s="1741" t="s">
        <v>2345</v>
      </c>
      <c r="O107" s="157" t="s">
        <v>2230</v>
      </c>
      <c r="P107" s="1741" t="s">
        <v>2345</v>
      </c>
      <c r="Q107" s="157" t="s">
        <v>2230</v>
      </c>
      <c r="R107" s="1741" t="s">
        <v>2345</v>
      </c>
      <c r="S107" s="157" t="s">
        <v>2230</v>
      </c>
      <c r="T107" s="1741" t="s">
        <v>2345</v>
      </c>
      <c r="U107" s="157" t="s">
        <v>2230</v>
      </c>
      <c r="V107" s="1741" t="s">
        <v>2218</v>
      </c>
      <c r="W107" s="1741" t="s">
        <v>2220</v>
      </c>
      <c r="X107" s="3416" t="s">
        <v>2344</v>
      </c>
      <c r="Y107" s="3416"/>
      <c r="Z107" s="1741" t="s">
        <v>2272</v>
      </c>
      <c r="AA107" s="158" t="s">
        <v>2202</v>
      </c>
      <c r="AB107" s="150"/>
      <c r="AC107" s="2126"/>
      <c r="AE107" s="2856"/>
      <c r="AO107" s="2856"/>
      <c r="AZ107" s="49"/>
    </row>
    <row r="108" spans="1:63" ht="12" customHeight="1" x14ac:dyDescent="0.2">
      <c r="A108" s="2126"/>
      <c r="B108" s="554"/>
      <c r="C108" s="3563"/>
      <c r="D108" s="3451" t="s">
        <v>2218</v>
      </c>
      <c r="E108" s="3433" t="s">
        <v>2378</v>
      </c>
      <c r="F108" s="3326"/>
      <c r="G108" s="3326"/>
      <c r="H108" s="3326"/>
      <c r="I108" s="3326"/>
      <c r="J108" s="3326"/>
      <c r="K108" s="3434"/>
      <c r="L108" s="169">
        <f>IF(Categoría_1=0,0,VLOOKUP(Categoría_1,Tabla_Categorías,MATCH("Coste"&amp;$E108,Name_Tabla_Cat,FALSE),FALSE))</f>
        <v>20</v>
      </c>
      <c r="M108" s="1744"/>
      <c r="N108" s="169">
        <f>IF(Categoría_2=0,0,VLOOKUP(Categoría_2,Tabla_Categorías,MATCH("Coste"&amp;$E108,Name_Tabla_Cat,FALSE),FALSE))</f>
        <v>0</v>
      </c>
      <c r="O108" s="1744"/>
      <c r="P108" s="169">
        <f>IF(Categoría_3=0,0,VLOOKUP(Categoría_3,Tabla_Categorías,MATCH("Coste"&amp;$E108,Name_Tabla_Cat,FALSE),FALSE))</f>
        <v>0</v>
      </c>
      <c r="Q108" s="1744"/>
      <c r="R108" s="169">
        <f>IF(Categoría_4=0,0,VLOOKUP(Categoría_4,Tabla_Categorías,MATCH("Coste"&amp;$E108,Name_Tabla_Cat,FALSE),FALSE))</f>
        <v>0</v>
      </c>
      <c r="S108" s="1744"/>
      <c r="T108" s="169">
        <f>IF(Categoría_5=0,0,VLOOKUP(Categoría_5,Tabla_Categorías,MATCH("Coste"&amp;$E108,Name_Tabla_Cat,FALSE),FALSE))</f>
        <v>0</v>
      </c>
      <c r="U108" s="1744"/>
      <c r="V108" s="159">
        <f>IF(L108=0,0,TRUNC(M108/L108,0))+IF(N108=0,0,TRUNC(O108/N108,0))+IF(P108=0,0,TRUNC(Q108/P108,0))+IF(R108=0,0,TRUNC(S108/R108,0))+IF(T108=0,0,TRUNC(U108/T108,0))</f>
        <v>0</v>
      </c>
      <c r="W108" s="1750" t="s">
        <v>2310</v>
      </c>
      <c r="X108" s="3431">
        <f>ROUNDUP(AE108,0)</f>
        <v>0</v>
      </c>
      <c r="Y108" s="3431"/>
      <c r="Z108" s="215"/>
      <c r="AA108" s="202">
        <f>V108+Z108+X108</f>
        <v>0</v>
      </c>
      <c r="AB108" s="150"/>
      <c r="AC108" s="2126"/>
      <c r="AO108" s="2856"/>
      <c r="AZ108" s="49"/>
    </row>
    <row r="109" spans="1:63" ht="12" customHeight="1" x14ac:dyDescent="0.2">
      <c r="A109" s="2126"/>
      <c r="B109" s="554"/>
      <c r="C109" s="3563"/>
      <c r="D109" s="3452"/>
      <c r="E109" s="3435" t="s">
        <v>2379</v>
      </c>
      <c r="F109" s="3324"/>
      <c r="G109" s="3324"/>
      <c r="H109" s="3324"/>
      <c r="I109" s="3324"/>
      <c r="J109" s="3324"/>
      <c r="K109" s="3436"/>
      <c r="L109" s="171">
        <f>IF(Categoría_1=0,0,VLOOKUP(Categoría_1,Tabla_Categorías,MATCH("Coste"&amp;$E109,Name_Tabla_Cat,FALSE),FALSE))</f>
        <v>3</v>
      </c>
      <c r="M109" s="1743"/>
      <c r="N109" s="171">
        <f>IF(Categoría_2=0,0,VLOOKUP(Categoría_2,Tabla_Categorías,MATCH("Coste"&amp;$E109,Name_Tabla_Cat,FALSE),FALSE))</f>
        <v>0</v>
      </c>
      <c r="O109" s="1743"/>
      <c r="P109" s="171">
        <f>IF(Categoría_3=0,0,VLOOKUP(Categoría_3,Tabla_Categorías,MATCH("Coste"&amp;$E109,Name_Tabla_Cat,FALSE),FALSE))</f>
        <v>0</v>
      </c>
      <c r="Q109" s="1743"/>
      <c r="R109" s="171">
        <f>IF(Categoría_4=0,0,VLOOKUP(Categoría_4,Tabla_Categorías,MATCH("Coste"&amp;$E109,Name_Tabla_Cat,FALSE),FALSE))</f>
        <v>0</v>
      </c>
      <c r="S109" s="1743"/>
      <c r="T109" s="171">
        <f>IF(Categoría_5=0,0,VLOOKUP(Categoría_5,Tabla_Categorías,MATCH("Coste"&amp;$E109,Name_Tabla_Cat,FALSE),FALSE))</f>
        <v>0</v>
      </c>
      <c r="U109" s="1743"/>
      <c r="V109" s="164">
        <f>IF(L109=0,0,TRUNC(M109/L109,0))+IF(N109=0,0,TRUNC(O109/N109,0))+IF(P109=0,0,TRUNC(Q109/P109,0))+IF(R109=0,0,TRUNC(S109/R109,0))+IF(T109=0,0,TRUNC(U109/T109,0))</f>
        <v>0</v>
      </c>
      <c r="W109" s="182">
        <f>Bono_Des</f>
        <v>10</v>
      </c>
      <c r="X109" s="3432" t="s">
        <v>2310</v>
      </c>
      <c r="Y109" s="3432"/>
      <c r="Z109" s="217"/>
      <c r="AA109" s="168">
        <f>V109+W109+Z109+Combate!$AB$15</f>
        <v>10</v>
      </c>
      <c r="AB109" s="150"/>
      <c r="AC109" s="2126"/>
      <c r="AO109" s="2856"/>
      <c r="AZ109" s="49"/>
    </row>
    <row r="110" spans="1:63" ht="12" customHeight="1" x14ac:dyDescent="0.2">
      <c r="A110" s="2126"/>
      <c r="B110" s="554"/>
      <c r="C110" s="3563"/>
      <c r="D110" s="1825" t="s">
        <v>2375</v>
      </c>
      <c r="E110" s="3437"/>
      <c r="F110" s="3438"/>
      <c r="G110" s="3438"/>
      <c r="H110" s="3438"/>
      <c r="I110" s="3438"/>
      <c r="J110" s="3438"/>
      <c r="K110" s="3439"/>
      <c r="L110" s="1826">
        <f>IF($E$110=0,0,VLOOKUP($E$110,Tablas_Psíquicas:$F$1122,2))</f>
        <v>0</v>
      </c>
      <c r="M110" s="1827"/>
      <c r="N110" s="433">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455" t="str">
        <f>IF(E110=0,"",VLOOKUP(E110,Tablas_Psíquicas:F1122,3))</f>
        <v/>
      </c>
      <c r="W110" s="3456"/>
      <c r="X110" s="3456"/>
      <c r="Y110" s="3456"/>
      <c r="Z110" s="3456"/>
      <c r="AA110" s="3457"/>
      <c r="AB110" s="150"/>
      <c r="AC110" s="2126"/>
      <c r="AO110" s="2856"/>
      <c r="AZ110" s="49"/>
    </row>
    <row r="111" spans="1:63" ht="12" customHeight="1" x14ac:dyDescent="0.2">
      <c r="A111" s="2126"/>
      <c r="B111" s="554"/>
      <c r="C111" s="3563"/>
      <c r="D111" s="3631" t="s">
        <v>2380</v>
      </c>
      <c r="E111" s="3440"/>
      <c r="F111" s="3441"/>
      <c r="G111" s="3441"/>
      <c r="H111" s="3441"/>
      <c r="I111" s="3441"/>
      <c r="J111" s="3441"/>
      <c r="K111" s="3442"/>
      <c r="L111" s="1828">
        <f>IF(E111=0,0,VLOOKUP(E111,Tablas!$C$2289:$Q$2304,2,FALSE))</f>
        <v>0</v>
      </c>
      <c r="M111" s="1829"/>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458" t="str">
        <f>IF(E111=0,"",VLOOKUP(E111,Tablas!$C$2289:$Q$2304,4,FALSE))</f>
        <v/>
      </c>
      <c r="W111" s="3459"/>
      <c r="X111" s="3459"/>
      <c r="Y111" s="3459"/>
      <c r="Z111" s="3459"/>
      <c r="AA111" s="3460"/>
      <c r="AB111" s="150"/>
      <c r="AC111" s="2126"/>
      <c r="AO111" s="2856"/>
      <c r="AZ111" s="49"/>
    </row>
    <row r="112" spans="1:63" ht="12" customHeight="1" x14ac:dyDescent="0.2">
      <c r="A112" s="2126"/>
      <c r="B112" s="554"/>
      <c r="C112" s="3563"/>
      <c r="D112" s="3632"/>
      <c r="E112" s="3443"/>
      <c r="F112" s="3444"/>
      <c r="G112" s="3444"/>
      <c r="H112" s="3444"/>
      <c r="I112" s="3444"/>
      <c r="J112" s="3444"/>
      <c r="K112" s="3445"/>
      <c r="L112" s="1745">
        <f>IF(E112=0,0,VLOOKUP(E112,Tablas!$C$2289:$Q$2304,3,FALSE))</f>
        <v>0</v>
      </c>
      <c r="M112" s="1796"/>
      <c r="N112" s="1745">
        <f>IF(E112=0,0,VLOOKUP(E112,Tablas!$C$2289:$Q$2304,3,FALSE))</f>
        <v>0</v>
      </c>
      <c r="O112" s="191"/>
      <c r="P112" s="1745">
        <f>IF(E112=0,0,VLOOKUP(E112,Tablas!$C$2289:$Q$2304,3,FALSE))</f>
        <v>0</v>
      </c>
      <c r="Q112" s="191"/>
      <c r="R112" s="1745">
        <f>IF(E112=0,0,VLOOKUP(E112,Tablas!$C$2289:$Q$2304,3,FALSE))</f>
        <v>0</v>
      </c>
      <c r="S112" s="191"/>
      <c r="T112" s="1745">
        <f>IF(E112=0,0,VLOOKUP(E112,Tablas!$C$2289:$Q$2304,3,FALSE))</f>
        <v>0</v>
      </c>
      <c r="U112" s="191"/>
      <c r="V112" s="3399" t="str">
        <f>IF(E112=0,"",VLOOKUP(E112,Tablas!$C$2289:$Q$2304,4,FALSE))</f>
        <v/>
      </c>
      <c r="W112" s="3400"/>
      <c r="X112" s="3400"/>
      <c r="Y112" s="3400"/>
      <c r="Z112" s="3400"/>
      <c r="AA112" s="3401"/>
      <c r="AB112" s="150"/>
      <c r="AC112" s="2126"/>
      <c r="AO112" s="2856"/>
      <c r="AZ112" s="49"/>
    </row>
    <row r="113" spans="1:52" ht="12" customHeight="1" x14ac:dyDescent="0.2">
      <c r="A113" s="2126"/>
      <c r="B113" s="554"/>
      <c r="C113" s="3563"/>
      <c r="D113" s="3632"/>
      <c r="E113" s="3446"/>
      <c r="F113" s="3447"/>
      <c r="G113" s="3447"/>
      <c r="H113" s="3447"/>
      <c r="I113" s="3447"/>
      <c r="J113" s="3447"/>
      <c r="K113" s="3448"/>
      <c r="L113" s="1740">
        <f>IF(E113=0,0,VLOOKUP(E113,Tablas!$C$2289:$Q$2304,3,FALSE))</f>
        <v>0</v>
      </c>
      <c r="M113" s="1795"/>
      <c r="N113" s="1740">
        <f>IF(E113=0,0,VLOOKUP(E113,Tablas!$C$2289:$Q$2304,3,FALSE))</f>
        <v>0</v>
      </c>
      <c r="O113" s="190"/>
      <c r="P113" s="1740">
        <f>IF(E113=0,0,VLOOKUP(E113,Tablas!$C$2289:$Q$2304,3,FALSE))</f>
        <v>0</v>
      </c>
      <c r="Q113" s="190"/>
      <c r="R113" s="1740">
        <f>IF(E113=0,0,VLOOKUP(E113,Tablas!$C$2289:$Q$2304,3,FALSE))</f>
        <v>0</v>
      </c>
      <c r="S113" s="190"/>
      <c r="T113" s="1740">
        <f>IF(E113=0,0,VLOOKUP(E113,Tablas!$C$2289:$Q$2304,3,FALSE))</f>
        <v>0</v>
      </c>
      <c r="U113" s="190"/>
      <c r="V113" s="3396" t="str">
        <f>IF(E113=0,"",VLOOKUP(E113,Tablas!$C$2289:$Q$2304,4,FALSE))</f>
        <v/>
      </c>
      <c r="W113" s="3397"/>
      <c r="X113" s="3397"/>
      <c r="Y113" s="3397"/>
      <c r="Z113" s="3397"/>
      <c r="AA113" s="3398"/>
      <c r="AB113" s="150"/>
      <c r="AC113" s="2126"/>
      <c r="AD113" s="2856" t="s">
        <v>9586</v>
      </c>
      <c r="AE113" s="23" t="b">
        <f>IF(Tablas!F695&gt;0,TRUE,IF('Elan y Personalización'!Z22="Si",TRUE,FALSE))</f>
        <v>1</v>
      </c>
      <c r="AO113" s="2856"/>
      <c r="AZ113" s="49"/>
    </row>
    <row r="114" spans="1:52" ht="12" customHeight="1" x14ac:dyDescent="0.2">
      <c r="A114" s="2126"/>
      <c r="B114" s="554"/>
      <c r="C114" s="3563"/>
      <c r="D114" s="3632"/>
      <c r="E114" s="3443"/>
      <c r="F114" s="3444"/>
      <c r="G114" s="3444"/>
      <c r="H114" s="3444"/>
      <c r="I114" s="3444"/>
      <c r="J114" s="3444"/>
      <c r="K114" s="3445"/>
      <c r="L114" s="1745">
        <f>IF(E114=0,0,VLOOKUP(E114,Tablas!$C$2289:$Q$2304,3,FALSE))</f>
        <v>0</v>
      </c>
      <c r="M114" s="1796"/>
      <c r="N114" s="1745">
        <f>IF(E114=0,0,VLOOKUP(E114,Tablas!$C$2289:$Q$2304,3,FALSE))</f>
        <v>0</v>
      </c>
      <c r="O114" s="191"/>
      <c r="P114" s="1745">
        <f>IF(E114=0,0,VLOOKUP(E114,Tablas!$C$2289:$Q$2304,3,FALSE))</f>
        <v>0</v>
      </c>
      <c r="Q114" s="191"/>
      <c r="R114" s="1745">
        <f>IF(E114=0,0,VLOOKUP(E114,Tablas!$C$2289:$Q$2304,3,FALSE))</f>
        <v>0</v>
      </c>
      <c r="S114" s="191"/>
      <c r="T114" s="1745">
        <f>IF(E114=0,0,VLOOKUP(E114,Tablas!$C$2289:$Q$2304,3,FALSE))</f>
        <v>0</v>
      </c>
      <c r="U114" s="191"/>
      <c r="V114" s="3399" t="str">
        <f>IF(E114=0,"",VLOOKUP(E114,Tablas!$C$2289:$Q$2304,4,FALSE))</f>
        <v/>
      </c>
      <c r="W114" s="3400"/>
      <c r="X114" s="3400"/>
      <c r="Y114" s="3400"/>
      <c r="Z114" s="3400"/>
      <c r="AA114" s="3401"/>
      <c r="AB114" s="150"/>
      <c r="AC114" s="2126"/>
      <c r="AO114" s="2856"/>
      <c r="AZ114" s="49"/>
    </row>
    <row r="115" spans="1:52" ht="12" customHeight="1" x14ac:dyDescent="0.2">
      <c r="A115" s="2126"/>
      <c r="B115" s="554"/>
      <c r="C115" s="3563"/>
      <c r="D115" s="3632"/>
      <c r="E115" s="3446"/>
      <c r="F115" s="3447"/>
      <c r="G115" s="3447"/>
      <c r="H115" s="3447"/>
      <c r="I115" s="3447"/>
      <c r="J115" s="3447"/>
      <c r="K115" s="3448"/>
      <c r="L115" s="1740">
        <f>IF(E115=0,0,VLOOKUP(E115,Tablas!$C$2289:$Q$2304,3,FALSE))</f>
        <v>0</v>
      </c>
      <c r="M115" s="1795"/>
      <c r="N115" s="1740">
        <f>IF(E115=0,0,VLOOKUP(E115,Tablas!$C$2289:$Q$2304,3,FALSE))</f>
        <v>0</v>
      </c>
      <c r="O115" s="190"/>
      <c r="P115" s="1740">
        <f>IF(E115=0,0,VLOOKUP(E115,Tablas!$C$2289:$Q$2304,3,FALSE))</f>
        <v>0</v>
      </c>
      <c r="Q115" s="190"/>
      <c r="R115" s="1740">
        <f>IF(E115=0,0,VLOOKUP(E115,Tablas!$C$2289:$Q$2304,3,FALSE))</f>
        <v>0</v>
      </c>
      <c r="S115" s="190"/>
      <c r="T115" s="1740">
        <f>IF(E115=0,0,VLOOKUP(E115,Tablas!$C$2289:$Q$2304,3,FALSE))</f>
        <v>0</v>
      </c>
      <c r="U115" s="190"/>
      <c r="V115" s="3396" t="str">
        <f>IF(E115=0,"",VLOOKUP(E115,Tablas!$C$2289:$Q$2304,4,FALSE))</f>
        <v/>
      </c>
      <c r="W115" s="3397"/>
      <c r="X115" s="3397"/>
      <c r="Y115" s="3397"/>
      <c r="Z115" s="3397"/>
      <c r="AA115" s="3398"/>
      <c r="AB115" s="150"/>
      <c r="AC115" s="2126"/>
      <c r="AD115" s="2856" t="s">
        <v>9092</v>
      </c>
      <c r="AE115" s="2857" t="str">
        <f>IF(Tablas!K33="","",IF(AND(Region="Elicia",OR(ClaseSocial=Tablas!CK37,ClaseSocial=Tablas!CL37)),"Habilidades_Secundarias","Tablas!$K$31:$K$32"))</f>
        <v/>
      </c>
      <c r="AH115" s="2897"/>
      <c r="AO115" s="2856"/>
      <c r="AZ115" s="49"/>
    </row>
    <row r="116" spans="1:52" ht="12" customHeight="1" thickBot="1" x14ac:dyDescent="0.25">
      <c r="A116" s="2126"/>
      <c r="B116" s="554"/>
      <c r="C116" s="3563"/>
      <c r="D116" s="3632"/>
      <c r="E116" s="3443"/>
      <c r="F116" s="3444"/>
      <c r="G116" s="3444"/>
      <c r="H116" s="3444"/>
      <c r="I116" s="3444"/>
      <c r="J116" s="3444"/>
      <c r="K116" s="3445"/>
      <c r="L116" s="1745">
        <f>IF(E116=0,0,VLOOKUP(E116,Tablas!$C$2289:$Q$2304,3,FALSE))</f>
        <v>0</v>
      </c>
      <c r="M116" s="1796"/>
      <c r="N116" s="1745">
        <f>IF(E116=0,0,VLOOKUP(E116,Tablas!$C$2289:$Q$2304,3,FALSE))</f>
        <v>0</v>
      </c>
      <c r="O116" s="191"/>
      <c r="P116" s="1745">
        <f>IF(E116=0,0,VLOOKUP(E116,Tablas!$C$2289:$Q$2304,3,FALSE))</f>
        <v>0</v>
      </c>
      <c r="Q116" s="191"/>
      <c r="R116" s="1745">
        <f>IF(E116=0,0,VLOOKUP(E116,Tablas!$C$2289:$Q$2304,3,FALSE))</f>
        <v>0</v>
      </c>
      <c r="S116" s="191"/>
      <c r="T116" s="1745">
        <f>IF(E116=0,0,VLOOKUP(E116,Tablas!$C$2289:$Q$2304,3,FALSE))</f>
        <v>0</v>
      </c>
      <c r="U116" s="191"/>
      <c r="V116" s="3399" t="str">
        <f>IF(E116=0,"",VLOOKUP(E116,Tablas!$C$2289:$Q$2304,4,FALSE))</f>
        <v/>
      </c>
      <c r="W116" s="3400"/>
      <c r="X116" s="3400"/>
      <c r="Y116" s="3400"/>
      <c r="Z116" s="3400"/>
      <c r="AA116" s="3401"/>
      <c r="AB116" s="150"/>
      <c r="AC116" s="2126"/>
      <c r="AD116" s="2856" t="s">
        <v>9093</v>
      </c>
      <c r="AE116" s="2857" t="str">
        <f>IF(Tablas!M33="","","Tablas!$M$31:$M$32")</f>
        <v/>
      </c>
      <c r="AO116" s="2856"/>
      <c r="AZ116" s="49"/>
    </row>
    <row r="117" spans="1:52" ht="12" customHeight="1" x14ac:dyDescent="0.2">
      <c r="A117" s="2126"/>
      <c r="B117" s="554"/>
      <c r="C117" s="3392"/>
      <c r="D117" s="3374" t="s">
        <v>2381</v>
      </c>
      <c r="E117" s="3375"/>
      <c r="F117" s="3375"/>
      <c r="G117" s="3375"/>
      <c r="H117" s="3375"/>
      <c r="I117" s="3375"/>
      <c r="J117" s="3375"/>
      <c r="K117" s="3376"/>
      <c r="L117" s="3372">
        <f>Y$5*IF(Categoría_1=0,0.5,VLOOKUP(Categoría_1,Tabla_Categorías,8,FALSE))</f>
        <v>300</v>
      </c>
      <c r="M117" s="3370">
        <f>SUM(M108:M116)</f>
        <v>0</v>
      </c>
      <c r="N117" s="3372">
        <f>SUM(Y$5:Y$7)*IF(Categoría_2=0,0,VLOOKUP(Categoría_2,Tabla_Categorías,8,FALSE))</f>
        <v>0</v>
      </c>
      <c r="O117" s="3370">
        <f>(SUM(O108:O116)+M117)*IF(Categoría_2=0,0,1)</f>
        <v>0</v>
      </c>
      <c r="P117" s="3372">
        <f>SUM(Y$5:Y$9)*IF(Categoría_3=0,0,VLOOKUP(Categoría_3,Tabla_Categorías,8,FALSE))</f>
        <v>0</v>
      </c>
      <c r="Q117" s="3376">
        <f>(SUM(Q108:Q116)+O117)*IF(Categoría_3=0,0,1)</f>
        <v>0</v>
      </c>
      <c r="R117" s="3372">
        <f>SUM(Y$5:Y$11)*IF(Categoría_4=0,0,VLOOKUP(Categoría_4,Tabla_Categorías,8,FALSE))</f>
        <v>0</v>
      </c>
      <c r="S117" s="3370">
        <f>(SUM(S108:S116)+Q117)*IF(Categoría_4=0,0,1)</f>
        <v>0</v>
      </c>
      <c r="T117" s="3372">
        <f>SUM(Y$5:Y$13)*IF(Categoría_5=0,0,VLOOKUP(Categoría_5,Tabla_Categorías,8,FALSE))</f>
        <v>0</v>
      </c>
      <c r="U117" s="3370">
        <f>(SUM(U108:U116)+S117)*IF(Categoría_5=0,0,1)</f>
        <v>0</v>
      </c>
      <c r="V117" s="3421" t="str">
        <f>IF(OR(M109&gt;L117/2,O109&gt;N117/2,Q109&gt;P117/2,S109&gt;R117/2,U109&gt;T117/2),"Exceso en Proyección Psíquica",IF(OR(M117&gt;L117,O117&gt;N117,Q117&gt;P117,S117&gt;R117,U117&gt;T117),"Exceso de PDs en Habilidades Psíquicas",""))</f>
        <v/>
      </c>
      <c r="W117" s="3422"/>
      <c r="X117" s="3422"/>
      <c r="Y117" s="3422"/>
      <c r="Z117" s="3422"/>
      <c r="AA117" s="3423"/>
      <c r="AB117" s="150"/>
      <c r="AC117" s="2126"/>
      <c r="AD117" s="2856" t="s">
        <v>9091</v>
      </c>
      <c r="AE117" s="23" t="b">
        <f>OR(IF('Elan y Personalización'!X25="",,COUNTIF(Tablas!$K$33:$K$34,'Elan y Personalización'!$X$25)=0),IF('Elan y Personalización'!X26="",,COUNTIF(Tablas!$M$33:$M$34,'Elan y Personalización'!$X$26)=0))</f>
        <v>0</v>
      </c>
      <c r="AO117" s="2856"/>
      <c r="AZ117" s="49"/>
    </row>
    <row r="118" spans="1:52" ht="12" customHeight="1" thickBot="1" x14ac:dyDescent="0.25">
      <c r="A118" s="2126"/>
      <c r="B118" s="554"/>
      <c r="C118" s="3393"/>
      <c r="D118" s="3377"/>
      <c r="E118" s="3378"/>
      <c r="F118" s="3378"/>
      <c r="G118" s="3378"/>
      <c r="H118" s="3378"/>
      <c r="I118" s="3378"/>
      <c r="J118" s="3378"/>
      <c r="K118" s="3379"/>
      <c r="L118" s="3373"/>
      <c r="M118" s="3371"/>
      <c r="N118" s="3373"/>
      <c r="O118" s="3371"/>
      <c r="P118" s="3373"/>
      <c r="Q118" s="3379"/>
      <c r="R118" s="3373"/>
      <c r="S118" s="3371"/>
      <c r="T118" s="3373"/>
      <c r="U118" s="3371"/>
      <c r="V118" s="3424"/>
      <c r="W118" s="3425"/>
      <c r="X118" s="3425"/>
      <c r="Y118" s="3425"/>
      <c r="Z118" s="3425"/>
      <c r="AA118" s="3426"/>
      <c r="AB118" s="150"/>
      <c r="AC118" s="2126"/>
      <c r="AE118" s="555" t="str">
        <f>IF(Tablas!M33="","","Tablas!$M$31:$M$32")</f>
        <v/>
      </c>
      <c r="AO118" s="2856"/>
      <c r="AZ118" s="49"/>
    </row>
    <row r="119" spans="1:52" ht="12" customHeight="1" x14ac:dyDescent="0.2">
      <c r="A119" s="2126"/>
      <c r="B119" s="554"/>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50"/>
      <c r="AC119" s="2126"/>
      <c r="AZ119" s="49"/>
    </row>
    <row r="120" spans="1:52" ht="12" customHeight="1" thickBot="1" x14ac:dyDescent="0.25">
      <c r="A120" s="2126"/>
      <c r="B120" s="560"/>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2898"/>
      <c r="AC120" s="2127"/>
      <c r="AZ120" s="49"/>
    </row>
    <row r="121" spans="1:52" ht="12" customHeight="1" thickBot="1" x14ac:dyDescent="0.25">
      <c r="A121" s="2126"/>
      <c r="B121" s="5189"/>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42"/>
      <c r="AC121" s="2127"/>
      <c r="AZ121" s="49"/>
    </row>
    <row r="122" spans="1:52" ht="12" customHeight="1" thickBot="1" x14ac:dyDescent="0.25">
      <c r="A122" s="2126"/>
      <c r="B122" s="554"/>
      <c r="AB122" s="150"/>
      <c r="AC122" s="2127"/>
      <c r="AZ122" s="49"/>
    </row>
    <row r="123" spans="1:52" ht="12" customHeight="1" thickBot="1" x14ac:dyDescent="0.25">
      <c r="A123" s="2129"/>
      <c r="B123" s="554"/>
      <c r="C123" s="49"/>
      <c r="D123" s="49"/>
      <c r="E123" s="49"/>
      <c r="F123" s="49"/>
      <c r="G123" s="49"/>
      <c r="H123" s="49"/>
      <c r="I123" s="192"/>
      <c r="J123" s="3341" t="str">
        <f>IF(Categoría_1=0,"",Categoría_1)</f>
        <v>Hechicero</v>
      </c>
      <c r="K123" s="3339"/>
      <c r="L123" s="3335" t="str">
        <f>IF(Categoría_2=0,"",Categoría_2)</f>
        <v/>
      </c>
      <c r="M123" s="3339"/>
      <c r="N123" s="3335" t="str">
        <f>IF(Categoría_3=0,"",Categoría_3)</f>
        <v/>
      </c>
      <c r="O123" s="3339"/>
      <c r="P123" s="3335" t="str">
        <f>IF(Categoría_4=0,"",Categoría_4)</f>
        <v/>
      </c>
      <c r="Q123" s="3339"/>
      <c r="R123" s="3335" t="str">
        <f>IF(Categoría_5=0,"",Categoría_5)</f>
        <v/>
      </c>
      <c r="S123" s="3336"/>
      <c r="T123" s="192"/>
      <c r="U123" s="192"/>
      <c r="V123" s="192"/>
      <c r="W123" s="73"/>
      <c r="X123" s="73"/>
      <c r="Y123" s="192"/>
      <c r="Z123" s="192"/>
      <c r="AA123" s="192"/>
      <c r="AB123" s="150"/>
      <c r="AC123" s="2126"/>
    </row>
    <row r="124" spans="1:52" ht="12" customHeight="1" thickBot="1" x14ac:dyDescent="0.25">
      <c r="A124" s="2127"/>
      <c r="B124" s="554"/>
      <c r="C124" s="192"/>
      <c r="D124" s="192"/>
      <c r="E124" s="192"/>
      <c r="F124" s="192"/>
      <c r="I124" s="192"/>
      <c r="J124" s="3342"/>
      <c r="K124" s="3340"/>
      <c r="L124" s="3337"/>
      <c r="M124" s="3340"/>
      <c r="N124" s="3337"/>
      <c r="O124" s="3340"/>
      <c r="P124" s="3337"/>
      <c r="Q124" s="3340"/>
      <c r="R124" s="3337"/>
      <c r="S124" s="3338"/>
      <c r="T124" s="192"/>
      <c r="U124" s="192"/>
      <c r="V124" s="192"/>
      <c r="W124" s="3333" t="s">
        <v>2393</v>
      </c>
      <c r="X124" s="3334"/>
      <c r="Y124" s="192"/>
      <c r="Z124" s="192"/>
      <c r="AA124" s="192"/>
      <c r="AB124" s="150"/>
      <c r="AC124" s="2126"/>
      <c r="AF124" s="2856" t="s">
        <v>3543</v>
      </c>
    </row>
    <row r="125" spans="1:52" ht="12" customHeight="1" thickBot="1" x14ac:dyDescent="0.25">
      <c r="A125" s="2127"/>
      <c r="B125" s="554"/>
      <c r="C125" s="3391" t="s">
        <v>2248</v>
      </c>
      <c r="D125" s="1846" t="s">
        <v>2252</v>
      </c>
      <c r="E125" s="3646" t="s">
        <v>2228</v>
      </c>
      <c r="F125" s="3643"/>
      <c r="G125" s="3643"/>
      <c r="H125" s="3647"/>
      <c r="I125" s="2416" t="s">
        <v>8787</v>
      </c>
      <c r="J125" s="1801" t="s">
        <v>2345</v>
      </c>
      <c r="K125" s="1847" t="s">
        <v>2230</v>
      </c>
      <c r="L125" s="1801" t="s">
        <v>2345</v>
      </c>
      <c r="M125" s="1848" t="s">
        <v>2230</v>
      </c>
      <c r="N125" s="1849" t="s">
        <v>2345</v>
      </c>
      <c r="O125" s="1847" t="s">
        <v>2230</v>
      </c>
      <c r="P125" s="1801" t="s">
        <v>2345</v>
      </c>
      <c r="Q125" s="1848" t="s">
        <v>2230</v>
      </c>
      <c r="R125" s="1849" t="s">
        <v>2345</v>
      </c>
      <c r="S125" s="1847" t="s">
        <v>2230</v>
      </c>
      <c r="T125" s="1801" t="s">
        <v>2218</v>
      </c>
      <c r="U125" s="1801" t="s">
        <v>1494</v>
      </c>
      <c r="V125" s="1801" t="s">
        <v>2262</v>
      </c>
      <c r="W125" s="1711" t="s">
        <v>2394</v>
      </c>
      <c r="X125" s="1712" t="s">
        <v>2395</v>
      </c>
      <c r="Y125" s="1801" t="s">
        <v>2396</v>
      </c>
      <c r="Z125" s="1801" t="s">
        <v>2272</v>
      </c>
      <c r="AA125" s="1850" t="s">
        <v>2202</v>
      </c>
      <c r="AB125" s="150"/>
      <c r="AC125" s="2126"/>
      <c r="AD125" s="2856" t="s">
        <v>9585</v>
      </c>
      <c r="AE125" s="2856" t="s">
        <v>9587</v>
      </c>
      <c r="AF125" s="2856" t="s">
        <v>9089</v>
      </c>
      <c r="AG125" s="2856" t="s">
        <v>9090</v>
      </c>
      <c r="AH125" s="2885" t="s">
        <v>2332</v>
      </c>
      <c r="AI125" s="2856" t="s">
        <v>8907</v>
      </c>
      <c r="AJ125" s="2856" t="s">
        <v>8891</v>
      </c>
      <c r="AL125" s="27" t="s">
        <v>9946</v>
      </c>
      <c r="AN125" s="27" t="s">
        <v>9944</v>
      </c>
      <c r="AP125" s="27" t="s">
        <v>9945</v>
      </c>
      <c r="AR125" s="27" t="s">
        <v>9948</v>
      </c>
      <c r="AT125" s="27" t="s">
        <v>9947</v>
      </c>
    </row>
    <row r="126" spans="1:52" ht="12" customHeight="1" x14ac:dyDescent="0.2">
      <c r="A126" s="2127"/>
      <c r="B126" s="554" t="str">
        <f>D126</f>
        <v>Atléticas</v>
      </c>
      <c r="C126" s="3392"/>
      <c r="D126" s="3345" t="s">
        <v>2257</v>
      </c>
      <c r="E126" s="3394" t="s">
        <v>2258</v>
      </c>
      <c r="F126" s="3395"/>
      <c r="G126" s="3395"/>
      <c r="H126" s="2452" t="s">
        <v>2226</v>
      </c>
      <c r="I126" s="2405"/>
      <c r="J126" s="1721">
        <f>IF(ISNA(AL126),0,MAX(MIN(AL126-Tablas!$F$495-Tablas!$N472-2*Tablas!$P472-3*Tablas!$R472,3),1))</f>
        <v>2</v>
      </c>
      <c r="K126" s="1720"/>
      <c r="L126" s="1721">
        <f>IF(ISNA(AN126),0,MAX(MIN(AN126-Tablas!$F$495-Tablas!$N472-2*Tablas!$P472-3*Tablas!$R472,3),1))</f>
        <v>0</v>
      </c>
      <c r="M126" s="1722"/>
      <c r="N126" s="1719">
        <f>IF(ISNA(AP126),0,MAX(MIN(AP126-Tablas!$F$495-Tablas!$N472-2*Tablas!$P472-3*Tablas!$R472,3),1))</f>
        <v>0</v>
      </c>
      <c r="O126" s="1720"/>
      <c r="P126" s="1721">
        <f>IF(ISNA(AR126),0,MAX(MIN(AR126-Tablas!$F$495-Tablas!$N472-2*Tablas!$P472-3*Tablas!$R472,3),1))</f>
        <v>0</v>
      </c>
      <c r="Q126" s="1722"/>
      <c r="R126" s="1719">
        <f>IF(ISNA(AT126),0,MAX(MIN(AT126-Tablas!$F$495-Tablas!$N472-2*Tablas!$P472-3*Tablas!$R472,3),1))</f>
        <v>0</v>
      </c>
      <c r="S126" s="1720"/>
      <c r="T126" s="1723">
        <f t="shared" ref="T126:T143" si="6">IF(J126=0,0,TRUNC(K126/J126,0))+IF(L126=0,0,TRUNC(M126/L126,0))+IF(N126=0,0,TRUNC(O126/N126,0))+IF(P126=0,0,TRUNC(Q126/P126,0))+IF(R126=0,0,TRUNC(S126/R126,0))</f>
        <v>0</v>
      </c>
      <c r="U126" s="1723">
        <f>MIN(VLOOKUP($H126,Principal!$D$11:$H$18,5)*(1+W126)+10*Tablas!$F$518+10*X126,100)</f>
        <v>10</v>
      </c>
      <c r="V126" s="1723">
        <f>IF(ISNA(AE126),0,AE126)+Tablas!$Y472*Nivel_Total+10*Y126</f>
        <v>0</v>
      </c>
      <c r="W126" s="1724"/>
      <c r="X126" s="1720"/>
      <c r="Y126" s="1722"/>
      <c r="Z126" s="1725"/>
      <c r="AA126" s="1726">
        <f>IF(AND(T126&lt;5,Tablas!F$518=0),-30,0)+T126+U126+V126+Z126+IF(I126="",0,40)+Combate!$AB$15+AD126+AF126</f>
        <v>-20</v>
      </c>
      <c r="AB126" s="153">
        <f>IF(AA126="-",0,IF(AA126&gt;VLOOKUP(Nivel_Total,Tabla_LímiteSecundarias,2),1,0))</f>
        <v>0</v>
      </c>
      <c r="AC126" s="2126"/>
      <c r="AD126" s="2899">
        <f>IF('Tablas psiquica'!AF$66&gt;0,'Tablas psiquica'!$AF$66*INDEX('Tablas psiquica'!$V$66:$AE$66,MATCH('Tablas psiquica'!$AG$66,'Tablas psiquica'!$V$6:$AE$6,0)),0)+IF('Tablas psiquica'!$AF$68&gt;0,'Tablas psiquica'!$AF$68*INDEX('Tablas psiquica'!$V$68:$AE$68,MATCH('Tablas psiquica'!$AG$68,'Tablas psiquica'!$V$6:$AE$6,0)),0)</f>
        <v>0</v>
      </c>
      <c r="AE126" s="2857">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896">
        <f t="shared" ref="AF126:AF157" si="7">IF(AE$113,IF(OR(Region="",ClaseSocial="",$AE$117),0,IF(OR(AND(AI126,AJ126),AND(NOT(AI126),NOT(AJ126))),LEFT(AG126,2)+LEFT(AH126,2),0)),0)</f>
        <v>0</v>
      </c>
      <c r="AG126" s="2856" t="e">
        <f>HLOOKUP(Region&amp;ClaseSocial,Tabla_RaicesCulturales,Tablas!E39,FALSE)</f>
        <v>#N/A</v>
      </c>
      <c r="AH126" s="2857">
        <f>IF(AND(E126="Historia",'Elan y Personalización'!$X$26="Historia (Local)"),20&amp;" "&amp;'Elan y Personalización'!$X$26,IF(OR(E126='Elan y Personalización'!$X$25,E126='Elan y Personalización'!$X$26),VLOOKUP(E126,Tablas!$K$33:$L$34,2,FALSE),0))</f>
        <v>0</v>
      </c>
      <c r="AI126" s="2857" t="b">
        <f t="shared" ref="AI126:AI143" si="8">OR(ISNUMBER(FIND("(",AG126)),ISNUMBER(FIND("(",AH126)))</f>
        <v>0</v>
      </c>
      <c r="AJ126" s="2857" t="b">
        <f t="shared" ref="AJ126:AJ143" si="9">AND(NOT(I126=""),OR(ISNUMBER(SEARCH(I126,AG126)),ISNUMBER(SEARCH(I126,AH126))))</f>
        <v>0</v>
      </c>
      <c r="AL126" s="27">
        <f>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7" t="e">
        <f>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7" t="e">
        <f>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7" t="e">
        <f>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7" t="e">
        <f>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127"/>
      <c r="B127" s="554" t="str">
        <f>B126</f>
        <v>Atléticas</v>
      </c>
      <c r="C127" s="3392"/>
      <c r="D127" s="3204"/>
      <c r="E127" s="3323" t="s">
        <v>2260</v>
      </c>
      <c r="F127" s="3324"/>
      <c r="G127" s="3324"/>
      <c r="H127" s="2453" t="s">
        <v>2226</v>
      </c>
      <c r="I127" s="2406"/>
      <c r="J127" s="228">
        <f>IF(ISNA(AL127),0,MAX(MIN(AL127-Tablas!$F$495-Tablas!$N473-2*Tablas!$P473-3*Tablas!$R473,3),1))</f>
        <v>2</v>
      </c>
      <c r="K127" s="1698"/>
      <c r="L127" s="228">
        <f>IF(ISNA(AN127),0,MAX(MIN(AN127-Tablas!$F$495-Tablas!$N473-2*Tablas!$P473-3*Tablas!$R473,3),1))</f>
        <v>0</v>
      </c>
      <c r="M127" s="208"/>
      <c r="N127" s="1362">
        <f>IF(ISNA(AP127),0,MAX(MIN(AP127-Tablas!$F$495-Tablas!$N473-2*Tablas!$P473-3*Tablas!$R473,3),1))</f>
        <v>0</v>
      </c>
      <c r="O127" s="1698"/>
      <c r="P127" s="228">
        <f>IF(ISNA(AR127),0,MAX(MIN(AR127-Tablas!$F$495-Tablas!$N473-2*Tablas!$P473-3*Tablas!$R473,3),1))</f>
        <v>0</v>
      </c>
      <c r="Q127" s="208"/>
      <c r="R127" s="1362">
        <f>IF(ISNA(AT127),0,MAX(MIN(AT127-Tablas!$F$495-Tablas!$N473-2*Tablas!$P473-3*Tablas!$R473,3),1))</f>
        <v>0</v>
      </c>
      <c r="S127" s="1698"/>
      <c r="T127" s="1706">
        <f t="shared" si="6"/>
        <v>0</v>
      </c>
      <c r="U127" s="1706">
        <f>MIN(VLOOKUP($H127,Principal!$D$11:$H$18,5)*(1+W127)+10*Tablas!$F$518+10*X127,100)</f>
        <v>10</v>
      </c>
      <c r="V127" s="1706">
        <f>IF(ISNA(AE127),0,AE127)+Tablas!$Y473*Nivel_Total+10*Y127</f>
        <v>0</v>
      </c>
      <c r="W127" s="1714"/>
      <c r="X127" s="1698"/>
      <c r="Y127" s="208"/>
      <c r="Z127" s="225"/>
      <c r="AA127" s="1727">
        <f>IF(AND(T127&lt;5,Tablas!F$518=0),-30,0)+T127+U127+V127+Z127+IF(I127="",0,40)+Combate!$AB$15+AD127+AF127</f>
        <v>-20</v>
      </c>
      <c r="AB127" s="153">
        <f>IF(AA127="-",0,IF(AA127&gt;VLOOKUP(Nivel_Total,Tabla_LímiteSecundarias,2),1,0))</f>
        <v>0</v>
      </c>
      <c r="AC127" s="2126"/>
      <c r="AD127" s="2856">
        <f>IF('Tablas psiquica'!$AF$68&gt;0,'Tablas psiquica'!$AF$68*INDEX('Tablas psiquica'!$V$68:$AE$68,MATCH('Tablas psiquica'!$AG$68,'Tablas psiquica'!$V$6:$AE$6,0)),0)</f>
        <v>0</v>
      </c>
      <c r="AE127" s="2857">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896">
        <f t="shared" si="7"/>
        <v>0</v>
      </c>
      <c r="AG127" s="2856" t="e">
        <f>HLOOKUP(Region&amp;ClaseSocial,Tabla_RaicesCulturales,Tablas!E40,FALSE)</f>
        <v>#N/A</v>
      </c>
      <c r="AH127" s="2857">
        <f>IF(AND(E127="Historia",'Elan y Personalización'!$X$26="Historia (Local)"),20&amp;" "&amp;'Elan y Personalización'!$X$26,IF(OR(E127='Elan y Personalización'!$X$25,E127='Elan y Personalización'!$X$26),VLOOKUP(E127,Tablas!$K$33:$L$34,2,FALSE),0))</f>
        <v>0</v>
      </c>
      <c r="AI127" s="2857" t="b">
        <f t="shared" si="8"/>
        <v>0</v>
      </c>
      <c r="AJ127" s="2857" t="b">
        <f t="shared" si="9"/>
        <v>0</v>
      </c>
      <c r="AL127" s="27">
        <f>IF(ISNUMBER(MATCH("Coste"&amp;$E127,Name_Tabla_Cat,0)),MIN(VLOOKUP(Categoría_1,Tabla_Categorías,MATCH("Coste"&amp;$E127,Name_Tabla_Cat,0),FALSE),VLOOKUP(Categoría_1,Tabla_Categorías,MATCH("Coste"&amp;$B127,Name_Tabla_Cat,0),FALSE)),VLOOKUP(Categoría_1,Tabla_Categorías,MATCH("Coste"&amp;$B127,Name_Tabla_Cat,0),FALSE))</f>
        <v>2</v>
      </c>
      <c r="AN127" s="27" t="e">
        <f>IF(ISNUMBER(MATCH("Coste"&amp;$E127,Name_Tabla_Cat,0)),MIN(VLOOKUP(Categoría_2,Tabla_Categorías,MATCH("Coste"&amp;$E127,Name_Tabla_Cat,0),FALSE),VLOOKUP(Categoría_2,Tabla_Categorías,MATCH("Coste"&amp;$B127,Name_Tabla_Cat,0),FALSE)),VLOOKUP(Categoría_2,Tabla_Categorías,MATCH("Coste"&amp;$B127,Name_Tabla_Cat,0),FALSE))</f>
        <v>#N/A</v>
      </c>
      <c r="AP127" s="27" t="e">
        <f>IF(ISNUMBER(MATCH("Coste"&amp;$E127,Name_Tabla_Cat,0)),MIN(VLOOKUP(Categoría_3,Tabla_Categorías,MATCH("Coste"&amp;$E127,Name_Tabla_Cat,0),FALSE),VLOOKUP(Categoría_3,Tabla_Categorías,MATCH("Coste"&amp;$B127,Name_Tabla_Cat,0),FALSE)),VLOOKUP(Categoría_3,Tabla_Categorías,MATCH("Coste"&amp;$B127,Name_Tabla_Cat,0),FALSE))</f>
        <v>#N/A</v>
      </c>
      <c r="AR127" s="27" t="e">
        <f>IF(ISNUMBER(MATCH("Coste"&amp;$E127,Name_Tabla_Cat,0)),MIN(VLOOKUP(Categoría_4,Tabla_Categorías,MATCH("Coste"&amp;$E127,Name_Tabla_Cat,0),FALSE),VLOOKUP(Categoría_4,Tabla_Categorías,MATCH("Coste"&amp;$B127,Name_Tabla_Cat,0),FALSE)),VLOOKUP(Categoría_4,Tabla_Categorías,MATCH("Coste"&amp;$B127,Name_Tabla_Cat,0),FALSE))</f>
        <v>#N/A</v>
      </c>
      <c r="AT127" s="27" t="e">
        <f>IF(ISNUMBER(MATCH("Coste"&amp;$E127,Name_Tabla_Cat,0)),MIN(VLOOKUP(Categoría_5,Tabla_Categorías,MATCH("Coste"&amp;$E127,Name_Tabla_Cat,0),FALSE),VLOOKUP(Categoría_5,Tabla_Categorías,MATCH("Coste"&amp;$B127,Name_Tabla_Cat,0),FALSE)),VLOOKUP(Categoría_5,Tabla_Categorías,MATCH("Coste"&amp;$B127,Name_Tabla_Cat,0),FALSE))</f>
        <v>#N/A</v>
      </c>
    </row>
    <row r="128" spans="1:52" ht="12" customHeight="1" x14ac:dyDescent="0.2">
      <c r="A128" s="2127"/>
      <c r="B128" s="554" t="str">
        <f t="shared" ref="B128:B132" si="10">B127</f>
        <v>Atléticas</v>
      </c>
      <c r="C128" s="3392"/>
      <c r="D128" s="3204"/>
      <c r="E128" s="3325" t="s">
        <v>2263</v>
      </c>
      <c r="F128" s="3326"/>
      <c r="G128" s="3326"/>
      <c r="H128" s="2454" t="s">
        <v>2226</v>
      </c>
      <c r="I128" s="2407"/>
      <c r="J128" s="229">
        <f>IF(ISNA(AL128),0,MAX(MIN(AL128-Tablas!$F$495-Tablas!$N474-2*Tablas!$P474-3*Tablas!$R474,3),1))</f>
        <v>2</v>
      </c>
      <c r="K128" s="1699"/>
      <c r="L128" s="229">
        <f>IF(ISNA(AN128),0,MAX(MIN(AN128-Tablas!$F$495-Tablas!$N474-2*Tablas!$P474-3*Tablas!$R474,3),1))</f>
        <v>0</v>
      </c>
      <c r="M128" s="1736"/>
      <c r="N128" s="1364">
        <f>IF(ISNA(AP128),0,MAX(MIN(AP128-Tablas!$F$495-Tablas!$N474-2*Tablas!$P474-3*Tablas!$R474,3),1))</f>
        <v>0</v>
      </c>
      <c r="O128" s="1699"/>
      <c r="P128" s="229">
        <f>IF(ISNA(AR128),0,MAX(MIN(AR128-Tablas!$F$495-Tablas!$N474-2*Tablas!$P474-3*Tablas!$R474,3),1))</f>
        <v>0</v>
      </c>
      <c r="Q128" s="1736"/>
      <c r="R128" s="1364">
        <f>IF(ISNA(AT128),0,MAX(MIN(AT128-Tablas!$F$495-Tablas!$N474-2*Tablas!$P474-3*Tablas!$R474,3),1))</f>
        <v>0</v>
      </c>
      <c r="S128" s="1699"/>
      <c r="T128" s="1707">
        <f t="shared" si="6"/>
        <v>0</v>
      </c>
      <c r="U128" s="1707">
        <f>MIN(VLOOKUP($H128,Principal!$D$11:$H$18,5)*(1+W128)+10*Tablas!$F$518+10*X128,100)</f>
        <v>10</v>
      </c>
      <c r="V128" s="1707">
        <f>IF(ISNA(AE128),0,AE128)+Tablas!$Y474*Nivel_Total+10*Y128</f>
        <v>0</v>
      </c>
      <c r="W128" s="1715"/>
      <c r="X128" s="1699"/>
      <c r="Y128" s="1736"/>
      <c r="Z128" s="226"/>
      <c r="AA128" s="1728">
        <f>IF(AND(T128&lt;5,Tablas!F$518=0),-30,0)+T128+U128+V128+Z128+IF(I128="",0,40)+Combate!$AB$15+AD128+AF128</f>
        <v>-20</v>
      </c>
      <c r="AB128" s="153">
        <f>IF(AA128="-",0,IF(AA128&gt;VLOOKUP(Nivel_Total,Tabla_LímiteSecundarias,2),1,0))</f>
        <v>0</v>
      </c>
      <c r="AC128" s="2126"/>
      <c r="AD128" s="2856">
        <f>IF('Tablas psiquica'!$AF$68&gt;0,'Tablas psiquica'!$AF$68*INDEX('Tablas psiquica'!$V$68:$AE$68,MATCH('Tablas psiquica'!$AG$68,'Tablas psiquica'!$V$6:$AE$6,0)),0)</f>
        <v>0</v>
      </c>
      <c r="AE128" s="2857"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896">
        <f t="shared" si="7"/>
        <v>0</v>
      </c>
      <c r="AG128" s="2856" t="e">
        <f>HLOOKUP(Region&amp;ClaseSocial,Tabla_RaicesCulturales,Tablas!E41,FALSE)</f>
        <v>#N/A</v>
      </c>
      <c r="AH128" s="2857">
        <f>IF(AND(E128="Historia",'Elan y Personalización'!$X$26="Historia (Local)"),20&amp;" "&amp;'Elan y Personalización'!$X$26,IF(OR(E128='Elan y Personalización'!$X$25,E128='Elan y Personalización'!$X$26),VLOOKUP(E128,Tablas!$K$33:$L$34,2,FALSE),0))</f>
        <v>0</v>
      </c>
      <c r="AI128" s="2857" t="b">
        <f t="shared" si="8"/>
        <v>0</v>
      </c>
      <c r="AJ128" s="2857" t="b">
        <f t="shared" si="9"/>
        <v>0</v>
      </c>
      <c r="AL128" s="27">
        <f>IF(ISNUMBER(MATCH("Coste"&amp;$E128,Name_Tabla_Cat,0)),MIN(VLOOKUP(Categoría_1,Tabla_Categorías,MATCH("Coste"&amp;$E128,Name_Tabla_Cat,0),FALSE),VLOOKUP(Categoría_1,Tabla_Categorías,MATCH("Coste"&amp;$B128,Name_Tabla_Cat,0),FALSE)),VLOOKUP(Categoría_1,Tabla_Categorías,MATCH("Coste"&amp;$B128,Name_Tabla_Cat,0),FALSE))</f>
        <v>2</v>
      </c>
      <c r="AN128" s="27" t="e">
        <f>IF(ISNUMBER(MATCH("Coste"&amp;$E128,Name_Tabla_Cat,0)),MIN(VLOOKUP(Categoría_2,Tabla_Categorías,MATCH("Coste"&amp;$E128,Name_Tabla_Cat,0),FALSE),VLOOKUP(Categoría_2,Tabla_Categorías,MATCH("Coste"&amp;$B128,Name_Tabla_Cat,0),FALSE)),VLOOKUP(Categoría_2,Tabla_Categorías,MATCH("Coste"&amp;$B128,Name_Tabla_Cat,0),FALSE))</f>
        <v>#N/A</v>
      </c>
      <c r="AP128" s="27" t="e">
        <f>IF(ISNUMBER(MATCH("Coste"&amp;$E128,Name_Tabla_Cat,0)),MIN(VLOOKUP(Categoría_3,Tabla_Categorías,MATCH("Coste"&amp;$E128,Name_Tabla_Cat,0),FALSE),VLOOKUP(Categoría_3,Tabla_Categorías,MATCH("Coste"&amp;$B128,Name_Tabla_Cat,0),FALSE)),VLOOKUP(Categoría_3,Tabla_Categorías,MATCH("Coste"&amp;$B128,Name_Tabla_Cat,0),FALSE))</f>
        <v>#N/A</v>
      </c>
      <c r="AR128" s="27" t="e">
        <f>IF(ISNUMBER(MATCH("Coste"&amp;$E128,Name_Tabla_Cat,0)),MIN(VLOOKUP(Categoría_4,Tabla_Categorías,MATCH("Coste"&amp;$E128,Name_Tabla_Cat,0),FALSE),VLOOKUP(Categoría_4,Tabla_Categorías,MATCH("Coste"&amp;$B128,Name_Tabla_Cat,0),FALSE)),VLOOKUP(Categoría_4,Tabla_Categorías,MATCH("Coste"&amp;$B128,Name_Tabla_Cat,0),FALSE))</f>
        <v>#N/A</v>
      </c>
      <c r="AT128" s="27" t="e">
        <f>IF(ISNUMBER(MATCH("Coste"&amp;$E128,Name_Tabla_Cat,0)),MIN(VLOOKUP(Categoría_5,Tabla_Categorías,MATCH("Coste"&amp;$E128,Name_Tabla_Cat,0),FALSE),VLOOKUP(Categoría_5,Tabla_Categorías,MATCH("Coste"&amp;$B128,Name_Tabla_Cat,0),FALSE)),VLOOKUP(Categoría_5,Tabla_Categorías,MATCH("Coste"&amp;$B128,Name_Tabla_Cat,0),FALSE))</f>
        <v>#N/A</v>
      </c>
    </row>
    <row r="129" spans="1:46" ht="12" customHeight="1" x14ac:dyDescent="0.2">
      <c r="A129" s="2127"/>
      <c r="B129" s="554" t="str">
        <f t="shared" si="10"/>
        <v>Atléticas</v>
      </c>
      <c r="C129" s="3392"/>
      <c r="D129" s="3204"/>
      <c r="E129" s="3323" t="s">
        <v>2267</v>
      </c>
      <c r="F129" s="3324"/>
      <c r="G129" s="3324"/>
      <c r="H129" s="2453" t="s">
        <v>2226</v>
      </c>
      <c r="I129" s="2406"/>
      <c r="J129" s="228">
        <f>IF(ISNA(AL129),0,MAX(MIN(AL129-Tablas!$F$495-Tablas!$N475-2*Tablas!$P475-3*Tablas!$R475,3),1))</f>
        <v>2</v>
      </c>
      <c r="K129" s="1698"/>
      <c r="L129" s="228">
        <f>IF(ISNA(AN129),0,MAX(MIN(AN129-Tablas!$F$495-Tablas!$N475-2*Tablas!$P475-3*Tablas!$R475,3),1))</f>
        <v>0</v>
      </c>
      <c r="M129" s="208"/>
      <c r="N129" s="1362">
        <f>IF(ISNA(AP129),0,MAX(MIN(AP129-Tablas!$F$495-Tablas!$N475-2*Tablas!$P475-3*Tablas!$R475,3),1))</f>
        <v>0</v>
      </c>
      <c r="O129" s="1698"/>
      <c r="P129" s="228">
        <f>IF(ISNA(AR129),0,MAX(MIN(AR129-Tablas!$F$495-Tablas!$N475-2*Tablas!$P475-3*Tablas!$R475,3),1))</f>
        <v>0</v>
      </c>
      <c r="Q129" s="208"/>
      <c r="R129" s="1362">
        <f>IF(ISNA(AT129),0,MAX(MIN(AT129-Tablas!$F$495-Tablas!$N475-2*Tablas!$P475-3*Tablas!$R475,3),1))</f>
        <v>0</v>
      </c>
      <c r="S129" s="1698"/>
      <c r="T129" s="1706">
        <f t="shared" si="6"/>
        <v>0</v>
      </c>
      <c r="U129" s="1706">
        <f>MIN(VLOOKUP($H129,Principal!$D$11:$H$18,5)*(1+W129)+10*Tablas!$F$518+10*X129,100)</f>
        <v>10</v>
      </c>
      <c r="V129" s="1706">
        <f>IF(ISNA(AE129),0,AE129)+Tablas!$Y475*Nivel_Total+10*Y129</f>
        <v>0</v>
      </c>
      <c r="W129" s="1714"/>
      <c r="X129" s="1698"/>
      <c r="Y129" s="208"/>
      <c r="Z129" s="225"/>
      <c r="AA129" s="1727">
        <f>IF(AND(T129&lt;5,Tablas!F$518=0),-30,0)+T129+U129+V129+Z129+IF(I129="",0,40)+Combate!$AB$15+AD129+AF129</f>
        <v>-20</v>
      </c>
      <c r="AB129" s="153">
        <f>IF(AA129="-",0,IF(AA129&gt;VLOOKUP(Nivel_Total,Tabla_LímiteSecundarias,2),1,0))</f>
        <v>0</v>
      </c>
      <c r="AC129" s="2126"/>
      <c r="AD129" s="2856">
        <f>IF('Tablas psiquica'!$AF$68&gt;0,'Tablas psiquica'!$AF$68*INDEX('Tablas psiquica'!$V$68:$AE$68,MATCH('Tablas psiquica'!$AG$68,'Tablas psiquica'!$V$6:$AE$6,0)),0)</f>
        <v>0</v>
      </c>
      <c r="AE129" s="2857"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896">
        <f t="shared" si="7"/>
        <v>0</v>
      </c>
      <c r="AG129" s="2856" t="e">
        <f>HLOOKUP(Region&amp;ClaseSocial,Tabla_RaicesCulturales,Tablas!E42,FALSE)</f>
        <v>#N/A</v>
      </c>
      <c r="AH129" s="2857">
        <f>IF(AND(E129="Historia",'Elan y Personalización'!$X$26="Historia (Local)"),20&amp;" "&amp;'Elan y Personalización'!$X$26,IF(OR(E129='Elan y Personalización'!$X$25,E129='Elan y Personalización'!$X$26),VLOOKUP(E129,Tablas!$K$33:$L$34,2,FALSE),0))</f>
        <v>0</v>
      </c>
      <c r="AI129" s="2857" t="b">
        <f t="shared" si="8"/>
        <v>0</v>
      </c>
      <c r="AJ129" s="2857" t="b">
        <f t="shared" si="9"/>
        <v>0</v>
      </c>
      <c r="AL129" s="27">
        <f>IF(ISNUMBER(MATCH("Coste"&amp;$E129,Name_Tabla_Cat,0)),MIN(VLOOKUP(Categoría_1,Tabla_Categorías,MATCH("Coste"&amp;$E129,Name_Tabla_Cat,0),FALSE),VLOOKUP(Categoría_1,Tabla_Categorías,MATCH("Coste"&amp;$B129,Name_Tabla_Cat,0),FALSE)),VLOOKUP(Categoría_1,Tabla_Categorías,MATCH("Coste"&amp;$B129,Name_Tabla_Cat,0),FALSE))</f>
        <v>2</v>
      </c>
      <c r="AN129" s="27" t="e">
        <f>IF(ISNUMBER(MATCH("Coste"&amp;$E129,Name_Tabla_Cat,0)),MIN(VLOOKUP(Categoría_2,Tabla_Categorías,MATCH("Coste"&amp;$E129,Name_Tabla_Cat,0),FALSE),VLOOKUP(Categoría_2,Tabla_Categorías,MATCH("Coste"&amp;$B129,Name_Tabla_Cat,0),FALSE)),VLOOKUP(Categoría_2,Tabla_Categorías,MATCH("Coste"&amp;$B129,Name_Tabla_Cat,0),FALSE))</f>
        <v>#N/A</v>
      </c>
      <c r="AP129" s="27" t="e">
        <f>IF(ISNUMBER(MATCH("Coste"&amp;$E129,Name_Tabla_Cat,0)),MIN(VLOOKUP(Categoría_3,Tabla_Categorías,MATCH("Coste"&amp;$E129,Name_Tabla_Cat,0),FALSE),VLOOKUP(Categoría_3,Tabla_Categorías,MATCH("Coste"&amp;$B129,Name_Tabla_Cat,0),FALSE)),VLOOKUP(Categoría_3,Tabla_Categorías,MATCH("Coste"&amp;$B129,Name_Tabla_Cat,0),FALSE))</f>
        <v>#N/A</v>
      </c>
      <c r="AR129" s="27" t="e">
        <f>IF(ISNUMBER(MATCH("Coste"&amp;$E129,Name_Tabla_Cat,0)),MIN(VLOOKUP(Categoría_4,Tabla_Categorías,MATCH("Coste"&amp;$E129,Name_Tabla_Cat,0),FALSE),VLOOKUP(Categoría_4,Tabla_Categorías,MATCH("Coste"&amp;$B129,Name_Tabla_Cat,0),FALSE)),VLOOKUP(Categoría_4,Tabla_Categorías,MATCH("Coste"&amp;$B129,Name_Tabla_Cat,0),FALSE))</f>
        <v>#N/A</v>
      </c>
      <c r="AT129" s="27" t="e">
        <f>IF(ISNUMBER(MATCH("Coste"&amp;$E129,Name_Tabla_Cat,0)),MIN(VLOOKUP(Categoría_5,Tabla_Categorías,MATCH("Coste"&amp;$E129,Name_Tabla_Cat,0),FALSE),VLOOKUP(Categoría_5,Tabla_Categorías,MATCH("Coste"&amp;$B129,Name_Tabla_Cat,0),FALSE)),VLOOKUP(Categoría_5,Tabla_Categorías,MATCH("Coste"&amp;$B129,Name_Tabla_Cat,0),FALSE))</f>
        <v>#N/A</v>
      </c>
    </row>
    <row r="130" spans="1:46" ht="12" customHeight="1" x14ac:dyDescent="0.2">
      <c r="A130" s="2127"/>
      <c r="B130" s="554" t="str">
        <f t="shared" si="10"/>
        <v>Atléticas</v>
      </c>
      <c r="C130" s="3392"/>
      <c r="D130" s="3204"/>
      <c r="E130" s="3325" t="s">
        <v>2270</v>
      </c>
      <c r="F130" s="3326"/>
      <c r="G130" s="3326"/>
      <c r="H130" s="2454" t="s">
        <v>2226</v>
      </c>
      <c r="I130" s="2407"/>
      <c r="J130" s="229">
        <f>IF(ISNA(AL130),0,MAX(MIN(AL130-Tablas!$F$495-Tablas!$N476-2*Tablas!$P476-3*Tablas!$R476,3),1))</f>
        <v>2</v>
      </c>
      <c r="K130" s="1699"/>
      <c r="L130" s="229">
        <f>IF(ISNA(AN130),0,MAX(MIN(AN130-Tablas!$F$495-Tablas!$N476-2*Tablas!$P476-3*Tablas!$R476,3),1))</f>
        <v>0</v>
      </c>
      <c r="M130" s="1736"/>
      <c r="N130" s="1364">
        <f>IF(ISNA(AP130),0,MAX(MIN(AP130-Tablas!$F$495-Tablas!$N476-2*Tablas!$P476-3*Tablas!$R476,3),1))</f>
        <v>0</v>
      </c>
      <c r="O130" s="1699"/>
      <c r="P130" s="229">
        <f>IF(ISNA(AR130),0,MAX(MIN(AR130-Tablas!$F$495-Tablas!$N476-2*Tablas!$P476-3*Tablas!$R476,3),1))</f>
        <v>0</v>
      </c>
      <c r="Q130" s="1736"/>
      <c r="R130" s="1364">
        <f>IF(ISNA(AT130),0,MAX(MIN(AT130-Tablas!$F$495-Tablas!$N476-2*Tablas!$P476-3*Tablas!$R476,3),1))</f>
        <v>0</v>
      </c>
      <c r="S130" s="1699"/>
      <c r="T130" s="1707">
        <f t="shared" si="6"/>
        <v>0</v>
      </c>
      <c r="U130" s="1707">
        <f>MIN(VLOOKUP($H130,Principal!$D$11:$H$18,5)*(1+W130)+10*Tablas!$F$518+10*X130,100)</f>
        <v>10</v>
      </c>
      <c r="V130" s="1707">
        <f>IF(ISNA(AE130),0,AE130)+Tablas!$Y476*Nivel_Total+10*Y130</f>
        <v>0</v>
      </c>
      <c r="W130" s="1715"/>
      <c r="X130" s="1699"/>
      <c r="Y130" s="1736"/>
      <c r="Z130" s="226"/>
      <c r="AA130" s="1728">
        <f>IF(AND(T130&lt;5,Tablas!F$518=0),-30,0)+T130+U130+V130+Z130+IF(I130="",0,40)+Combate!$AB$15+AD130+AF130</f>
        <v>-20</v>
      </c>
      <c r="AB130" s="153">
        <f>IF(AA130="-",0,IF(AA130&gt;VLOOKUP(Nivel_Total,Tabla_LímiteSecundarias,2),1,0))</f>
        <v>0</v>
      </c>
      <c r="AC130" s="2126"/>
      <c r="AD130" s="2856">
        <f>IF('Tablas psiquica'!$AF$68&gt;0,'Tablas psiquica'!$AF$68*INDEX('Tablas psiquica'!$V$68:$AE$68,MATCH('Tablas psiquica'!$AG$68,'Tablas psiquica'!$V$6:$AE$6,0)),0)</f>
        <v>0</v>
      </c>
      <c r="AE130" s="2857"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896">
        <f t="shared" si="7"/>
        <v>0</v>
      </c>
      <c r="AG130" s="2856" t="e">
        <f>HLOOKUP(Region&amp;ClaseSocial,Tabla_RaicesCulturales,Tablas!E43,FALSE)</f>
        <v>#N/A</v>
      </c>
      <c r="AH130" s="2857">
        <f>IF(AND(E130="Historia",'Elan y Personalización'!$X$26="Historia (Local)"),20&amp;" "&amp;'Elan y Personalización'!$X$26,IF(OR(E130='Elan y Personalización'!$X$25,E130='Elan y Personalización'!$X$26),VLOOKUP(E130,Tablas!$K$33:$L$34,2,FALSE),0))</f>
        <v>0</v>
      </c>
      <c r="AI130" s="2857" t="b">
        <f t="shared" si="8"/>
        <v>0</v>
      </c>
      <c r="AJ130" s="2857" t="b">
        <f t="shared" si="9"/>
        <v>0</v>
      </c>
      <c r="AL130" s="27">
        <f>IF(ISNUMBER(MATCH("Coste"&amp;$E130,Name_Tabla_Cat,0)),MIN(VLOOKUP(Categoría_1,Tabla_Categorías,MATCH("Coste"&amp;$E130,Name_Tabla_Cat,0),FALSE),VLOOKUP(Categoría_1,Tabla_Categorías,MATCH("Coste"&amp;$B130,Name_Tabla_Cat,0),FALSE)),VLOOKUP(Categoría_1,Tabla_Categorías,MATCH("Coste"&amp;$B130,Name_Tabla_Cat,0),FALSE))</f>
        <v>2</v>
      </c>
      <c r="AN130" s="27" t="e">
        <f>IF(ISNUMBER(MATCH("Coste"&amp;$E130,Name_Tabla_Cat,0)),MIN(VLOOKUP(Categoría_2,Tabla_Categorías,MATCH("Coste"&amp;$E130,Name_Tabla_Cat,0),FALSE),VLOOKUP(Categoría_2,Tabla_Categorías,MATCH("Coste"&amp;$B130,Name_Tabla_Cat,0),FALSE)),VLOOKUP(Categoría_2,Tabla_Categorías,MATCH("Coste"&amp;$B130,Name_Tabla_Cat,0),FALSE))</f>
        <v>#N/A</v>
      </c>
      <c r="AP130" s="27" t="e">
        <f>IF(ISNUMBER(MATCH("Coste"&amp;$E130,Name_Tabla_Cat,0)),MIN(VLOOKUP(Categoría_3,Tabla_Categorías,MATCH("Coste"&amp;$E130,Name_Tabla_Cat,0),FALSE),VLOOKUP(Categoría_3,Tabla_Categorías,MATCH("Coste"&amp;$B130,Name_Tabla_Cat,0),FALSE)),VLOOKUP(Categoría_3,Tabla_Categorías,MATCH("Coste"&amp;$B130,Name_Tabla_Cat,0),FALSE))</f>
        <v>#N/A</v>
      </c>
      <c r="AR130" s="27" t="e">
        <f>IF(ISNUMBER(MATCH("Coste"&amp;$E130,Name_Tabla_Cat,0)),MIN(VLOOKUP(Categoría_4,Tabla_Categorías,MATCH("Coste"&amp;$E130,Name_Tabla_Cat,0),FALSE),VLOOKUP(Categoría_4,Tabla_Categorías,MATCH("Coste"&amp;$B130,Name_Tabla_Cat,0),FALSE)),VLOOKUP(Categoría_4,Tabla_Categorías,MATCH("Coste"&amp;$B130,Name_Tabla_Cat,0),FALSE))</f>
        <v>#N/A</v>
      </c>
      <c r="AT130" s="27" t="e">
        <f>IF(ISNUMBER(MATCH("Coste"&amp;$E130,Name_Tabla_Cat,0)),MIN(VLOOKUP(Categoría_5,Tabla_Categorías,MATCH("Coste"&amp;$E130,Name_Tabla_Cat,0),FALSE),VLOOKUP(Categoría_5,Tabla_Categorías,MATCH("Coste"&amp;$B130,Name_Tabla_Cat,0),FALSE)),VLOOKUP(Categoría_5,Tabla_Categorías,MATCH("Coste"&amp;$B130,Name_Tabla_Cat,0),FALSE))</f>
        <v>#N/A</v>
      </c>
    </row>
    <row r="131" spans="1:46" ht="12" customHeight="1" x14ac:dyDescent="0.2">
      <c r="A131" s="2127"/>
      <c r="B131" s="554" t="str">
        <f t="shared" si="10"/>
        <v>Atléticas</v>
      </c>
      <c r="C131" s="3392"/>
      <c r="D131" s="3204"/>
      <c r="E131" s="3323" t="s">
        <v>2273</v>
      </c>
      <c r="F131" s="3324"/>
      <c r="G131" s="3324"/>
      <c r="H131" s="2453" t="s">
        <v>2236</v>
      </c>
      <c r="I131" s="2406"/>
      <c r="J131" s="228">
        <f>IF(ISNA(AL131),0,MAX(MIN(AL131-Tablas!$F$495-Tablas!$N477-2*Tablas!$P477-3*Tablas!$R477,3),1))</f>
        <v>2</v>
      </c>
      <c r="K131" s="1698"/>
      <c r="L131" s="228">
        <f>IF(ISNA(AN131),0,MAX(MIN(AN131-Tablas!$F$495-Tablas!$N477-2*Tablas!$P477-3*Tablas!$R477,3),1))</f>
        <v>0</v>
      </c>
      <c r="M131" s="208"/>
      <c r="N131" s="1362">
        <f>IF(ISNA(AP131),0,MAX(MIN(AP131-Tablas!$F$495-Tablas!$N477-2*Tablas!$P477-3*Tablas!$R477,3),1))</f>
        <v>0</v>
      </c>
      <c r="O131" s="1698"/>
      <c r="P131" s="228">
        <f>IF(ISNA(AR131),0,MAX(MIN(AR131-Tablas!$F$495-Tablas!$N477-2*Tablas!$P477-3*Tablas!$R477,3),1))</f>
        <v>0</v>
      </c>
      <c r="Q131" s="208"/>
      <c r="R131" s="1362">
        <f>IF(ISNA(AT131),0,MAX(MIN(AT131-Tablas!$F$495-Tablas!$N477-2*Tablas!$P477-3*Tablas!$R477,3),1))</f>
        <v>0</v>
      </c>
      <c r="S131" s="1698"/>
      <c r="T131" s="1706">
        <f t="shared" si="6"/>
        <v>0</v>
      </c>
      <c r="U131" s="1706">
        <f>MIN(VLOOKUP($H131,Principal!$D$11:$H$18,5)*(1+W131)+10*Tablas!$F$518+10*X131,100)</f>
        <v>10</v>
      </c>
      <c r="V131" s="1706">
        <f>IF(ISNA(AE131),0,AE131)+Tablas!$Y477*Nivel_Total+10*Y131</f>
        <v>0</v>
      </c>
      <c r="W131" s="1714"/>
      <c r="X131" s="1698"/>
      <c r="Y131" s="208"/>
      <c r="Z131" s="225"/>
      <c r="AA131" s="1727">
        <f>IF(AND(T131&lt;5,Tablas!F$518=0),-30,0)+T131+U131+V131+Z131+IF(I131="",0,40)+Combate!$AB$15+AD131+AF131</f>
        <v>-20</v>
      </c>
      <c r="AB131" s="153">
        <f>IF(AA131="-",0,IF(AA131&gt;VLOOKUP(Nivel_Total,Tabla_LímiteSecundarias,2),1,0))</f>
        <v>0</v>
      </c>
      <c r="AC131" s="2126"/>
      <c r="AD131" s="2856">
        <f>IF('Tablas psiquica'!AF65&gt;0,'Tablas psiquica'!AF65*INDEX('Tablas psiquica'!$V$65:$AE$65,MATCH('Tablas psiquica'!AG65,'Tablas psiquica'!$V$6:$AE$6,0)),0)+IF('Tablas psiquica'!$AF$68&gt;0,'Tablas psiquica'!$AF$68*INDEX('Tablas psiquica'!$V$68:$AE$68,MATCH('Tablas psiquica'!$AG$68,'Tablas psiquica'!$V$6:$AE$6,0)),0)</f>
        <v>0</v>
      </c>
      <c r="AE131" s="2857">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896">
        <f t="shared" si="7"/>
        <v>0</v>
      </c>
      <c r="AG131" s="2856" t="e">
        <f>HLOOKUP(Region&amp;ClaseSocial,Tabla_RaicesCulturales,Tablas!E44,FALSE)</f>
        <v>#N/A</v>
      </c>
      <c r="AH131" s="2857">
        <f>IF(AND(E131="Historia",'Elan y Personalización'!$X$26="Historia (Local)"),20&amp;" "&amp;'Elan y Personalización'!$X$26,IF(OR(E131='Elan y Personalización'!$X$25,E131='Elan y Personalización'!$X$26),VLOOKUP(E131,Tablas!$K$33:$L$34,2,FALSE),0))</f>
        <v>0</v>
      </c>
      <c r="AI131" s="2857" t="b">
        <f t="shared" si="8"/>
        <v>0</v>
      </c>
      <c r="AJ131" s="2857" t="b">
        <f t="shared" si="9"/>
        <v>0</v>
      </c>
      <c r="AL131" s="27">
        <f>IF(ISNUMBER(MATCH("Coste"&amp;$E131,Name_Tabla_Cat,0)),MIN(VLOOKUP(Categoría_1,Tabla_Categorías,MATCH("Coste"&amp;$E131,Name_Tabla_Cat,0),FALSE),VLOOKUP(Categoría_1,Tabla_Categorías,MATCH("Coste"&amp;$B131,Name_Tabla_Cat,0),FALSE)),VLOOKUP(Categoría_1,Tabla_Categorías,MATCH("Coste"&amp;$B131,Name_Tabla_Cat,0),FALSE))</f>
        <v>2</v>
      </c>
      <c r="AN131" s="27" t="e">
        <f>IF(ISNUMBER(MATCH("Coste"&amp;$E131,Name_Tabla_Cat,0)),MIN(VLOOKUP(Categoría_2,Tabla_Categorías,MATCH("Coste"&amp;$E131,Name_Tabla_Cat,0),FALSE),VLOOKUP(Categoría_2,Tabla_Categorías,MATCH("Coste"&amp;$B131,Name_Tabla_Cat,0),FALSE)),VLOOKUP(Categoría_2,Tabla_Categorías,MATCH("Coste"&amp;$B131,Name_Tabla_Cat,0),FALSE))</f>
        <v>#N/A</v>
      </c>
      <c r="AP131" s="27" t="e">
        <f>IF(ISNUMBER(MATCH("Coste"&amp;$E131,Name_Tabla_Cat,0)),MIN(VLOOKUP(Categoría_3,Tabla_Categorías,MATCH("Coste"&amp;$E131,Name_Tabla_Cat,0),FALSE),VLOOKUP(Categoría_3,Tabla_Categorías,MATCH("Coste"&amp;$B131,Name_Tabla_Cat,0),FALSE)),VLOOKUP(Categoría_3,Tabla_Categorías,MATCH("Coste"&amp;$B131,Name_Tabla_Cat,0),FALSE))</f>
        <v>#N/A</v>
      </c>
      <c r="AR131" s="27" t="e">
        <f>IF(ISNUMBER(MATCH("Coste"&amp;$E131,Name_Tabla_Cat,0)),MIN(VLOOKUP(Categoría_4,Tabla_Categorías,MATCH("Coste"&amp;$E131,Name_Tabla_Cat,0),FALSE),VLOOKUP(Categoría_4,Tabla_Categorías,MATCH("Coste"&amp;$B131,Name_Tabla_Cat,0),FALSE)),VLOOKUP(Categoría_4,Tabla_Categorías,MATCH("Coste"&amp;$B131,Name_Tabla_Cat,0),FALSE))</f>
        <v>#N/A</v>
      </c>
      <c r="AT131" s="27" t="e">
        <f>IF(ISNUMBER(MATCH("Coste"&amp;$E131,Name_Tabla_Cat,0)),MIN(VLOOKUP(Categoría_5,Tabla_Categorías,MATCH("Coste"&amp;$E131,Name_Tabla_Cat,0),FALSE),VLOOKUP(Categoría_5,Tabla_Categorías,MATCH("Coste"&amp;$B131,Name_Tabla_Cat,0),FALSE)),VLOOKUP(Categoría_5,Tabla_Categorías,MATCH("Coste"&amp;$B131,Name_Tabla_Cat,0),FALSE))</f>
        <v>#N/A</v>
      </c>
    </row>
    <row r="132" spans="1:46" ht="12" customHeight="1" x14ac:dyDescent="0.2">
      <c r="A132" s="2127"/>
      <c r="B132" s="554" t="str">
        <f t="shared" si="10"/>
        <v>Atléticas</v>
      </c>
      <c r="C132" s="3392"/>
      <c r="D132" s="3204"/>
      <c r="E132" s="3325" t="s">
        <v>8782</v>
      </c>
      <c r="F132" s="3326"/>
      <c r="G132" s="3326"/>
      <c r="H132" s="2454" t="s">
        <v>2231</v>
      </c>
      <c r="I132" s="1873"/>
      <c r="J132" s="229">
        <f>IF(ISNA(AL132),0,MAX(MIN(AL132-Tablas!$F$495-Tablas!$N478-2*Tablas!$P478-3*Tablas!$R478,3),1))</f>
        <v>2</v>
      </c>
      <c r="K132" s="1699"/>
      <c r="L132" s="229">
        <f>IF(ISNA(AN132),0,MAX(MIN(AN132-Tablas!$F$495-Tablas!$N478-2*Tablas!$P478-3*Tablas!$R478,3),1))</f>
        <v>0</v>
      </c>
      <c r="M132" s="1736"/>
      <c r="N132" s="1364">
        <f>IF(ISNA(AP132),0,MAX(MIN(AP132-Tablas!$F$495-Tablas!$N478-2*Tablas!$P478-3*Tablas!$R478,3),1))</f>
        <v>0</v>
      </c>
      <c r="O132" s="1699"/>
      <c r="P132" s="229">
        <f>IF(ISNA(AR132),0,MAX(MIN(AR132-Tablas!$F$495-Tablas!$N478-2*Tablas!$P478-3*Tablas!$R478,3),1))</f>
        <v>0</v>
      </c>
      <c r="Q132" s="1736"/>
      <c r="R132" s="1364">
        <f>IF(ISNA(AT132),0,MAX(MIN(AT132-Tablas!$F$495-Tablas!$N478-2*Tablas!$P478-3*Tablas!$R478,3),1))</f>
        <v>0</v>
      </c>
      <c r="S132" s="1699"/>
      <c r="T132" s="1707">
        <f t="shared" si="6"/>
        <v>0</v>
      </c>
      <c r="U132" s="1707">
        <f>MIN(VLOOKUP($H132,Principal!$D$11:$H$18,5)*(1+W132)+10*Tablas!$F$518+10*X132,100)</f>
        <v>10</v>
      </c>
      <c r="V132" s="1707">
        <f>IF(ISNA(AE132),0,AE132)+Tablas!$Y478*Nivel_Total+10*Y132</f>
        <v>0</v>
      </c>
      <c r="W132" s="1715"/>
      <c r="X132" s="1699"/>
      <c r="Y132" s="1736"/>
      <c r="Z132" s="226"/>
      <c r="AA132" s="1728">
        <f>IF(AND(T132&lt;5,Tablas!F$518=0),-30,0)+T132+U132+V132+Z132+IF(I132="",0,40)+Combate!$AB$15+AD132+AF132</f>
        <v>-20</v>
      </c>
      <c r="AB132" s="153">
        <f>IF(AA132="-",0,IF(AA132&gt;VLOOKUP(Nivel_Total,Tabla_LímiteSecundarias,2),1,0))</f>
        <v>0</v>
      </c>
      <c r="AC132" s="2126"/>
      <c r="AD132" s="2856">
        <f>IF('Tablas psiquica'!$AF$68&gt;0,'Tablas psiquica'!$AF$68*INDEX('Tablas psiquica'!$V$68:$AE$68,MATCH('Tablas psiquica'!$AG$68,'Tablas psiquica'!$V$6:$AE$6,0)),0)</f>
        <v>0</v>
      </c>
      <c r="AE132" s="2857"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896">
        <f t="shared" si="7"/>
        <v>0</v>
      </c>
      <c r="AG132" s="2856" t="e">
        <f>HLOOKUP(Region&amp;ClaseSocial,Tabla_RaicesCulturales,Tablas!E45,FALSE)</f>
        <v>#N/A</v>
      </c>
      <c r="AH132" s="2857">
        <f>IF(AND(E132="Historia",'Elan y Personalización'!$X$26="Historia (Local)"),20&amp;" "&amp;'Elan y Personalización'!$X$26,IF(OR(E132='Elan y Personalización'!$X$25,E132='Elan y Personalización'!$X$26),VLOOKUP(E132,Tablas!$K$33:$L$34,2,FALSE),0))</f>
        <v>0</v>
      </c>
      <c r="AI132" s="2857" t="b">
        <f t="shared" si="8"/>
        <v>0</v>
      </c>
      <c r="AJ132" s="2857" t="b">
        <f t="shared" si="9"/>
        <v>0</v>
      </c>
      <c r="AL132" s="27">
        <f>IF(ISNUMBER(MATCH("Coste"&amp;$E132,Name_Tabla_Cat,0)),MIN(VLOOKUP(Categoría_1,Tabla_Categorías,MATCH("Coste"&amp;$E132,Name_Tabla_Cat,0),FALSE),VLOOKUP(Categoría_1,Tabla_Categorías,MATCH("Coste"&amp;$B132,Name_Tabla_Cat,0),FALSE)),VLOOKUP(Categoría_1,Tabla_Categorías,MATCH("Coste"&amp;$B132,Name_Tabla_Cat,0),FALSE))</f>
        <v>2</v>
      </c>
      <c r="AN132" s="27" t="e">
        <f>IF(ISNUMBER(MATCH("Coste"&amp;$E132,Name_Tabla_Cat,0)),MIN(VLOOKUP(Categoría_2,Tabla_Categorías,MATCH("Coste"&amp;$E132,Name_Tabla_Cat,0),FALSE),VLOOKUP(Categoría_2,Tabla_Categorías,MATCH("Coste"&amp;$B132,Name_Tabla_Cat,0),FALSE)),VLOOKUP(Categoría_2,Tabla_Categorías,MATCH("Coste"&amp;$B132,Name_Tabla_Cat,0),FALSE))</f>
        <v>#N/A</v>
      </c>
      <c r="AP132" s="27" t="e">
        <f>IF(ISNUMBER(MATCH("Coste"&amp;$E132,Name_Tabla_Cat,0)),MIN(VLOOKUP(Categoría_3,Tabla_Categorías,MATCH("Coste"&amp;$E132,Name_Tabla_Cat,0),FALSE),VLOOKUP(Categoría_3,Tabla_Categorías,MATCH("Coste"&amp;$B132,Name_Tabla_Cat,0),FALSE)),VLOOKUP(Categoría_3,Tabla_Categorías,MATCH("Coste"&amp;$B132,Name_Tabla_Cat,0),FALSE))</f>
        <v>#N/A</v>
      </c>
      <c r="AR132" s="27" t="e">
        <f>IF(ISNUMBER(MATCH("Coste"&amp;$E132,Name_Tabla_Cat,0)),MIN(VLOOKUP(Categoría_4,Tabla_Categorías,MATCH("Coste"&amp;$E132,Name_Tabla_Cat,0),FALSE),VLOOKUP(Categoría_4,Tabla_Categorías,MATCH("Coste"&amp;$B132,Name_Tabla_Cat,0),FALSE)),VLOOKUP(Categoría_4,Tabla_Categorías,MATCH("Coste"&amp;$B132,Name_Tabla_Cat,0),FALSE))</f>
        <v>#N/A</v>
      </c>
      <c r="AT132" s="27" t="e">
        <f>IF(ISNUMBER(MATCH("Coste"&amp;$E132,Name_Tabla_Cat,0)),MIN(VLOOKUP(Categoría_5,Tabla_Categorías,MATCH("Coste"&amp;$E132,Name_Tabla_Cat,0),FALSE),VLOOKUP(Categoría_5,Tabla_Categorías,MATCH("Coste"&amp;$B132,Name_Tabla_Cat,0),FALSE)),VLOOKUP(Categoría_5,Tabla_Categorías,MATCH("Coste"&amp;$B132,Name_Tabla_Cat,0),FALSE))</f>
        <v>#N/A</v>
      </c>
    </row>
    <row r="133" spans="1:46" ht="12" customHeight="1" x14ac:dyDescent="0.2">
      <c r="A133" s="2127"/>
      <c r="B133" s="554" t="str">
        <f>D133</f>
        <v>Sociales</v>
      </c>
      <c r="C133" s="3392"/>
      <c r="D133" s="3322" t="s">
        <v>2276</v>
      </c>
      <c r="E133" s="3470" t="s">
        <v>2277</v>
      </c>
      <c r="F133" s="3471"/>
      <c r="G133" s="3471"/>
      <c r="H133" s="2455" t="s">
        <v>2244</v>
      </c>
      <c r="I133" s="2408"/>
      <c r="J133" s="1691">
        <f>IF(ISNA(AL133),0,MAX(MIN(AL133-Tablas!$F$495-Tablas!$N479-2*Tablas!$P479-3*Tablas!$R479,3),1))</f>
        <v>2</v>
      </c>
      <c r="K133" s="1703"/>
      <c r="L133" s="1691">
        <f>IF(ISNA(AN133),0,MAX(MIN(AN133-Tablas!$F$495-Tablas!$N479-2*Tablas!$P479-3*Tablas!$R479,3),1))</f>
        <v>0</v>
      </c>
      <c r="M133" s="1692"/>
      <c r="N133" s="1702">
        <f>IF(ISNA(AP133),0,MAX(MIN(AP133-Tablas!$F$495-Tablas!$N479-2*Tablas!$P479-3*Tablas!$R479,3),1))</f>
        <v>0</v>
      </c>
      <c r="O133" s="1703"/>
      <c r="P133" s="1691">
        <f>IF(ISNA(AR133),0,MAX(MIN(AR133-Tablas!$F$495-Tablas!$N479-2*Tablas!$P479-3*Tablas!$R479,3),1))</f>
        <v>0</v>
      </c>
      <c r="Q133" s="1692"/>
      <c r="R133" s="1702">
        <f>IF(ISNA(AT133),0,MAX(MIN(AT133-Tablas!$F$495-Tablas!$N479-2*Tablas!$P479-3*Tablas!$R479,3),1))</f>
        <v>0</v>
      </c>
      <c r="S133" s="1703"/>
      <c r="T133" s="1709">
        <f t="shared" si="6"/>
        <v>0</v>
      </c>
      <c r="U133" s="1709">
        <f>MIN(VLOOKUP($H133,Principal!$D$11:$H$18,5)*(1+W133)+10*Tablas!$F$518+10*X133,100)</f>
        <v>10</v>
      </c>
      <c r="V133" s="1709">
        <f>IF(ISNA(AE133),0,AE133)+Tablas!$Y479*Nivel_Total+10*Y133</f>
        <v>0</v>
      </c>
      <c r="W133" s="1717"/>
      <c r="X133" s="1703"/>
      <c r="Y133" s="1692"/>
      <c r="Z133" s="1693"/>
      <c r="AA133" s="1730">
        <f>IF(AND(T133&lt;5,Tablas!F$518=0),-30,0)+T133+U133+V133+Z133+IF(I133="",0,40)+Combate!$AB$15+AD133+AF133</f>
        <v>-20</v>
      </c>
      <c r="AB133" s="153">
        <f>IF(AA133="-",0,IF(AA133&gt;VLOOKUP(Nivel_Total,Tabla_LímiteSecundarias,2),1,0))</f>
        <v>0</v>
      </c>
      <c r="AC133" s="2126"/>
      <c r="AD133" s="2856">
        <f>IF(Tablas!$M3562=0,0,Elan)</f>
        <v>0</v>
      </c>
      <c r="AE133" s="2857">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896">
        <f t="shared" si="7"/>
        <v>0</v>
      </c>
      <c r="AG133" s="2856" t="e">
        <f>HLOOKUP(Region&amp;ClaseSocial,Tabla_RaicesCulturales,Tablas!E46,FALSE)</f>
        <v>#N/A</v>
      </c>
      <c r="AH133" s="2857">
        <f>IF(AND(E133="Historia",'Elan y Personalización'!$X$26="Historia (Local)"),20&amp;" "&amp;'Elan y Personalización'!$X$26,IF(OR(E133='Elan y Personalización'!$X$25,E133='Elan y Personalización'!$X$26),VLOOKUP(E133,Tablas!$K$33:$L$34,2,FALSE),0))</f>
        <v>0</v>
      </c>
      <c r="AI133" s="2857" t="b">
        <f t="shared" si="8"/>
        <v>0</v>
      </c>
      <c r="AJ133" s="2857" t="b">
        <f t="shared" si="9"/>
        <v>0</v>
      </c>
      <c r="AL133" s="27">
        <f>IF(ISNUMBER(MATCH("Coste"&amp;$E133,Name_Tabla_Cat,0)),MIN(VLOOKUP(Categoría_1,Tabla_Categorías,MATCH("Coste"&amp;$E133,Name_Tabla_Cat,0),FALSE),VLOOKUP(Categoría_1,Tabla_Categorías,MATCH("Coste"&amp;$B133,Name_Tabla_Cat,0),FALSE)),VLOOKUP(Categoría_1,Tabla_Categorías,MATCH("Coste"&amp;$B133,Name_Tabla_Cat,0),FALSE))</f>
        <v>2</v>
      </c>
      <c r="AN133" s="27" t="e">
        <f>IF(ISNUMBER(MATCH("Coste"&amp;$E133,Name_Tabla_Cat,0)),MIN(VLOOKUP(Categoría_2,Tabla_Categorías,MATCH("Coste"&amp;$E133,Name_Tabla_Cat,0),FALSE),VLOOKUP(Categoría_2,Tabla_Categorías,MATCH("Coste"&amp;$B133,Name_Tabla_Cat,0),FALSE)),VLOOKUP(Categoría_2,Tabla_Categorías,MATCH("Coste"&amp;$B133,Name_Tabla_Cat,0),FALSE))</f>
        <v>#N/A</v>
      </c>
      <c r="AP133" s="27" t="e">
        <f>IF(ISNUMBER(MATCH("Coste"&amp;$E133,Name_Tabla_Cat,0)),MIN(VLOOKUP(Categoría_3,Tabla_Categorías,MATCH("Coste"&amp;$E133,Name_Tabla_Cat,0),FALSE),VLOOKUP(Categoría_3,Tabla_Categorías,MATCH("Coste"&amp;$B133,Name_Tabla_Cat,0),FALSE)),VLOOKUP(Categoría_3,Tabla_Categorías,MATCH("Coste"&amp;$B133,Name_Tabla_Cat,0),FALSE))</f>
        <v>#N/A</v>
      </c>
      <c r="AR133" s="27" t="e">
        <f>IF(ISNUMBER(MATCH("Coste"&amp;$E133,Name_Tabla_Cat,0)),MIN(VLOOKUP(Categoría_4,Tabla_Categorías,MATCH("Coste"&amp;$E133,Name_Tabla_Cat,0),FALSE),VLOOKUP(Categoría_4,Tabla_Categorías,MATCH("Coste"&amp;$B133,Name_Tabla_Cat,0),FALSE)),VLOOKUP(Categoría_4,Tabla_Categorías,MATCH("Coste"&amp;$B133,Name_Tabla_Cat,0),FALSE))</f>
        <v>#N/A</v>
      </c>
      <c r="AT133" s="27" t="e">
        <f>IF(ISNUMBER(MATCH("Coste"&amp;$E133,Name_Tabla_Cat,0)),MIN(VLOOKUP(Categoría_5,Tabla_Categorías,MATCH("Coste"&amp;$E133,Name_Tabla_Cat,0),FALSE),VLOOKUP(Categoría_5,Tabla_Categorías,MATCH("Coste"&amp;$B133,Name_Tabla_Cat,0),FALSE)),VLOOKUP(Categoría_5,Tabla_Categorías,MATCH("Coste"&amp;$B133,Name_Tabla_Cat,0),FALSE))</f>
        <v>#N/A</v>
      </c>
    </row>
    <row r="134" spans="1:46" ht="12" customHeight="1" x14ac:dyDescent="0.2">
      <c r="A134" s="2127"/>
      <c r="B134" s="554" t="str">
        <f>B133</f>
        <v>Sociales</v>
      </c>
      <c r="C134" s="3392"/>
      <c r="D134" s="3204"/>
      <c r="E134" s="3325" t="s">
        <v>2279</v>
      </c>
      <c r="F134" s="3326"/>
      <c r="G134" s="3326"/>
      <c r="H134" s="2454" t="s">
        <v>2245</v>
      </c>
      <c r="I134" s="2407"/>
      <c r="J134" s="229">
        <f>IF(ISNA(AL134),0,MAX(MIN(AL134-Tablas!$F$495-Tablas!$N480-2*Tablas!$P480-3*Tablas!$R480,3),1))</f>
        <v>2</v>
      </c>
      <c r="K134" s="1699"/>
      <c r="L134" s="229">
        <f>IF(ISNA(AN134),0,MAX(MIN(AN134-Tablas!$F$495-Tablas!$N480-2*Tablas!$P480-3*Tablas!$R480,3),1))</f>
        <v>0</v>
      </c>
      <c r="M134" s="1736"/>
      <c r="N134" s="1364">
        <f>IF(ISNA(AP134),0,MAX(MIN(AP134-Tablas!$F$495-Tablas!$N480-2*Tablas!$P480-3*Tablas!$R480,3),1))</f>
        <v>0</v>
      </c>
      <c r="O134" s="1699"/>
      <c r="P134" s="229">
        <f>IF(ISNA(AR134),0,MAX(MIN(AR134-Tablas!$F$495-Tablas!$N480-2*Tablas!$P480-3*Tablas!$R480,3),1))</f>
        <v>0</v>
      </c>
      <c r="Q134" s="1736"/>
      <c r="R134" s="1364">
        <f>IF(ISNA(AT134),0,MAX(MIN(AT134-Tablas!$F$495-Tablas!$N480-2*Tablas!$P480-3*Tablas!$R480,3),1))</f>
        <v>0</v>
      </c>
      <c r="S134" s="1699"/>
      <c r="T134" s="1707">
        <f t="shared" si="6"/>
        <v>0</v>
      </c>
      <c r="U134" s="1707">
        <f>MIN(VLOOKUP($H134,Principal!$D$11:$H$18,5)*(1+W134)+10*Tablas!$F$518+10*X134,100)</f>
        <v>10</v>
      </c>
      <c r="V134" s="1707">
        <f>IF(ISNA(AE134),0,AE134)+Tablas!$Y480*Nivel_Total+10*Y134</f>
        <v>0</v>
      </c>
      <c r="W134" s="1715"/>
      <c r="X134" s="1699"/>
      <c r="Y134" s="1736"/>
      <c r="Z134" s="226"/>
      <c r="AA134" s="1728">
        <f>IF(AND(T134&lt;5,Tablas!F$518=0),-30,0)+T134+U134+V134+Z134+IF(I134="",0,40)+Combate!$AB$15+AD134+AF134</f>
        <v>-20</v>
      </c>
      <c r="AB134" s="153">
        <f>IF(AA134="-",0,IF(AA134&gt;VLOOKUP(Nivel_Total,Tabla_LímiteSecundarias,2),1,0))</f>
        <v>0</v>
      </c>
      <c r="AC134" s="2126"/>
      <c r="AD134" s="2856">
        <f>IF(Tablas!$M3526=0,0,Elan)</f>
        <v>0</v>
      </c>
      <c r="AE134" s="2857">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896">
        <f t="shared" si="7"/>
        <v>0</v>
      </c>
      <c r="AG134" s="2856" t="e">
        <f>HLOOKUP(Region&amp;ClaseSocial,Tabla_RaicesCulturales,Tablas!E47,FALSE)</f>
        <v>#N/A</v>
      </c>
      <c r="AH134" s="2857">
        <f>IF(AND(E134="Historia",'Elan y Personalización'!$X$26="Historia (Local)"),20&amp;" "&amp;'Elan y Personalización'!$X$26,IF(OR(E134='Elan y Personalización'!$X$25,E134='Elan y Personalización'!$X$26),VLOOKUP(E134,Tablas!$K$33:$L$34,2,FALSE),0))</f>
        <v>0</v>
      </c>
      <c r="AI134" s="2857" t="b">
        <f t="shared" si="8"/>
        <v>0</v>
      </c>
      <c r="AJ134" s="2857" t="b">
        <f t="shared" si="9"/>
        <v>0</v>
      </c>
      <c r="AL134" s="27">
        <f>IF(ISNUMBER(MATCH("Coste"&amp;$E134,Name_Tabla_Cat,0)),MIN(VLOOKUP(Categoría_1,Tabla_Categorías,MATCH("Coste"&amp;$E134,Name_Tabla_Cat,0),FALSE),VLOOKUP(Categoría_1,Tabla_Categorías,MATCH("Coste"&amp;$B134,Name_Tabla_Cat,0),FALSE)),VLOOKUP(Categoría_1,Tabla_Categorías,MATCH("Coste"&amp;$B134,Name_Tabla_Cat,0),FALSE))</f>
        <v>2</v>
      </c>
      <c r="AN134" s="27" t="e">
        <f>IF(ISNUMBER(MATCH("Coste"&amp;$E134,Name_Tabla_Cat,0)),MIN(VLOOKUP(Categoría_2,Tabla_Categorías,MATCH("Coste"&amp;$E134,Name_Tabla_Cat,0),FALSE),VLOOKUP(Categoría_2,Tabla_Categorías,MATCH("Coste"&amp;$B134,Name_Tabla_Cat,0),FALSE)),VLOOKUP(Categoría_2,Tabla_Categorías,MATCH("Coste"&amp;$B134,Name_Tabla_Cat,0),FALSE))</f>
        <v>#N/A</v>
      </c>
      <c r="AP134" s="27" t="e">
        <f>IF(ISNUMBER(MATCH("Coste"&amp;$E134,Name_Tabla_Cat,0)),MIN(VLOOKUP(Categoría_3,Tabla_Categorías,MATCH("Coste"&amp;$E134,Name_Tabla_Cat,0),FALSE),VLOOKUP(Categoría_3,Tabla_Categorías,MATCH("Coste"&amp;$B134,Name_Tabla_Cat,0),FALSE)),VLOOKUP(Categoría_3,Tabla_Categorías,MATCH("Coste"&amp;$B134,Name_Tabla_Cat,0),FALSE))</f>
        <v>#N/A</v>
      </c>
      <c r="AR134" s="27" t="e">
        <f>IF(ISNUMBER(MATCH("Coste"&amp;$E134,Name_Tabla_Cat,0)),MIN(VLOOKUP(Categoría_4,Tabla_Categorías,MATCH("Coste"&amp;$E134,Name_Tabla_Cat,0),FALSE),VLOOKUP(Categoría_4,Tabla_Categorías,MATCH("Coste"&amp;$B134,Name_Tabla_Cat,0),FALSE)),VLOOKUP(Categoría_4,Tabla_Categorías,MATCH("Coste"&amp;$B134,Name_Tabla_Cat,0),FALSE))</f>
        <v>#N/A</v>
      </c>
      <c r="AT134" s="27" t="e">
        <f>IF(ISNUMBER(MATCH("Coste"&amp;$E134,Name_Tabla_Cat,0)),MIN(VLOOKUP(Categoría_5,Tabla_Categorías,MATCH("Coste"&amp;$E134,Name_Tabla_Cat,0),FALSE),VLOOKUP(Categoría_5,Tabla_Categorías,MATCH("Coste"&amp;$B134,Name_Tabla_Cat,0),FALSE)),VLOOKUP(Categoría_5,Tabla_Categorías,MATCH("Coste"&amp;$B134,Name_Tabla_Cat,0),FALSE))</f>
        <v>#N/A</v>
      </c>
    </row>
    <row r="135" spans="1:46" ht="12" customHeight="1" x14ac:dyDescent="0.2">
      <c r="A135" s="2127"/>
      <c r="B135" s="554" t="str">
        <f t="shared" ref="B135:B139" si="11">B134</f>
        <v>Sociales</v>
      </c>
      <c r="C135" s="3392"/>
      <c r="D135" s="3204"/>
      <c r="E135" s="3323" t="s">
        <v>2282</v>
      </c>
      <c r="F135" s="3324"/>
      <c r="G135" s="3324"/>
      <c r="H135" s="2453" t="s">
        <v>2244</v>
      </c>
      <c r="I135" s="2406"/>
      <c r="J135" s="228">
        <f>IF(ISNA(AL135),0,MAX(MIN(AL135-Tablas!$F$495-Tablas!$N481-2*Tablas!$P481-3*Tablas!$R481,3),1))</f>
        <v>2</v>
      </c>
      <c r="K135" s="1698"/>
      <c r="L135" s="228">
        <f>IF(ISNA(AN135),0,MAX(MIN(AN135-Tablas!$F$495-Tablas!$N481-2*Tablas!$P481-3*Tablas!$R481,3),1))</f>
        <v>0</v>
      </c>
      <c r="M135" s="208"/>
      <c r="N135" s="1362">
        <f>IF(ISNA(AP135),0,MAX(MIN(AP135-Tablas!$F$495-Tablas!$N481-2*Tablas!$P481-3*Tablas!$R481,3),1))</f>
        <v>0</v>
      </c>
      <c r="O135" s="1698"/>
      <c r="P135" s="228">
        <f>IF(ISNA(AR135),0,MAX(MIN(AR135-Tablas!$F$495-Tablas!$N481-2*Tablas!$P481-3*Tablas!$R481,3),1))</f>
        <v>0</v>
      </c>
      <c r="Q135" s="208"/>
      <c r="R135" s="1362">
        <f>IF(ISNA(AT135),0,MAX(MIN(AT135-Tablas!$F$495-Tablas!$N481-2*Tablas!$P481-3*Tablas!$R481,3),1))</f>
        <v>0</v>
      </c>
      <c r="S135" s="1698"/>
      <c r="T135" s="1706">
        <f t="shared" si="6"/>
        <v>0</v>
      </c>
      <c r="U135" s="1706">
        <f>MIN(VLOOKUP($H135,Principal!$D$11:$H$18,5)*(1+W135)+10*Tablas!$F$518+10*X135,100)</f>
        <v>10</v>
      </c>
      <c r="V135" s="1706">
        <f>IF(ISNA(AE135),0,AE135)+Tablas!$Y481*Nivel_Total+10*Y135</f>
        <v>0</v>
      </c>
      <c r="W135" s="1714"/>
      <c r="X135" s="1698"/>
      <c r="Y135" s="208"/>
      <c r="Z135" s="225"/>
      <c r="AA135" s="1727">
        <f>IF(AND(T135&lt;5,Tablas!F$518=0),-30,0)+T135+U135+V135+Z135+IF(I135="",0,40)+Combate!$AB$15+AD135+AF135</f>
        <v>-20</v>
      </c>
      <c r="AB135" s="153">
        <f>IF(AA135="-",0,IF(AA135&gt;VLOOKUP(Nivel_Total,Tabla_LímiteSecundarias,2),1,0))</f>
        <v>0</v>
      </c>
      <c r="AC135" s="2126"/>
      <c r="AD135" s="2856">
        <f>IF(Tablas!M3471=0,0,Elan)+IF(Tablas!$M3537=0,0,Elan)</f>
        <v>0</v>
      </c>
      <c r="AE135" s="2857">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896">
        <f t="shared" si="7"/>
        <v>0</v>
      </c>
      <c r="AG135" s="2856" t="e">
        <f>HLOOKUP(Region&amp;ClaseSocial,Tabla_RaicesCulturales,Tablas!E48,FALSE)</f>
        <v>#N/A</v>
      </c>
      <c r="AH135" s="2857">
        <f>IF(AND(E135="Historia",'Elan y Personalización'!$X$26="Historia (Local)"),20&amp;" "&amp;'Elan y Personalización'!$X$26,IF(OR(E135='Elan y Personalización'!$X$25,E135='Elan y Personalización'!$X$26),VLOOKUP(E135,Tablas!$K$33:$L$34,2,FALSE),0))</f>
        <v>0</v>
      </c>
      <c r="AI135" s="2857" t="b">
        <f t="shared" si="8"/>
        <v>0</v>
      </c>
      <c r="AJ135" s="2857" t="b">
        <f t="shared" si="9"/>
        <v>0</v>
      </c>
      <c r="AL135" s="27">
        <f>IF(ISNUMBER(MATCH("Coste"&amp;$E135,Name_Tabla_Cat,0)),MIN(VLOOKUP(Categoría_1,Tabla_Categorías,MATCH("Coste"&amp;$E135,Name_Tabla_Cat,0),FALSE),VLOOKUP(Categoría_1,Tabla_Categorías,MATCH("Coste"&amp;$B135,Name_Tabla_Cat,0),FALSE)),VLOOKUP(Categoría_1,Tabla_Categorías,MATCH("Coste"&amp;$B135,Name_Tabla_Cat,0),FALSE))</f>
        <v>2</v>
      </c>
      <c r="AN135" s="27" t="e">
        <f>IF(ISNUMBER(MATCH("Coste"&amp;$E135,Name_Tabla_Cat,0)),MIN(VLOOKUP(Categoría_2,Tabla_Categorías,MATCH("Coste"&amp;$E135,Name_Tabla_Cat,0),FALSE),VLOOKUP(Categoría_2,Tabla_Categorías,MATCH("Coste"&amp;$B135,Name_Tabla_Cat,0),FALSE)),VLOOKUP(Categoría_2,Tabla_Categorías,MATCH("Coste"&amp;$B135,Name_Tabla_Cat,0),FALSE))</f>
        <v>#N/A</v>
      </c>
      <c r="AP135" s="27" t="e">
        <f>IF(ISNUMBER(MATCH("Coste"&amp;$E135,Name_Tabla_Cat,0)),MIN(VLOOKUP(Categoría_3,Tabla_Categorías,MATCH("Coste"&amp;$E135,Name_Tabla_Cat,0),FALSE),VLOOKUP(Categoría_3,Tabla_Categorías,MATCH("Coste"&amp;$B135,Name_Tabla_Cat,0),FALSE)),VLOOKUP(Categoría_3,Tabla_Categorías,MATCH("Coste"&amp;$B135,Name_Tabla_Cat,0),FALSE))</f>
        <v>#N/A</v>
      </c>
      <c r="AR135" s="27" t="e">
        <f>IF(ISNUMBER(MATCH("Coste"&amp;$E135,Name_Tabla_Cat,0)),MIN(VLOOKUP(Categoría_4,Tabla_Categorías,MATCH("Coste"&amp;$E135,Name_Tabla_Cat,0),FALSE),VLOOKUP(Categoría_4,Tabla_Categorías,MATCH("Coste"&amp;$B135,Name_Tabla_Cat,0),FALSE)),VLOOKUP(Categoría_4,Tabla_Categorías,MATCH("Coste"&amp;$B135,Name_Tabla_Cat,0),FALSE))</f>
        <v>#N/A</v>
      </c>
      <c r="AT135" s="27" t="e">
        <f>IF(ISNUMBER(MATCH("Coste"&amp;$E135,Name_Tabla_Cat,0)),MIN(VLOOKUP(Categoría_5,Tabla_Categorías,MATCH("Coste"&amp;$E135,Name_Tabla_Cat,0),FALSE),VLOOKUP(Categoría_5,Tabla_Categorías,MATCH("Coste"&amp;$B135,Name_Tabla_Cat,0),FALSE)),VLOOKUP(Categoría_5,Tabla_Categorías,MATCH("Coste"&amp;$B135,Name_Tabla_Cat,0),FALSE))</f>
        <v>#N/A</v>
      </c>
    </row>
    <row r="136" spans="1:46" ht="12" customHeight="1" x14ac:dyDescent="0.2">
      <c r="A136" s="2127"/>
      <c r="B136" s="554" t="str">
        <f t="shared" si="11"/>
        <v>Sociales</v>
      </c>
      <c r="C136" s="3392"/>
      <c r="D136" s="3204"/>
      <c r="E136" s="3325" t="s">
        <v>2284</v>
      </c>
      <c r="F136" s="3326"/>
      <c r="G136" s="3326"/>
      <c r="H136" s="2454" t="s">
        <v>2239</v>
      </c>
      <c r="I136" s="2407"/>
      <c r="J136" s="229">
        <f>IF(ISNA(AL136),0,MAX(MIN(AL136-Tablas!$F$495-Tablas!$N482-2*Tablas!$P482-3*Tablas!$R482,3),1))</f>
        <v>2</v>
      </c>
      <c r="K136" s="1699"/>
      <c r="L136" s="229">
        <f>IF(ISNA(AN136),0,MAX(MIN(AN136-Tablas!$F$495-Tablas!$N482-2*Tablas!$P482-3*Tablas!$R482,3),1))</f>
        <v>0</v>
      </c>
      <c r="M136" s="1736"/>
      <c r="N136" s="1364">
        <f>IF(ISNA(AP136),0,MAX(MIN(AP136-Tablas!$F$495-Tablas!$N482-2*Tablas!$P482-3*Tablas!$R482,3),1))</f>
        <v>0</v>
      </c>
      <c r="O136" s="1699"/>
      <c r="P136" s="229">
        <f>IF(ISNA(AR136),0,MAX(MIN(AR136-Tablas!$F$495-Tablas!$N482-2*Tablas!$P482-3*Tablas!$R482,3),1))</f>
        <v>0</v>
      </c>
      <c r="Q136" s="1736"/>
      <c r="R136" s="1364">
        <f>IF(ISNA(AT136),0,MAX(MIN(AT136-Tablas!$F$495-Tablas!$N482-2*Tablas!$P482-3*Tablas!$R482,3),1))</f>
        <v>0</v>
      </c>
      <c r="S136" s="1699"/>
      <c r="T136" s="1707">
        <f t="shared" si="6"/>
        <v>0</v>
      </c>
      <c r="U136" s="1707">
        <f>MIN(VLOOKUP($H136,Principal!$D$11:$H$18,5)*(1+W136)+10*Tablas!$F$518+10*X136,100)</f>
        <v>5</v>
      </c>
      <c r="V136" s="1707">
        <f>IF(ISNA(AE136),0,AE136)+Tablas!$Y482*Nivel_Total+10*Y136</f>
        <v>0</v>
      </c>
      <c r="W136" s="1715"/>
      <c r="X136" s="1699"/>
      <c r="Y136" s="1736"/>
      <c r="Z136" s="226"/>
      <c r="AA136" s="1728">
        <f>IF(AND(T136&lt;5,Tablas!F$518=0),-30,0)+T136+U136+V136+Z136+IF(I136="",0,40)+Combate!$AB$15+AD136+AF136</f>
        <v>-25</v>
      </c>
      <c r="AB136" s="153">
        <f>IF(AA136="-",0,IF(AA136&gt;VLOOKUP(Nivel_Total,Tabla_LímiteSecundarias,2),1,0))</f>
        <v>0</v>
      </c>
      <c r="AC136" s="2126"/>
      <c r="AD136" s="2856">
        <f>IF(Tablas!M3471=0,0,Elan)</f>
        <v>0</v>
      </c>
      <c r="AE136" s="2857">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896">
        <f t="shared" si="7"/>
        <v>0</v>
      </c>
      <c r="AG136" s="2856" t="e">
        <f>HLOOKUP(Region&amp;ClaseSocial,Tabla_RaicesCulturales,Tablas!E49,FALSE)</f>
        <v>#N/A</v>
      </c>
      <c r="AH136" s="2857">
        <f>IF(AND(E136="Historia",'Elan y Personalización'!$X$26="Historia (Local)"),20&amp;" "&amp;'Elan y Personalización'!$X$26,IF(OR(E136='Elan y Personalización'!$X$25,E136='Elan y Personalización'!$X$26),VLOOKUP(E136,Tablas!$K$33:$L$34,2,FALSE),0))</f>
        <v>0</v>
      </c>
      <c r="AI136" s="2857" t="b">
        <f t="shared" si="8"/>
        <v>0</v>
      </c>
      <c r="AJ136" s="2857" t="b">
        <f t="shared" si="9"/>
        <v>0</v>
      </c>
      <c r="AL136" s="27">
        <f>IF(ISNUMBER(MATCH("Coste"&amp;$E136,Name_Tabla_Cat,0)),MIN(VLOOKUP(Categoría_1,Tabla_Categorías,MATCH("Coste"&amp;$E136,Name_Tabla_Cat,0),FALSE),VLOOKUP(Categoría_1,Tabla_Categorías,MATCH("Coste"&amp;$B136,Name_Tabla_Cat,0),FALSE)),VLOOKUP(Categoría_1,Tabla_Categorías,MATCH("Coste"&amp;$B136,Name_Tabla_Cat,0),FALSE))</f>
        <v>2</v>
      </c>
      <c r="AN136" s="27" t="e">
        <f>IF(ISNUMBER(MATCH("Coste"&amp;$E136,Name_Tabla_Cat,0)),MIN(VLOOKUP(Categoría_2,Tabla_Categorías,MATCH("Coste"&amp;$E136,Name_Tabla_Cat,0),FALSE),VLOOKUP(Categoría_2,Tabla_Categorías,MATCH("Coste"&amp;$B136,Name_Tabla_Cat,0),FALSE)),VLOOKUP(Categoría_2,Tabla_Categorías,MATCH("Coste"&amp;$B136,Name_Tabla_Cat,0),FALSE))</f>
        <v>#N/A</v>
      </c>
      <c r="AP136" s="27" t="e">
        <f>IF(ISNUMBER(MATCH("Coste"&amp;$E136,Name_Tabla_Cat,0)),MIN(VLOOKUP(Categoría_3,Tabla_Categorías,MATCH("Coste"&amp;$E136,Name_Tabla_Cat,0),FALSE),VLOOKUP(Categoría_3,Tabla_Categorías,MATCH("Coste"&amp;$B136,Name_Tabla_Cat,0),FALSE)),VLOOKUP(Categoría_3,Tabla_Categorías,MATCH("Coste"&amp;$B136,Name_Tabla_Cat,0),FALSE))</f>
        <v>#N/A</v>
      </c>
      <c r="AR136" s="27" t="e">
        <f>IF(ISNUMBER(MATCH("Coste"&amp;$E136,Name_Tabla_Cat,0)),MIN(VLOOKUP(Categoría_4,Tabla_Categorías,MATCH("Coste"&amp;$E136,Name_Tabla_Cat,0),FALSE),VLOOKUP(Categoría_4,Tabla_Categorías,MATCH("Coste"&amp;$B136,Name_Tabla_Cat,0),FALSE)),VLOOKUP(Categoría_4,Tabla_Categorías,MATCH("Coste"&amp;$B136,Name_Tabla_Cat,0),FALSE))</f>
        <v>#N/A</v>
      </c>
      <c r="AT136" s="27" t="e">
        <f>IF(ISNUMBER(MATCH("Coste"&amp;$E136,Name_Tabla_Cat,0)),MIN(VLOOKUP(Categoría_5,Tabla_Categorías,MATCH("Coste"&amp;$E136,Name_Tabla_Cat,0),FALSE),VLOOKUP(Categoría_5,Tabla_Categorías,MATCH("Coste"&amp;$B136,Name_Tabla_Cat,0),FALSE)),VLOOKUP(Categoría_5,Tabla_Categorías,MATCH("Coste"&amp;$B136,Name_Tabla_Cat,0),FALSE))</f>
        <v>#N/A</v>
      </c>
    </row>
    <row r="137" spans="1:46" ht="12" customHeight="1" x14ac:dyDescent="0.2">
      <c r="A137" s="2127"/>
      <c r="B137" s="554" t="str">
        <f t="shared" si="11"/>
        <v>Sociales</v>
      </c>
      <c r="C137" s="3392"/>
      <c r="D137" s="3204"/>
      <c r="E137" s="3323" t="s">
        <v>1282</v>
      </c>
      <c r="F137" s="3324"/>
      <c r="G137" s="3324"/>
      <c r="H137" s="2453" t="s">
        <v>2239</v>
      </c>
      <c r="I137" s="1872"/>
      <c r="J137" s="228">
        <f>IF(ISNA(AL137),0,MAX(MIN(AL137-Tablas!$F$495-Tablas!$N483-2*Tablas!$P483-3*Tablas!$R483,3),1))</f>
        <v>2</v>
      </c>
      <c r="K137" s="1698"/>
      <c r="L137" s="228">
        <f>IF(ISNA(AN137),0,MAX(MIN(AN137-Tablas!$F$495-Tablas!$N483-2*Tablas!$P483-3*Tablas!$R483,3),1))</f>
        <v>0</v>
      </c>
      <c r="M137" s="208"/>
      <c r="N137" s="1362">
        <f>IF(ISNA(AP137),0,MAX(MIN(AP137-Tablas!$F$495-Tablas!$N483-2*Tablas!$P483-3*Tablas!$R483,3),1))</f>
        <v>0</v>
      </c>
      <c r="O137" s="1698"/>
      <c r="P137" s="228">
        <f>IF(ISNA(AR137),0,MAX(MIN(AR137-Tablas!$F$495-Tablas!$N483-2*Tablas!$P483-3*Tablas!$R483,3),1))</f>
        <v>0</v>
      </c>
      <c r="Q137" s="208"/>
      <c r="R137" s="1362">
        <f>IF(ISNA(AT137),0,MAX(MIN(AT137-Tablas!$F$495-Tablas!$N483-2*Tablas!$P483-3*Tablas!$R483,3),1))</f>
        <v>0</v>
      </c>
      <c r="S137" s="1698"/>
      <c r="T137" s="1706">
        <f t="shared" si="6"/>
        <v>0</v>
      </c>
      <c r="U137" s="1706">
        <f>MIN(VLOOKUP($H137,Principal!$D$11:$H$18,5)*(1+W137)+10*Tablas!$F$518+10*X137,100)</f>
        <v>5</v>
      </c>
      <c r="V137" s="1706">
        <f>IF(ISNA(AE137),0,AE137)+Tablas!$Y483*Nivel_Total+10*Y137</f>
        <v>0</v>
      </c>
      <c r="W137" s="1714"/>
      <c r="X137" s="1698"/>
      <c r="Y137" s="208"/>
      <c r="Z137" s="225"/>
      <c r="AA137" s="1727">
        <f>IF(AND(T137&lt;5,Tablas!F$518=0),-30,0)+T137+U137+V137+Z137+IF(I137="",0,40)+Combate!$AB$15+AD137+AF137</f>
        <v>-25</v>
      </c>
      <c r="AB137" s="153">
        <f>IF(AA137="-",0,IF(AA137&gt;VLOOKUP(Nivel_Total,Tabla_LímiteSecundarias,2),1,0))</f>
        <v>0</v>
      </c>
      <c r="AC137" s="2126"/>
      <c r="AE137" s="2857"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896">
        <f t="shared" si="7"/>
        <v>0</v>
      </c>
      <c r="AG137" s="2856" t="e">
        <f>HLOOKUP(Region&amp;ClaseSocial,Tabla_RaicesCulturales,Tablas!E50,FALSE)</f>
        <v>#N/A</v>
      </c>
      <c r="AH137" s="2857">
        <f>IF(AND(E137="Historia",'Elan y Personalización'!$X$26="Historia (Local)"),20&amp;" "&amp;'Elan y Personalización'!$X$26,IF(OR(E137='Elan y Personalización'!$X$25,E137='Elan y Personalización'!$X$26),VLOOKUP(E137,Tablas!$K$33:$L$34,2,FALSE),0))</f>
        <v>0</v>
      </c>
      <c r="AI137" s="2857" t="b">
        <f t="shared" si="8"/>
        <v>0</v>
      </c>
      <c r="AJ137" s="2857" t="b">
        <f t="shared" si="9"/>
        <v>0</v>
      </c>
      <c r="AL137" s="27">
        <f>IF(ISNUMBER(MATCH("Coste"&amp;$E137,Name_Tabla_Cat,0)),MIN(VLOOKUP(Categoría_1,Tabla_Categorías,MATCH("Coste"&amp;$E137,Name_Tabla_Cat,0),FALSE),VLOOKUP(Categoría_1,Tabla_Categorías,MATCH("Coste"&amp;$B137,Name_Tabla_Cat,0),FALSE)),VLOOKUP(Categoría_1,Tabla_Categorías,MATCH("Coste"&amp;$B137,Name_Tabla_Cat,0),FALSE))</f>
        <v>2</v>
      </c>
      <c r="AN137" s="27" t="e">
        <f>IF(ISNUMBER(MATCH("Coste"&amp;$E137,Name_Tabla_Cat,0)),MIN(VLOOKUP(Categoría_2,Tabla_Categorías,MATCH("Coste"&amp;$E137,Name_Tabla_Cat,0),FALSE),VLOOKUP(Categoría_2,Tabla_Categorías,MATCH("Coste"&amp;$B137,Name_Tabla_Cat,0),FALSE)),VLOOKUP(Categoría_2,Tabla_Categorías,MATCH("Coste"&amp;$B137,Name_Tabla_Cat,0),FALSE))</f>
        <v>#N/A</v>
      </c>
      <c r="AP137" s="27" t="e">
        <f>IF(ISNUMBER(MATCH("Coste"&amp;$E137,Name_Tabla_Cat,0)),MIN(VLOOKUP(Categoría_3,Tabla_Categorías,MATCH("Coste"&amp;$E137,Name_Tabla_Cat,0),FALSE),VLOOKUP(Categoría_3,Tabla_Categorías,MATCH("Coste"&amp;$B137,Name_Tabla_Cat,0),FALSE)),VLOOKUP(Categoría_3,Tabla_Categorías,MATCH("Coste"&amp;$B137,Name_Tabla_Cat,0),FALSE))</f>
        <v>#N/A</v>
      </c>
      <c r="AR137" s="27" t="e">
        <f>IF(ISNUMBER(MATCH("Coste"&amp;$E137,Name_Tabla_Cat,0)),MIN(VLOOKUP(Categoría_4,Tabla_Categorías,MATCH("Coste"&amp;$E137,Name_Tabla_Cat,0),FALSE),VLOOKUP(Categoría_4,Tabla_Categorías,MATCH("Coste"&amp;$B137,Name_Tabla_Cat,0),FALSE)),VLOOKUP(Categoría_4,Tabla_Categorías,MATCH("Coste"&amp;$B137,Name_Tabla_Cat,0),FALSE))</f>
        <v>#N/A</v>
      </c>
      <c r="AT137" s="27" t="e">
        <f>IF(ISNUMBER(MATCH("Coste"&amp;$E137,Name_Tabla_Cat,0)),MIN(VLOOKUP(Categoría_5,Tabla_Categorías,MATCH("Coste"&amp;$E137,Name_Tabla_Cat,0),FALSE),VLOOKUP(Categoría_5,Tabla_Categorías,MATCH("Coste"&amp;$B137,Name_Tabla_Cat,0),FALSE)),VLOOKUP(Categoría_5,Tabla_Categorías,MATCH("Coste"&amp;$B137,Name_Tabla_Cat,0),FALSE))</f>
        <v>#N/A</v>
      </c>
    </row>
    <row r="138" spans="1:46" ht="12" customHeight="1" x14ac:dyDescent="0.2">
      <c r="A138" s="2127"/>
      <c r="B138" s="554" t="str">
        <f t="shared" si="11"/>
        <v>Sociales</v>
      </c>
      <c r="C138" s="3392"/>
      <c r="D138" s="3204"/>
      <c r="E138" s="3325" t="s">
        <v>1283</v>
      </c>
      <c r="F138" s="3326"/>
      <c r="G138" s="3326"/>
      <c r="H138" s="2454" t="s">
        <v>2239</v>
      </c>
      <c r="I138" s="2407"/>
      <c r="J138" s="229">
        <f>IF(ISNA(AL138),0,MAX(MIN(AL138-Tablas!$F$495-Tablas!$N484-2*Tablas!$P484-3*Tablas!$R484,3),1))</f>
        <v>2</v>
      </c>
      <c r="K138" s="1699"/>
      <c r="L138" s="229">
        <f>IF(ISNA(AN138),0,MAX(MIN(AN138-Tablas!$F$495-Tablas!$N484-2*Tablas!$P484-3*Tablas!$R484,3),1))</f>
        <v>0</v>
      </c>
      <c r="M138" s="1736"/>
      <c r="N138" s="1364">
        <f>IF(ISNA(AP138),0,MAX(MIN(AP138-Tablas!$F$495-Tablas!$N484-2*Tablas!$P484-3*Tablas!$R484,3),1))</f>
        <v>0</v>
      </c>
      <c r="O138" s="1699"/>
      <c r="P138" s="229">
        <f>IF(ISNA(AR138),0,MAX(MIN(AR138-Tablas!$F$495-Tablas!$N484-2*Tablas!$P484-3*Tablas!$R484,3),1))</f>
        <v>0</v>
      </c>
      <c r="Q138" s="1736"/>
      <c r="R138" s="1364">
        <f>IF(ISNA(AT138),0,MAX(MIN(AT138-Tablas!$F$495-Tablas!$N484-2*Tablas!$P484-3*Tablas!$R484,3),1))</f>
        <v>0</v>
      </c>
      <c r="S138" s="1699"/>
      <c r="T138" s="1707">
        <f t="shared" si="6"/>
        <v>0</v>
      </c>
      <c r="U138" s="1707">
        <f>MIN(VLOOKUP($H138,Principal!$D$11:$H$18,5)*(1+W138)+10*Tablas!$F$518+10*X138,100)</f>
        <v>5</v>
      </c>
      <c r="V138" s="1707">
        <f>IF(ISNA(AE138),0,AE138)+Tablas!$Y484*Nivel_Total+10*Y138</f>
        <v>0</v>
      </c>
      <c r="W138" s="1715"/>
      <c r="X138" s="1699"/>
      <c r="Y138" s="1736"/>
      <c r="Z138" s="226"/>
      <c r="AA138" s="1728">
        <f>IF(AND(T138&lt;5,Tablas!F$518=0),-30,0)+T138+U138+V138+Z138+IF(I138="",0,40)+Combate!$AB$15+AD138+AF138</f>
        <v>-25</v>
      </c>
      <c r="AB138" s="153">
        <f>IF(AA138="-",0,IF(AA138&gt;VLOOKUP(Nivel_Total,Tabla_LímiteSecundarias,2),1,0))</f>
        <v>0</v>
      </c>
      <c r="AC138" s="2126"/>
      <c r="AE138" s="2857"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896">
        <f t="shared" si="7"/>
        <v>0</v>
      </c>
      <c r="AG138" s="2856" t="e">
        <f>HLOOKUP(Region&amp;ClaseSocial,Tabla_RaicesCulturales,Tablas!E51,FALSE)</f>
        <v>#N/A</v>
      </c>
      <c r="AH138" s="2857">
        <f>IF(AND(E138="Historia",'Elan y Personalización'!$X$26="Historia (Local)"),20&amp;" "&amp;'Elan y Personalización'!$X$26,IF(OR(E138='Elan y Personalización'!$X$25,E138='Elan y Personalización'!$X$26),VLOOKUP(E138,Tablas!$K$33:$L$34,2,FALSE),0))</f>
        <v>0</v>
      </c>
      <c r="AI138" s="2857" t="b">
        <f t="shared" si="8"/>
        <v>0</v>
      </c>
      <c r="AJ138" s="2857" t="b">
        <f t="shared" si="9"/>
        <v>0</v>
      </c>
      <c r="AL138" s="27">
        <f>IF(ISNUMBER(MATCH("Coste"&amp;$E138,Name_Tabla_Cat,0)),MIN(VLOOKUP(Categoría_1,Tabla_Categorías,MATCH("Coste"&amp;$E138,Name_Tabla_Cat,0),FALSE),VLOOKUP(Categoría_1,Tabla_Categorías,MATCH("Coste"&amp;$B138,Name_Tabla_Cat,0),FALSE)),VLOOKUP(Categoría_1,Tabla_Categorías,MATCH("Coste"&amp;$B138,Name_Tabla_Cat,0),FALSE))</f>
        <v>2</v>
      </c>
      <c r="AN138" s="27" t="e">
        <f>IF(ISNUMBER(MATCH("Coste"&amp;$E138,Name_Tabla_Cat,0)),MIN(VLOOKUP(Categoría_2,Tabla_Categorías,MATCH("Coste"&amp;$E138,Name_Tabla_Cat,0),FALSE),VLOOKUP(Categoría_2,Tabla_Categorías,MATCH("Coste"&amp;$B138,Name_Tabla_Cat,0),FALSE)),VLOOKUP(Categoría_2,Tabla_Categorías,MATCH("Coste"&amp;$B138,Name_Tabla_Cat,0),FALSE))</f>
        <v>#N/A</v>
      </c>
      <c r="AP138" s="27" t="e">
        <f>IF(ISNUMBER(MATCH("Coste"&amp;$E138,Name_Tabla_Cat,0)),MIN(VLOOKUP(Categoría_3,Tabla_Categorías,MATCH("Coste"&amp;$E138,Name_Tabla_Cat,0),FALSE),VLOOKUP(Categoría_3,Tabla_Categorías,MATCH("Coste"&amp;$B138,Name_Tabla_Cat,0),FALSE)),VLOOKUP(Categoría_3,Tabla_Categorías,MATCH("Coste"&amp;$B138,Name_Tabla_Cat,0),FALSE))</f>
        <v>#N/A</v>
      </c>
      <c r="AR138" s="27" t="e">
        <f>IF(ISNUMBER(MATCH("Coste"&amp;$E138,Name_Tabla_Cat,0)),MIN(VLOOKUP(Categoría_4,Tabla_Categorías,MATCH("Coste"&amp;$E138,Name_Tabla_Cat,0),FALSE),VLOOKUP(Categoría_4,Tabla_Categorías,MATCH("Coste"&amp;$B138,Name_Tabla_Cat,0),FALSE)),VLOOKUP(Categoría_4,Tabla_Categorías,MATCH("Coste"&amp;$B138,Name_Tabla_Cat,0),FALSE))</f>
        <v>#N/A</v>
      </c>
      <c r="AT138" s="27" t="e">
        <f>IF(ISNUMBER(MATCH("Coste"&amp;$E138,Name_Tabla_Cat,0)),MIN(VLOOKUP(Categoría_5,Tabla_Categorías,MATCH("Coste"&amp;$E138,Name_Tabla_Cat,0),FALSE),VLOOKUP(Categoría_5,Tabla_Categorías,MATCH("Coste"&amp;$B138,Name_Tabla_Cat,0),FALSE)),VLOOKUP(Categoría_5,Tabla_Categorías,MATCH("Coste"&amp;$B138,Name_Tabla_Cat,0),FALSE))</f>
        <v>#N/A</v>
      </c>
    </row>
    <row r="139" spans="1:46" ht="12" customHeight="1" x14ac:dyDescent="0.2">
      <c r="A139" s="2127"/>
      <c r="B139" s="554" t="str">
        <f t="shared" si="11"/>
        <v>Sociales</v>
      </c>
      <c r="C139" s="3392"/>
      <c r="D139" s="3205"/>
      <c r="E139" s="3346" t="s">
        <v>1284</v>
      </c>
      <c r="F139" s="3347"/>
      <c r="G139" s="3347"/>
      <c r="H139" s="2456" t="s">
        <v>2239</v>
      </c>
      <c r="I139" s="2409"/>
      <c r="J139" s="1369">
        <f>IF(ISNA(AL139),0,MAX(MIN(AL139-Tablas!$F$495-Tablas!$N485-2*Tablas!$P485-3*Tablas!$R485,3),1))</f>
        <v>2</v>
      </c>
      <c r="K139" s="1704"/>
      <c r="L139" s="1369">
        <f>IF(ISNA(AN139),0,MAX(MIN(AN139-Tablas!$F$495-Tablas!$N485-2*Tablas!$P485-3*Tablas!$R485,3),1))</f>
        <v>0</v>
      </c>
      <c r="M139" s="1694"/>
      <c r="N139" s="1366">
        <f>IF(ISNA(AP139),0,MAX(MIN(AP139-Tablas!$F$495-Tablas!$N485-2*Tablas!$P485-3*Tablas!$R485,3),1))</f>
        <v>0</v>
      </c>
      <c r="O139" s="1704"/>
      <c r="P139" s="1369">
        <f>IF(ISNA(AR139),0,MAX(MIN(AR139-Tablas!$F$495-Tablas!$N485-2*Tablas!$P485-3*Tablas!$R485,3),1))</f>
        <v>0</v>
      </c>
      <c r="Q139" s="1694"/>
      <c r="R139" s="1366">
        <f>IF(ISNA(AT139),0,MAX(MIN(AT139-Tablas!$F$495-Tablas!$N485-2*Tablas!$P485-3*Tablas!$R485,3),1))</f>
        <v>0</v>
      </c>
      <c r="S139" s="1704"/>
      <c r="T139" s="1710">
        <f t="shared" si="6"/>
        <v>0</v>
      </c>
      <c r="U139" s="1710">
        <f>MIN(VLOOKUP($H139,Principal!$D$11:$H$18,5)*(1+W139)+10*Tablas!$F$518+10*X139,100)</f>
        <v>5</v>
      </c>
      <c r="V139" s="1710">
        <f>IF(ISNA(AE139),0,AE139)+Tablas!$Y485*Nivel_Total+10*Y139</f>
        <v>0</v>
      </c>
      <c r="W139" s="1718"/>
      <c r="X139" s="1704"/>
      <c r="Y139" s="1694"/>
      <c r="Z139" s="1695"/>
      <c r="AA139" s="1731">
        <f>IF(AND(T139&lt;5,Tablas!F$518=0),-30,0)+T139+U139+V139+Z139+IF(I139="",0,40)+Combate!$AB$15+AD139+AF139</f>
        <v>-25</v>
      </c>
      <c r="AB139" s="153">
        <f>IF(AA139="-",0,IF(AA139&gt;VLOOKUP(Nivel_Total,Tabla_LímiteSecundarias,2),1,0))</f>
        <v>0</v>
      </c>
      <c r="AC139" s="2126"/>
      <c r="AE139" s="2857"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896">
        <f t="shared" si="7"/>
        <v>0</v>
      </c>
      <c r="AG139" s="2856" t="e">
        <f>HLOOKUP(Region&amp;ClaseSocial,Tabla_RaicesCulturales,Tablas!E52,FALSE)</f>
        <v>#N/A</v>
      </c>
      <c r="AH139" s="2857">
        <f>IF(AND(E139="Historia",'Elan y Personalización'!$X$26="Historia (Local)"),20&amp;" "&amp;'Elan y Personalización'!$X$26,IF(OR(E139='Elan y Personalización'!$X$25,E139='Elan y Personalización'!$X$26),VLOOKUP(E139,Tablas!$K$33:$L$34,2,FALSE),0))</f>
        <v>0</v>
      </c>
      <c r="AI139" s="2857" t="b">
        <f t="shared" si="8"/>
        <v>0</v>
      </c>
      <c r="AJ139" s="2857" t="b">
        <f t="shared" si="9"/>
        <v>0</v>
      </c>
      <c r="AL139" s="27">
        <f>IF(ISNUMBER(MATCH("Coste"&amp;$E139,Name_Tabla_Cat,0)),MIN(VLOOKUP(Categoría_1,Tabla_Categorías,MATCH("Coste"&amp;$E139,Name_Tabla_Cat,0),FALSE),VLOOKUP(Categoría_1,Tabla_Categorías,MATCH("Coste"&amp;$B139,Name_Tabla_Cat,0),FALSE)),VLOOKUP(Categoría_1,Tabla_Categorías,MATCH("Coste"&amp;$B139,Name_Tabla_Cat,0),FALSE))</f>
        <v>2</v>
      </c>
      <c r="AN139" s="27" t="e">
        <f>IF(ISNUMBER(MATCH("Coste"&amp;$E139,Name_Tabla_Cat,0)),MIN(VLOOKUP(Categoría_2,Tabla_Categorías,MATCH("Coste"&amp;$E139,Name_Tabla_Cat,0),FALSE),VLOOKUP(Categoría_2,Tabla_Categorías,MATCH("Coste"&amp;$B139,Name_Tabla_Cat,0),FALSE)),VLOOKUP(Categoría_2,Tabla_Categorías,MATCH("Coste"&amp;$B139,Name_Tabla_Cat,0),FALSE))</f>
        <v>#N/A</v>
      </c>
      <c r="AP139" s="27" t="e">
        <f>IF(ISNUMBER(MATCH("Coste"&amp;$E139,Name_Tabla_Cat,0)),MIN(VLOOKUP(Categoría_3,Tabla_Categorías,MATCH("Coste"&amp;$E139,Name_Tabla_Cat,0),FALSE),VLOOKUP(Categoría_3,Tabla_Categorías,MATCH("Coste"&amp;$B139,Name_Tabla_Cat,0),FALSE)),VLOOKUP(Categoría_3,Tabla_Categorías,MATCH("Coste"&amp;$B139,Name_Tabla_Cat,0),FALSE))</f>
        <v>#N/A</v>
      </c>
      <c r="AR139" s="27" t="e">
        <f>IF(ISNUMBER(MATCH("Coste"&amp;$E139,Name_Tabla_Cat,0)),MIN(VLOOKUP(Categoría_4,Tabla_Categorías,MATCH("Coste"&amp;$E139,Name_Tabla_Cat,0),FALSE),VLOOKUP(Categoría_4,Tabla_Categorías,MATCH("Coste"&amp;$B139,Name_Tabla_Cat,0),FALSE)),VLOOKUP(Categoría_4,Tabla_Categorías,MATCH("Coste"&amp;$B139,Name_Tabla_Cat,0),FALSE))</f>
        <v>#N/A</v>
      </c>
      <c r="AT139" s="27" t="e">
        <f>IF(ISNUMBER(MATCH("Coste"&amp;$E139,Name_Tabla_Cat,0)),MIN(VLOOKUP(Categoría_5,Tabla_Categorías,MATCH("Coste"&amp;$E139,Name_Tabla_Cat,0),FALSE),VLOOKUP(Categoría_5,Tabla_Categorías,MATCH("Coste"&amp;$B139,Name_Tabla_Cat,0),FALSE)),VLOOKUP(Categoría_5,Tabla_Categorías,MATCH("Coste"&amp;$B139,Name_Tabla_Cat,0),FALSE))</f>
        <v>#N/A</v>
      </c>
    </row>
    <row r="140" spans="1:46" ht="12" customHeight="1" x14ac:dyDescent="0.2">
      <c r="A140" s="2127"/>
      <c r="B140" s="554" t="str">
        <f>D140</f>
        <v>Perc</v>
      </c>
      <c r="C140" s="3392"/>
      <c r="D140" s="3204" t="s">
        <v>2285</v>
      </c>
      <c r="E140" s="3325" t="s">
        <v>2286</v>
      </c>
      <c r="F140" s="3326"/>
      <c r="G140" s="3326"/>
      <c r="H140" s="2454" t="s">
        <v>2242</v>
      </c>
      <c r="I140" s="2407"/>
      <c r="J140" s="229">
        <f>IF(ISNA(AL140),0,MAX(MIN(AL140-Tablas!$F$495-Tablas!$N486-2*Tablas!$P486-3*Tablas!$R486,3),1))</f>
        <v>2</v>
      </c>
      <c r="K140" s="1699"/>
      <c r="L140" s="229">
        <f>IF(ISNA(AN140),0,MAX(MIN(AN140-Tablas!$F$495-Tablas!$N486-2*Tablas!$P486-3*Tablas!$R486,3),1))</f>
        <v>0</v>
      </c>
      <c r="M140" s="1736"/>
      <c r="N140" s="1364">
        <f>IF(ISNA(AP140),0,MAX(MIN(AP140-Tablas!$F$495-Tablas!$N486-2*Tablas!$P486-3*Tablas!$R486,3),1))</f>
        <v>0</v>
      </c>
      <c r="O140" s="1699"/>
      <c r="P140" s="229">
        <f>IF(ISNA(AR140),0,MAX(MIN(AR140-Tablas!$F$495-Tablas!$N486-2*Tablas!$P486-3*Tablas!$R486,3),1))</f>
        <v>0</v>
      </c>
      <c r="Q140" s="1736"/>
      <c r="R140" s="1364">
        <f>IF(ISNA(AT140),0,MAX(MIN(AT140-Tablas!$F$495-Tablas!$N486-2*Tablas!$P486-3*Tablas!$R486,3),1))</f>
        <v>0</v>
      </c>
      <c r="S140" s="1699"/>
      <c r="T140" s="1707">
        <f t="shared" si="6"/>
        <v>0</v>
      </c>
      <c r="U140" s="1707">
        <f>MIN(VLOOKUP($H140,Principal!$D$11:$H$18,5)*(1+W140)+10*Tablas!$F$518+10*X140,100)</f>
        <v>10</v>
      </c>
      <c r="V140" s="1707">
        <f>IF(ISNA(AE140),0,AE140)+Tablas!$Y486*Nivel_Total+10*Y140</f>
        <v>0</v>
      </c>
      <c r="W140" s="1715"/>
      <c r="X140" s="1699"/>
      <c r="Y140" s="1736"/>
      <c r="Z140" s="226"/>
      <c r="AA140" s="1728">
        <f>IF(AND(T140&lt;5,Tablas!F$518=0),-30,0)+T140+U140+V140+Z140+IF(I140="",0,40)+Combate!$AB$15+AD140+AF140</f>
        <v>-20</v>
      </c>
      <c r="AB140" s="153">
        <f>IF(AA140="-",0,IF(AA140&gt;VLOOKUP(Nivel_Total,Tabla_LímiteSecundarias,2),1,0))</f>
        <v>0</v>
      </c>
      <c r="AC140" s="2126"/>
      <c r="AD140" s="2856">
        <f>IF(Raza="Tuan Dalyr",80,50)*Tablas!F486+IF(Raza="Turak",IF(OR('Elan y Personalización'!V10="Ojos de cazador",'Elan y Personalización'!V11="Ojos de cazador",'Elan y Personalización'!V12="Ojos de cazador"),20,0))</f>
        <v>0</v>
      </c>
      <c r="AE140" s="2857">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896">
        <f t="shared" si="7"/>
        <v>0</v>
      </c>
      <c r="AG140" s="2856" t="e">
        <f>HLOOKUP(Region&amp;ClaseSocial,Tabla_RaicesCulturales,Tablas!E53,FALSE)</f>
        <v>#N/A</v>
      </c>
      <c r="AH140" s="2857">
        <f>IF(AND(E140="Historia",'Elan y Personalización'!$X$26="Historia (Local)"),20&amp;" "&amp;'Elan y Personalización'!$X$26,IF(OR(E140='Elan y Personalización'!$X$25,E140='Elan y Personalización'!$X$26),VLOOKUP(E140,Tablas!$K$33:$L$34,2,FALSE),0))</f>
        <v>0</v>
      </c>
      <c r="AI140" s="2857" t="b">
        <f t="shared" si="8"/>
        <v>0</v>
      </c>
      <c r="AJ140" s="2857" t="b">
        <f t="shared" si="9"/>
        <v>0</v>
      </c>
      <c r="AL140" s="27">
        <f>IF(ISNUMBER(MATCH("Coste"&amp;$E140,Name_Tabla_Cat,0)),MIN(VLOOKUP(Categoría_1,Tabla_Categorías,MATCH("Coste"&amp;$E140,Name_Tabla_Cat,0),FALSE),VLOOKUP(Categoría_1,Tabla_Categorías,MATCH("Coste"&amp;$B140,Name_Tabla_Cat,0),FALSE)),VLOOKUP(Categoría_1,Tabla_Categorías,MATCH("Coste"&amp;$B140,Name_Tabla_Cat,0),FALSE))</f>
        <v>2</v>
      </c>
      <c r="AN140" s="27" t="e">
        <f>IF(ISNUMBER(MATCH("Coste"&amp;$E140,Name_Tabla_Cat,0)),MIN(VLOOKUP(Categoría_2,Tabla_Categorías,MATCH("Coste"&amp;$E140,Name_Tabla_Cat,0),FALSE),VLOOKUP(Categoría_2,Tabla_Categorías,MATCH("Coste"&amp;$B140,Name_Tabla_Cat,0),FALSE)),VLOOKUP(Categoría_2,Tabla_Categorías,MATCH("Coste"&amp;$B140,Name_Tabla_Cat,0),FALSE))</f>
        <v>#N/A</v>
      </c>
      <c r="AP140" s="27" t="e">
        <f>IF(ISNUMBER(MATCH("Coste"&amp;$E140,Name_Tabla_Cat,0)),MIN(VLOOKUP(Categoría_3,Tabla_Categorías,MATCH("Coste"&amp;$E140,Name_Tabla_Cat,0),FALSE),VLOOKUP(Categoría_3,Tabla_Categorías,MATCH("Coste"&amp;$B140,Name_Tabla_Cat,0),FALSE)),VLOOKUP(Categoría_3,Tabla_Categorías,MATCH("Coste"&amp;$B140,Name_Tabla_Cat,0),FALSE))</f>
        <v>#N/A</v>
      </c>
      <c r="AR140" s="27" t="e">
        <f>IF(ISNUMBER(MATCH("Coste"&amp;$E140,Name_Tabla_Cat,0)),MIN(VLOOKUP(Categoría_4,Tabla_Categorías,MATCH("Coste"&amp;$E140,Name_Tabla_Cat,0),FALSE),VLOOKUP(Categoría_4,Tabla_Categorías,MATCH("Coste"&amp;$B140,Name_Tabla_Cat,0),FALSE)),VLOOKUP(Categoría_4,Tabla_Categorías,MATCH("Coste"&amp;$B140,Name_Tabla_Cat,0),FALSE))</f>
        <v>#N/A</v>
      </c>
      <c r="AT140" s="27" t="e">
        <f>IF(ISNUMBER(MATCH("Coste"&amp;$E140,Name_Tabla_Cat,0)),MIN(VLOOKUP(Categoría_5,Tabla_Categorías,MATCH("Coste"&amp;$E140,Name_Tabla_Cat,0),FALSE),VLOOKUP(Categoría_5,Tabla_Categorías,MATCH("Coste"&amp;$B140,Name_Tabla_Cat,0),FALSE)),VLOOKUP(Categoría_5,Tabla_Categorías,MATCH("Coste"&amp;$B140,Name_Tabla_Cat,0),FALSE))</f>
        <v>#N/A</v>
      </c>
    </row>
    <row r="141" spans="1:46" ht="12" customHeight="1" x14ac:dyDescent="0.2">
      <c r="A141" s="2127"/>
      <c r="B141" s="554" t="str">
        <f>B140</f>
        <v>Perc</v>
      </c>
      <c r="C141" s="3392"/>
      <c r="D141" s="3204"/>
      <c r="E141" s="3323" t="s">
        <v>2287</v>
      </c>
      <c r="F141" s="3324"/>
      <c r="G141" s="3324"/>
      <c r="H141" s="2453" t="s">
        <v>2242</v>
      </c>
      <c r="I141" s="2406"/>
      <c r="J141" s="228">
        <f>IF(ISNA(AL141),0,MAX(MIN(AL141-Tablas!$F$495-Tablas!$N487-2*Tablas!$P487-3*Tablas!$R487,3),1))</f>
        <v>2</v>
      </c>
      <c r="K141" s="1698"/>
      <c r="L141" s="228">
        <f>IF(ISNA(AN141),0,MAX(MIN(AN141-Tablas!$F$495-Tablas!$N487-2*Tablas!$P487-3*Tablas!$R487,3),1))</f>
        <v>0</v>
      </c>
      <c r="M141" s="208"/>
      <c r="N141" s="1362">
        <f>IF(ISNA(AP141),0,MAX(MIN(AP141-Tablas!$F$495-Tablas!$N487-2*Tablas!$P487-3*Tablas!$R487,3),1))</f>
        <v>0</v>
      </c>
      <c r="O141" s="1698"/>
      <c r="P141" s="228">
        <f>IF(ISNA(AR141),0,MAX(MIN(AR141-Tablas!$F$495-Tablas!$N487-2*Tablas!$P487-3*Tablas!$R487,3),1))</f>
        <v>0</v>
      </c>
      <c r="Q141" s="208"/>
      <c r="R141" s="1362">
        <f>IF(ISNA(AT141),0,MAX(MIN(AT141-Tablas!$F$495-Tablas!$N487-2*Tablas!$P487-3*Tablas!$R487,3),1))</f>
        <v>0</v>
      </c>
      <c r="S141" s="1698"/>
      <c r="T141" s="1706">
        <f t="shared" si="6"/>
        <v>0</v>
      </c>
      <c r="U141" s="1706">
        <f>MIN(VLOOKUP($H141,Principal!$D$11:$H$18,5)*(1+W141)+10*Tablas!$F$518+10*X141,100)</f>
        <v>10</v>
      </c>
      <c r="V141" s="1706">
        <f>IF(ISNA(AE141),0,AE141)+Tablas!$Y487*Nivel_Total+10*Y141</f>
        <v>0</v>
      </c>
      <c r="W141" s="1714"/>
      <c r="X141" s="1698"/>
      <c r="Y141" s="208"/>
      <c r="Z141" s="225"/>
      <c r="AA141" s="1727">
        <f>IF(AND(T141&lt;5,Tablas!F$518=0),-30,0)+T141+U141+V141+Z141+IF(I141="",0,40)+Combate!$AB$15+AD141+AF141</f>
        <v>-20</v>
      </c>
      <c r="AB141" s="153">
        <f>IF(AA141="-",0,IF(AA141&gt;VLOOKUP(Nivel_Total,Tabla_LímiteSecundarias,2),1,0))</f>
        <v>0</v>
      </c>
      <c r="AC141" s="2126"/>
      <c r="AD141" s="2856">
        <f>IF(Raza="Tuan Dalyr",80,50)*Tablas!F486</f>
        <v>0</v>
      </c>
      <c r="AE141" s="2857">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896">
        <f t="shared" si="7"/>
        <v>0</v>
      </c>
      <c r="AG141" s="2856" t="e">
        <f>HLOOKUP(Region&amp;ClaseSocial,Tabla_RaicesCulturales,Tablas!E54,FALSE)</f>
        <v>#N/A</v>
      </c>
      <c r="AH141" s="2857">
        <f>IF(AND(E141="Historia",'Elan y Personalización'!$X$26="Historia (Local)"),20&amp;" "&amp;'Elan y Personalización'!$X$26,IF(OR(E141='Elan y Personalización'!$X$25,E141='Elan y Personalización'!$X$26),VLOOKUP(E141,Tablas!$K$33:$L$34,2,FALSE),0))</f>
        <v>0</v>
      </c>
      <c r="AI141" s="2857" t="b">
        <f t="shared" si="8"/>
        <v>0</v>
      </c>
      <c r="AJ141" s="2857" t="b">
        <f t="shared" si="9"/>
        <v>0</v>
      </c>
      <c r="AL141" s="27">
        <f>IF(ISNUMBER(MATCH("Coste"&amp;$E141,Name_Tabla_Cat,0)),MIN(VLOOKUP(Categoría_1,Tabla_Categorías,MATCH("Coste"&amp;$E141,Name_Tabla_Cat,0),FALSE),VLOOKUP(Categoría_1,Tabla_Categorías,MATCH("Coste"&amp;$B141,Name_Tabla_Cat,0),FALSE)),VLOOKUP(Categoría_1,Tabla_Categorías,MATCH("Coste"&amp;$B141,Name_Tabla_Cat,0),FALSE))</f>
        <v>2</v>
      </c>
      <c r="AN141" s="27" t="e">
        <f>IF(ISNUMBER(MATCH("Coste"&amp;$E141,Name_Tabla_Cat,0)),MIN(VLOOKUP(Categoría_2,Tabla_Categorías,MATCH("Coste"&amp;$E141,Name_Tabla_Cat,0),FALSE),VLOOKUP(Categoría_2,Tabla_Categorías,MATCH("Coste"&amp;$B141,Name_Tabla_Cat,0),FALSE)),VLOOKUP(Categoría_2,Tabla_Categorías,MATCH("Coste"&amp;$B141,Name_Tabla_Cat,0),FALSE))</f>
        <v>#N/A</v>
      </c>
      <c r="AP141" s="27" t="e">
        <f>IF(ISNUMBER(MATCH("Coste"&amp;$E141,Name_Tabla_Cat,0)),MIN(VLOOKUP(Categoría_3,Tabla_Categorías,MATCH("Coste"&amp;$E141,Name_Tabla_Cat,0),FALSE),VLOOKUP(Categoría_3,Tabla_Categorías,MATCH("Coste"&amp;$B141,Name_Tabla_Cat,0),FALSE)),VLOOKUP(Categoría_3,Tabla_Categorías,MATCH("Coste"&amp;$B141,Name_Tabla_Cat,0),FALSE))</f>
        <v>#N/A</v>
      </c>
      <c r="AR141" s="27" t="e">
        <f>IF(ISNUMBER(MATCH("Coste"&amp;$E141,Name_Tabla_Cat,0)),MIN(VLOOKUP(Categoría_4,Tabla_Categorías,MATCH("Coste"&amp;$E141,Name_Tabla_Cat,0),FALSE),VLOOKUP(Categoría_4,Tabla_Categorías,MATCH("Coste"&amp;$B141,Name_Tabla_Cat,0),FALSE)),VLOOKUP(Categoría_4,Tabla_Categorías,MATCH("Coste"&amp;$B141,Name_Tabla_Cat,0),FALSE))</f>
        <v>#N/A</v>
      </c>
      <c r="AT141" s="27" t="e">
        <f>IF(ISNUMBER(MATCH("Coste"&amp;$E141,Name_Tabla_Cat,0)),MIN(VLOOKUP(Categoría_5,Tabla_Categorías,MATCH("Coste"&amp;$E141,Name_Tabla_Cat,0),FALSE),VLOOKUP(Categoría_5,Tabla_Categorías,MATCH("Coste"&amp;$B141,Name_Tabla_Cat,0),FALSE)),VLOOKUP(Categoría_5,Tabla_Categorías,MATCH("Coste"&amp;$B141,Name_Tabla_Cat,0),FALSE))</f>
        <v>#N/A</v>
      </c>
    </row>
    <row r="142" spans="1:46" ht="12" customHeight="1" x14ac:dyDescent="0.2">
      <c r="A142" s="2127"/>
      <c r="B142" s="554" t="str">
        <f>B141</f>
        <v>Perc</v>
      </c>
      <c r="C142" s="3392"/>
      <c r="D142" s="3204"/>
      <c r="E142" s="3325" t="s">
        <v>2288</v>
      </c>
      <c r="F142" s="3326"/>
      <c r="G142" s="3326"/>
      <c r="H142" s="2454" t="s">
        <v>2242</v>
      </c>
      <c r="I142" s="2407"/>
      <c r="J142" s="229">
        <f>IF(ISNA(AL142),0,MAX(MIN(AL142-Tablas!$F$495-Tablas!$N488-2*Tablas!$P488-3*Tablas!$R488,3),1))</f>
        <v>2</v>
      </c>
      <c r="K142" s="1699"/>
      <c r="L142" s="229">
        <f>IF(ISNA(AN142),0,MAX(MIN(AN142-Tablas!$F$495-Tablas!$N488-2*Tablas!$P488-3*Tablas!$R488,3),1))</f>
        <v>0</v>
      </c>
      <c r="M142" s="1736"/>
      <c r="N142" s="1364">
        <f>IF(ISNA(AP142),0,MAX(MIN(AP142-Tablas!$F$495-Tablas!$N488-2*Tablas!$P488-3*Tablas!$R488,3),1))</f>
        <v>0</v>
      </c>
      <c r="O142" s="1699"/>
      <c r="P142" s="229">
        <f>IF(ISNA(AR142),0,MAX(MIN(AR142-Tablas!$F$495-Tablas!$N488-2*Tablas!$P488-3*Tablas!$R488,3),1))</f>
        <v>0</v>
      </c>
      <c r="Q142" s="1736"/>
      <c r="R142" s="1364">
        <f>IF(ISNA(AT142),0,MAX(MIN(AT142-Tablas!$F$495-Tablas!$N488-2*Tablas!$P488-3*Tablas!$R488,3),1))</f>
        <v>0</v>
      </c>
      <c r="S142" s="1699"/>
      <c r="T142" s="1707">
        <f t="shared" si="6"/>
        <v>0</v>
      </c>
      <c r="U142" s="1707">
        <f>MIN(VLOOKUP($H142,Principal!$D$11:$H$18,5)*(1+W142)+10*Tablas!$F$518+10*X142,100)</f>
        <v>10</v>
      </c>
      <c r="V142" s="1707">
        <f>IF(ISNA(AE142),0,AE142)+Tablas!$Y488*Nivel_Total+10*Y142</f>
        <v>0</v>
      </c>
      <c r="W142" s="1715"/>
      <c r="X142" s="1699"/>
      <c r="Y142" s="1736"/>
      <c r="Z142" s="226"/>
      <c r="AA142" s="1728">
        <f>IF(AND(T142&lt;5,Tablas!F$518=0),-30,0)+T142+U142+V142+Z142+IF(I142="",0,40)+Combate!$AB$15+AD142+AF142</f>
        <v>-20</v>
      </c>
      <c r="AB142" s="153">
        <f>IF(AA142="-",0,IF(AA142&gt;VLOOKUP(Nivel_Total,Tabla_LímiteSecundarias,2),1,0))</f>
        <v>0</v>
      </c>
      <c r="AC142" s="2126"/>
      <c r="AE142" s="2857">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896">
        <f t="shared" si="7"/>
        <v>0</v>
      </c>
      <c r="AG142" s="2856" t="e">
        <f>HLOOKUP(Region&amp;ClaseSocial,Tabla_RaicesCulturales,Tablas!E55,FALSE)</f>
        <v>#N/A</v>
      </c>
      <c r="AH142" s="2857">
        <f>IF(AND(E142="Historia",'Elan y Personalización'!$X$26="Historia (Local)"),20&amp;" "&amp;'Elan y Personalización'!$X$26,IF(OR(E142='Elan y Personalización'!$X$25,E142='Elan y Personalización'!$X$26),VLOOKUP(E142,Tablas!$K$33:$L$34,2,FALSE),0))</f>
        <v>0</v>
      </c>
      <c r="AI142" s="2857" t="b">
        <f t="shared" si="8"/>
        <v>0</v>
      </c>
      <c r="AJ142" s="2857" t="b">
        <f t="shared" si="9"/>
        <v>0</v>
      </c>
      <c r="AL142" s="27">
        <f>IF(ISNUMBER(MATCH("Coste"&amp;$E142,Name_Tabla_Cat,0)),MIN(VLOOKUP(Categoría_1,Tabla_Categorías,MATCH("Coste"&amp;$E142,Name_Tabla_Cat,0),FALSE),VLOOKUP(Categoría_1,Tabla_Categorías,MATCH("Coste"&amp;$B142,Name_Tabla_Cat,0),FALSE)),VLOOKUP(Categoría_1,Tabla_Categorías,MATCH("Coste"&amp;$B142,Name_Tabla_Cat,0),FALSE))</f>
        <v>2</v>
      </c>
      <c r="AN142" s="27" t="e">
        <f>IF(ISNUMBER(MATCH("Coste"&amp;$E142,Name_Tabla_Cat,0)),MIN(VLOOKUP(Categoría_2,Tabla_Categorías,MATCH("Coste"&amp;$E142,Name_Tabla_Cat,0),FALSE),VLOOKUP(Categoría_2,Tabla_Categorías,MATCH("Coste"&amp;$B142,Name_Tabla_Cat,0),FALSE)),VLOOKUP(Categoría_2,Tabla_Categorías,MATCH("Coste"&amp;$B142,Name_Tabla_Cat,0),FALSE))</f>
        <v>#N/A</v>
      </c>
      <c r="AP142" s="27" t="e">
        <f>IF(ISNUMBER(MATCH("Coste"&amp;$E142,Name_Tabla_Cat,0)),MIN(VLOOKUP(Categoría_3,Tabla_Categorías,MATCH("Coste"&amp;$E142,Name_Tabla_Cat,0),FALSE),VLOOKUP(Categoría_3,Tabla_Categorías,MATCH("Coste"&amp;$B142,Name_Tabla_Cat,0),FALSE)),VLOOKUP(Categoría_3,Tabla_Categorías,MATCH("Coste"&amp;$B142,Name_Tabla_Cat,0),FALSE))</f>
        <v>#N/A</v>
      </c>
      <c r="AR142" s="27" t="e">
        <f>IF(ISNUMBER(MATCH("Coste"&amp;$E142,Name_Tabla_Cat,0)),MIN(VLOOKUP(Categoría_4,Tabla_Categorías,MATCH("Coste"&amp;$E142,Name_Tabla_Cat,0),FALSE),VLOOKUP(Categoría_4,Tabla_Categorías,MATCH("Coste"&amp;$B142,Name_Tabla_Cat,0),FALSE)),VLOOKUP(Categoría_4,Tabla_Categorías,MATCH("Coste"&amp;$B142,Name_Tabla_Cat,0),FALSE))</f>
        <v>#N/A</v>
      </c>
      <c r="AT142" s="27" t="e">
        <f>IF(ISNUMBER(MATCH("Coste"&amp;$E142,Name_Tabla_Cat,0)),MIN(VLOOKUP(Categoría_5,Tabla_Categorías,MATCH("Coste"&amp;$E142,Name_Tabla_Cat,0),FALSE),VLOOKUP(Categoría_5,Tabla_Categorías,MATCH("Coste"&amp;$B142,Name_Tabla_Cat,0),FALSE)),VLOOKUP(Categoría_5,Tabla_Categorías,MATCH("Coste"&amp;$B142,Name_Tabla_Cat,0),FALSE))</f>
        <v>#N/A</v>
      </c>
    </row>
    <row r="143" spans="1:46" ht="12" customHeight="1" x14ac:dyDescent="0.2">
      <c r="A143" s="2127"/>
      <c r="B143" s="554" t="str">
        <f>D143</f>
        <v>Intelectuales</v>
      </c>
      <c r="C143" s="3392"/>
      <c r="D143" s="3322" t="s">
        <v>2289</v>
      </c>
      <c r="E143" s="3470" t="s">
        <v>2290</v>
      </c>
      <c r="F143" s="3471"/>
      <c r="G143" s="3471"/>
      <c r="H143" s="2455" t="s">
        <v>2239</v>
      </c>
      <c r="I143" s="1874"/>
      <c r="J143" s="1691">
        <f>IF(ISNA(AL143),0,MAX(MIN(AL143-Tablas!$F$495-Tablas!$N489-2*Tablas!$P489-3*Tablas!$R489,3),1))</f>
        <v>2</v>
      </c>
      <c r="K143" s="1703"/>
      <c r="L143" s="1691">
        <f>IF(ISNA(AN143),0,MAX(MIN(AN143-Tablas!$F$495-Tablas!$N489-2*Tablas!$P489-3*Tablas!$R489,3),1))</f>
        <v>0</v>
      </c>
      <c r="M143" s="1692"/>
      <c r="N143" s="1702">
        <f>IF(ISNA(AP143),0,MAX(MIN(AP143-Tablas!$F$495-Tablas!$N489-2*Tablas!$P489-3*Tablas!$R489,3),1))</f>
        <v>0</v>
      </c>
      <c r="O143" s="1703"/>
      <c r="P143" s="1691">
        <f>IF(ISNA(AR143),0,MAX(MIN(AR143-Tablas!$F$495-Tablas!$N489-2*Tablas!$P489-3*Tablas!$R489,3),1))</f>
        <v>0</v>
      </c>
      <c r="Q143" s="1692"/>
      <c r="R143" s="1702">
        <f>IF(ISNA(AT143),0,MAX(MIN(AT143-Tablas!$F$495-Tablas!$N489-2*Tablas!$P489-3*Tablas!$R489,3),1))</f>
        <v>0</v>
      </c>
      <c r="S143" s="1703"/>
      <c r="T143" s="1709">
        <f t="shared" si="6"/>
        <v>0</v>
      </c>
      <c r="U143" s="1709">
        <f>MIN(VLOOKUP($H143,Principal!$D$11:$H$18,5)*(1+W143)+10*Tablas!$F$518+10*X143,100)</f>
        <v>5</v>
      </c>
      <c r="V143" s="1709">
        <f>IF(ISNA(AE143),0,AE143)+Tablas!$Y489*Nivel_Total+10*Y143</f>
        <v>0</v>
      </c>
      <c r="W143" s="1717"/>
      <c r="X143" s="1703"/>
      <c r="Y143" s="1692"/>
      <c r="Z143" s="1693"/>
      <c r="AA143" s="1730">
        <f>IF(AND(T143&lt;5,Tablas!F$518=0),-30,0)+T143+U143+V143+Z143+IF(I143="",0,40)+Combate!$AB$15+AD143+AF143</f>
        <v>-25</v>
      </c>
      <c r="AB143" s="153">
        <f>IF(AA143="-",0,IF(AA143&gt;VLOOKUP(Nivel_Total,Tabla_LímiteSecundarias,2),1,0))</f>
        <v>0</v>
      </c>
      <c r="AC143" s="2126"/>
      <c r="AD143" s="2856">
        <f>IF(Tablas!M3475=0,0,ROUNDDOWN(Elan/2,0))+IF(Tablas!$M3512=0,0,Elan)</f>
        <v>0</v>
      </c>
      <c r="AE143" s="2857">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896">
        <f t="shared" si="7"/>
        <v>0</v>
      </c>
      <c r="AG143" s="2856" t="e">
        <f>HLOOKUP(Region&amp;ClaseSocial,Tabla_RaicesCulturales,Tablas!E56,FALSE)</f>
        <v>#N/A</v>
      </c>
      <c r="AH143" s="2857">
        <f>IF(AND(E143="Historia",'Elan y Personalización'!$X$26="Historia (Local)"),20&amp;" "&amp;'Elan y Personalización'!$X$26,IF(OR(E143='Elan y Personalización'!$X$25,E143='Elan y Personalización'!$X$26),VLOOKUP(E143,Tablas!$K$33:$L$34,2,FALSE),0))</f>
        <v>0</v>
      </c>
      <c r="AI143" s="2857" t="b">
        <f t="shared" si="8"/>
        <v>0</v>
      </c>
      <c r="AJ143" s="2857" t="b">
        <f t="shared" si="9"/>
        <v>0</v>
      </c>
      <c r="AL143" s="27">
        <f>IF(ISNUMBER(MATCH("Coste"&amp;$E143,Name_Tabla_Cat,0)),MIN(VLOOKUP(Categoría_1,Tabla_Categorías,MATCH("Coste"&amp;$E143,Name_Tabla_Cat,0),FALSE),VLOOKUP(Categoría_1,Tabla_Categorías,MATCH("Coste"&amp;$B143,Name_Tabla_Cat,0),FALSE)),VLOOKUP(Categoría_1,Tabla_Categorías,MATCH("Coste"&amp;$B143,Name_Tabla_Cat,0),FALSE))</f>
        <v>2</v>
      </c>
      <c r="AN143" s="27" t="e">
        <f>IF(ISNUMBER(MATCH("Coste"&amp;$E143,Name_Tabla_Cat,0)),MIN(VLOOKUP(Categoría_2,Tabla_Categorías,MATCH("Coste"&amp;$E143,Name_Tabla_Cat,0),FALSE),VLOOKUP(Categoría_2,Tabla_Categorías,MATCH("Coste"&amp;$B143,Name_Tabla_Cat,0),FALSE)),VLOOKUP(Categoría_2,Tabla_Categorías,MATCH("Coste"&amp;$B143,Name_Tabla_Cat,0),FALSE))</f>
        <v>#N/A</v>
      </c>
      <c r="AP143" s="27" t="e">
        <f>IF(ISNUMBER(MATCH("Coste"&amp;$E143,Name_Tabla_Cat,0)),MIN(VLOOKUP(Categoría_3,Tabla_Categorías,MATCH("Coste"&amp;$E143,Name_Tabla_Cat,0),FALSE),VLOOKUP(Categoría_3,Tabla_Categorías,MATCH("Coste"&amp;$B143,Name_Tabla_Cat,0),FALSE)),VLOOKUP(Categoría_3,Tabla_Categorías,MATCH("Coste"&amp;$B143,Name_Tabla_Cat,0),FALSE))</f>
        <v>#N/A</v>
      </c>
      <c r="AR143" s="27" t="e">
        <f>IF(ISNUMBER(MATCH("Coste"&amp;$E143,Name_Tabla_Cat,0)),MIN(VLOOKUP(Categoría_4,Tabla_Categorías,MATCH("Coste"&amp;$E143,Name_Tabla_Cat,0),FALSE),VLOOKUP(Categoría_4,Tabla_Categorías,MATCH("Coste"&amp;$B143,Name_Tabla_Cat,0),FALSE)),VLOOKUP(Categoría_4,Tabla_Categorías,MATCH("Coste"&amp;$B143,Name_Tabla_Cat,0),FALSE))</f>
        <v>#N/A</v>
      </c>
      <c r="AT143" s="27" t="e">
        <f>IF(ISNUMBER(MATCH("Coste"&amp;$E143,Name_Tabla_Cat,0)),MIN(VLOOKUP(Categoría_5,Tabla_Categorías,MATCH("Coste"&amp;$E143,Name_Tabla_Cat,0),FALSE),VLOOKUP(Categoría_5,Tabla_Categorías,MATCH("Coste"&amp;$B143,Name_Tabla_Cat,0),FALSE)),VLOOKUP(Categoría_5,Tabla_Categorías,MATCH("Coste"&amp;$B143,Name_Tabla_Cat,0),FALSE))</f>
        <v>#N/A</v>
      </c>
    </row>
    <row r="144" spans="1:46" ht="12" customHeight="1" x14ac:dyDescent="0.2">
      <c r="A144" s="2127"/>
      <c r="B144" s="554" t="str">
        <f>B143</f>
        <v>Intelectuales</v>
      </c>
      <c r="C144" s="3392"/>
      <c r="D144" s="3204"/>
      <c r="E144" s="3325" t="s">
        <v>2291</v>
      </c>
      <c r="F144" s="3326"/>
      <c r="G144" s="3326"/>
      <c r="H144" s="2454" t="s">
        <v>2239</v>
      </c>
      <c r="I144" s="1873"/>
      <c r="J144" s="229">
        <f>IF(ISNA(AL144),0,MAX(MIN(AL144-Tablas!$F$495-Tablas!$N490-2*Tablas!$P490-3*Tablas!$R490,3),1))</f>
        <v>2</v>
      </c>
      <c r="K144" s="1699"/>
      <c r="L144" s="229">
        <f>IF(ISNA(AN144),0,MAX(MIN(AN144-Tablas!$F$495-Tablas!$N490-2*Tablas!$P490-3*Tablas!$R490,3),1))</f>
        <v>0</v>
      </c>
      <c r="M144" s="1736"/>
      <c r="N144" s="1364">
        <f>IF(ISNA(AP144),0,MAX(MIN(AP144-Tablas!$F$495-Tablas!$N490-2*Tablas!$P490-3*Tablas!$R490,3),1))</f>
        <v>0</v>
      </c>
      <c r="O144" s="1699"/>
      <c r="P144" s="229">
        <f>IF(ISNA(AR144),0,MAX(MIN(AR144-Tablas!$F$495-Tablas!$N490-2*Tablas!$P490-3*Tablas!$R490,3),1))</f>
        <v>0</v>
      </c>
      <c r="Q144" s="1736"/>
      <c r="R144" s="1364">
        <f>IF(ISNA(AT144),0,MAX(MIN(AT144-Tablas!$F$495-Tablas!$N490-2*Tablas!$P490-3*Tablas!$R490,3),1))</f>
        <v>0</v>
      </c>
      <c r="S144" s="1699"/>
      <c r="T144" s="1707">
        <f t="shared" ref="T144:T157" si="12">IF(J144=0,0,TRUNC(K144/J144,0))+IF(L144=0,0,TRUNC(M144/L144,0))+IF(N144=0,0,TRUNC(O144/N144,0))+IF(P144=0,0,TRUNC(Q144/P144,0))+IF(R144=0,0,TRUNC(S144/R144,0))</f>
        <v>0</v>
      </c>
      <c r="U144" s="1707">
        <f>MIN(VLOOKUP($H144,Principal!$D$11:$H$18,5)*(1+W144)+10*Tablas!$F$518+10*X144,100)</f>
        <v>5</v>
      </c>
      <c r="V144" s="1707">
        <f>IF(ISNA(AE144),0,AE144)+Tablas!$Y490*Nivel_Total+10*Y144</f>
        <v>0</v>
      </c>
      <c r="W144" s="1715"/>
      <c r="X144" s="1699"/>
      <c r="Y144" s="1736"/>
      <c r="Z144" s="226"/>
      <c r="AA144" s="1728" t="str">
        <f>IF(AND(T144&lt;5,Tablas!F$518=0),"-",T144+U144+V144+Z144+IF(I144="",0,40)+Combate!$AB$15+AD144+AF144)</f>
        <v>-</v>
      </c>
      <c r="AB144" s="153">
        <f>IF(AA144="-",0,IF(AA144&gt;VLOOKUP(Nivel_Total,Tabla_LímiteSecundarias,2),1,0))</f>
        <v>0</v>
      </c>
      <c r="AC144" s="2126"/>
      <c r="AD144" s="2856">
        <f>IF(Tablas!M3475=0,0,ROUNDDOWN(Elan/2,0))+IF(Tablas!$M3564=0,0,Elan)</f>
        <v>0</v>
      </c>
      <c r="AE144" s="2857"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896">
        <f t="shared" si="7"/>
        <v>0</v>
      </c>
      <c r="AG144" s="2856" t="e">
        <f>HLOOKUP(Region&amp;ClaseSocial,Tabla_RaicesCulturales,Tablas!E57,FALSE)</f>
        <v>#N/A</v>
      </c>
      <c r="AH144" s="2857">
        <f>IF(AND(E144="Historia",'Elan y Personalización'!$X$26="Historia (Local)"),20&amp;" "&amp;'Elan y Personalización'!$X$26,IF(OR(E144='Elan y Personalización'!$X$25,E144='Elan y Personalización'!$X$26),VLOOKUP(E144,Tablas!$K$33:$L$34,2,FALSE),0))</f>
        <v>0</v>
      </c>
      <c r="AI144" s="2857" t="b">
        <f t="shared" ref="AI144:AI157" si="13">OR(ISNUMBER(FIND("(",AG144)),ISNUMBER(FIND("(",AH144)))</f>
        <v>0</v>
      </c>
      <c r="AJ144" s="2857" t="b">
        <f t="shared" ref="AJ144:AJ157" si="14">AND(NOT(I144=""),OR(ISNUMBER(SEARCH(I144,AG144)),ISNUMBER(SEARCH(I144,AH144))))</f>
        <v>0</v>
      </c>
      <c r="AL144" s="27">
        <f>IF(ISNUMBER(MATCH("Coste"&amp;$E144,Name_Tabla_Cat,0)),MIN(VLOOKUP(Categoría_1,Tabla_Categorías,MATCH("Coste"&amp;$E144,Name_Tabla_Cat,0),FALSE),VLOOKUP(Categoría_1,Tabla_Categorías,MATCH("Coste"&amp;$B144,Name_Tabla_Cat,0),FALSE)),VLOOKUP(Categoría_1,Tabla_Categorías,MATCH("Coste"&amp;$B144,Name_Tabla_Cat,0),FALSE))</f>
        <v>2</v>
      </c>
      <c r="AN144" s="27" t="e">
        <f>IF(ISNUMBER(MATCH("Coste"&amp;$E144,Name_Tabla_Cat,0)),MIN(VLOOKUP(Categoría_2,Tabla_Categorías,MATCH("Coste"&amp;$E144,Name_Tabla_Cat,0),FALSE),VLOOKUP(Categoría_2,Tabla_Categorías,MATCH("Coste"&amp;$B144,Name_Tabla_Cat,0),FALSE)),VLOOKUP(Categoría_2,Tabla_Categorías,MATCH("Coste"&amp;$B144,Name_Tabla_Cat,0),FALSE))</f>
        <v>#N/A</v>
      </c>
      <c r="AP144" s="27" t="e">
        <f>IF(ISNUMBER(MATCH("Coste"&amp;$E144,Name_Tabla_Cat,0)),MIN(VLOOKUP(Categoría_3,Tabla_Categorías,MATCH("Coste"&amp;$E144,Name_Tabla_Cat,0),FALSE),VLOOKUP(Categoría_3,Tabla_Categorías,MATCH("Coste"&amp;$B144,Name_Tabla_Cat,0),FALSE)),VLOOKUP(Categoría_3,Tabla_Categorías,MATCH("Coste"&amp;$B144,Name_Tabla_Cat,0),FALSE))</f>
        <v>#N/A</v>
      </c>
      <c r="AR144" s="27" t="e">
        <f>IF(ISNUMBER(MATCH("Coste"&amp;$E144,Name_Tabla_Cat,0)),MIN(VLOOKUP(Categoría_4,Tabla_Categorías,MATCH("Coste"&amp;$E144,Name_Tabla_Cat,0),FALSE),VLOOKUP(Categoría_4,Tabla_Categorías,MATCH("Coste"&amp;$B144,Name_Tabla_Cat,0),FALSE)),VLOOKUP(Categoría_4,Tabla_Categorías,MATCH("Coste"&amp;$B144,Name_Tabla_Cat,0),FALSE))</f>
        <v>#N/A</v>
      </c>
      <c r="AT144" s="27" t="e">
        <f>IF(ISNUMBER(MATCH("Coste"&amp;$E144,Name_Tabla_Cat,0)),MIN(VLOOKUP(Categoría_5,Tabla_Categorías,MATCH("Coste"&amp;$E144,Name_Tabla_Cat,0),FALSE),VLOOKUP(Categoría_5,Tabla_Categorías,MATCH("Coste"&amp;$B144,Name_Tabla_Cat,0),FALSE)),VLOOKUP(Categoría_5,Tabla_Categorías,MATCH("Coste"&amp;$B144,Name_Tabla_Cat,0),FALSE))</f>
        <v>#N/A</v>
      </c>
    </row>
    <row r="145" spans="1:46" ht="12" customHeight="1" x14ac:dyDescent="0.2">
      <c r="A145" s="2127"/>
      <c r="B145" s="554" t="str">
        <f>B144</f>
        <v>Intelectuales</v>
      </c>
      <c r="C145" s="3392"/>
      <c r="D145" s="3204"/>
      <c r="E145" s="3323" t="s">
        <v>3679</v>
      </c>
      <c r="F145" s="3324"/>
      <c r="G145" s="3324"/>
      <c r="H145" s="2453" t="s">
        <v>2239</v>
      </c>
      <c r="I145" s="2406"/>
      <c r="J145" s="228">
        <f>IF(ISNA(AL145),0,MAX(MIN(AL145-Tablas!$F$495-Tablas!$N491-2*Tablas!$P491-3*Tablas!$R491,3),1))</f>
        <v>2</v>
      </c>
      <c r="K145" s="1698"/>
      <c r="L145" s="228">
        <f>IF(ISNA(AN145),0,MAX(MIN(AN145-Tablas!$F$495-Tablas!$N491-2*Tablas!$P491-3*Tablas!$R491,3),1))</f>
        <v>0</v>
      </c>
      <c r="M145" s="208"/>
      <c r="N145" s="1362">
        <f>IF(ISNA(AP145),0,MAX(MIN(AP145-Tablas!$F$495-Tablas!$N491-2*Tablas!$P491-3*Tablas!$R491,3),1))</f>
        <v>0</v>
      </c>
      <c r="O145" s="1698"/>
      <c r="P145" s="228">
        <f>IF(ISNA(AR145),0,MAX(MIN(AR145-Tablas!$F$495-Tablas!$N491-2*Tablas!$P491-3*Tablas!$R491,3),1))</f>
        <v>0</v>
      </c>
      <c r="Q145" s="208"/>
      <c r="R145" s="1362">
        <f>IF(ISNA(AT145),0,MAX(MIN(AT145-Tablas!$F$495-Tablas!$N491-2*Tablas!$P491-3*Tablas!$R491,3),1))</f>
        <v>0</v>
      </c>
      <c r="S145" s="1698"/>
      <c r="T145" s="1706">
        <f t="shared" si="12"/>
        <v>0</v>
      </c>
      <c r="U145" s="1706">
        <f>MIN(VLOOKUP($H145,Principal!$D$11:$H$18,5)*(1+W145)+10*Tablas!$F$518+10*X145,100)</f>
        <v>5</v>
      </c>
      <c r="V145" s="1706">
        <f>IF(ISNA(AE145),0,AE145)+Tablas!$Y491*Nivel_Total+10*Y145</f>
        <v>0</v>
      </c>
      <c r="W145" s="1714"/>
      <c r="X145" s="1698"/>
      <c r="Y145" s="208"/>
      <c r="Z145" s="225"/>
      <c r="AA145" s="1727">
        <f>IF(AND(T145&lt;5,Tablas!F$518=0),-30,0)+T145+U145+V145+Z145+IF(I145="",0,40)+Combate!$AB$15+AD145+AF145</f>
        <v>-25</v>
      </c>
      <c r="AB145" s="153">
        <f>IF(AA145="-",0,IF(AA145&gt;VLOOKUP(Nivel_Total,Tabla_LímiteSecundarias,2),1,0))</f>
        <v>0</v>
      </c>
      <c r="AC145" s="2126"/>
      <c r="AD145" s="2856">
        <f>IF(Tablas!M3475=0,0,ROUNDDOWN(Elan/2,0))</f>
        <v>0</v>
      </c>
      <c r="AE145" s="2857"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896">
        <f t="shared" si="7"/>
        <v>0</v>
      </c>
      <c r="AG145" s="2856" t="e">
        <f>HLOOKUP(Region&amp;ClaseSocial,Tabla_RaicesCulturales,Tablas!E58,FALSE)</f>
        <v>#N/A</v>
      </c>
      <c r="AH145" s="2857">
        <f>IF(AND(E145="Historia",'Elan y Personalización'!$X$26="Historia (Local)"),20&amp;" "&amp;'Elan y Personalización'!$X$26,IF(OR(E145='Elan y Personalización'!$X$25,E145='Elan y Personalización'!$X$26),VLOOKUP(E145,Tablas!$K$33:$L$34,2,FALSE),0))</f>
        <v>0</v>
      </c>
      <c r="AI145" s="2857" t="b">
        <f t="shared" si="13"/>
        <v>0</v>
      </c>
      <c r="AJ145" s="2857" t="b">
        <f t="shared" si="14"/>
        <v>0</v>
      </c>
      <c r="AL145" s="27">
        <f>IF(ISNUMBER(MATCH("Coste"&amp;$E145,Name_Tabla_Cat,0)),MIN(VLOOKUP(Categoría_1,Tabla_Categorías,MATCH("Coste"&amp;$E145,Name_Tabla_Cat,0),FALSE),VLOOKUP(Categoría_1,Tabla_Categorías,MATCH("Coste"&amp;$B145,Name_Tabla_Cat,0),FALSE)),VLOOKUP(Categoría_1,Tabla_Categorías,MATCH("Coste"&amp;$B145,Name_Tabla_Cat,0),FALSE))</f>
        <v>2</v>
      </c>
      <c r="AN145" s="27" t="e">
        <f>IF(ISNUMBER(MATCH("Coste"&amp;$E145,Name_Tabla_Cat,0)),MIN(VLOOKUP(Categoría_2,Tabla_Categorías,MATCH("Coste"&amp;$E145,Name_Tabla_Cat,0),FALSE),VLOOKUP(Categoría_2,Tabla_Categorías,MATCH("Coste"&amp;$B145,Name_Tabla_Cat,0),FALSE)),VLOOKUP(Categoría_2,Tabla_Categorías,MATCH("Coste"&amp;$B145,Name_Tabla_Cat,0),FALSE))</f>
        <v>#N/A</v>
      </c>
      <c r="AP145" s="27" t="e">
        <f>IF(ISNUMBER(MATCH("Coste"&amp;$E145,Name_Tabla_Cat,0)),MIN(VLOOKUP(Categoría_3,Tabla_Categorías,MATCH("Coste"&amp;$E145,Name_Tabla_Cat,0),FALSE),VLOOKUP(Categoría_3,Tabla_Categorías,MATCH("Coste"&amp;$B145,Name_Tabla_Cat,0),FALSE)),VLOOKUP(Categoría_3,Tabla_Categorías,MATCH("Coste"&amp;$B145,Name_Tabla_Cat,0),FALSE))</f>
        <v>#N/A</v>
      </c>
      <c r="AR145" s="27" t="e">
        <f>IF(ISNUMBER(MATCH("Coste"&amp;$E145,Name_Tabla_Cat,0)),MIN(VLOOKUP(Categoría_4,Tabla_Categorías,MATCH("Coste"&amp;$E145,Name_Tabla_Cat,0),FALSE),VLOOKUP(Categoría_4,Tabla_Categorías,MATCH("Coste"&amp;$B145,Name_Tabla_Cat,0),FALSE)),VLOOKUP(Categoría_4,Tabla_Categorías,MATCH("Coste"&amp;$B145,Name_Tabla_Cat,0),FALSE))</f>
        <v>#N/A</v>
      </c>
      <c r="AT145" s="27" t="e">
        <f>IF(ISNUMBER(MATCH("Coste"&amp;$E145,Name_Tabla_Cat,0)),MIN(VLOOKUP(Categoría_5,Tabla_Categorías,MATCH("Coste"&amp;$E145,Name_Tabla_Cat,0),FALSE),VLOOKUP(Categoría_5,Tabla_Categorías,MATCH("Coste"&amp;$B145,Name_Tabla_Cat,0),FALSE)),VLOOKUP(Categoría_5,Tabla_Categorías,MATCH("Coste"&amp;$B145,Name_Tabla_Cat,0),FALSE))</f>
        <v>#N/A</v>
      </c>
    </row>
    <row r="146" spans="1:46" ht="12" customHeight="1" x14ac:dyDescent="0.2">
      <c r="A146" s="2127"/>
      <c r="B146" s="554" t="str">
        <f>B145</f>
        <v>Intelectuales</v>
      </c>
      <c r="C146" s="3392"/>
      <c r="D146" s="3204"/>
      <c r="E146" s="3325" t="s">
        <v>2292</v>
      </c>
      <c r="F146" s="3326"/>
      <c r="G146" s="3326"/>
      <c r="H146" s="2454" t="s">
        <v>2239</v>
      </c>
      <c r="I146" s="2407"/>
      <c r="J146" s="229">
        <f>IF(ISNA(AL146),0,MAX(MIN(AL146-Tablas!$F$495-Tablas!$N492-2*Tablas!$P492-3*Tablas!$R492,3),1))</f>
        <v>2</v>
      </c>
      <c r="K146" s="1699"/>
      <c r="L146" s="229">
        <f>IF(ISNA(AN146),0,MAX(MIN(AN146-Tablas!$F$495-Tablas!$N492-2*Tablas!$P492-3*Tablas!$R492,3),1))</f>
        <v>0</v>
      </c>
      <c r="M146" s="1736"/>
      <c r="N146" s="1364">
        <f>IF(ISNA(AP146),0,MAX(MIN(AP146-Tablas!$F$495-Tablas!$N492-2*Tablas!$P492-3*Tablas!$R492,3),1))</f>
        <v>0</v>
      </c>
      <c r="O146" s="1699"/>
      <c r="P146" s="229">
        <f>IF(ISNA(AR146),0,MAX(MIN(AR146-Tablas!$F$495-Tablas!$N492-2*Tablas!$P492-3*Tablas!$R492,3),1))</f>
        <v>0</v>
      </c>
      <c r="Q146" s="1736"/>
      <c r="R146" s="1364">
        <f>IF(ISNA(AT146),0,MAX(MIN(AT146-Tablas!$F$495-Tablas!$N492-2*Tablas!$P492-3*Tablas!$R492,3),1))</f>
        <v>0</v>
      </c>
      <c r="S146" s="1699"/>
      <c r="T146" s="1707">
        <f t="shared" si="12"/>
        <v>0</v>
      </c>
      <c r="U146" s="1707">
        <f>MIN(VLOOKUP($H146,Principal!$D$11:$H$18,5)*(1+W146)+10*Tablas!$F$518+10*X146,100)</f>
        <v>5</v>
      </c>
      <c r="V146" s="1707">
        <f>IF(ISNA(AE146),0,AE146)+Tablas!$Y492*Nivel_Total+10*Y146</f>
        <v>0</v>
      </c>
      <c r="W146" s="1715"/>
      <c r="X146" s="1699"/>
      <c r="Y146" s="1736"/>
      <c r="Z146" s="226"/>
      <c r="AA146" s="1728">
        <f>IF(AND(T146&lt;5,Tablas!F$518=0),-30,0)+T146+U146+V146+Z146+IF(I146="",0,40)+Combate!$AB$15+AD146+AF146</f>
        <v>-25</v>
      </c>
      <c r="AB146" s="153">
        <f>IF(AA146="-",0,IF(AA146&gt;VLOOKUP(Nivel_Total,Tabla_LímiteSecundarias,2),1,0))</f>
        <v>0</v>
      </c>
      <c r="AC146" s="2126"/>
      <c r="AD146" s="2856">
        <f>IF(Tablas!M3475=0,0,ROUNDDOWN(Elan/2,0))+IF(Tablas!$M3511=0,0,Elan)</f>
        <v>0</v>
      </c>
      <c r="AE146" s="2857">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896">
        <f t="shared" si="7"/>
        <v>0</v>
      </c>
      <c r="AG146" s="2856" t="e">
        <f>HLOOKUP(Region&amp;ClaseSocial,Tabla_RaicesCulturales,Tablas!E59,FALSE)</f>
        <v>#N/A</v>
      </c>
      <c r="AH146" s="2857">
        <f>IF(AND(E146="Historia",'Elan y Personalización'!$X$26="Historia (Local)"),20&amp;" "&amp;'Elan y Personalización'!$X$26,IF(OR(E146='Elan y Personalización'!$X$25,E146='Elan y Personalización'!$X$26),VLOOKUP(E146,Tablas!$K$33:$L$34,2,FALSE),0))</f>
        <v>0</v>
      </c>
      <c r="AI146" s="2857" t="b">
        <f t="shared" si="13"/>
        <v>0</v>
      </c>
      <c r="AJ146" s="2857" t="b">
        <f t="shared" si="14"/>
        <v>0</v>
      </c>
      <c r="AL146" s="27">
        <f>IF(ISNUMBER(MATCH("Coste"&amp;$E146,Name_Tabla_Cat,0)),MIN(VLOOKUP(Categoría_1,Tabla_Categorías,MATCH("Coste"&amp;$E146,Name_Tabla_Cat,0),FALSE),VLOOKUP(Categoría_1,Tabla_Categorías,MATCH("Coste"&amp;$B146,Name_Tabla_Cat,0),FALSE)),VLOOKUP(Categoría_1,Tabla_Categorías,MATCH("Coste"&amp;$B146,Name_Tabla_Cat,0),FALSE))</f>
        <v>2</v>
      </c>
      <c r="AN146" s="27" t="e">
        <f>IF(ISNUMBER(MATCH("Coste"&amp;$E146,Name_Tabla_Cat,0)),MIN(VLOOKUP(Categoría_2,Tabla_Categorías,MATCH("Coste"&amp;$E146,Name_Tabla_Cat,0),FALSE),VLOOKUP(Categoría_2,Tabla_Categorías,MATCH("Coste"&amp;$B146,Name_Tabla_Cat,0),FALSE)),VLOOKUP(Categoría_2,Tabla_Categorías,MATCH("Coste"&amp;$B146,Name_Tabla_Cat,0),FALSE))</f>
        <v>#N/A</v>
      </c>
      <c r="AP146" s="27" t="e">
        <f>IF(ISNUMBER(MATCH("Coste"&amp;$E146,Name_Tabla_Cat,0)),MIN(VLOOKUP(Categoría_3,Tabla_Categorías,MATCH("Coste"&amp;$E146,Name_Tabla_Cat,0),FALSE),VLOOKUP(Categoría_3,Tabla_Categorías,MATCH("Coste"&amp;$B146,Name_Tabla_Cat,0),FALSE)),VLOOKUP(Categoría_3,Tabla_Categorías,MATCH("Coste"&amp;$B146,Name_Tabla_Cat,0),FALSE))</f>
        <v>#N/A</v>
      </c>
      <c r="AR146" s="27" t="e">
        <f>IF(ISNUMBER(MATCH("Coste"&amp;$E146,Name_Tabla_Cat,0)),MIN(VLOOKUP(Categoría_4,Tabla_Categorías,MATCH("Coste"&amp;$E146,Name_Tabla_Cat,0),FALSE),VLOOKUP(Categoría_4,Tabla_Categorías,MATCH("Coste"&amp;$B146,Name_Tabla_Cat,0),FALSE)),VLOOKUP(Categoría_4,Tabla_Categorías,MATCH("Coste"&amp;$B146,Name_Tabla_Cat,0),FALSE))</f>
        <v>#N/A</v>
      </c>
      <c r="AT146" s="27" t="e">
        <f>IF(ISNUMBER(MATCH("Coste"&amp;$E146,Name_Tabla_Cat,0)),MIN(VLOOKUP(Categoría_5,Tabla_Categorías,MATCH("Coste"&amp;$E146,Name_Tabla_Cat,0),FALSE),VLOOKUP(Categoría_5,Tabla_Categorías,MATCH("Coste"&amp;$B146,Name_Tabla_Cat,0),FALSE)),VLOOKUP(Categoría_5,Tabla_Categorías,MATCH("Coste"&amp;$B146,Name_Tabla_Cat,0),FALSE))</f>
        <v>#N/A</v>
      </c>
    </row>
    <row r="147" spans="1:46" ht="12" customHeight="1" x14ac:dyDescent="0.2">
      <c r="A147" s="2127"/>
      <c r="B147" s="554" t="str">
        <f>B146</f>
        <v>Intelectuales</v>
      </c>
      <c r="C147" s="3392"/>
      <c r="D147" s="3204"/>
      <c r="E147" s="3323" t="s">
        <v>2294</v>
      </c>
      <c r="F147" s="3324"/>
      <c r="G147" s="3324"/>
      <c r="H147" s="2453" t="s">
        <v>2239</v>
      </c>
      <c r="I147" s="1872"/>
      <c r="J147" s="228">
        <f>IF(ISNA(AL147),0,MAX(MIN(AL147-Tablas!$F$495-Tablas!$N493-2*Tablas!$P493-3*Tablas!$R493,3),1))</f>
        <v>2</v>
      </c>
      <c r="K147" s="1698"/>
      <c r="L147" s="228">
        <f>IF(ISNA(AN147),0,MAX(MIN(AN147-Tablas!$F$495-Tablas!$N493-2*Tablas!$P493-3*Tablas!$R493,3),1))</f>
        <v>0</v>
      </c>
      <c r="M147" s="208"/>
      <c r="N147" s="1362">
        <f>IF(ISNA(AP147),0,MAX(MIN(AP147-Tablas!$F$495-Tablas!$N493-2*Tablas!$P493-3*Tablas!$R493,3),1))</f>
        <v>0</v>
      </c>
      <c r="O147" s="1698"/>
      <c r="P147" s="228">
        <f>IF(ISNA(AR147),0,MAX(MIN(AR147-Tablas!$F$495-Tablas!$N493-2*Tablas!$P493-3*Tablas!$R493,3),1))</f>
        <v>0</v>
      </c>
      <c r="Q147" s="208"/>
      <c r="R147" s="1362">
        <f>IF(ISNA(AT147),0,MAX(MIN(AT147-Tablas!$F$495-Tablas!$N493-2*Tablas!$P493-3*Tablas!$R493,3),1))</f>
        <v>0</v>
      </c>
      <c r="S147" s="1698"/>
      <c r="T147" s="1706">
        <f t="shared" si="12"/>
        <v>0</v>
      </c>
      <c r="U147" s="1706">
        <f>MIN(VLOOKUP($H147,Principal!$D$11:$H$18,5)*(1+W147)+10*Tablas!$F$518+10*X147,100)</f>
        <v>5</v>
      </c>
      <c r="V147" s="1706">
        <f>IF(ISNA(AE147),0,AE147)+Tablas!$Y493*Nivel_Total+10*Y147</f>
        <v>0</v>
      </c>
      <c r="W147" s="1714"/>
      <c r="X147" s="1698"/>
      <c r="Y147" s="208"/>
      <c r="Z147" s="225"/>
      <c r="AA147" s="1727" t="str">
        <f>IF(AND(T147&lt;5,Tablas!F$518=0),"-",T147+U147+V147+Z147+IF(I147="",0,40)+Combate!$AB$15+AD147+AF147)</f>
        <v>-</v>
      </c>
      <c r="AB147" s="153">
        <f>IF(AA147="-",0,IF(AA147&gt;VLOOKUP(Nivel_Total,Tabla_LímiteSecundarias,2),1,0))</f>
        <v>0</v>
      </c>
      <c r="AC147" s="2126"/>
      <c r="AD147" s="2856">
        <f>IF(Tablas!M3475=0,0,ROUNDDOWN(Elan/2,0))</f>
        <v>0</v>
      </c>
      <c r="AE147" s="2857"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896">
        <f t="shared" si="7"/>
        <v>0</v>
      </c>
      <c r="AG147" s="2856" t="e">
        <f>HLOOKUP(Region&amp;ClaseSocial,Tabla_RaicesCulturales,Tablas!E60,FALSE)</f>
        <v>#N/A</v>
      </c>
      <c r="AH147" s="2857">
        <f>IF(AND(E147="Historia",'Elan y Personalización'!$X$26="Historia (Local)"),20&amp;" "&amp;'Elan y Personalización'!$X$26,IF(OR(E147='Elan y Personalización'!$X$25,E147='Elan y Personalización'!$X$26),VLOOKUP(E147,Tablas!$K$33:$L$34,2,FALSE),0))</f>
        <v>0</v>
      </c>
      <c r="AI147" s="2857" t="b">
        <f t="shared" si="13"/>
        <v>0</v>
      </c>
      <c r="AJ147" s="2857" t="b">
        <f t="shared" si="14"/>
        <v>0</v>
      </c>
      <c r="AL147" s="27">
        <f>IF(ISNUMBER(MATCH("Coste"&amp;$E147,Name_Tabla_Cat,0)),MIN(VLOOKUP(Categoría_1,Tabla_Categorías,MATCH("Coste"&amp;$E147,Name_Tabla_Cat,0),FALSE),VLOOKUP(Categoría_1,Tabla_Categorías,MATCH("Coste"&amp;$B147,Name_Tabla_Cat,0),FALSE)),VLOOKUP(Categoría_1,Tabla_Categorías,MATCH("Coste"&amp;$B147,Name_Tabla_Cat,0),FALSE))</f>
        <v>2</v>
      </c>
      <c r="AN147" s="27" t="e">
        <f>IF(ISNUMBER(MATCH("Coste"&amp;$E147,Name_Tabla_Cat,0)),MIN(VLOOKUP(Categoría_2,Tabla_Categorías,MATCH("Coste"&amp;$E147,Name_Tabla_Cat,0),FALSE),VLOOKUP(Categoría_2,Tabla_Categorías,MATCH("Coste"&amp;$B147,Name_Tabla_Cat,0),FALSE)),VLOOKUP(Categoría_2,Tabla_Categorías,MATCH("Coste"&amp;$B147,Name_Tabla_Cat,0),FALSE))</f>
        <v>#N/A</v>
      </c>
      <c r="AP147" s="27" t="e">
        <f>IF(ISNUMBER(MATCH("Coste"&amp;$E147,Name_Tabla_Cat,0)),MIN(VLOOKUP(Categoría_3,Tabla_Categorías,MATCH("Coste"&amp;$E147,Name_Tabla_Cat,0),FALSE),VLOOKUP(Categoría_3,Tabla_Categorías,MATCH("Coste"&amp;$B147,Name_Tabla_Cat,0),FALSE)),VLOOKUP(Categoría_3,Tabla_Categorías,MATCH("Coste"&amp;$B147,Name_Tabla_Cat,0),FALSE))</f>
        <v>#N/A</v>
      </c>
      <c r="AR147" s="27" t="e">
        <f>IF(ISNUMBER(MATCH("Coste"&amp;$E147,Name_Tabla_Cat,0)),MIN(VLOOKUP(Categoría_4,Tabla_Categorías,MATCH("Coste"&amp;$E147,Name_Tabla_Cat,0),FALSE),VLOOKUP(Categoría_4,Tabla_Categorías,MATCH("Coste"&amp;$B147,Name_Tabla_Cat,0),FALSE)),VLOOKUP(Categoría_4,Tabla_Categorías,MATCH("Coste"&amp;$B147,Name_Tabla_Cat,0),FALSE))</f>
        <v>#N/A</v>
      </c>
      <c r="AT147" s="27" t="e">
        <f>IF(ISNUMBER(MATCH("Coste"&amp;$E147,Name_Tabla_Cat,0)),MIN(VLOOKUP(Categoría_5,Tabla_Categorías,MATCH("Coste"&amp;$E147,Name_Tabla_Cat,0),FALSE),VLOOKUP(Categoría_5,Tabla_Categorías,MATCH("Coste"&amp;$B147,Name_Tabla_Cat,0),FALSE)),VLOOKUP(Categoría_5,Tabla_Categorías,MATCH("Coste"&amp;$B147,Name_Tabla_Cat,0),FALSE))</f>
        <v>#N/A</v>
      </c>
    </row>
    <row r="148" spans="1:46" ht="12" customHeight="1" x14ac:dyDescent="0.2">
      <c r="A148" s="2127"/>
      <c r="B148" s="554" t="str">
        <f>B147</f>
        <v>Intelectuales</v>
      </c>
      <c r="C148" s="3392"/>
      <c r="D148" s="3204"/>
      <c r="E148" s="3325" t="s">
        <v>1285</v>
      </c>
      <c r="F148" s="3326"/>
      <c r="G148" s="3326"/>
      <c r="H148" s="2454" t="s">
        <v>2239</v>
      </c>
      <c r="I148" s="2407"/>
      <c r="J148" s="229">
        <f>IF(ISNA(AL148),0,MAX(MIN(AL148-Tablas!$F$495-Tablas!$N494-2*Tablas!$P494-3*Tablas!$R494,3),1))</f>
        <v>2</v>
      </c>
      <c r="K148" s="1699"/>
      <c r="L148" s="229">
        <f>IF(ISNA(AN148),0,MAX(MIN(AN148-Tablas!$F$495-Tablas!$N494-2*Tablas!$P494-3*Tablas!$R494,3),1))</f>
        <v>0</v>
      </c>
      <c r="M148" s="1736"/>
      <c r="N148" s="1364">
        <f>IF(ISNA(AP148),0,MAX(MIN(AP148-Tablas!$F$495-Tablas!$N494-2*Tablas!$P494-3*Tablas!$R494,3),1))</f>
        <v>0</v>
      </c>
      <c r="O148" s="1699"/>
      <c r="P148" s="229">
        <f>IF(ISNA(AR148),0,MAX(MIN(AR148-Tablas!$F$495-Tablas!$N494-2*Tablas!$P494-3*Tablas!$R494,3),1))</f>
        <v>0</v>
      </c>
      <c r="Q148" s="1736"/>
      <c r="R148" s="1364">
        <f>IF(ISNA(AT148),0,MAX(MIN(AT148-Tablas!$F$495-Tablas!$N494-2*Tablas!$P494-3*Tablas!$R494,3),1))</f>
        <v>0</v>
      </c>
      <c r="S148" s="1699"/>
      <c r="T148" s="1707">
        <f t="shared" si="12"/>
        <v>0</v>
      </c>
      <c r="U148" s="1707">
        <f>MIN(VLOOKUP($H148,Principal!$D$11:$H$18,5)*(1+W148)+10*Tablas!$F$518+10*X148,100)</f>
        <v>5</v>
      </c>
      <c r="V148" s="1707">
        <f>IF(ISNA(AE148),0,AE148)+Tablas!$Y494*Nivel_Total+10*Y148</f>
        <v>0</v>
      </c>
      <c r="W148" s="1715"/>
      <c r="X148" s="1699"/>
      <c r="Y148" s="1736"/>
      <c r="Z148" s="226"/>
      <c r="AA148" s="1728">
        <f>IF(AND(T148&lt;5,Tablas!F$518=0),-30,0)+T148+U148+V148+Z148+IF(I148="",0,40)+Combate!$AB$15+AD148+AF148</f>
        <v>-25</v>
      </c>
      <c r="AB148" s="153">
        <f>IF(AA148="-",0,IF(AA148&gt;VLOOKUP(Nivel_Total,Tabla_LímiteSecundarias,2),1,0))</f>
        <v>0</v>
      </c>
      <c r="AC148" s="2126"/>
      <c r="AD148" s="2856">
        <f>IF(Tablas!M3475=0,0,ROUNDDOWN(Elan/2,0))</f>
        <v>0</v>
      </c>
      <c r="AE148" s="2857"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896">
        <f t="shared" si="7"/>
        <v>0</v>
      </c>
      <c r="AG148" s="2856" t="e">
        <f>HLOOKUP(Region&amp;ClaseSocial,Tabla_RaicesCulturales,Tablas!E61,FALSE)</f>
        <v>#N/A</v>
      </c>
      <c r="AH148" s="2857">
        <f>IF(AND(E148="Historia",'Elan y Personalización'!$X$26="Historia (Local)"),20&amp;" "&amp;'Elan y Personalización'!$X$26,IF(OR(E148='Elan y Personalización'!$X$25,E148='Elan y Personalización'!$X$26),VLOOKUP(E148,Tablas!$K$33:$L$34,2,FALSE),0))</f>
        <v>0</v>
      </c>
      <c r="AI148" s="2857" t="b">
        <f t="shared" si="13"/>
        <v>0</v>
      </c>
      <c r="AJ148" s="2857" t="b">
        <f t="shared" si="14"/>
        <v>0</v>
      </c>
      <c r="AL148" s="27">
        <f>IF(ISNUMBER(MATCH("Coste"&amp;$E148,Name_Tabla_Cat,0)),MIN(VLOOKUP(Categoría_1,Tabla_Categorías,MATCH("Coste"&amp;$E148,Name_Tabla_Cat,0),FALSE),VLOOKUP(Categoría_1,Tabla_Categorías,MATCH("Coste"&amp;$B148,Name_Tabla_Cat,0),FALSE)),VLOOKUP(Categoría_1,Tabla_Categorías,MATCH("Coste"&amp;$B148,Name_Tabla_Cat,0),FALSE))</f>
        <v>2</v>
      </c>
      <c r="AN148" s="27" t="e">
        <f>IF(ISNUMBER(MATCH("Coste"&amp;$E148,Name_Tabla_Cat,0)),MIN(VLOOKUP(Categoría_2,Tabla_Categorías,MATCH("Coste"&amp;$E148,Name_Tabla_Cat,0),FALSE),VLOOKUP(Categoría_2,Tabla_Categorías,MATCH("Coste"&amp;$B148,Name_Tabla_Cat,0),FALSE)),VLOOKUP(Categoría_2,Tabla_Categorías,MATCH("Coste"&amp;$B148,Name_Tabla_Cat,0),FALSE))</f>
        <v>#N/A</v>
      </c>
      <c r="AP148" s="27" t="e">
        <f>IF(ISNUMBER(MATCH("Coste"&amp;$E148,Name_Tabla_Cat,0)),MIN(VLOOKUP(Categoría_3,Tabla_Categorías,MATCH("Coste"&amp;$E148,Name_Tabla_Cat,0),FALSE),VLOOKUP(Categoría_3,Tabla_Categorías,MATCH("Coste"&amp;$B148,Name_Tabla_Cat,0),FALSE)),VLOOKUP(Categoría_3,Tabla_Categorías,MATCH("Coste"&amp;$B148,Name_Tabla_Cat,0),FALSE))</f>
        <v>#N/A</v>
      </c>
      <c r="AR148" s="27" t="e">
        <f>IF(ISNUMBER(MATCH("Coste"&amp;$E148,Name_Tabla_Cat,0)),MIN(VLOOKUP(Categoría_4,Tabla_Categorías,MATCH("Coste"&amp;$E148,Name_Tabla_Cat,0),FALSE),VLOOKUP(Categoría_4,Tabla_Categorías,MATCH("Coste"&amp;$B148,Name_Tabla_Cat,0),FALSE)),VLOOKUP(Categoría_4,Tabla_Categorías,MATCH("Coste"&amp;$B148,Name_Tabla_Cat,0),FALSE))</f>
        <v>#N/A</v>
      </c>
      <c r="AT148" s="27" t="e">
        <f>IF(ISNUMBER(MATCH("Coste"&amp;$E148,Name_Tabla_Cat,0)),MIN(VLOOKUP(Categoría_5,Tabla_Categorías,MATCH("Coste"&amp;$E148,Name_Tabla_Cat,0),FALSE),VLOOKUP(Categoría_5,Tabla_Categorías,MATCH("Coste"&amp;$B148,Name_Tabla_Cat,0),FALSE)),VLOOKUP(Categoría_5,Tabla_Categorías,MATCH("Coste"&amp;$B148,Name_Tabla_Cat,0),FALSE))</f>
        <v>#N/A</v>
      </c>
    </row>
    <row r="149" spans="1:46" ht="12" customHeight="1" x14ac:dyDescent="0.2">
      <c r="A149" s="2126"/>
      <c r="B149" s="554" t="str">
        <f>B148</f>
        <v>Intelectuales</v>
      </c>
      <c r="C149" s="3392"/>
      <c r="D149" s="3204"/>
      <c r="E149" s="3323" t="s">
        <v>2297</v>
      </c>
      <c r="F149" s="3324"/>
      <c r="G149" s="3324"/>
      <c r="H149" s="2453" t="s">
        <v>2239</v>
      </c>
      <c r="I149" s="1872"/>
      <c r="J149" s="228">
        <f>IF(ISNA(AL149),0,MAX(MIN(AL149-Tablas!$F$495-Tablas!$N495-2*Tablas!$P495-3*Tablas!$R495,3),1))</f>
        <v>2</v>
      </c>
      <c r="K149" s="1698"/>
      <c r="L149" s="228">
        <f>IF(ISNA(AN149),0,MAX(MIN(AN149-Tablas!$F$495-Tablas!$N495-2*Tablas!$P495-3*Tablas!$R495,3),1))</f>
        <v>0</v>
      </c>
      <c r="M149" s="208"/>
      <c r="N149" s="1362">
        <f>IF(ISNA(AP149),0,MAX(MIN(AP149-Tablas!$F$495-Tablas!$N495-2*Tablas!$P495-3*Tablas!$R495,3),1))</f>
        <v>0</v>
      </c>
      <c r="O149" s="1698"/>
      <c r="P149" s="228">
        <f>IF(ISNA(AR149),0,MAX(MIN(AR149-Tablas!$F$495-Tablas!$N495-2*Tablas!$P495-3*Tablas!$R495,3),1))</f>
        <v>0</v>
      </c>
      <c r="Q149" s="208"/>
      <c r="R149" s="1362">
        <f>IF(ISNA(AT149),0,MAX(MIN(AT149-Tablas!$F$495-Tablas!$N495-2*Tablas!$P495-3*Tablas!$R495,3),1))</f>
        <v>0</v>
      </c>
      <c r="S149" s="1698"/>
      <c r="T149" s="1706">
        <f t="shared" si="12"/>
        <v>0</v>
      </c>
      <c r="U149" s="1706">
        <f>MIN(VLOOKUP($H149,Principal!$D$11:$H$18,5)*(1+W149)+10*Tablas!$F$518+10*X149,100)</f>
        <v>5</v>
      </c>
      <c r="V149" s="1706">
        <f>IF(ISNA(AE149),0,AE149)+Tablas!$Y495*Nivel_Total+10*Y149</f>
        <v>0</v>
      </c>
      <c r="W149" s="1714"/>
      <c r="X149" s="1698"/>
      <c r="Y149" s="208"/>
      <c r="Z149" s="225"/>
      <c r="AA149" s="1727" t="str">
        <f>IF(AND(T149&lt;5,Tablas!F$518=0),"-",T149+U149+V149+Z149+IF(I149="",0,40)+Combate!$AB$15+AD149+AF149)</f>
        <v>-</v>
      </c>
      <c r="AB149" s="153">
        <f>IF(AA149="-",0,IF(AA149&gt;VLOOKUP(Nivel_Total,Tabla_LímiteSecundarias,2),1,0))</f>
        <v>0</v>
      </c>
      <c r="AC149" s="2126"/>
      <c r="AD149" s="2856">
        <f>IF(Tablas!M3475=0,0,ROUNDDOWN(Elan/2,0))</f>
        <v>0</v>
      </c>
      <c r="AE149" s="2857"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896">
        <f t="shared" si="7"/>
        <v>0</v>
      </c>
      <c r="AG149" s="2856" t="e">
        <f>HLOOKUP(Region&amp;ClaseSocial,Tabla_RaicesCulturales,Tablas!E62,FALSE)</f>
        <v>#N/A</v>
      </c>
      <c r="AH149" s="2857">
        <f>IF(AND(E149="Historia",'Elan y Personalización'!$X$26="Historia (Local)"),20&amp;" "&amp;'Elan y Personalización'!$X$26,IF(OR(E149='Elan y Personalización'!$X$25,E149='Elan y Personalización'!$X$26),VLOOKUP(E149,Tablas!$K$33:$L$34,2,FALSE),0))</f>
        <v>0</v>
      </c>
      <c r="AI149" s="2857" t="b">
        <f t="shared" si="13"/>
        <v>0</v>
      </c>
      <c r="AJ149" s="2857" t="b">
        <f t="shared" si="14"/>
        <v>0</v>
      </c>
      <c r="AL149" s="27">
        <f>IF(ISNUMBER(MATCH("Coste"&amp;$E149,Name_Tabla_Cat,0)),MIN(VLOOKUP(Categoría_1,Tabla_Categorías,MATCH("Coste"&amp;$E149,Name_Tabla_Cat,0),FALSE),VLOOKUP(Categoría_1,Tabla_Categorías,MATCH("Coste"&amp;$B149,Name_Tabla_Cat,0),FALSE)),VLOOKUP(Categoría_1,Tabla_Categorías,MATCH("Coste"&amp;$B149,Name_Tabla_Cat,0),FALSE))</f>
        <v>2</v>
      </c>
      <c r="AN149" s="27" t="e">
        <f>IF(ISNUMBER(MATCH("Coste"&amp;$E149,Name_Tabla_Cat,0)),MIN(VLOOKUP(Categoría_2,Tabla_Categorías,MATCH("Coste"&amp;$E149,Name_Tabla_Cat,0),FALSE),VLOOKUP(Categoría_2,Tabla_Categorías,MATCH("Coste"&amp;$B149,Name_Tabla_Cat,0),FALSE)),VLOOKUP(Categoría_2,Tabla_Categorías,MATCH("Coste"&amp;$B149,Name_Tabla_Cat,0),FALSE))</f>
        <v>#N/A</v>
      </c>
      <c r="AP149" s="27" t="e">
        <f>IF(ISNUMBER(MATCH("Coste"&amp;$E149,Name_Tabla_Cat,0)),MIN(VLOOKUP(Categoría_3,Tabla_Categorías,MATCH("Coste"&amp;$E149,Name_Tabla_Cat,0),FALSE),VLOOKUP(Categoría_3,Tabla_Categorías,MATCH("Coste"&amp;$B149,Name_Tabla_Cat,0),FALSE)),VLOOKUP(Categoría_3,Tabla_Categorías,MATCH("Coste"&amp;$B149,Name_Tabla_Cat,0),FALSE))</f>
        <v>#N/A</v>
      </c>
      <c r="AR149" s="27" t="e">
        <f>IF(ISNUMBER(MATCH("Coste"&amp;$E149,Name_Tabla_Cat,0)),MIN(VLOOKUP(Categoría_4,Tabla_Categorías,MATCH("Coste"&amp;$E149,Name_Tabla_Cat,0),FALSE),VLOOKUP(Categoría_4,Tabla_Categorías,MATCH("Coste"&amp;$B149,Name_Tabla_Cat,0),FALSE)),VLOOKUP(Categoría_4,Tabla_Categorías,MATCH("Coste"&amp;$B149,Name_Tabla_Cat,0),FALSE))</f>
        <v>#N/A</v>
      </c>
      <c r="AT149" s="27" t="e">
        <f>IF(ISNUMBER(MATCH("Coste"&amp;$E149,Name_Tabla_Cat,0)),MIN(VLOOKUP(Categoría_5,Tabla_Categorías,MATCH("Coste"&amp;$E149,Name_Tabla_Cat,0),FALSE),VLOOKUP(Categoría_5,Tabla_Categorías,MATCH("Coste"&amp;$B149,Name_Tabla_Cat,0),FALSE)),VLOOKUP(Categoría_5,Tabla_Categorías,MATCH("Coste"&amp;$B149,Name_Tabla_Cat,0),FALSE))</f>
        <v>#N/A</v>
      </c>
    </row>
    <row r="150" spans="1:46" ht="12" customHeight="1" x14ac:dyDescent="0.2">
      <c r="A150" s="2126"/>
      <c r="B150" s="554" t="str">
        <f>B149</f>
        <v>Intelectuales</v>
      </c>
      <c r="C150" s="3392"/>
      <c r="D150" s="3204"/>
      <c r="E150" s="3325" t="s">
        <v>2298</v>
      </c>
      <c r="F150" s="3326"/>
      <c r="G150" s="3326"/>
      <c r="H150" s="2454" t="s">
        <v>2239</v>
      </c>
      <c r="I150" s="2407"/>
      <c r="J150" s="229">
        <f>IF(ISNA(AL150),0,MAX(MIN(AL150-Tablas!$F$495-Tablas!$N496-2*Tablas!$P496-3*Tablas!$R496,3),1))</f>
        <v>2</v>
      </c>
      <c r="K150" s="1699"/>
      <c r="L150" s="229">
        <f>IF(ISNA(AN150),0,MAX(MIN(AN150-Tablas!$F$495-Tablas!$N496-2*Tablas!$P496-3*Tablas!$R496,3),1))</f>
        <v>0</v>
      </c>
      <c r="M150" s="1736"/>
      <c r="N150" s="1364">
        <f>IF(ISNA(AP150),0,MAX(MIN(AP150-Tablas!$F$495-Tablas!$N496-2*Tablas!$P496-3*Tablas!$R496,3),1))</f>
        <v>0</v>
      </c>
      <c r="O150" s="1699"/>
      <c r="P150" s="229">
        <f>IF(ISNA(AR150),0,MAX(MIN(AR150-Tablas!$F$495-Tablas!$N496-2*Tablas!$P496-3*Tablas!$R496,3),1))</f>
        <v>0</v>
      </c>
      <c r="Q150" s="1736"/>
      <c r="R150" s="1364">
        <f>IF(ISNA(AT150),0,MAX(MIN(AT150-Tablas!$F$495-Tablas!$N496-2*Tablas!$P496-3*Tablas!$R496,3),1))</f>
        <v>0</v>
      </c>
      <c r="S150" s="1699"/>
      <c r="T150" s="1707">
        <f t="shared" si="12"/>
        <v>0</v>
      </c>
      <c r="U150" s="1707">
        <f>MIN(VLOOKUP($H150,Principal!$D$11:$H$18,5)*(1+W150)+10*Tablas!$F$518+10*X150,100)</f>
        <v>5</v>
      </c>
      <c r="V150" s="1707">
        <f>IF(ISNA(AE150),0,AE150)+Tablas!$Y496*Nivel_Total+10*Y150</f>
        <v>0</v>
      </c>
      <c r="W150" s="1715"/>
      <c r="X150" s="1699"/>
      <c r="Y150" s="1736"/>
      <c r="Z150" s="226"/>
      <c r="AA150" s="1728">
        <f>IF(AND(T150&lt;5,Tablas!F$518=0),-30,0)+T150+U150+V150+Z150+IF(I150="",0,40)+Combate!$AB$15+AD150+AF150</f>
        <v>-25</v>
      </c>
      <c r="AB150" s="153">
        <f>IF(AA150="-",0,IF(AA150&gt;VLOOKUP(Nivel_Total,Tabla_LímiteSecundarias,2),1,0))</f>
        <v>0</v>
      </c>
      <c r="AC150" s="2126"/>
      <c r="AD150" s="2856">
        <f>IF(Tablas!M$3475=0,0,ROUNDDOWN(Elan/2,0))</f>
        <v>0</v>
      </c>
      <c r="AE150" s="2857"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896">
        <f t="shared" si="7"/>
        <v>0</v>
      </c>
      <c r="AG150" s="2856" t="e">
        <f>HLOOKUP(Region&amp;ClaseSocial,Tabla_RaicesCulturales,Tablas!E63,FALSE)</f>
        <v>#N/A</v>
      </c>
      <c r="AH150" s="2857">
        <f>IF(AND(E150="Historia",'Elan y Personalización'!$X$26="Historia (Local)"),20&amp;" "&amp;'Elan y Personalización'!$X$26,IF(OR(E150='Elan y Personalización'!$X$25,E150='Elan y Personalización'!$X$26),VLOOKUP(E150,Tablas!$K$33:$L$34,2,FALSE),0))</f>
        <v>0</v>
      </c>
      <c r="AI150" s="2857" t="b">
        <f t="shared" si="13"/>
        <v>0</v>
      </c>
      <c r="AJ150" s="2857" t="b">
        <f t="shared" si="14"/>
        <v>0</v>
      </c>
      <c r="AL150" s="27">
        <f>IF(ISNUMBER(MATCH("Coste"&amp;$E150,Name_Tabla_Cat,0)),MIN(VLOOKUP(Categoría_1,Tabla_Categorías,MATCH("Coste"&amp;$E150,Name_Tabla_Cat,0),FALSE),VLOOKUP(Categoría_1,Tabla_Categorías,MATCH("Coste"&amp;$B150,Name_Tabla_Cat,0),FALSE)),VLOOKUP(Categoría_1,Tabla_Categorías,MATCH("Coste"&amp;$B150,Name_Tabla_Cat,0),FALSE))</f>
        <v>2</v>
      </c>
      <c r="AN150" s="27" t="e">
        <f>IF(ISNUMBER(MATCH("Coste"&amp;$E150,Name_Tabla_Cat,0)),MIN(VLOOKUP(Categoría_2,Tabla_Categorías,MATCH("Coste"&amp;$E150,Name_Tabla_Cat,0),FALSE),VLOOKUP(Categoría_2,Tabla_Categorías,MATCH("Coste"&amp;$B150,Name_Tabla_Cat,0),FALSE)),VLOOKUP(Categoría_2,Tabla_Categorías,MATCH("Coste"&amp;$B150,Name_Tabla_Cat,0),FALSE))</f>
        <v>#N/A</v>
      </c>
      <c r="AP150" s="27" t="e">
        <f>IF(ISNUMBER(MATCH("Coste"&amp;$E150,Name_Tabla_Cat,0)),MIN(VLOOKUP(Categoría_3,Tabla_Categorías,MATCH("Coste"&amp;$E150,Name_Tabla_Cat,0),FALSE),VLOOKUP(Categoría_3,Tabla_Categorías,MATCH("Coste"&amp;$B150,Name_Tabla_Cat,0),FALSE)),VLOOKUP(Categoría_3,Tabla_Categorías,MATCH("Coste"&amp;$B150,Name_Tabla_Cat,0),FALSE))</f>
        <v>#N/A</v>
      </c>
      <c r="AR150" s="27" t="e">
        <f>IF(ISNUMBER(MATCH("Coste"&amp;$E150,Name_Tabla_Cat,0)),MIN(VLOOKUP(Categoría_4,Tabla_Categorías,MATCH("Coste"&amp;$E150,Name_Tabla_Cat,0),FALSE),VLOOKUP(Categoría_4,Tabla_Categorías,MATCH("Coste"&amp;$B150,Name_Tabla_Cat,0),FALSE)),VLOOKUP(Categoría_4,Tabla_Categorías,MATCH("Coste"&amp;$B150,Name_Tabla_Cat,0),FALSE))</f>
        <v>#N/A</v>
      </c>
      <c r="AT150" s="27" t="e">
        <f>IF(ISNUMBER(MATCH("Coste"&amp;$E150,Name_Tabla_Cat,0)),MIN(VLOOKUP(Categoría_5,Tabla_Categorías,MATCH("Coste"&amp;$E150,Name_Tabla_Cat,0),FALSE),VLOOKUP(Categoría_5,Tabla_Categorías,MATCH("Coste"&amp;$B150,Name_Tabla_Cat,0),FALSE)),VLOOKUP(Categoría_5,Tabla_Categorías,MATCH("Coste"&amp;$B150,Name_Tabla_Cat,0),FALSE))</f>
        <v>#N/A</v>
      </c>
    </row>
    <row r="151" spans="1:46" ht="12" customHeight="1" x14ac:dyDescent="0.2">
      <c r="A151" s="2126"/>
      <c r="B151" s="554" t="str">
        <f>B150</f>
        <v>Intelectuales</v>
      </c>
      <c r="C151" s="3392"/>
      <c r="D151" s="3204"/>
      <c r="E151" s="3323" t="s">
        <v>2299</v>
      </c>
      <c r="F151" s="3324"/>
      <c r="G151" s="3324"/>
      <c r="H151" s="2453" t="s">
        <v>2239</v>
      </c>
      <c r="I151" s="2406"/>
      <c r="J151" s="228">
        <f>IF(ISNA(AL151),0,MAX(MIN(AL151-Tablas!$F$495-Tablas!$N497-2*Tablas!$P497-3*Tablas!$R497,3),1))</f>
        <v>2</v>
      </c>
      <c r="K151" s="1698"/>
      <c r="L151" s="228">
        <f>IF(ISNA(AN151),0,MAX(MIN(AN151-Tablas!$F$495-Tablas!$N497-2*Tablas!$P497-3*Tablas!$R497,3),1))</f>
        <v>0</v>
      </c>
      <c r="M151" s="208"/>
      <c r="N151" s="1362">
        <f>IF(ISNA(AP151),0,MAX(MIN(AP151-Tablas!$F$495-Tablas!$N497-2*Tablas!$P497-3*Tablas!$R497,3),1))</f>
        <v>0</v>
      </c>
      <c r="O151" s="1698"/>
      <c r="P151" s="228">
        <f>IF(ISNA(AR151),0,MAX(MIN(AR151-Tablas!$F$495-Tablas!$N497-2*Tablas!$P497-3*Tablas!$R497,3),1))</f>
        <v>0</v>
      </c>
      <c r="Q151" s="208"/>
      <c r="R151" s="1362">
        <f>IF(ISNA(AT151),0,MAX(MIN(AT151-Tablas!$F$495-Tablas!$N497-2*Tablas!$P497-3*Tablas!$R497,3),1))</f>
        <v>0</v>
      </c>
      <c r="S151" s="1698"/>
      <c r="T151" s="1706">
        <f t="shared" si="12"/>
        <v>0</v>
      </c>
      <c r="U151" s="1706">
        <f>MIN(VLOOKUP($H151,Principal!$D$11:$H$18,5)*(1+W151)+10*Tablas!$F$518+10*X151,100)</f>
        <v>5</v>
      </c>
      <c r="V151" s="1706">
        <f>IF(ISNA(AE151),0,AE151)+Tablas!$Y497*Nivel_Total+10*Y151</f>
        <v>0</v>
      </c>
      <c r="W151" s="1714"/>
      <c r="X151" s="1698"/>
      <c r="Y151" s="208"/>
      <c r="Z151" s="225"/>
      <c r="AA151" s="1727">
        <f>IF(AND(T151&lt;5,Tablas!F$518=0),-30,0)+T151+U151+V151+Z151+IF(I151="",0,40)+Combate!$AB$15+AD151+AF151</f>
        <v>-25</v>
      </c>
      <c r="AB151" s="153">
        <f>IF(AA151="-",0,IF(AA151&gt;VLOOKUP(Nivel_Total,Tabla_LímiteSecundarias,2),1,0))</f>
        <v>0</v>
      </c>
      <c r="AC151" s="2126"/>
      <c r="AD151" s="2856">
        <f>IF(Tablas!M$3475=0,0,ROUNDDOWN(Elan/2,0))</f>
        <v>0</v>
      </c>
      <c r="AE151" s="2857"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896">
        <f t="shared" si="7"/>
        <v>0</v>
      </c>
      <c r="AG151" s="2856" t="e">
        <f>HLOOKUP(Region&amp;ClaseSocial,Tabla_RaicesCulturales,Tablas!E64,FALSE)</f>
        <v>#N/A</v>
      </c>
      <c r="AH151" s="2857">
        <f>IF(AND(E151="Historia",'Elan y Personalización'!$X$26="Historia (Local)"),20&amp;" "&amp;'Elan y Personalización'!$X$26,IF(OR(E151='Elan y Personalización'!$X$25,E151='Elan y Personalización'!$X$26),VLOOKUP(E151,Tablas!$K$33:$L$34,2,FALSE),0))</f>
        <v>0</v>
      </c>
      <c r="AI151" s="2857" t="b">
        <f t="shared" si="13"/>
        <v>0</v>
      </c>
      <c r="AJ151" s="2857" t="b">
        <f t="shared" si="14"/>
        <v>0</v>
      </c>
      <c r="AL151" s="27">
        <f>IF(ISNUMBER(MATCH("Coste"&amp;$E151,Name_Tabla_Cat,0)),MIN(VLOOKUP(Categoría_1,Tabla_Categorías,MATCH("Coste"&amp;$E151,Name_Tabla_Cat,0),FALSE),VLOOKUP(Categoría_1,Tabla_Categorías,MATCH("Coste"&amp;$B151,Name_Tabla_Cat,0),FALSE)),VLOOKUP(Categoría_1,Tabla_Categorías,MATCH("Coste"&amp;$B151,Name_Tabla_Cat,0),FALSE))</f>
        <v>2</v>
      </c>
      <c r="AN151" s="27" t="e">
        <f>IF(ISNUMBER(MATCH("Coste"&amp;$E151,Name_Tabla_Cat,0)),MIN(VLOOKUP(Categoría_2,Tabla_Categorías,MATCH("Coste"&amp;$E151,Name_Tabla_Cat,0),FALSE),VLOOKUP(Categoría_2,Tabla_Categorías,MATCH("Coste"&amp;$B151,Name_Tabla_Cat,0),FALSE)),VLOOKUP(Categoría_2,Tabla_Categorías,MATCH("Coste"&amp;$B151,Name_Tabla_Cat,0),FALSE))</f>
        <v>#N/A</v>
      </c>
      <c r="AP151" s="27" t="e">
        <f>IF(ISNUMBER(MATCH("Coste"&amp;$E151,Name_Tabla_Cat,0)),MIN(VLOOKUP(Categoría_3,Tabla_Categorías,MATCH("Coste"&amp;$E151,Name_Tabla_Cat,0),FALSE),VLOOKUP(Categoría_3,Tabla_Categorías,MATCH("Coste"&amp;$B151,Name_Tabla_Cat,0),FALSE)),VLOOKUP(Categoría_3,Tabla_Categorías,MATCH("Coste"&amp;$B151,Name_Tabla_Cat,0),FALSE))</f>
        <v>#N/A</v>
      </c>
      <c r="AR151" s="27" t="e">
        <f>IF(ISNUMBER(MATCH("Coste"&amp;$E151,Name_Tabla_Cat,0)),MIN(VLOOKUP(Categoría_4,Tabla_Categorías,MATCH("Coste"&amp;$E151,Name_Tabla_Cat,0),FALSE),VLOOKUP(Categoría_4,Tabla_Categorías,MATCH("Coste"&amp;$B151,Name_Tabla_Cat,0),FALSE)),VLOOKUP(Categoría_4,Tabla_Categorías,MATCH("Coste"&amp;$B151,Name_Tabla_Cat,0),FALSE))</f>
        <v>#N/A</v>
      </c>
      <c r="AT151" s="27" t="e">
        <f>IF(ISNUMBER(MATCH("Coste"&amp;$E151,Name_Tabla_Cat,0)),MIN(VLOOKUP(Categoría_5,Tabla_Categorías,MATCH("Coste"&amp;$E151,Name_Tabla_Cat,0),FALSE),VLOOKUP(Categoría_5,Tabla_Categorías,MATCH("Coste"&amp;$B151,Name_Tabla_Cat,0),FALSE)),VLOOKUP(Categoría_5,Tabla_Categorías,MATCH("Coste"&amp;$B151,Name_Tabla_Cat,0),FALSE))</f>
        <v>#N/A</v>
      </c>
    </row>
    <row r="152" spans="1:46" ht="12" customHeight="1" x14ac:dyDescent="0.2">
      <c r="A152" s="2126"/>
      <c r="B152" s="554" t="str">
        <f>B151</f>
        <v>Intelectuales</v>
      </c>
      <c r="C152" s="3392"/>
      <c r="D152" s="3204"/>
      <c r="E152" s="3325" t="s">
        <v>2300</v>
      </c>
      <c r="F152" s="3326"/>
      <c r="G152" s="3326"/>
      <c r="H152" s="2454" t="s">
        <v>2239</v>
      </c>
      <c r="I152" s="1873"/>
      <c r="J152" s="229">
        <f>IF(ISNA(AL152),0,MAX(MIN(AL152-Tablas!$F$495-Tablas!$N498-2*Tablas!$P498-3*Tablas!$R498,3),1))</f>
        <v>2</v>
      </c>
      <c r="K152" s="1699"/>
      <c r="L152" s="229">
        <f>IF(ISNA(AN152),0,MAX(MIN(AN152-Tablas!$F$495-Tablas!$N498-2*Tablas!$P498-3*Tablas!$R498,3),1))</f>
        <v>0</v>
      </c>
      <c r="M152" s="1736"/>
      <c r="N152" s="1364">
        <f>IF(ISNA(AP152),0,MAX(MIN(AP152-Tablas!$F$495-Tablas!$N498-2*Tablas!$P498-3*Tablas!$R498,3),1))</f>
        <v>0</v>
      </c>
      <c r="O152" s="1699"/>
      <c r="P152" s="229">
        <f>IF(ISNA(AR152),0,MAX(MIN(AR152-Tablas!$F$495-Tablas!$N498-2*Tablas!$P498-3*Tablas!$R498,3),1))</f>
        <v>0</v>
      </c>
      <c r="Q152" s="1736"/>
      <c r="R152" s="1364">
        <f>IF(ISNA(AT152),0,MAX(MIN(AT152-Tablas!$F$495-Tablas!$N498-2*Tablas!$P498-3*Tablas!$R498,3),1))</f>
        <v>0</v>
      </c>
      <c r="S152" s="1699"/>
      <c r="T152" s="1707">
        <f t="shared" si="12"/>
        <v>0</v>
      </c>
      <c r="U152" s="1707">
        <f>MIN(VLOOKUP($H152,Principal!$D$11:$H$18,5)*(1+W152)+10*Tablas!$F$518+10*X152,100)</f>
        <v>5</v>
      </c>
      <c r="V152" s="1707">
        <f>IF(ISNA(AE152),0,AE152)+Tablas!$Y498*Nivel_Total+10*Y152</f>
        <v>5</v>
      </c>
      <c r="W152" s="1715"/>
      <c r="X152" s="1699"/>
      <c r="Y152" s="1736"/>
      <c r="Z152" s="226"/>
      <c r="AA152" s="1728">
        <f>IF(AND(T152&lt;5,Tablas!F$518=0),-30,0)+T152+U152+V152+Z152+IF(I152="",0,40)+Combate!$AB$15+AD152+AF152</f>
        <v>-20</v>
      </c>
      <c r="AB152" s="153">
        <f>IF(AA152="-",0,IF(AA152&gt;VLOOKUP(Nivel_Total,Tabla_LímiteSecundarias,2),1,0))</f>
        <v>0</v>
      </c>
      <c r="AC152" s="2126"/>
      <c r="AD152" s="2856">
        <f>IF(Tablas!M$3475=0,0,ROUNDDOWN(Elan/2,0))+IF(Tablas!$M$3525=0,0,ROUNDDOWN(Elan/2,0))</f>
        <v>0</v>
      </c>
      <c r="AE152" s="2857">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896">
        <f t="shared" si="7"/>
        <v>0</v>
      </c>
      <c r="AG152" s="2856" t="e">
        <f>HLOOKUP(Region&amp;ClaseSocial,Tabla_RaicesCulturales,Tablas!E65,FALSE)</f>
        <v>#N/A</v>
      </c>
      <c r="AH152" s="2857">
        <f>IF(AND(E152="Historia",'Elan y Personalización'!$X$26="Historia (Local)"),20&amp;" "&amp;'Elan y Personalización'!$X$26,IF(OR(E152='Elan y Personalización'!$X$25,E152='Elan y Personalización'!$X$26),VLOOKUP(E152,Tablas!$K$33:$L$34,2,FALSE),0))</f>
        <v>0</v>
      </c>
      <c r="AI152" s="2857" t="b">
        <f t="shared" si="13"/>
        <v>0</v>
      </c>
      <c r="AJ152" s="2857" t="b">
        <f t="shared" si="14"/>
        <v>0</v>
      </c>
      <c r="AL152" s="27">
        <f>IF(ISNUMBER(MATCH("Coste"&amp;$E152,Name_Tabla_Cat,0)),MIN(VLOOKUP(Categoría_1,Tabla_Categorías,MATCH("Coste"&amp;$E152,Name_Tabla_Cat,0),FALSE),VLOOKUP(Categoría_1,Tabla_Categorías,MATCH("Coste"&amp;$B152,Name_Tabla_Cat,0),FALSE)),VLOOKUP(Categoría_1,Tabla_Categorías,MATCH("Coste"&amp;$B152,Name_Tabla_Cat,0),FALSE))</f>
        <v>2</v>
      </c>
      <c r="AN152" s="27" t="e">
        <f>IF(ISNUMBER(MATCH("Coste"&amp;$E152,Name_Tabla_Cat,0)),MIN(VLOOKUP(Categoría_2,Tabla_Categorías,MATCH("Coste"&amp;$E152,Name_Tabla_Cat,0),FALSE),VLOOKUP(Categoría_2,Tabla_Categorías,MATCH("Coste"&amp;$B152,Name_Tabla_Cat,0),FALSE)),VLOOKUP(Categoría_2,Tabla_Categorías,MATCH("Coste"&amp;$B152,Name_Tabla_Cat,0),FALSE))</f>
        <v>#N/A</v>
      </c>
      <c r="AP152" s="27" t="e">
        <f>IF(ISNUMBER(MATCH("Coste"&amp;$E152,Name_Tabla_Cat,0)),MIN(VLOOKUP(Categoría_3,Tabla_Categorías,MATCH("Coste"&amp;$E152,Name_Tabla_Cat,0),FALSE),VLOOKUP(Categoría_3,Tabla_Categorías,MATCH("Coste"&amp;$B152,Name_Tabla_Cat,0),FALSE)),VLOOKUP(Categoría_3,Tabla_Categorías,MATCH("Coste"&amp;$B152,Name_Tabla_Cat,0),FALSE))</f>
        <v>#N/A</v>
      </c>
      <c r="AR152" s="27" t="e">
        <f>IF(ISNUMBER(MATCH("Coste"&amp;$E152,Name_Tabla_Cat,0)),MIN(VLOOKUP(Categoría_4,Tabla_Categorías,MATCH("Coste"&amp;$E152,Name_Tabla_Cat,0),FALSE),VLOOKUP(Categoría_4,Tabla_Categorías,MATCH("Coste"&amp;$B152,Name_Tabla_Cat,0),FALSE)),VLOOKUP(Categoría_4,Tabla_Categorías,MATCH("Coste"&amp;$B152,Name_Tabla_Cat,0),FALSE))</f>
        <v>#N/A</v>
      </c>
      <c r="AT152" s="27" t="e">
        <f>IF(ISNUMBER(MATCH("Coste"&amp;$E152,Name_Tabla_Cat,0)),MIN(VLOOKUP(Categoría_5,Tabla_Categorías,MATCH("Coste"&amp;$E152,Name_Tabla_Cat,0),FALSE),VLOOKUP(Categoría_5,Tabla_Categorías,MATCH("Coste"&amp;$B152,Name_Tabla_Cat,0),FALSE)),VLOOKUP(Categoría_5,Tabla_Categorías,MATCH("Coste"&amp;$B152,Name_Tabla_Cat,0),FALSE))</f>
        <v>#N/A</v>
      </c>
    </row>
    <row r="153" spans="1:46" ht="12" customHeight="1" x14ac:dyDescent="0.2">
      <c r="A153" s="2126"/>
      <c r="B153" s="554" t="str">
        <f>B152</f>
        <v>Intelectuales</v>
      </c>
      <c r="C153" s="3392"/>
      <c r="D153" s="3204"/>
      <c r="E153" s="3323" t="s">
        <v>2301</v>
      </c>
      <c r="F153" s="3324"/>
      <c r="G153" s="3324"/>
      <c r="H153" s="2453" t="s">
        <v>2239</v>
      </c>
      <c r="I153" s="2406"/>
      <c r="J153" s="228">
        <f>IF(ISNA(AL153),0,MAX(MIN(AL153-Tablas!$F$495-Tablas!$N499-2*Tablas!$P499-3*Tablas!$R499,3),1))</f>
        <v>2</v>
      </c>
      <c r="K153" s="1698"/>
      <c r="L153" s="228">
        <f>IF(ISNA(AN153),0,MAX(MIN(AN153-Tablas!$F$495-Tablas!$N499-2*Tablas!$P499-3*Tablas!$R499,3),1))</f>
        <v>0</v>
      </c>
      <c r="M153" s="208"/>
      <c r="N153" s="1362">
        <f>IF(ISNA(AP153),0,MAX(MIN(AP153-Tablas!$F$495-Tablas!$N499-2*Tablas!$P499-3*Tablas!$R499,3),1))</f>
        <v>0</v>
      </c>
      <c r="O153" s="1698"/>
      <c r="P153" s="228">
        <f>IF(ISNA(AR153),0,MAX(MIN(AR153-Tablas!$F$495-Tablas!$N499-2*Tablas!$P499-3*Tablas!$R499,3),1))</f>
        <v>0</v>
      </c>
      <c r="Q153" s="208"/>
      <c r="R153" s="1362">
        <f>IF(ISNA(AT153),0,MAX(MIN(AT153-Tablas!$F$495-Tablas!$N499-2*Tablas!$P499-3*Tablas!$R499,3),1))</f>
        <v>0</v>
      </c>
      <c r="S153" s="1698"/>
      <c r="T153" s="1706">
        <f t="shared" si="12"/>
        <v>0</v>
      </c>
      <c r="U153" s="1706">
        <f>MIN(VLOOKUP($H153,Principal!$D$11:$H$18,5)*(1+W153)+10*Tablas!$F$518+10*X153,100)</f>
        <v>5</v>
      </c>
      <c r="V153" s="1706">
        <f>IF(ISNA(AE153),0,AE153)+Tablas!$Y499*Nivel_Total+10*Y153</f>
        <v>0</v>
      </c>
      <c r="W153" s="1714"/>
      <c r="X153" s="1698"/>
      <c r="Y153" s="208"/>
      <c r="Z153" s="225"/>
      <c r="AA153" s="1727" t="str">
        <f>IF(AND(T153&lt;5,Tablas!F$518=0),"-",T153+U153+V153+Z153+IF(I153="",0,40)+Combate!$AB$15+AD153+AF153)</f>
        <v>-</v>
      </c>
      <c r="AB153" s="153">
        <f>IF(AA153="-",0,IF(AA153&gt;VLOOKUP(Nivel_Total,Tabla_LímiteSecundarias,2),1,0))</f>
        <v>0</v>
      </c>
      <c r="AC153" s="2126"/>
      <c r="AD153" s="2856">
        <f>IF(Tablas!M$3475=0,0,ROUNDDOWN(Elan/2,0))</f>
        <v>0</v>
      </c>
      <c r="AE153" s="2857"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896">
        <f t="shared" si="7"/>
        <v>0</v>
      </c>
      <c r="AG153" s="2856" t="e">
        <f>HLOOKUP(Region&amp;ClaseSocial,Tabla_RaicesCulturales,Tablas!E66,FALSE)</f>
        <v>#N/A</v>
      </c>
      <c r="AH153" s="2857">
        <f>IF(AND(E153="Historia",'Elan y Personalización'!$X$26="Historia (Local)"),20&amp;" "&amp;'Elan y Personalización'!$X$26,IF(OR(E153='Elan y Personalización'!$X$25,E153='Elan y Personalización'!$X$26),VLOOKUP(E153,Tablas!$K$33:$L$34,2,FALSE),0))</f>
        <v>0</v>
      </c>
      <c r="AI153" s="2857" t="b">
        <f t="shared" si="13"/>
        <v>0</v>
      </c>
      <c r="AJ153" s="2857" t="b">
        <f t="shared" si="14"/>
        <v>0</v>
      </c>
      <c r="AL153" s="27">
        <f>IF(ISNUMBER(MATCH("Coste"&amp;$E153,Name_Tabla_Cat,0)),MIN(VLOOKUP(Categoría_1,Tabla_Categorías,MATCH("Coste"&amp;$E153,Name_Tabla_Cat,0),FALSE),VLOOKUP(Categoría_1,Tabla_Categorías,MATCH("Coste"&amp;$B153,Name_Tabla_Cat,0),FALSE)),VLOOKUP(Categoría_1,Tabla_Categorías,MATCH("Coste"&amp;$B153,Name_Tabla_Cat,0),FALSE))</f>
        <v>2</v>
      </c>
      <c r="AN153" s="27" t="e">
        <f>IF(ISNUMBER(MATCH("Coste"&amp;$E153,Name_Tabla_Cat,0)),MIN(VLOOKUP(Categoría_2,Tabla_Categorías,MATCH("Coste"&amp;$E153,Name_Tabla_Cat,0),FALSE),VLOOKUP(Categoría_2,Tabla_Categorías,MATCH("Coste"&amp;$B153,Name_Tabla_Cat,0),FALSE)),VLOOKUP(Categoría_2,Tabla_Categorías,MATCH("Coste"&amp;$B153,Name_Tabla_Cat,0),FALSE))</f>
        <v>#N/A</v>
      </c>
      <c r="AP153" s="27" t="e">
        <f>IF(ISNUMBER(MATCH("Coste"&amp;$E153,Name_Tabla_Cat,0)),MIN(VLOOKUP(Categoría_3,Tabla_Categorías,MATCH("Coste"&amp;$E153,Name_Tabla_Cat,0),FALSE),VLOOKUP(Categoría_3,Tabla_Categorías,MATCH("Coste"&amp;$B153,Name_Tabla_Cat,0),FALSE)),VLOOKUP(Categoría_3,Tabla_Categorías,MATCH("Coste"&amp;$B153,Name_Tabla_Cat,0),FALSE))</f>
        <v>#N/A</v>
      </c>
      <c r="AR153" s="27" t="e">
        <f>IF(ISNUMBER(MATCH("Coste"&amp;$E153,Name_Tabla_Cat,0)),MIN(VLOOKUP(Categoría_4,Tabla_Categorías,MATCH("Coste"&amp;$E153,Name_Tabla_Cat,0),FALSE),VLOOKUP(Categoría_4,Tabla_Categorías,MATCH("Coste"&amp;$B153,Name_Tabla_Cat,0),FALSE)),VLOOKUP(Categoría_4,Tabla_Categorías,MATCH("Coste"&amp;$B153,Name_Tabla_Cat,0),FALSE))</f>
        <v>#N/A</v>
      </c>
      <c r="AT153" s="27" t="e">
        <f>IF(ISNUMBER(MATCH("Coste"&amp;$E153,Name_Tabla_Cat,0)),MIN(VLOOKUP(Categoría_5,Tabla_Categorías,MATCH("Coste"&amp;$E153,Name_Tabla_Cat,0),FALSE),VLOOKUP(Categoría_5,Tabla_Categorías,MATCH("Coste"&amp;$B153,Name_Tabla_Cat,0),FALSE)),VLOOKUP(Categoría_5,Tabla_Categorías,MATCH("Coste"&amp;$B153,Name_Tabla_Cat,0),FALSE))</f>
        <v>#N/A</v>
      </c>
    </row>
    <row r="154" spans="1:46" ht="12" customHeight="1" x14ac:dyDescent="0.2">
      <c r="A154" s="2126"/>
      <c r="B154" s="554" t="str">
        <f>B153</f>
        <v>Intelectuales</v>
      </c>
      <c r="C154" s="3392"/>
      <c r="D154" s="3205"/>
      <c r="E154" s="3327" t="s">
        <v>2302</v>
      </c>
      <c r="F154" s="3328"/>
      <c r="G154" s="3328"/>
      <c r="H154" s="2457" t="s">
        <v>2244</v>
      </c>
      <c r="I154" s="2410"/>
      <c r="J154" s="1688">
        <f>IF(ISNA(AL154),0,MAX(MIN(AL154-Tablas!$F$495-Tablas!$N500-2*Tablas!$P500-3*Tablas!$R500,3),1))</f>
        <v>1</v>
      </c>
      <c r="K154" s="1701"/>
      <c r="L154" s="1688">
        <f>IF(ISNA(AN154),0,MAX(MIN(AN154-Tablas!$F$495-Tablas!$N500-2*Tablas!$P500-3*Tablas!$R500,3),1))</f>
        <v>0</v>
      </c>
      <c r="M154" s="1689"/>
      <c r="N154" s="1700">
        <f>IF(ISNA(AP154),0,MAX(MIN(AP154-Tablas!$F$495-Tablas!$N500-2*Tablas!$P500-3*Tablas!$R500,3),1))</f>
        <v>0</v>
      </c>
      <c r="O154" s="1701"/>
      <c r="P154" s="1688">
        <f>IF(ISNA(AR154),0,MAX(MIN(AR154-Tablas!$F$495-Tablas!$N500-2*Tablas!$P500-3*Tablas!$R500,3),1))</f>
        <v>0</v>
      </c>
      <c r="Q154" s="1689"/>
      <c r="R154" s="1700">
        <f>IF(ISNA(AT154),0,MAX(MIN(AT154-Tablas!$F$495-Tablas!$N500-2*Tablas!$P500-3*Tablas!$R500,3),1))</f>
        <v>0</v>
      </c>
      <c r="S154" s="1701"/>
      <c r="T154" s="1708">
        <f t="shared" si="12"/>
        <v>0</v>
      </c>
      <c r="U154" s="1708">
        <f>MIN(VLOOKUP($H154,Principal!$D$11:$H$18,5)*(1+W154)+10*Tablas!$F$518+10*X154,100)</f>
        <v>10</v>
      </c>
      <c r="V154" s="1708">
        <f>IF(ISNA(AE154),0,AE154)+Tablas!$Y500*Nivel_Total+10*Y154</f>
        <v>10</v>
      </c>
      <c r="W154" s="1716"/>
      <c r="X154" s="1701"/>
      <c r="Y154" s="1689"/>
      <c r="Z154" s="1690"/>
      <c r="AA154" s="1729" t="str">
        <f>IF(AND(T154&lt;5,Tablas!F$518=0),"-",T154+U154+V154+Z154+IF(I154="",0,40)+Combate!$AB$15+AD154+AF154)</f>
        <v>-</v>
      </c>
      <c r="AB154" s="153">
        <f>IF(AA154="-",0,IF(AA154&gt;VLOOKUP(Nivel_Total,Tabla_LímiteSecundarias,2),1,0))</f>
        <v>0</v>
      </c>
      <c r="AC154" s="2126"/>
      <c r="AD154" s="2856">
        <f>IF(Tablas!M$3475=0,0,ROUNDDOWN(Elan/2,0))</f>
        <v>0</v>
      </c>
      <c r="AE154" s="2857">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896">
        <f t="shared" si="7"/>
        <v>0</v>
      </c>
      <c r="AG154" s="2856" t="e">
        <f>HLOOKUP(Region&amp;ClaseSocial,Tabla_RaicesCulturales,Tablas!E67,FALSE)</f>
        <v>#N/A</v>
      </c>
      <c r="AH154" s="2857">
        <f>IF(AND(E154="Historia",'Elan y Personalización'!$X$26="Historia (Local)"),20&amp;" "&amp;'Elan y Personalización'!$X$26,IF(OR(E154='Elan y Personalización'!$X$25,E154='Elan y Personalización'!$X$26),VLOOKUP(E154,Tablas!$K$33:$L$34,2,FALSE),0))</f>
        <v>0</v>
      </c>
      <c r="AI154" s="2857" t="b">
        <f t="shared" si="13"/>
        <v>0</v>
      </c>
      <c r="AJ154" s="2857" t="b">
        <f t="shared" si="14"/>
        <v>0</v>
      </c>
      <c r="AL154" s="27">
        <f>IF(ISNUMBER(MATCH("Coste"&amp;$E154,Name_Tabla_Cat,0)),MIN(VLOOKUP(Categoría_1,Tabla_Categorías,MATCH("Coste"&amp;$E154,Name_Tabla_Cat,0),FALSE),VLOOKUP(Categoría_1,Tabla_Categorías,MATCH("Coste"&amp;$B154,Name_Tabla_Cat,0),FALSE)),VLOOKUP(Categoría_1,Tabla_Categorías,MATCH("Coste"&amp;$B154,Name_Tabla_Cat,0),FALSE))</f>
        <v>1</v>
      </c>
      <c r="AN154" s="27" t="e">
        <f>IF(ISNUMBER(MATCH("Coste"&amp;$E154,Name_Tabla_Cat,0)),MIN(VLOOKUP(Categoría_2,Tabla_Categorías,MATCH("Coste"&amp;$E154,Name_Tabla_Cat,0),FALSE),VLOOKUP(Categoría_2,Tabla_Categorías,MATCH("Coste"&amp;$B154,Name_Tabla_Cat,0),FALSE)),VLOOKUP(Categoría_2,Tabla_Categorías,MATCH("Coste"&amp;$B154,Name_Tabla_Cat,0),FALSE))</f>
        <v>#N/A</v>
      </c>
      <c r="AP154" s="27" t="e">
        <f>IF(ISNUMBER(MATCH("Coste"&amp;$E154,Name_Tabla_Cat,0)),MIN(VLOOKUP(Categoría_3,Tabla_Categorías,MATCH("Coste"&amp;$E154,Name_Tabla_Cat,0),FALSE),VLOOKUP(Categoría_3,Tabla_Categorías,MATCH("Coste"&amp;$B154,Name_Tabla_Cat,0),FALSE)),VLOOKUP(Categoría_3,Tabla_Categorías,MATCH("Coste"&amp;$B154,Name_Tabla_Cat,0),FALSE))</f>
        <v>#N/A</v>
      </c>
      <c r="AR154" s="27" t="e">
        <f>IF(ISNUMBER(MATCH("Coste"&amp;$E154,Name_Tabla_Cat,0)),MIN(VLOOKUP(Categoría_4,Tabla_Categorías,MATCH("Coste"&amp;$E154,Name_Tabla_Cat,0),FALSE),VLOOKUP(Categoría_4,Tabla_Categorías,MATCH("Coste"&amp;$B154,Name_Tabla_Cat,0),FALSE)),VLOOKUP(Categoría_4,Tabla_Categorías,MATCH("Coste"&amp;$B154,Name_Tabla_Cat,0),FALSE))</f>
        <v>#N/A</v>
      </c>
      <c r="AT154" s="27" t="e">
        <f>IF(ISNUMBER(MATCH("Coste"&amp;$E154,Name_Tabla_Cat,0)),MIN(VLOOKUP(Categoría_5,Tabla_Categorías,MATCH("Coste"&amp;$E154,Name_Tabla_Cat,0),FALSE),VLOOKUP(Categoría_5,Tabla_Categorías,MATCH("Coste"&amp;$B154,Name_Tabla_Cat,0),FALSE)),VLOOKUP(Categoría_5,Tabla_Categorías,MATCH("Coste"&amp;$B154,Name_Tabla_Cat,0),FALSE))</f>
        <v>#N/A</v>
      </c>
    </row>
    <row r="155" spans="1:46" ht="12" customHeight="1" x14ac:dyDescent="0.2">
      <c r="A155" s="2126"/>
      <c r="B155" s="554" t="str">
        <f>D155</f>
        <v>Vigor</v>
      </c>
      <c r="C155" s="3392"/>
      <c r="D155" s="3204" t="s">
        <v>2303</v>
      </c>
      <c r="E155" s="3323" t="s">
        <v>2304</v>
      </c>
      <c r="F155" s="3324"/>
      <c r="G155" s="3324"/>
      <c r="H155" s="2453" t="s">
        <v>2245</v>
      </c>
      <c r="I155" s="2406"/>
      <c r="J155" s="228">
        <f>IF(ISNA(AL155),0,MAX(MIN(AL155-Tablas!$F$495-Tablas!$N501-2*Tablas!$P501-3*Tablas!$R501,3),1))</f>
        <v>3</v>
      </c>
      <c r="K155" s="1698"/>
      <c r="L155" s="228">
        <f>IF(ISNA(AN155),0,MAX(MIN(AN155-Tablas!$F$495-Tablas!$N501-2*Tablas!$P501-3*Tablas!$R501,3),1))</f>
        <v>0</v>
      </c>
      <c r="M155" s="208"/>
      <c r="N155" s="1362">
        <f>IF(ISNA(AP155),0,MAX(MIN(AP155-Tablas!$F$495-Tablas!$N501-2*Tablas!$P501-3*Tablas!$R501,3),1))</f>
        <v>0</v>
      </c>
      <c r="O155" s="1698"/>
      <c r="P155" s="228">
        <f>IF(ISNA(AR155),0,MAX(MIN(AR155-Tablas!$F$495-Tablas!$N501-2*Tablas!$P501-3*Tablas!$R501,3),1))</f>
        <v>0</v>
      </c>
      <c r="Q155" s="208"/>
      <c r="R155" s="1362">
        <f>IF(ISNA(AT155),0,MAX(MIN(AT155-Tablas!$F$495-Tablas!$N501-2*Tablas!$P501-3*Tablas!$R501,3),1))</f>
        <v>0</v>
      </c>
      <c r="S155" s="1698"/>
      <c r="T155" s="1706">
        <f t="shared" si="12"/>
        <v>0</v>
      </c>
      <c r="U155" s="1706">
        <f>MIN(VLOOKUP($H155,Principal!$D$11:$H$18,5)*(1+W155)+10*Tablas!$F$518+10*X155,100)</f>
        <v>10</v>
      </c>
      <c r="V155" s="1706">
        <f>IF(ISNA(AE155),0,AE155)+Tablas!$Y501*Nivel_Total+10*Y155</f>
        <v>0</v>
      </c>
      <c r="W155" s="1714"/>
      <c r="X155" s="1698"/>
      <c r="Y155" s="208"/>
      <c r="Z155" s="225"/>
      <c r="AA155" s="1727">
        <f>IF(AND(T155&lt;5,Tablas!F$518=0),-30,0)+T155+U155+V155+Z155+IF(I155="",0,40)+Combate!$AB$15+AD155+AF155</f>
        <v>-20</v>
      </c>
      <c r="AB155" s="153">
        <f>IF(AA155="-",0,IF(AA155&gt;VLOOKUP(Nivel_Total,Tabla_LímiteSecundarias,2),1,0))</f>
        <v>0</v>
      </c>
      <c r="AC155" s="2126"/>
      <c r="AD155" s="2856">
        <f>IF(Tablas!$M3538=0,0,Elan)+IF(Tablas!$M3600=0,0,Elan)</f>
        <v>0</v>
      </c>
      <c r="AE155" s="2857">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896">
        <f t="shared" si="7"/>
        <v>0</v>
      </c>
      <c r="AG155" s="2856" t="e">
        <f>HLOOKUP(Region&amp;ClaseSocial,Tabla_RaicesCulturales,Tablas!E68,FALSE)</f>
        <v>#N/A</v>
      </c>
      <c r="AH155" s="2857">
        <f>IF(AND(E155="Historia",'Elan y Personalización'!$X$26="Historia (Local)"),20&amp;" "&amp;'Elan y Personalización'!$X$26,IF(OR(E155='Elan y Personalización'!$X$25,E155='Elan y Personalización'!$X$26),VLOOKUP(E155,Tablas!$K$33:$L$34,2,FALSE),0))</f>
        <v>0</v>
      </c>
      <c r="AI155" s="2857" t="b">
        <f t="shared" si="13"/>
        <v>0</v>
      </c>
      <c r="AJ155" s="2857" t="b">
        <f t="shared" si="14"/>
        <v>0</v>
      </c>
      <c r="AL155" s="27">
        <f>IF(ISNUMBER(MATCH("Coste"&amp;$E155,Name_Tabla_Cat,0)),MIN(VLOOKUP(Categoría_1,Tabla_Categorías,MATCH("Coste"&amp;$E155,Name_Tabla_Cat,0),FALSE),VLOOKUP(Categoría_1,Tabla_Categorías,MATCH("Coste"&amp;$B155,Name_Tabla_Cat,0),FALSE)),VLOOKUP(Categoría_1,Tabla_Categorías,MATCH("Coste"&amp;$B155,Name_Tabla_Cat,0),FALSE))</f>
        <v>3</v>
      </c>
      <c r="AN155" s="27" t="e">
        <f>IF(ISNUMBER(MATCH("Coste"&amp;$E155,Name_Tabla_Cat,0)),MIN(VLOOKUP(Categoría_2,Tabla_Categorías,MATCH("Coste"&amp;$E155,Name_Tabla_Cat,0),FALSE),VLOOKUP(Categoría_2,Tabla_Categorías,MATCH("Coste"&amp;$B155,Name_Tabla_Cat,0),FALSE)),VLOOKUP(Categoría_2,Tabla_Categorías,MATCH("Coste"&amp;$B155,Name_Tabla_Cat,0),FALSE))</f>
        <v>#N/A</v>
      </c>
      <c r="AP155" s="27" t="e">
        <f>IF(ISNUMBER(MATCH("Coste"&amp;$E155,Name_Tabla_Cat,0)),MIN(VLOOKUP(Categoría_3,Tabla_Categorías,MATCH("Coste"&amp;$E155,Name_Tabla_Cat,0),FALSE),VLOOKUP(Categoría_3,Tabla_Categorías,MATCH("Coste"&amp;$B155,Name_Tabla_Cat,0),FALSE)),VLOOKUP(Categoría_3,Tabla_Categorías,MATCH("Coste"&amp;$B155,Name_Tabla_Cat,0),FALSE))</f>
        <v>#N/A</v>
      </c>
      <c r="AR155" s="27" t="e">
        <f>IF(ISNUMBER(MATCH("Coste"&amp;$E155,Name_Tabla_Cat,0)),MIN(VLOOKUP(Categoría_4,Tabla_Categorías,MATCH("Coste"&amp;$E155,Name_Tabla_Cat,0),FALSE),VLOOKUP(Categoría_4,Tabla_Categorías,MATCH("Coste"&amp;$B155,Name_Tabla_Cat,0),FALSE)),VLOOKUP(Categoría_4,Tabla_Categorías,MATCH("Coste"&amp;$B155,Name_Tabla_Cat,0),FALSE))</f>
        <v>#N/A</v>
      </c>
      <c r="AT155" s="27" t="e">
        <f>IF(ISNUMBER(MATCH("Coste"&amp;$E155,Name_Tabla_Cat,0)),MIN(VLOOKUP(Categoría_5,Tabla_Categorías,MATCH("Coste"&amp;$E155,Name_Tabla_Cat,0),FALSE),VLOOKUP(Categoría_5,Tabla_Categorías,MATCH("Coste"&amp;$B155,Name_Tabla_Cat,0),FALSE)),VLOOKUP(Categoría_5,Tabla_Categorías,MATCH("Coste"&amp;$B155,Name_Tabla_Cat,0),FALSE))</f>
        <v>#N/A</v>
      </c>
    </row>
    <row r="156" spans="1:46" ht="12" customHeight="1" x14ac:dyDescent="0.2">
      <c r="A156" s="2126"/>
      <c r="B156" s="554" t="str">
        <f>B155</f>
        <v>Vigor</v>
      </c>
      <c r="C156" s="3392"/>
      <c r="D156" s="3204"/>
      <c r="E156" s="3325" t="s">
        <v>2305</v>
      </c>
      <c r="F156" s="3326"/>
      <c r="G156" s="3326"/>
      <c r="H156" s="2454" t="s">
        <v>2236</v>
      </c>
      <c r="I156" s="2407"/>
      <c r="J156" s="229">
        <f>IF(ISNA(AL156),0,MAX(MIN(AL156-Tablas!$F$495-Tablas!$N502-2*Tablas!$P502-3*Tablas!$R502,3),1))</f>
        <v>3</v>
      </c>
      <c r="K156" s="1699"/>
      <c r="L156" s="229">
        <f>IF(ISNA(AN156),0,MAX(MIN(AN156-Tablas!$F$495-Tablas!$N502-2*Tablas!$P502-3*Tablas!$R502,3),1))</f>
        <v>0</v>
      </c>
      <c r="M156" s="1736"/>
      <c r="N156" s="1364">
        <f>IF(ISNA(AP156),0,MAX(MIN(AP156-Tablas!$F$495-Tablas!$N502-2*Tablas!$P502-3*Tablas!$R502,3),1))</f>
        <v>0</v>
      </c>
      <c r="O156" s="1699"/>
      <c r="P156" s="229">
        <f>IF(ISNA(AR156),0,MAX(MIN(AR156-Tablas!$F$495-Tablas!$N502-2*Tablas!$P502-3*Tablas!$R502,3),1))</f>
        <v>0</v>
      </c>
      <c r="Q156" s="1736"/>
      <c r="R156" s="1364">
        <f>IF(ISNA(AT156),0,MAX(MIN(AT156-Tablas!$F$495-Tablas!$N502-2*Tablas!$P502-3*Tablas!$R502,3),1))</f>
        <v>0</v>
      </c>
      <c r="S156" s="1699"/>
      <c r="T156" s="1707">
        <f t="shared" si="12"/>
        <v>0</v>
      </c>
      <c r="U156" s="1707">
        <f>MIN(VLOOKUP($H156,Principal!$D$11:$H$18,5)*(1+W156)+10*Tablas!$F$518+10*X156,100)</f>
        <v>10</v>
      </c>
      <c r="V156" s="1707">
        <f>IF(ISNA(AE156),0,AE156)+Tablas!$Y502*Nivel_Total+10*Y156</f>
        <v>0</v>
      </c>
      <c r="W156" s="1715"/>
      <c r="X156" s="1699"/>
      <c r="Y156" s="1736"/>
      <c r="Z156" s="226"/>
      <c r="AA156" s="1728">
        <f>IF(AND(T156&lt;5,Tablas!F$518=0),-30,0)+T156+U156+V156+Z156+IF(I156="",0,40)+Combate!$AB$15+AD156+AF156</f>
        <v>-20</v>
      </c>
      <c r="AB156" s="153">
        <f>IF(AA156="-",0,IF(AA156&gt;VLOOKUP(Nivel_Total,Tabla_LímiteSecundarias,2),1,0))</f>
        <v>0</v>
      </c>
      <c r="AC156" s="2126"/>
      <c r="AE156" s="2857">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0</v>
      </c>
      <c r="AF156" s="2896">
        <f t="shared" si="7"/>
        <v>0</v>
      </c>
      <c r="AG156" s="2856" t="e">
        <f>HLOOKUP(Region&amp;ClaseSocial,Tabla_RaicesCulturales,Tablas!E69,FALSE)</f>
        <v>#N/A</v>
      </c>
      <c r="AH156" s="2857">
        <f>IF(AND(E156="Historia",'Elan y Personalización'!$X$26="Historia (Local)"),20&amp;" "&amp;'Elan y Personalización'!$X$26,IF(OR(E156='Elan y Personalización'!$X$25,E156='Elan y Personalización'!$X$26),VLOOKUP(E156,Tablas!$K$33:$L$34,2,FALSE),0))</f>
        <v>0</v>
      </c>
      <c r="AI156" s="2857" t="b">
        <f t="shared" si="13"/>
        <v>0</v>
      </c>
      <c r="AJ156" s="2857" t="b">
        <f t="shared" si="14"/>
        <v>0</v>
      </c>
      <c r="AL156" s="27">
        <f>IF(ISNUMBER(MATCH("Coste"&amp;$E156,Name_Tabla_Cat,0)),MIN(VLOOKUP(Categoría_1,Tabla_Categorías,MATCH("Coste"&amp;$E156,Name_Tabla_Cat,0),FALSE),VLOOKUP(Categoría_1,Tabla_Categorías,MATCH("Coste"&amp;$B156,Name_Tabla_Cat,0),FALSE)),VLOOKUP(Categoría_1,Tabla_Categorías,MATCH("Coste"&amp;$B156,Name_Tabla_Cat,0),FALSE))</f>
        <v>3</v>
      </c>
      <c r="AN156" s="27" t="e">
        <f>IF(ISNUMBER(MATCH("Coste"&amp;$E156,Name_Tabla_Cat,0)),MIN(VLOOKUP(Categoría_2,Tabla_Categorías,MATCH("Coste"&amp;$E156,Name_Tabla_Cat,0),FALSE),VLOOKUP(Categoría_2,Tabla_Categorías,MATCH("Coste"&amp;$B156,Name_Tabla_Cat,0),FALSE)),VLOOKUP(Categoría_2,Tabla_Categorías,MATCH("Coste"&amp;$B156,Name_Tabla_Cat,0),FALSE))</f>
        <v>#N/A</v>
      </c>
      <c r="AP156" s="27" t="e">
        <f>IF(ISNUMBER(MATCH("Coste"&amp;$E156,Name_Tabla_Cat,0)),MIN(VLOOKUP(Categoría_3,Tabla_Categorías,MATCH("Coste"&amp;$E156,Name_Tabla_Cat,0),FALSE),VLOOKUP(Categoría_3,Tabla_Categorías,MATCH("Coste"&amp;$B156,Name_Tabla_Cat,0),FALSE)),VLOOKUP(Categoría_3,Tabla_Categorías,MATCH("Coste"&amp;$B156,Name_Tabla_Cat,0),FALSE))</f>
        <v>#N/A</v>
      </c>
      <c r="AR156" s="27" t="e">
        <f>IF(ISNUMBER(MATCH("Coste"&amp;$E156,Name_Tabla_Cat,0)),MIN(VLOOKUP(Categoría_4,Tabla_Categorías,MATCH("Coste"&amp;$E156,Name_Tabla_Cat,0),FALSE),VLOOKUP(Categoría_4,Tabla_Categorías,MATCH("Coste"&amp;$B156,Name_Tabla_Cat,0),FALSE)),VLOOKUP(Categoría_4,Tabla_Categorías,MATCH("Coste"&amp;$B156,Name_Tabla_Cat,0),FALSE))</f>
        <v>#N/A</v>
      </c>
      <c r="AT156" s="27" t="e">
        <f>IF(ISNUMBER(MATCH("Coste"&amp;$E156,Name_Tabla_Cat,0)),MIN(VLOOKUP(Categoría_5,Tabla_Categorías,MATCH("Coste"&amp;$E156,Name_Tabla_Cat,0),FALSE),VLOOKUP(Categoría_5,Tabla_Categorías,MATCH("Coste"&amp;$B156,Name_Tabla_Cat,0),FALSE)),VLOOKUP(Categoría_5,Tabla_Categorías,MATCH("Coste"&amp;$B156,Name_Tabla_Cat,0),FALSE))</f>
        <v>#N/A</v>
      </c>
    </row>
    <row r="157" spans="1:46" ht="12" customHeight="1" x14ac:dyDescent="0.2">
      <c r="A157" s="2126"/>
      <c r="B157" s="554" t="str">
        <f>B156</f>
        <v>Vigor</v>
      </c>
      <c r="C157" s="3392"/>
      <c r="D157" s="3204"/>
      <c r="E157" s="3323" t="s">
        <v>2308</v>
      </c>
      <c r="F157" s="3324"/>
      <c r="G157" s="3324"/>
      <c r="H157" s="2453" t="s">
        <v>2245</v>
      </c>
      <c r="I157" s="2406"/>
      <c r="J157" s="228">
        <f>IF(ISNA(AL157),0,MAX(MIN(AL157-Tablas!$F$495-Tablas!$N503-2*Tablas!$P503-3*Tablas!$R503,3),1))</f>
        <v>3</v>
      </c>
      <c r="K157" s="1698"/>
      <c r="L157" s="228">
        <f>IF(ISNA(AN157),0,MAX(MIN(AN157-Tablas!$F$495-Tablas!$N503-2*Tablas!$P503-3*Tablas!$R503,3),1))</f>
        <v>0</v>
      </c>
      <c r="M157" s="208"/>
      <c r="N157" s="1362">
        <f>IF(ISNA(AP157),0,MAX(MIN(AP157-Tablas!$F$495-Tablas!$N503-2*Tablas!$P503-3*Tablas!$R503,3),1))</f>
        <v>0</v>
      </c>
      <c r="O157" s="1698"/>
      <c r="P157" s="228">
        <f>IF(ISNA(AR157),0,MAX(MIN(AR157-Tablas!$F$495-Tablas!$N503-2*Tablas!$P503-3*Tablas!$R503,3),1))</f>
        <v>0</v>
      </c>
      <c r="Q157" s="208"/>
      <c r="R157" s="1362">
        <f>IF(ISNA(AT157),0,MAX(MIN(AT157-Tablas!$F$495-Tablas!$N503-2*Tablas!$P503-3*Tablas!$R503,3),1))</f>
        <v>0</v>
      </c>
      <c r="S157" s="1698"/>
      <c r="T157" s="1706">
        <f t="shared" si="12"/>
        <v>0</v>
      </c>
      <c r="U157" s="1706">
        <f>MIN(VLOOKUP($H157,Principal!$D$11:$H$18,5)*(1+W157)+10*Tablas!$F$518+10*X157,100)</f>
        <v>10</v>
      </c>
      <c r="V157" s="1706">
        <f>IF(ISNA(AE157),0,AE157)+Tablas!$Y503*Nivel_Total+10*Y157</f>
        <v>0</v>
      </c>
      <c r="W157" s="1714"/>
      <c r="X157" s="1698"/>
      <c r="Y157" s="208"/>
      <c r="Z157" s="225"/>
      <c r="AA157" s="1727">
        <f>IF(AND(T157&lt;5,Tablas!F$518=0),-30,0)+T157+U157+V157+Z157+IF(I157="",0,40)+Combate!$AB$15+AD157+AF157</f>
        <v>-20</v>
      </c>
      <c r="AB157" s="153">
        <f>IF(AA157="-",0,IF(AA157&gt;VLOOKUP(Nivel_Total,Tabla_LímiteSecundarias,2),1,0))</f>
        <v>0</v>
      </c>
      <c r="AC157" s="2126"/>
      <c r="AD157" s="2856">
        <f>IF(Tablas!$M3600=0,0,Elan)</f>
        <v>0</v>
      </c>
      <c r="AE157" s="2857">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896">
        <f t="shared" si="7"/>
        <v>0</v>
      </c>
      <c r="AG157" s="2856" t="e">
        <f>HLOOKUP(Region&amp;ClaseSocial,Tabla_RaicesCulturales,Tablas!E70,FALSE)</f>
        <v>#N/A</v>
      </c>
      <c r="AH157" s="2857">
        <f>IF(AND(E157="Historia",'Elan y Personalización'!$X$26="Historia (Local)"),20&amp;" "&amp;'Elan y Personalización'!$X$26,IF(OR(E157='Elan y Personalización'!$X$25,E157='Elan y Personalización'!$X$26),VLOOKUP(E157,Tablas!$K$33:$L$34,2,FALSE),0))</f>
        <v>0</v>
      </c>
      <c r="AI157" s="2857" t="b">
        <f t="shared" si="13"/>
        <v>0</v>
      </c>
      <c r="AJ157" s="2857" t="b">
        <f t="shared" si="14"/>
        <v>0</v>
      </c>
      <c r="AL157" s="27">
        <f>IF(ISNUMBER(MATCH("Coste"&amp;$E157,Name_Tabla_Cat,0)),MIN(VLOOKUP(Categoría_1,Tabla_Categorías,MATCH("Coste"&amp;$E157,Name_Tabla_Cat,0),FALSE),VLOOKUP(Categoría_1,Tabla_Categorías,MATCH("Coste"&amp;$B157,Name_Tabla_Cat,0),FALSE)),VLOOKUP(Categoría_1,Tabla_Categorías,MATCH("Coste"&amp;$B157,Name_Tabla_Cat,0),FALSE))</f>
        <v>3</v>
      </c>
      <c r="AN157" s="27" t="e">
        <f>IF(ISNUMBER(MATCH("Coste"&amp;$E157,Name_Tabla_Cat,0)),MIN(VLOOKUP(Categoría_2,Tabla_Categorías,MATCH("Coste"&amp;$E157,Name_Tabla_Cat,0),FALSE),VLOOKUP(Categoría_2,Tabla_Categorías,MATCH("Coste"&amp;$B157,Name_Tabla_Cat,0),FALSE)),VLOOKUP(Categoría_2,Tabla_Categorías,MATCH("Coste"&amp;$B157,Name_Tabla_Cat,0),FALSE))</f>
        <v>#N/A</v>
      </c>
      <c r="AP157" s="27" t="e">
        <f>IF(ISNUMBER(MATCH("Coste"&amp;$E157,Name_Tabla_Cat,0)),MIN(VLOOKUP(Categoría_3,Tabla_Categorías,MATCH("Coste"&amp;$E157,Name_Tabla_Cat,0),FALSE),VLOOKUP(Categoría_3,Tabla_Categorías,MATCH("Coste"&amp;$B157,Name_Tabla_Cat,0),FALSE)),VLOOKUP(Categoría_3,Tabla_Categorías,MATCH("Coste"&amp;$B157,Name_Tabla_Cat,0),FALSE))</f>
        <v>#N/A</v>
      </c>
      <c r="AR157" s="27" t="e">
        <f>IF(ISNUMBER(MATCH("Coste"&amp;$E157,Name_Tabla_Cat,0)),MIN(VLOOKUP(Categoría_4,Tabla_Categorías,MATCH("Coste"&amp;$E157,Name_Tabla_Cat,0),FALSE),VLOOKUP(Categoría_4,Tabla_Categorías,MATCH("Coste"&amp;$B157,Name_Tabla_Cat,0),FALSE)),VLOOKUP(Categoría_4,Tabla_Categorías,MATCH("Coste"&amp;$B157,Name_Tabla_Cat,0),FALSE))</f>
        <v>#N/A</v>
      </c>
      <c r="AT157" s="27" t="e">
        <f>IF(ISNUMBER(MATCH("Coste"&amp;$E157,Name_Tabla_Cat,0)),MIN(VLOOKUP(Categoría_5,Tabla_Categorías,MATCH("Coste"&amp;$E157,Name_Tabla_Cat,0),FALSE),VLOOKUP(Categoría_5,Tabla_Categorías,MATCH("Coste"&amp;$B157,Name_Tabla_Cat,0),FALSE)),VLOOKUP(Categoría_5,Tabla_Categorías,MATCH("Coste"&amp;$B157,Name_Tabla_Cat,0),FALSE))</f>
        <v>#N/A</v>
      </c>
    </row>
    <row r="158" spans="1:46" ht="12" customHeight="1" x14ac:dyDescent="0.2">
      <c r="A158" s="2126"/>
      <c r="B158" s="554" t="str">
        <f>D158</f>
        <v>Subterfugio</v>
      </c>
      <c r="C158" s="3392"/>
      <c r="D158" s="3322" t="s">
        <v>2311</v>
      </c>
      <c r="E158" s="3645" t="s">
        <v>2312</v>
      </c>
      <c r="F158" s="3527"/>
      <c r="G158" s="3527"/>
      <c r="H158" s="2458" t="s">
        <v>2231</v>
      </c>
      <c r="I158" s="2411"/>
      <c r="J158" s="1696">
        <f>IF(ISNA(AL158),0,MAX(MIN(AL158-Tablas!$F$495-Tablas!$N504-2*Tablas!$P504-3*Tablas!$R504,3),1))</f>
        <v>2</v>
      </c>
      <c r="K158" s="1697"/>
      <c r="L158" s="1696">
        <f>IF(ISNA(AN158),0,MAX(MIN(AN158-Tablas!$F$495-Tablas!$N504-2*Tablas!$P504-3*Tablas!$R504,3),1))</f>
        <v>0</v>
      </c>
      <c r="M158" s="1686"/>
      <c r="N158" s="1360">
        <f>IF(ISNA(AP158),0,MAX(MIN(AP158-Tablas!$F$495-Tablas!$N504-2*Tablas!$P504-3*Tablas!$R504,3),1))</f>
        <v>0</v>
      </c>
      <c r="O158" s="1697"/>
      <c r="P158" s="1696">
        <f>IF(ISNA(AR158),0,MAX(MIN(AR158-Tablas!$F$495-Tablas!$N504-2*Tablas!$P504-3*Tablas!$R504,3),1))</f>
        <v>0</v>
      </c>
      <c r="Q158" s="1686"/>
      <c r="R158" s="1360">
        <f>IF(ISNA(AT158),0,MAX(MIN(AT158-Tablas!$F$495-Tablas!$N504-2*Tablas!$P504-3*Tablas!$R504,3),1))</f>
        <v>0</v>
      </c>
      <c r="S158" s="1697"/>
      <c r="T158" s="1705">
        <f t="shared" ref="T158:T181" si="15">IF(J158=0,0,TRUNC(K158/J158,0))+IF(L158=0,0,TRUNC(M158/L158,0))+IF(N158=0,0,TRUNC(O158/N158,0))+IF(P158=0,0,TRUNC(Q158/P158,0))+IF(R158=0,0,TRUNC(S158/R158,0))</f>
        <v>0</v>
      </c>
      <c r="U158" s="1705">
        <f>MIN(VLOOKUP($H158,Principal!$D$11:$H$18,5)*(1+W158)+10*Tablas!$F$518+10*X158,100)</f>
        <v>10</v>
      </c>
      <c r="V158" s="1705">
        <f>IF(ISNA(AE158),0,AE158)+Tablas!$Y504*Nivel_Total+10*Y158</f>
        <v>0</v>
      </c>
      <c r="W158" s="1713"/>
      <c r="X158" s="1697"/>
      <c r="Y158" s="1686"/>
      <c r="Z158" s="1687"/>
      <c r="AA158" s="1732">
        <f>IF(AND(T158&lt;5,Tablas!F$518=0),-30,0)+T158+U158+V158+Z158+IF(I158="",0,40)+Combate!$AB$15+AD158+AF158</f>
        <v>-20</v>
      </c>
      <c r="AB158" s="153">
        <f>IF(AA158="-",0,IF(AA158&gt;VLOOKUP(Nivel_Total,Tabla_LímiteSecundarias,2),1,0))</f>
        <v>0</v>
      </c>
      <c r="AC158" s="2126"/>
      <c r="AE158" s="2857"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896">
        <f t="shared" ref="AF158:AF176" si="16">IF(AE$113,IF(OR(Region="",ClaseSocial="",$AE$117),0,IF(OR(AND(AI158,AJ158),AND(NOT(AI158),NOT(AJ158))),LEFT(AG158,2)+LEFT(AH158,2),0)),0)</f>
        <v>0</v>
      </c>
      <c r="AG158" s="2856" t="e">
        <f>HLOOKUP(Region&amp;ClaseSocial,Tabla_RaicesCulturales,Tablas!E71,FALSE)</f>
        <v>#N/A</v>
      </c>
      <c r="AH158" s="2857">
        <f>IF(AND(E158="Historia",'Elan y Personalización'!$X$26="Historia (Local)"),20&amp;" "&amp;'Elan y Personalización'!$X$26,IF(OR(E158='Elan y Personalización'!$X$25,E158='Elan y Personalización'!$X$26),VLOOKUP(E158,Tablas!$K$33:$L$34,2,FALSE),0))</f>
        <v>0</v>
      </c>
      <c r="AI158" s="2857" t="b">
        <f t="shared" ref="AI158:AI176" si="17">OR(ISNUMBER(FIND("(",AG158)),ISNUMBER(FIND("(",AH158)))</f>
        <v>0</v>
      </c>
      <c r="AJ158" s="2857" t="b">
        <f t="shared" ref="AJ158:AJ176" si="18">AND(NOT(I158=""),OR(ISNUMBER(SEARCH(I158,AG158)),ISNUMBER(SEARCH(I158,AH158))))</f>
        <v>0</v>
      </c>
      <c r="AL158" s="27">
        <f>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7" t="e">
        <f>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7" t="e">
        <f>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7" t="e">
        <f>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7" t="e">
        <f>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126"/>
      <c r="B159" s="554" t="str">
        <f>B158</f>
        <v>Subterfugio</v>
      </c>
      <c r="C159" s="3392"/>
      <c r="D159" s="3204"/>
      <c r="E159" s="3323" t="s">
        <v>2314</v>
      </c>
      <c r="F159" s="3324"/>
      <c r="G159" s="3324"/>
      <c r="H159" s="2453" t="s">
        <v>2231</v>
      </c>
      <c r="I159" s="2406"/>
      <c r="J159" s="228">
        <f>IF(ISNA(AL159),0,MAX(MIN(AL159-Tablas!$F$495-Tablas!$N505-2*Tablas!$P505-3*Tablas!$R505,3),1))</f>
        <v>2</v>
      </c>
      <c r="K159" s="1698"/>
      <c r="L159" s="228">
        <f>IF(ISNA(AN159),0,MAX(MIN(AN159-Tablas!$F$495-Tablas!$N505-2*Tablas!$P505-3*Tablas!$R505,3),1))</f>
        <v>0</v>
      </c>
      <c r="M159" s="208"/>
      <c r="N159" s="1362">
        <f>IF(ISNA(AP159),0,MAX(MIN(AP159-Tablas!$F$495-Tablas!$N505-2*Tablas!$P505-3*Tablas!$R505,3),1))</f>
        <v>0</v>
      </c>
      <c r="O159" s="1698"/>
      <c r="P159" s="228">
        <f>IF(ISNA(AR159),0,MAX(MIN(AR159-Tablas!$F$495-Tablas!$N505-2*Tablas!$P505-3*Tablas!$R505,3),1))</f>
        <v>0</v>
      </c>
      <c r="Q159" s="208"/>
      <c r="R159" s="1362">
        <f>IF(ISNA(AT159),0,MAX(MIN(AT159-Tablas!$F$495-Tablas!$N505-2*Tablas!$P505-3*Tablas!$R505,3),1))</f>
        <v>0</v>
      </c>
      <c r="S159" s="1698"/>
      <c r="T159" s="1706">
        <f t="shared" si="15"/>
        <v>0</v>
      </c>
      <c r="U159" s="1706">
        <f>MIN(VLOOKUP($H159,Principal!$D$11:$H$18,5)*(1+W159)+10*Tablas!$F$518+10*X159,100)</f>
        <v>10</v>
      </c>
      <c r="V159" s="1706">
        <f>IF(ISNA(AE159),0,AE159)+Tablas!$Y505*Nivel_Total+10*Y159</f>
        <v>0</v>
      </c>
      <c r="W159" s="1714"/>
      <c r="X159" s="1698"/>
      <c r="Y159" s="208"/>
      <c r="Z159" s="225"/>
      <c r="AA159" s="1727">
        <f>IF(AND(T159&lt;5,Tablas!F$518=0),-30,0)+T159+U159+V159+Z159+IF(I159="",0,40)+Combate!$AB$15+AD159+AF159</f>
        <v>-20</v>
      </c>
      <c r="AB159" s="153">
        <f>IF(AA159="-",0,IF(AA159&gt;VLOOKUP(Nivel_Total,Tabla_LímiteSecundarias,2),1,0))</f>
        <v>0</v>
      </c>
      <c r="AC159" s="2126"/>
      <c r="AE159" s="2857">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896">
        <f t="shared" si="16"/>
        <v>0</v>
      </c>
      <c r="AG159" s="2856" t="e">
        <f>HLOOKUP(Region&amp;ClaseSocial,Tabla_RaicesCulturales,Tablas!E72,FALSE)</f>
        <v>#N/A</v>
      </c>
      <c r="AH159" s="2857">
        <f>IF(AND(E159="Historia",'Elan y Personalización'!$X$26="Historia (Local)"),20&amp;" "&amp;'Elan y Personalización'!$X$26,IF(OR(E159='Elan y Personalización'!$X$25,E159='Elan y Personalización'!$X$26),VLOOKUP(E159,Tablas!$K$33:$L$34,2,FALSE),0))</f>
        <v>0</v>
      </c>
      <c r="AI159" s="2857" t="b">
        <f t="shared" si="17"/>
        <v>0</v>
      </c>
      <c r="AJ159" s="2857" t="b">
        <f t="shared" si="18"/>
        <v>0</v>
      </c>
      <c r="AL159" s="27">
        <f>IF(ISNUMBER(MATCH("Coste"&amp;$E159,Name_Tabla_Cat,0)),MIN(VLOOKUP(Categoría_1,Tabla_Categorías,MATCH("Coste"&amp;$E159,Name_Tabla_Cat,0),FALSE),VLOOKUP(Categoría_1,Tabla_Categorías,MATCH("Coste"&amp;$B159,Name_Tabla_Cat,0),FALSE)),VLOOKUP(Categoría_1,Tabla_Categorías,MATCH("Coste"&amp;$B159,Name_Tabla_Cat,0),FALSE))</f>
        <v>2</v>
      </c>
      <c r="AN159" s="27" t="e">
        <f>IF(ISNUMBER(MATCH("Coste"&amp;$E159,Name_Tabla_Cat,0)),MIN(VLOOKUP(Categoría_2,Tabla_Categorías,MATCH("Coste"&amp;$E159,Name_Tabla_Cat,0),FALSE),VLOOKUP(Categoría_2,Tabla_Categorías,MATCH("Coste"&amp;$B159,Name_Tabla_Cat,0),FALSE)),VLOOKUP(Categoría_2,Tabla_Categorías,MATCH("Coste"&amp;$B159,Name_Tabla_Cat,0),FALSE))</f>
        <v>#N/A</v>
      </c>
      <c r="AP159" s="27" t="e">
        <f>IF(ISNUMBER(MATCH("Coste"&amp;$E159,Name_Tabla_Cat,0)),MIN(VLOOKUP(Categoría_3,Tabla_Categorías,MATCH("Coste"&amp;$E159,Name_Tabla_Cat,0),FALSE),VLOOKUP(Categoría_3,Tabla_Categorías,MATCH("Coste"&amp;$B159,Name_Tabla_Cat,0),FALSE)),VLOOKUP(Categoría_3,Tabla_Categorías,MATCH("Coste"&amp;$B159,Name_Tabla_Cat,0),FALSE))</f>
        <v>#N/A</v>
      </c>
      <c r="AR159" s="27" t="e">
        <f>IF(ISNUMBER(MATCH("Coste"&amp;$E159,Name_Tabla_Cat,0)),MIN(VLOOKUP(Categoría_4,Tabla_Categorías,MATCH("Coste"&amp;$E159,Name_Tabla_Cat,0),FALSE),VLOOKUP(Categoría_4,Tabla_Categorías,MATCH("Coste"&amp;$B159,Name_Tabla_Cat,0),FALSE)),VLOOKUP(Categoría_4,Tabla_Categorías,MATCH("Coste"&amp;$B159,Name_Tabla_Cat,0),FALSE))</f>
        <v>#N/A</v>
      </c>
      <c r="AT159" s="27" t="e">
        <f>IF(ISNUMBER(MATCH("Coste"&amp;$E159,Name_Tabla_Cat,0)),MIN(VLOOKUP(Categoría_5,Tabla_Categorías,MATCH("Coste"&amp;$E159,Name_Tabla_Cat,0),FALSE),VLOOKUP(Categoría_5,Tabla_Categorías,MATCH("Coste"&amp;$B159,Name_Tabla_Cat,0),FALSE)),VLOOKUP(Categoría_5,Tabla_Categorías,MATCH("Coste"&amp;$B159,Name_Tabla_Cat,0),FALSE))</f>
        <v>#N/A</v>
      </c>
    </row>
    <row r="160" spans="1:46" ht="12" customHeight="1" x14ac:dyDescent="0.2">
      <c r="A160" s="2126"/>
      <c r="B160" s="554" t="str">
        <f>B159</f>
        <v>Subterfugio</v>
      </c>
      <c r="C160" s="3392"/>
      <c r="D160" s="3204"/>
      <c r="E160" s="3325" t="s">
        <v>2316</v>
      </c>
      <c r="F160" s="3326"/>
      <c r="G160" s="3326"/>
      <c r="H160" s="2454" t="s">
        <v>2242</v>
      </c>
      <c r="I160" s="2407"/>
      <c r="J160" s="229">
        <f>IF(ISNA(AL160),0,MAX(MIN(AL160-Tablas!$F$495-Tablas!$N506-2*Tablas!$P506-3*Tablas!$R506,3),1))</f>
        <v>2</v>
      </c>
      <c r="K160" s="1699"/>
      <c r="L160" s="229">
        <f>IF(ISNA(AN160),0,MAX(MIN(AN160-Tablas!$F$495-Tablas!$N506-2*Tablas!$P506-3*Tablas!$R506,3),1))</f>
        <v>0</v>
      </c>
      <c r="M160" s="1736"/>
      <c r="N160" s="1364">
        <f>IF(ISNA(AP160),0,MAX(MIN(AP160-Tablas!$F$495-Tablas!$N506-2*Tablas!$P506-3*Tablas!$R506,3),1))</f>
        <v>0</v>
      </c>
      <c r="O160" s="1699"/>
      <c r="P160" s="229">
        <f>IF(ISNA(AR160),0,MAX(MIN(AR160-Tablas!$F$495-Tablas!$N506-2*Tablas!$P506-3*Tablas!$R506,3),1))</f>
        <v>0</v>
      </c>
      <c r="Q160" s="1736"/>
      <c r="R160" s="1364">
        <f>IF(ISNA(AT160),0,MAX(MIN(AT160-Tablas!$F$495-Tablas!$N506-2*Tablas!$P506-3*Tablas!$R506,3),1))</f>
        <v>0</v>
      </c>
      <c r="S160" s="1699"/>
      <c r="T160" s="1707">
        <f t="shared" si="15"/>
        <v>0</v>
      </c>
      <c r="U160" s="1707">
        <f>MIN(VLOOKUP($H160,Principal!$D$11:$H$18,5)*(1+W160)+10*Tablas!$F$518+10*X160,100)</f>
        <v>10</v>
      </c>
      <c r="V160" s="1707">
        <f>IF(ISNA(AE160),0,AE160)+Tablas!$Y506*Nivel_Total+10*Y160</f>
        <v>0</v>
      </c>
      <c r="W160" s="1715"/>
      <c r="X160" s="1699"/>
      <c r="Y160" s="1736"/>
      <c r="Z160" s="226"/>
      <c r="AA160" s="1728">
        <f>IF(AND(T160&lt;5,Tablas!F$518=0),-30,0)+T160+U160+V160+Z160+IF(I160="",0,40)+Combate!$AB$15+AD160+AF160</f>
        <v>-20</v>
      </c>
      <c r="AB160" s="153">
        <f>IF(AA160="-",0,IF(AA160&gt;VLOOKUP(Nivel_Total,Tabla_LímiteSecundarias,2),1,0))</f>
        <v>0</v>
      </c>
      <c r="AC160" s="2126"/>
      <c r="AE160" s="2857">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896">
        <f t="shared" si="16"/>
        <v>0</v>
      </c>
      <c r="AG160" s="2856" t="e">
        <f>HLOOKUP(Region&amp;ClaseSocial,Tabla_RaicesCulturales,Tablas!E73,FALSE)</f>
        <v>#N/A</v>
      </c>
      <c r="AH160" s="2857">
        <f>IF(AND(E160="Historia",'Elan y Personalización'!$X$26="Historia (Local)"),20&amp;" "&amp;'Elan y Personalización'!$X$26,IF(OR(E160='Elan y Personalización'!$X$25,E160='Elan y Personalización'!$X$26),VLOOKUP(E160,Tablas!$K$33:$L$34,2,FALSE),0))</f>
        <v>0</v>
      </c>
      <c r="AI160" s="2857" t="b">
        <f t="shared" si="17"/>
        <v>0</v>
      </c>
      <c r="AJ160" s="2857" t="b">
        <f t="shared" si="18"/>
        <v>0</v>
      </c>
      <c r="AL160" s="27">
        <f>IF(ISNUMBER(MATCH("Coste"&amp;$E160,Name_Tabla_Cat,0)),MIN(VLOOKUP(Categoría_1,Tabla_Categorías,MATCH("Coste"&amp;$E160,Name_Tabla_Cat,0),FALSE),VLOOKUP(Categoría_1,Tabla_Categorías,MATCH("Coste"&amp;$B160,Name_Tabla_Cat,0),FALSE)),VLOOKUP(Categoría_1,Tabla_Categorías,MATCH("Coste"&amp;$B160,Name_Tabla_Cat,0),FALSE))</f>
        <v>2</v>
      </c>
      <c r="AN160" s="27" t="e">
        <f>IF(ISNUMBER(MATCH("Coste"&amp;$E160,Name_Tabla_Cat,0)),MIN(VLOOKUP(Categoría_2,Tabla_Categorías,MATCH("Coste"&amp;$E160,Name_Tabla_Cat,0),FALSE),VLOOKUP(Categoría_2,Tabla_Categorías,MATCH("Coste"&amp;$B160,Name_Tabla_Cat,0),FALSE)),VLOOKUP(Categoría_2,Tabla_Categorías,MATCH("Coste"&amp;$B160,Name_Tabla_Cat,0),FALSE))</f>
        <v>#N/A</v>
      </c>
      <c r="AP160" s="27" t="e">
        <f>IF(ISNUMBER(MATCH("Coste"&amp;$E160,Name_Tabla_Cat,0)),MIN(VLOOKUP(Categoría_3,Tabla_Categorías,MATCH("Coste"&amp;$E160,Name_Tabla_Cat,0),FALSE),VLOOKUP(Categoría_3,Tabla_Categorías,MATCH("Coste"&amp;$B160,Name_Tabla_Cat,0),FALSE)),VLOOKUP(Categoría_3,Tabla_Categorías,MATCH("Coste"&amp;$B160,Name_Tabla_Cat,0),FALSE))</f>
        <v>#N/A</v>
      </c>
      <c r="AR160" s="27" t="e">
        <f>IF(ISNUMBER(MATCH("Coste"&amp;$E160,Name_Tabla_Cat,0)),MIN(VLOOKUP(Categoría_4,Tabla_Categorías,MATCH("Coste"&amp;$E160,Name_Tabla_Cat,0),FALSE),VLOOKUP(Categoría_4,Tabla_Categorías,MATCH("Coste"&amp;$B160,Name_Tabla_Cat,0),FALSE)),VLOOKUP(Categoría_4,Tabla_Categorías,MATCH("Coste"&amp;$B160,Name_Tabla_Cat,0),FALSE))</f>
        <v>#N/A</v>
      </c>
      <c r="AT160" s="27" t="e">
        <f>IF(ISNUMBER(MATCH("Coste"&amp;$E160,Name_Tabla_Cat,0)),MIN(VLOOKUP(Categoría_5,Tabla_Categorías,MATCH("Coste"&amp;$E160,Name_Tabla_Cat,0),FALSE),VLOOKUP(Categoría_5,Tabla_Categorías,MATCH("Coste"&amp;$B160,Name_Tabla_Cat,0),FALSE)),VLOOKUP(Categoría_5,Tabla_Categorías,MATCH("Coste"&amp;$B160,Name_Tabla_Cat,0),FALSE))</f>
        <v>#N/A</v>
      </c>
    </row>
    <row r="161" spans="1:46" ht="12" customHeight="1" x14ac:dyDescent="0.2">
      <c r="A161" s="2126"/>
      <c r="B161" s="554" t="str">
        <f>B160</f>
        <v>Subterfugio</v>
      </c>
      <c r="C161" s="3392"/>
      <c r="D161" s="3204"/>
      <c r="E161" s="3323" t="s">
        <v>2318</v>
      </c>
      <c r="F161" s="3324"/>
      <c r="G161" s="3324"/>
      <c r="H161" s="2453" t="s">
        <v>2231</v>
      </c>
      <c r="I161" s="2406"/>
      <c r="J161" s="228">
        <f>IF(ISNA(AL161),0,MAX(MIN(AL161-Tablas!$F$495-Tablas!$N507-2*Tablas!$P507-3*Tablas!$R507,3),1))</f>
        <v>2</v>
      </c>
      <c r="K161" s="1698"/>
      <c r="L161" s="228">
        <f>IF(ISNA(AN161),0,MAX(MIN(AN161-Tablas!$F$495-Tablas!$N507-2*Tablas!$P507-3*Tablas!$R507,3),1))</f>
        <v>0</v>
      </c>
      <c r="M161" s="208"/>
      <c r="N161" s="1362">
        <f>IF(ISNA(AP161),0,MAX(MIN(AP161-Tablas!$F$495-Tablas!$N507-2*Tablas!$P507-3*Tablas!$R507,3),1))</f>
        <v>0</v>
      </c>
      <c r="O161" s="1698"/>
      <c r="P161" s="228">
        <f>IF(ISNA(AR161),0,MAX(MIN(AR161-Tablas!$F$495-Tablas!$N507-2*Tablas!$P507-3*Tablas!$R507,3),1))</f>
        <v>0</v>
      </c>
      <c r="Q161" s="208"/>
      <c r="R161" s="1362">
        <f>IF(ISNA(AT161),0,MAX(MIN(AT161-Tablas!$F$495-Tablas!$N507-2*Tablas!$P507-3*Tablas!$R507,3),1))</f>
        <v>0</v>
      </c>
      <c r="S161" s="1698"/>
      <c r="T161" s="1706">
        <f t="shared" si="15"/>
        <v>0</v>
      </c>
      <c r="U161" s="1706">
        <f>MIN(VLOOKUP($H161,Principal!$D$11:$H$18,5)*(1+W161)+10*Tablas!$F$518+10*X161,100)</f>
        <v>10</v>
      </c>
      <c r="V161" s="1706">
        <f>IF(ISNA(AE161),0,AE161)+Tablas!$Y507*Nivel_Total+10*Y161</f>
        <v>0</v>
      </c>
      <c r="W161" s="1714"/>
      <c r="X161" s="1698"/>
      <c r="Y161" s="208"/>
      <c r="Z161" s="225"/>
      <c r="AA161" s="1727">
        <f>IF(AND(T161&lt;5,Tablas!F$518=0),-30,0)+T161+U161+V161+Z161+IF(I161="",0,40)+Combate!$AB$15+AD161+AF161</f>
        <v>-20</v>
      </c>
      <c r="AB161" s="153">
        <f>IF(AA161="-",0,IF(AA161&gt;VLOOKUP(Nivel_Total,Tabla_LímiteSecundarias,2),1,0))</f>
        <v>0</v>
      </c>
      <c r="AC161" s="2126"/>
      <c r="AE161" s="2857">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896">
        <f t="shared" si="16"/>
        <v>0</v>
      </c>
      <c r="AG161" s="2856" t="e">
        <f>HLOOKUP(Region&amp;ClaseSocial,Tabla_RaicesCulturales,Tablas!E74,FALSE)</f>
        <v>#N/A</v>
      </c>
      <c r="AH161" s="2857">
        <f>IF(AND(E161="Historia",'Elan y Personalización'!$X$26="Historia (Local)"),20&amp;" "&amp;'Elan y Personalización'!$X$26,IF(OR(E161='Elan y Personalización'!$X$25,E161='Elan y Personalización'!$X$26),VLOOKUP(E161,Tablas!$K$33:$L$34,2,FALSE),0))</f>
        <v>0</v>
      </c>
      <c r="AI161" s="2857" t="b">
        <f t="shared" si="17"/>
        <v>0</v>
      </c>
      <c r="AJ161" s="2857" t="b">
        <f t="shared" si="18"/>
        <v>0</v>
      </c>
      <c r="AL161" s="27">
        <f>IF(ISNUMBER(MATCH("Coste"&amp;$E161,Name_Tabla_Cat,0)),MIN(VLOOKUP(Categoría_1,Tabla_Categorías,MATCH("Coste"&amp;$E161,Name_Tabla_Cat,0),FALSE),VLOOKUP(Categoría_1,Tabla_Categorías,MATCH("Coste"&amp;$B161,Name_Tabla_Cat,0),FALSE)),VLOOKUP(Categoría_1,Tabla_Categorías,MATCH("Coste"&amp;$B161,Name_Tabla_Cat,0),FALSE))</f>
        <v>2</v>
      </c>
      <c r="AN161" s="27" t="e">
        <f>IF(ISNUMBER(MATCH("Coste"&amp;$E161,Name_Tabla_Cat,0)),MIN(VLOOKUP(Categoría_2,Tabla_Categorías,MATCH("Coste"&amp;$E161,Name_Tabla_Cat,0),FALSE),VLOOKUP(Categoría_2,Tabla_Categorías,MATCH("Coste"&amp;$B161,Name_Tabla_Cat,0),FALSE)),VLOOKUP(Categoría_2,Tabla_Categorías,MATCH("Coste"&amp;$B161,Name_Tabla_Cat,0),FALSE))</f>
        <v>#N/A</v>
      </c>
      <c r="AP161" s="27" t="e">
        <f>IF(ISNUMBER(MATCH("Coste"&amp;$E161,Name_Tabla_Cat,0)),MIN(VLOOKUP(Categoría_3,Tabla_Categorías,MATCH("Coste"&amp;$E161,Name_Tabla_Cat,0),FALSE),VLOOKUP(Categoría_3,Tabla_Categorías,MATCH("Coste"&amp;$B161,Name_Tabla_Cat,0),FALSE)),VLOOKUP(Categoría_3,Tabla_Categorías,MATCH("Coste"&amp;$B161,Name_Tabla_Cat,0),FALSE))</f>
        <v>#N/A</v>
      </c>
      <c r="AR161" s="27" t="e">
        <f>IF(ISNUMBER(MATCH("Coste"&amp;$E161,Name_Tabla_Cat,0)),MIN(VLOOKUP(Categoría_4,Tabla_Categorías,MATCH("Coste"&amp;$E161,Name_Tabla_Cat,0),FALSE),VLOOKUP(Categoría_4,Tabla_Categorías,MATCH("Coste"&amp;$B161,Name_Tabla_Cat,0),FALSE)),VLOOKUP(Categoría_4,Tabla_Categorías,MATCH("Coste"&amp;$B161,Name_Tabla_Cat,0),FALSE))</f>
        <v>#N/A</v>
      </c>
      <c r="AT161" s="27" t="e">
        <f>IF(ISNUMBER(MATCH("Coste"&amp;$E161,Name_Tabla_Cat,0)),MIN(VLOOKUP(Categoría_5,Tabla_Categorías,MATCH("Coste"&amp;$E161,Name_Tabla_Cat,0),FALSE),VLOOKUP(Categoría_5,Tabla_Categorías,MATCH("Coste"&amp;$B161,Name_Tabla_Cat,0),FALSE)),VLOOKUP(Categoría_5,Tabla_Categorías,MATCH("Coste"&amp;$B161,Name_Tabla_Cat,0),FALSE))</f>
        <v>#N/A</v>
      </c>
    </row>
    <row r="162" spans="1:46" ht="12" customHeight="1" x14ac:dyDescent="0.2">
      <c r="A162" s="2126"/>
      <c r="B162" s="554" t="str">
        <f>B161</f>
        <v>Subterfugio</v>
      </c>
      <c r="C162" s="3392"/>
      <c r="D162" s="3204"/>
      <c r="E162" s="3325" t="s">
        <v>2320</v>
      </c>
      <c r="F162" s="3326"/>
      <c r="G162" s="3326"/>
      <c r="H162" s="2454" t="s">
        <v>2226</v>
      </c>
      <c r="I162" s="2407"/>
      <c r="J162" s="229">
        <f>IF(ISNA(AL162),0,MAX(MIN(AL162-Tablas!$F$495-Tablas!$N508-2*Tablas!$P508-3*Tablas!$R508,3),1))</f>
        <v>2</v>
      </c>
      <c r="K162" s="1699"/>
      <c r="L162" s="229">
        <f>IF(ISNA(AN162),0,MAX(MIN(AN162-Tablas!$F$495-Tablas!$N508-2*Tablas!$P508-3*Tablas!$R508,3),1))</f>
        <v>0</v>
      </c>
      <c r="M162" s="1736"/>
      <c r="N162" s="1364">
        <f>IF(ISNA(AP162),0,MAX(MIN(AP162-Tablas!$F$495-Tablas!$N508-2*Tablas!$P508-3*Tablas!$R508,3),1))</f>
        <v>0</v>
      </c>
      <c r="O162" s="1699"/>
      <c r="P162" s="229">
        <f>IF(ISNA(AR162),0,MAX(MIN(AR162-Tablas!$F$495-Tablas!$N508-2*Tablas!$P508-3*Tablas!$R508,3),1))</f>
        <v>0</v>
      </c>
      <c r="Q162" s="1736"/>
      <c r="R162" s="1364">
        <f>IF(ISNA(AT162),0,MAX(MIN(AT162-Tablas!$F$495-Tablas!$N508-2*Tablas!$P508-3*Tablas!$R508,3),1))</f>
        <v>0</v>
      </c>
      <c r="S162" s="1699"/>
      <c r="T162" s="1707">
        <f t="shared" si="15"/>
        <v>0</v>
      </c>
      <c r="U162" s="1707">
        <f>MIN(VLOOKUP($H162,Principal!$D$11:$H$18,5)*(1+W162)+10*Tablas!$F$518+10*X162,100)</f>
        <v>10</v>
      </c>
      <c r="V162" s="1707">
        <f>IF(ISNA(AE162),0,AE162)+Tablas!$Y508*Nivel_Total+10*Y162</f>
        <v>0</v>
      </c>
      <c r="W162" s="1715"/>
      <c r="X162" s="1699"/>
      <c r="Y162" s="1736"/>
      <c r="Z162" s="226"/>
      <c r="AA162" s="1728">
        <f>IF(AND(T162&lt;5,Tablas!F$518=0),-30,0)+T162+U162+V162+Z162+IF(I162="",0,40)+Combate!$AB$15+AD162+AF162</f>
        <v>-20</v>
      </c>
      <c r="AB162" s="153">
        <f>IF(AA162="-",0,IF(AA162&gt;VLOOKUP(Nivel_Total,Tabla_LímiteSecundarias,2),1,0))</f>
        <v>0</v>
      </c>
      <c r="AC162" s="2126"/>
      <c r="AE162" s="2857">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896">
        <f t="shared" si="16"/>
        <v>0</v>
      </c>
      <c r="AG162" s="2856" t="e">
        <f>HLOOKUP(Region&amp;ClaseSocial,Tabla_RaicesCulturales,Tablas!E75,FALSE)</f>
        <v>#N/A</v>
      </c>
      <c r="AH162" s="2857">
        <f>IF(AND(E162="Historia",'Elan y Personalización'!$X$26="Historia (Local)"),20&amp;" "&amp;'Elan y Personalización'!$X$26,IF(OR(E162='Elan y Personalización'!$X$25,E162='Elan y Personalización'!$X$26),VLOOKUP(E162,Tablas!$K$33:$L$34,2,FALSE),0))</f>
        <v>0</v>
      </c>
      <c r="AI162" s="2857" t="b">
        <f t="shared" si="17"/>
        <v>0</v>
      </c>
      <c r="AJ162" s="2857" t="b">
        <f t="shared" si="18"/>
        <v>0</v>
      </c>
      <c r="AL162" s="27">
        <f>IF(ISNUMBER(MATCH("Coste"&amp;$E162,Name_Tabla_Cat,0)),MIN(VLOOKUP(Categoría_1,Tabla_Categorías,MATCH("Coste"&amp;$E162,Name_Tabla_Cat,0),FALSE),VLOOKUP(Categoría_1,Tabla_Categorías,MATCH("Coste"&amp;$B162,Name_Tabla_Cat,0),FALSE)),VLOOKUP(Categoría_1,Tabla_Categorías,MATCH("Coste"&amp;$B162,Name_Tabla_Cat,0),FALSE))</f>
        <v>2</v>
      </c>
      <c r="AN162" s="27" t="e">
        <f>IF(ISNUMBER(MATCH("Coste"&amp;$E162,Name_Tabla_Cat,0)),MIN(VLOOKUP(Categoría_2,Tabla_Categorías,MATCH("Coste"&amp;$E162,Name_Tabla_Cat,0),FALSE),VLOOKUP(Categoría_2,Tabla_Categorías,MATCH("Coste"&amp;$B162,Name_Tabla_Cat,0),FALSE)),VLOOKUP(Categoría_2,Tabla_Categorías,MATCH("Coste"&amp;$B162,Name_Tabla_Cat,0),FALSE))</f>
        <v>#N/A</v>
      </c>
      <c r="AP162" s="27" t="e">
        <f>IF(ISNUMBER(MATCH("Coste"&amp;$E162,Name_Tabla_Cat,0)),MIN(VLOOKUP(Categoría_3,Tabla_Categorías,MATCH("Coste"&amp;$E162,Name_Tabla_Cat,0),FALSE),VLOOKUP(Categoría_3,Tabla_Categorías,MATCH("Coste"&amp;$B162,Name_Tabla_Cat,0),FALSE)),VLOOKUP(Categoría_3,Tabla_Categorías,MATCH("Coste"&amp;$B162,Name_Tabla_Cat,0),FALSE))</f>
        <v>#N/A</v>
      </c>
      <c r="AR162" s="27" t="e">
        <f>IF(ISNUMBER(MATCH("Coste"&amp;$E162,Name_Tabla_Cat,0)),MIN(VLOOKUP(Categoría_4,Tabla_Categorías,MATCH("Coste"&amp;$E162,Name_Tabla_Cat,0),FALSE),VLOOKUP(Categoría_4,Tabla_Categorías,MATCH("Coste"&amp;$B162,Name_Tabla_Cat,0),FALSE)),VLOOKUP(Categoría_4,Tabla_Categorías,MATCH("Coste"&amp;$B162,Name_Tabla_Cat,0),FALSE))</f>
        <v>#N/A</v>
      </c>
      <c r="AT162" s="27" t="e">
        <f>IF(ISNUMBER(MATCH("Coste"&amp;$E162,Name_Tabla_Cat,0)),MIN(VLOOKUP(Categoría_5,Tabla_Categorías,MATCH("Coste"&amp;$E162,Name_Tabla_Cat,0),FALSE),VLOOKUP(Categoría_5,Tabla_Categorías,MATCH("Coste"&amp;$B162,Name_Tabla_Cat,0),FALSE)),VLOOKUP(Categoría_5,Tabla_Categorías,MATCH("Coste"&amp;$B162,Name_Tabla_Cat,0),FALSE))</f>
        <v>#N/A</v>
      </c>
    </row>
    <row r="163" spans="1:46" ht="12" customHeight="1" x14ac:dyDescent="0.2">
      <c r="A163" s="2126"/>
      <c r="B163" s="554" t="str">
        <f>B162</f>
        <v>Subterfugio</v>
      </c>
      <c r="C163" s="3392"/>
      <c r="D163" s="3204"/>
      <c r="E163" s="3323" t="s">
        <v>2322</v>
      </c>
      <c r="F163" s="3324"/>
      <c r="G163" s="3324"/>
      <c r="H163" s="2453" t="s">
        <v>2231</v>
      </c>
      <c r="I163" s="2406"/>
      <c r="J163" s="228">
        <f>IF(ISNA(AL163),0,MAX(MIN(AL163-Tablas!$F$495-Tablas!$N509-2*Tablas!$P509-3*Tablas!$R509,3),1))</f>
        <v>2</v>
      </c>
      <c r="K163" s="1698"/>
      <c r="L163" s="228">
        <f>IF(ISNA(AN163),0,MAX(MIN(AN163-Tablas!$F$495-Tablas!$N509-2*Tablas!$P509-3*Tablas!$R509,3),1))</f>
        <v>0</v>
      </c>
      <c r="M163" s="208"/>
      <c r="N163" s="1362">
        <f>IF(ISNA(AP163),0,MAX(MIN(AP163-Tablas!$F$495-Tablas!$N509-2*Tablas!$P509-3*Tablas!$R509,3),1))</f>
        <v>0</v>
      </c>
      <c r="O163" s="1698"/>
      <c r="P163" s="228">
        <f>IF(ISNA(AR163),0,MAX(MIN(AR163-Tablas!$F$495-Tablas!$N509-2*Tablas!$P509-3*Tablas!$R509,3),1))</f>
        <v>0</v>
      </c>
      <c r="Q163" s="208"/>
      <c r="R163" s="1362">
        <f>IF(ISNA(AT163),0,MAX(MIN(AT163-Tablas!$F$495-Tablas!$N509-2*Tablas!$P509-3*Tablas!$R509,3),1))</f>
        <v>0</v>
      </c>
      <c r="S163" s="1698"/>
      <c r="T163" s="1706">
        <f t="shared" si="15"/>
        <v>0</v>
      </c>
      <c r="U163" s="1706">
        <f>MIN(VLOOKUP($H163,Principal!$D$11:$H$18,5)*(1+W163)+10*Tablas!$F$518+10*X163,100)</f>
        <v>10</v>
      </c>
      <c r="V163" s="1706">
        <f>IF(ISNA(AE163),0,AE163)+Tablas!$Y509*Nivel_Total+10*Y163</f>
        <v>0</v>
      </c>
      <c r="W163" s="1714"/>
      <c r="X163" s="1698"/>
      <c r="Y163" s="208"/>
      <c r="Z163" s="225"/>
      <c r="AA163" s="1727">
        <f>IF(AND(T163&lt;5,Tablas!F$518=0),-30,0)+T163+U163+V163+Z163+IF(I163="",0,40)+Combate!$AB$15+AD163+AF163</f>
        <v>-20</v>
      </c>
      <c r="AB163" s="153">
        <f>IF(AA163="-",0,IF(AA163&gt;VLOOKUP(Nivel_Total,Tabla_LímiteSecundarias,2),1,0))</f>
        <v>0</v>
      </c>
      <c r="AC163" s="2126"/>
      <c r="AE163" s="2857">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896">
        <f t="shared" si="16"/>
        <v>0</v>
      </c>
      <c r="AG163" s="2856" t="e">
        <f>HLOOKUP(Region&amp;ClaseSocial,Tabla_RaicesCulturales,Tablas!E76,FALSE)</f>
        <v>#N/A</v>
      </c>
      <c r="AH163" s="2857">
        <f>IF(AND(E163="Historia",'Elan y Personalización'!$X$26="Historia (Local)"),20&amp;" "&amp;'Elan y Personalización'!$X$26,IF(OR(E163='Elan y Personalización'!$X$25,E163='Elan y Personalización'!$X$26),VLOOKUP(E163,Tablas!$K$33:$L$34,2,FALSE),0))</f>
        <v>0</v>
      </c>
      <c r="AI163" s="2857" t="b">
        <f t="shared" si="17"/>
        <v>0</v>
      </c>
      <c r="AJ163" s="2857" t="b">
        <f t="shared" si="18"/>
        <v>0</v>
      </c>
      <c r="AL163" s="27">
        <f>IF(ISNUMBER(MATCH("Coste"&amp;$E163,Name_Tabla_Cat,0)),MIN(VLOOKUP(Categoría_1,Tabla_Categorías,MATCH("Coste"&amp;$E163,Name_Tabla_Cat,0),FALSE),VLOOKUP(Categoría_1,Tabla_Categorías,MATCH("Coste"&amp;$B163,Name_Tabla_Cat,0),FALSE)),VLOOKUP(Categoría_1,Tabla_Categorías,MATCH("Coste"&amp;$B163,Name_Tabla_Cat,0),FALSE))</f>
        <v>2</v>
      </c>
      <c r="AN163" s="27" t="e">
        <f>IF(ISNUMBER(MATCH("Coste"&amp;$E163,Name_Tabla_Cat,0)),MIN(VLOOKUP(Categoría_2,Tabla_Categorías,MATCH("Coste"&amp;$E163,Name_Tabla_Cat,0),FALSE),VLOOKUP(Categoría_2,Tabla_Categorías,MATCH("Coste"&amp;$B163,Name_Tabla_Cat,0),FALSE)),VLOOKUP(Categoría_2,Tabla_Categorías,MATCH("Coste"&amp;$B163,Name_Tabla_Cat,0),FALSE))</f>
        <v>#N/A</v>
      </c>
      <c r="AP163" s="27" t="e">
        <f>IF(ISNUMBER(MATCH("Coste"&amp;$E163,Name_Tabla_Cat,0)),MIN(VLOOKUP(Categoría_3,Tabla_Categorías,MATCH("Coste"&amp;$E163,Name_Tabla_Cat,0),FALSE),VLOOKUP(Categoría_3,Tabla_Categorías,MATCH("Coste"&amp;$B163,Name_Tabla_Cat,0),FALSE)),VLOOKUP(Categoría_3,Tabla_Categorías,MATCH("Coste"&amp;$B163,Name_Tabla_Cat,0),FALSE))</f>
        <v>#N/A</v>
      </c>
      <c r="AR163" s="27" t="e">
        <f>IF(ISNUMBER(MATCH("Coste"&amp;$E163,Name_Tabla_Cat,0)),MIN(VLOOKUP(Categoría_4,Tabla_Categorías,MATCH("Coste"&amp;$E163,Name_Tabla_Cat,0),FALSE),VLOOKUP(Categoría_4,Tabla_Categorías,MATCH("Coste"&amp;$B163,Name_Tabla_Cat,0),FALSE)),VLOOKUP(Categoría_4,Tabla_Categorías,MATCH("Coste"&amp;$B163,Name_Tabla_Cat,0),FALSE))</f>
        <v>#N/A</v>
      </c>
      <c r="AT163" s="27" t="e">
        <f>IF(ISNUMBER(MATCH("Coste"&amp;$E163,Name_Tabla_Cat,0)),MIN(VLOOKUP(Categoría_5,Tabla_Categorías,MATCH("Coste"&amp;$E163,Name_Tabla_Cat,0),FALSE),VLOOKUP(Categoría_5,Tabla_Categorías,MATCH("Coste"&amp;$B163,Name_Tabla_Cat,0),FALSE)),VLOOKUP(Categoría_5,Tabla_Categorías,MATCH("Coste"&amp;$B163,Name_Tabla_Cat,0),FALSE))</f>
        <v>#N/A</v>
      </c>
    </row>
    <row r="164" spans="1:46" ht="12" customHeight="1" x14ac:dyDescent="0.2">
      <c r="A164" s="2126"/>
      <c r="B164" s="554" t="str">
        <f>B163</f>
        <v>Subterfugio</v>
      </c>
      <c r="C164" s="3392"/>
      <c r="D164" s="3205"/>
      <c r="E164" s="3327" t="s">
        <v>2323</v>
      </c>
      <c r="F164" s="3328"/>
      <c r="G164" s="3328"/>
      <c r="H164" s="2454" t="s">
        <v>2239</v>
      </c>
      <c r="I164" s="2407"/>
      <c r="J164" s="1688">
        <f>IF(ISNA(AL164),0,MAX(MIN(AL164-Tablas!$F$495-Tablas!$N510-2*Tablas!$P510-3*Tablas!$R510,3),1))</f>
        <v>2</v>
      </c>
      <c r="K164" s="1701"/>
      <c r="L164" s="1688">
        <f>IF(ISNA(AN164),0,MAX(MIN(AN164-Tablas!$F$495-Tablas!$N510-2*Tablas!$P510-3*Tablas!$R510,3),1))</f>
        <v>0</v>
      </c>
      <c r="M164" s="1689"/>
      <c r="N164" s="1700">
        <f>IF(ISNA(AP164),0,MAX(MIN(AP164-Tablas!$F$495-Tablas!$N510-2*Tablas!$P510-3*Tablas!$R510,3),1))</f>
        <v>0</v>
      </c>
      <c r="O164" s="1701"/>
      <c r="P164" s="1688">
        <f>IF(ISNA(AR164),0,MAX(MIN(AR164-Tablas!$F$495-Tablas!$N510-2*Tablas!$P510-3*Tablas!$R510,3),1))</f>
        <v>0</v>
      </c>
      <c r="Q164" s="1689"/>
      <c r="R164" s="1700">
        <f>IF(ISNA(AT164),0,MAX(MIN(AT164-Tablas!$F$495-Tablas!$N510-2*Tablas!$P510-3*Tablas!$R510,3),1))</f>
        <v>0</v>
      </c>
      <c r="S164" s="1701"/>
      <c r="T164" s="1708">
        <f t="shared" si="15"/>
        <v>0</v>
      </c>
      <c r="U164" s="1708">
        <f>MIN(VLOOKUP($H164,Principal!$D$11:$H$18,5)*(1+W164)+10*Tablas!$F$518+10*X164,100)</f>
        <v>5</v>
      </c>
      <c r="V164" s="1708">
        <f>IF(ISNA(AE164),0,AE164)+Tablas!$Y510*Nivel_Total+10*Y164</f>
        <v>0</v>
      </c>
      <c r="W164" s="1716"/>
      <c r="X164" s="1701"/>
      <c r="Y164" s="1689"/>
      <c r="Z164" s="1690"/>
      <c r="AA164" s="1729">
        <f>IF(AND(T164&lt;5,Tablas!F$518=0),-30,0)+T164+U164+V164+Z164+IF(I164="",0,40)+Combate!$AB$15+AD164+AF164</f>
        <v>-25</v>
      </c>
      <c r="AB164" s="153">
        <f>IF(AA164="-",0,IF(AA164&gt;VLOOKUP(Nivel_Total,Tabla_LímiteSecundarias,2),1,0))</f>
        <v>0</v>
      </c>
      <c r="AC164" s="2126"/>
      <c r="AE164" s="2857">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896">
        <f t="shared" si="16"/>
        <v>0</v>
      </c>
      <c r="AG164" s="2856" t="e">
        <f>HLOOKUP(Region&amp;ClaseSocial,Tabla_RaicesCulturales,Tablas!E77,FALSE)</f>
        <v>#N/A</v>
      </c>
      <c r="AH164" s="2857">
        <f>IF(AND(E164="Historia",'Elan y Personalización'!$X$26="Historia (Local)"),20&amp;" "&amp;'Elan y Personalización'!$X$26,IF(OR(E164='Elan y Personalización'!$X$25,E164='Elan y Personalización'!$X$26),VLOOKUP(E164,Tablas!$K$33:$L$34,2,FALSE),0))</f>
        <v>0</v>
      </c>
      <c r="AI164" s="2857" t="b">
        <f t="shared" si="17"/>
        <v>0</v>
      </c>
      <c r="AJ164" s="2857" t="b">
        <f t="shared" si="18"/>
        <v>0</v>
      </c>
      <c r="AL164" s="27">
        <f>IF(ISNUMBER(MATCH("Coste"&amp;$E164,Name_Tabla_Cat,0)),MIN(VLOOKUP(Categoría_1,Tabla_Categorías,MATCH("Coste"&amp;$E164,Name_Tabla_Cat,0),FALSE),VLOOKUP(Categoría_1,Tabla_Categorías,MATCH("Coste"&amp;$B164,Name_Tabla_Cat,0),FALSE)),VLOOKUP(Categoría_1,Tabla_Categorías,MATCH("Coste"&amp;$B164,Name_Tabla_Cat,0),FALSE))</f>
        <v>2</v>
      </c>
      <c r="AN164" s="27" t="e">
        <f>IF(ISNUMBER(MATCH("Coste"&amp;$E164,Name_Tabla_Cat,0)),MIN(VLOOKUP(Categoría_2,Tabla_Categorías,MATCH("Coste"&amp;$E164,Name_Tabla_Cat,0),FALSE),VLOOKUP(Categoría_2,Tabla_Categorías,MATCH("Coste"&amp;$B164,Name_Tabla_Cat,0),FALSE)),VLOOKUP(Categoría_2,Tabla_Categorías,MATCH("Coste"&amp;$B164,Name_Tabla_Cat,0),FALSE))</f>
        <v>#N/A</v>
      </c>
      <c r="AP164" s="27" t="e">
        <f>IF(ISNUMBER(MATCH("Coste"&amp;$E164,Name_Tabla_Cat,0)),MIN(VLOOKUP(Categoría_3,Tabla_Categorías,MATCH("Coste"&amp;$E164,Name_Tabla_Cat,0),FALSE),VLOOKUP(Categoría_3,Tabla_Categorías,MATCH("Coste"&amp;$B164,Name_Tabla_Cat,0),FALSE)),VLOOKUP(Categoría_3,Tabla_Categorías,MATCH("Coste"&amp;$B164,Name_Tabla_Cat,0),FALSE))</f>
        <v>#N/A</v>
      </c>
      <c r="AR164" s="27" t="e">
        <f>IF(ISNUMBER(MATCH("Coste"&amp;$E164,Name_Tabla_Cat,0)),MIN(VLOOKUP(Categoría_4,Tabla_Categorías,MATCH("Coste"&amp;$E164,Name_Tabla_Cat,0),FALSE),VLOOKUP(Categoría_4,Tabla_Categorías,MATCH("Coste"&amp;$B164,Name_Tabla_Cat,0),FALSE)),VLOOKUP(Categoría_4,Tabla_Categorías,MATCH("Coste"&amp;$B164,Name_Tabla_Cat,0),FALSE))</f>
        <v>#N/A</v>
      </c>
      <c r="AT164" s="27" t="e">
        <f>IF(ISNUMBER(MATCH("Coste"&amp;$E164,Name_Tabla_Cat,0)),MIN(VLOOKUP(Categoría_5,Tabla_Categorías,MATCH("Coste"&amp;$E164,Name_Tabla_Cat,0),FALSE),VLOOKUP(Categoría_5,Tabla_Categorías,MATCH("Coste"&amp;$B164,Name_Tabla_Cat,0),FALSE)),VLOOKUP(Categoría_5,Tabla_Categorías,MATCH("Coste"&amp;$B164,Name_Tabla_Cat,0),FALSE))</f>
        <v>#N/A</v>
      </c>
    </row>
    <row r="165" spans="1:46" ht="12" customHeight="1" x14ac:dyDescent="0.2">
      <c r="A165" s="2126"/>
      <c r="B165" s="554" t="str">
        <f>D165</f>
        <v>Creativas</v>
      </c>
      <c r="C165" s="3392"/>
      <c r="D165" s="3204" t="s">
        <v>2324</v>
      </c>
      <c r="E165" s="3323" t="s">
        <v>2325</v>
      </c>
      <c r="F165" s="3324"/>
      <c r="G165" s="3324"/>
      <c r="H165" s="2455" t="s">
        <v>2244</v>
      </c>
      <c r="I165" s="1874"/>
      <c r="J165" s="228">
        <f>IF(ISNA(AL165),0,MAX(MIN(AL165-Tablas!$F$495-Tablas!$N511-2*Tablas!$P511-3*Tablas!$R511,3),1))</f>
        <v>2</v>
      </c>
      <c r="K165" s="1698"/>
      <c r="L165" s="228">
        <f>IF(ISNA(AN165),0,MAX(MIN(AN165-Tablas!$F$495-Tablas!$N511-2*Tablas!$P511-3*Tablas!$R511,3),1))</f>
        <v>0</v>
      </c>
      <c r="M165" s="208"/>
      <c r="N165" s="1362">
        <f>IF(ISNA(AP165),0,MAX(MIN(AP165-Tablas!$F$495-Tablas!$N511-2*Tablas!$P511-3*Tablas!$R511,3),1))</f>
        <v>0</v>
      </c>
      <c r="O165" s="1698"/>
      <c r="P165" s="228">
        <f>IF(ISNA(AR165),0,MAX(MIN(AR165-Tablas!$F$495-Tablas!$N511-2*Tablas!$P511-3*Tablas!$R511,3),1))</f>
        <v>0</v>
      </c>
      <c r="Q165" s="208"/>
      <c r="R165" s="1362">
        <f>IF(ISNA(AT165),0,MAX(MIN(AT165-Tablas!$F$495-Tablas!$N511-2*Tablas!$P511-3*Tablas!$R511,3),1))</f>
        <v>0</v>
      </c>
      <c r="S165" s="1698"/>
      <c r="T165" s="1706">
        <f t="shared" si="15"/>
        <v>0</v>
      </c>
      <c r="U165" s="1706">
        <f>MIN(VLOOKUP($H165,Principal!$D$11:$H$18,5)*(1+W165)+10*Tablas!$F$518+10*X165,100)</f>
        <v>10</v>
      </c>
      <c r="V165" s="1706">
        <f>IF(ISNA(AE165),0,AE165)+Tablas!$Y511*Nivel_Total+10*Y165</f>
        <v>0</v>
      </c>
      <c r="W165" s="1714"/>
      <c r="X165" s="1698"/>
      <c r="Y165" s="208"/>
      <c r="Z165" s="225"/>
      <c r="AA165" s="1727">
        <f>IF(AND(T165&lt;5,Tablas!F$518=0),-30,0)+T165+U165+V165+Z165+IF(I165="",0,40)+Combate!$AB$15+AD165+AF165</f>
        <v>-20</v>
      </c>
      <c r="AB165" s="153">
        <f>IF(AA165="-",0,IF(AA165&gt;VLOOKUP(Nivel_Total,Tabla_LímiteSecundarias,2),1,0))</f>
        <v>0</v>
      </c>
      <c r="AC165" s="2126"/>
      <c r="AD165" s="2856">
        <f>IF(Tablas!$M3485=0,0,Elan)</f>
        <v>0</v>
      </c>
      <c r="AE165" s="2857"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896">
        <f t="shared" si="16"/>
        <v>0</v>
      </c>
      <c r="AG165" s="2856" t="e">
        <f>HLOOKUP(Region&amp;ClaseSocial,Tabla_RaicesCulturales,Tablas!E78,FALSE)</f>
        <v>#N/A</v>
      </c>
      <c r="AH165" s="2857">
        <f>IF(AND(E165="Historia",'Elan y Personalización'!$X$26="Historia (Local)"),20&amp;" "&amp;'Elan y Personalización'!$X$26,IF(OR(E165='Elan y Personalización'!$X$25,E165='Elan y Personalización'!$X$26),VLOOKUP(E165,Tablas!$K$33:$L$34,2,FALSE),0))</f>
        <v>0</v>
      </c>
      <c r="AI165" s="2857" t="b">
        <f t="shared" si="17"/>
        <v>0</v>
      </c>
      <c r="AJ165" s="2857" t="b">
        <f t="shared" si="18"/>
        <v>0</v>
      </c>
      <c r="AL165" s="27">
        <f>IF(ISNUMBER(MATCH("Coste"&amp;$E165,Name_Tabla_Cat,0)),MIN(VLOOKUP(Categoría_1,Tabla_Categorías,MATCH("Coste"&amp;$E165,Name_Tabla_Cat,0),FALSE),VLOOKUP(Categoría_1,Tabla_Categorías,MATCH("Coste"&amp;$B165,Name_Tabla_Cat,0),FALSE)),VLOOKUP(Categoría_1,Tabla_Categorías,MATCH("Coste"&amp;$B165,Name_Tabla_Cat,0),FALSE))</f>
        <v>2</v>
      </c>
      <c r="AN165" s="27" t="e">
        <f>IF(ISNUMBER(MATCH("Coste"&amp;$E165,Name_Tabla_Cat,0)),MIN(VLOOKUP(Categoría_2,Tabla_Categorías,MATCH("Coste"&amp;$E165,Name_Tabla_Cat,0),FALSE),VLOOKUP(Categoría_2,Tabla_Categorías,MATCH("Coste"&amp;$B165,Name_Tabla_Cat,0),FALSE)),VLOOKUP(Categoría_2,Tabla_Categorías,MATCH("Coste"&amp;$B165,Name_Tabla_Cat,0),FALSE))</f>
        <v>#N/A</v>
      </c>
      <c r="AP165" s="27" t="e">
        <f>IF(ISNUMBER(MATCH("Coste"&amp;$E165,Name_Tabla_Cat,0)),MIN(VLOOKUP(Categoría_3,Tabla_Categorías,MATCH("Coste"&amp;$E165,Name_Tabla_Cat,0),FALSE),VLOOKUP(Categoría_3,Tabla_Categorías,MATCH("Coste"&amp;$B165,Name_Tabla_Cat,0),FALSE)),VLOOKUP(Categoría_3,Tabla_Categorías,MATCH("Coste"&amp;$B165,Name_Tabla_Cat,0),FALSE))</f>
        <v>#N/A</v>
      </c>
      <c r="AR165" s="27" t="e">
        <f>IF(ISNUMBER(MATCH("Coste"&amp;$E165,Name_Tabla_Cat,0)),MIN(VLOOKUP(Categoría_4,Tabla_Categorías,MATCH("Coste"&amp;$E165,Name_Tabla_Cat,0),FALSE),VLOOKUP(Categoría_4,Tabla_Categorías,MATCH("Coste"&amp;$B165,Name_Tabla_Cat,0),FALSE)),VLOOKUP(Categoría_4,Tabla_Categorías,MATCH("Coste"&amp;$B165,Name_Tabla_Cat,0),FALSE))</f>
        <v>#N/A</v>
      </c>
      <c r="AT165" s="27" t="e">
        <f>IF(ISNUMBER(MATCH("Coste"&amp;$E165,Name_Tabla_Cat,0)),MIN(VLOOKUP(Categoría_5,Tabla_Categorías,MATCH("Coste"&amp;$E165,Name_Tabla_Cat,0),FALSE),VLOOKUP(Categoría_5,Tabla_Categorías,MATCH("Coste"&amp;$B165,Name_Tabla_Cat,0),FALSE)),VLOOKUP(Categoría_5,Tabla_Categorías,MATCH("Coste"&amp;$B165,Name_Tabla_Cat,0),FALSE))</f>
        <v>#N/A</v>
      </c>
    </row>
    <row r="166" spans="1:46" ht="12" customHeight="1" x14ac:dyDescent="0.2">
      <c r="A166" s="2126"/>
      <c r="B166" s="554" t="str">
        <f>B165</f>
        <v>Creativas</v>
      </c>
      <c r="C166" s="3392"/>
      <c r="D166" s="3204"/>
      <c r="E166" s="3325" t="s">
        <v>2326</v>
      </c>
      <c r="F166" s="3326"/>
      <c r="G166" s="3326"/>
      <c r="H166" s="2454" t="s">
        <v>2226</v>
      </c>
      <c r="I166" s="1873"/>
      <c r="J166" s="229">
        <f>IF(ISNA(AL166),0,MAX(MIN(AL166-Tablas!$F$495-Tablas!$N512-2*Tablas!$P512-3*Tablas!$R512,3),1))</f>
        <v>2</v>
      </c>
      <c r="K166" s="1699"/>
      <c r="L166" s="229">
        <f>IF(ISNA(AN166),0,MAX(MIN(AN166-Tablas!$F$495-Tablas!$N512-2*Tablas!$P512-3*Tablas!$R512,3),1))</f>
        <v>0</v>
      </c>
      <c r="M166" s="1736"/>
      <c r="N166" s="1364">
        <f>IF(ISNA(AP166),0,MAX(MIN(AP166-Tablas!$F$495-Tablas!$N512-2*Tablas!$P512-3*Tablas!$R512,3),1))</f>
        <v>0</v>
      </c>
      <c r="O166" s="1699"/>
      <c r="P166" s="229">
        <f>IF(ISNA(AR166),0,MAX(MIN(AR166-Tablas!$F$495-Tablas!$N512-2*Tablas!$P512-3*Tablas!$R512,3),1))</f>
        <v>0</v>
      </c>
      <c r="Q166" s="1736"/>
      <c r="R166" s="1364">
        <f>IF(ISNA(AT166),0,MAX(MIN(AT166-Tablas!$F$495-Tablas!$N512-2*Tablas!$P512-3*Tablas!$R512,3),1))</f>
        <v>0</v>
      </c>
      <c r="S166" s="1699"/>
      <c r="T166" s="1707">
        <f t="shared" si="15"/>
        <v>0</v>
      </c>
      <c r="U166" s="1707">
        <f>MIN(VLOOKUP($H166,Principal!$D$11:$H$18,5)*(1+W166)+10*Tablas!$F$518+10*X166,100)</f>
        <v>10</v>
      </c>
      <c r="V166" s="1707">
        <f>IF(ISNA(AE166),0,AE166)+Tablas!$Y512*Nivel_Total+10*Y166</f>
        <v>0</v>
      </c>
      <c r="W166" s="1715"/>
      <c r="X166" s="1699"/>
      <c r="Y166" s="1736"/>
      <c r="Z166" s="226"/>
      <c r="AA166" s="1728">
        <f>IF(AND(T166&lt;5,Tablas!F$518=0),-30,0)+T166+U166+V166+Z166+IF(I166="",0,40)+Combate!$AB$15+AD166+AF166</f>
        <v>-20</v>
      </c>
      <c r="AB166" s="153">
        <f>IF(AA166="-",0,IF(AA166&gt;VLOOKUP(Nivel_Total,Tabla_LímiteSecundarias,2),1,0))</f>
        <v>0</v>
      </c>
      <c r="AC166" s="2126"/>
      <c r="AE166" s="2857"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896">
        <f t="shared" si="16"/>
        <v>0</v>
      </c>
      <c r="AG166" s="2856" t="e">
        <f>HLOOKUP(Region&amp;ClaseSocial,Tabla_RaicesCulturales,Tablas!E79,FALSE)</f>
        <v>#N/A</v>
      </c>
      <c r="AH166" s="2857">
        <f>IF(AND(E166="Historia",'Elan y Personalización'!$X$26="Historia (Local)"),20&amp;" "&amp;'Elan y Personalización'!$X$26,IF(OR(E166='Elan y Personalización'!$X$25,E166='Elan y Personalización'!$X$26),VLOOKUP(E166,Tablas!$K$33:$L$34,2,FALSE),0))</f>
        <v>0</v>
      </c>
      <c r="AI166" s="2857" t="b">
        <f t="shared" si="17"/>
        <v>0</v>
      </c>
      <c r="AJ166" s="2857" t="b">
        <f t="shared" si="18"/>
        <v>0</v>
      </c>
      <c r="AL166" s="27">
        <f>IF(ISNUMBER(MATCH("Coste"&amp;$E166,Name_Tabla_Cat,0)),MIN(VLOOKUP(Categoría_1,Tabla_Categorías,MATCH("Coste"&amp;$E166,Name_Tabla_Cat,0),FALSE),VLOOKUP(Categoría_1,Tabla_Categorías,MATCH("Coste"&amp;$B166,Name_Tabla_Cat,0),FALSE)),VLOOKUP(Categoría_1,Tabla_Categorías,MATCH("Coste"&amp;$B166,Name_Tabla_Cat,0),FALSE))</f>
        <v>2</v>
      </c>
      <c r="AN166" s="27" t="e">
        <f>IF(ISNUMBER(MATCH("Coste"&amp;$E166,Name_Tabla_Cat,0)),MIN(VLOOKUP(Categoría_2,Tabla_Categorías,MATCH("Coste"&amp;$E166,Name_Tabla_Cat,0),FALSE),VLOOKUP(Categoría_2,Tabla_Categorías,MATCH("Coste"&amp;$B166,Name_Tabla_Cat,0),FALSE)),VLOOKUP(Categoría_2,Tabla_Categorías,MATCH("Coste"&amp;$B166,Name_Tabla_Cat,0),FALSE))</f>
        <v>#N/A</v>
      </c>
      <c r="AP166" s="27" t="e">
        <f>IF(ISNUMBER(MATCH("Coste"&amp;$E166,Name_Tabla_Cat,0)),MIN(VLOOKUP(Categoría_3,Tabla_Categorías,MATCH("Coste"&amp;$E166,Name_Tabla_Cat,0),FALSE),VLOOKUP(Categoría_3,Tabla_Categorías,MATCH("Coste"&amp;$B166,Name_Tabla_Cat,0),FALSE)),VLOOKUP(Categoría_3,Tabla_Categorías,MATCH("Coste"&amp;$B166,Name_Tabla_Cat,0),FALSE))</f>
        <v>#N/A</v>
      </c>
      <c r="AR166" s="27" t="e">
        <f>IF(ISNUMBER(MATCH("Coste"&amp;$E166,Name_Tabla_Cat,0)),MIN(VLOOKUP(Categoría_4,Tabla_Categorías,MATCH("Coste"&amp;$E166,Name_Tabla_Cat,0),FALSE),VLOOKUP(Categoría_4,Tabla_Categorías,MATCH("Coste"&amp;$B166,Name_Tabla_Cat,0),FALSE)),VLOOKUP(Categoría_4,Tabla_Categorías,MATCH("Coste"&amp;$B166,Name_Tabla_Cat,0),FALSE))</f>
        <v>#N/A</v>
      </c>
      <c r="AT166" s="27" t="e">
        <f>IF(ISNUMBER(MATCH("Coste"&amp;$E166,Name_Tabla_Cat,0)),MIN(VLOOKUP(Categoría_5,Tabla_Categorías,MATCH("Coste"&amp;$E166,Name_Tabla_Cat,0),FALSE),VLOOKUP(Categoría_5,Tabla_Categorías,MATCH("Coste"&amp;$B166,Name_Tabla_Cat,0),FALSE)),VLOOKUP(Categoría_5,Tabla_Categorías,MATCH("Coste"&amp;$B166,Name_Tabla_Cat,0),FALSE))</f>
        <v>#N/A</v>
      </c>
    </row>
    <row r="167" spans="1:46" ht="12" customHeight="1" x14ac:dyDescent="0.2">
      <c r="A167" s="2126"/>
      <c r="B167" s="554" t="str">
        <f t="shared" ref="B167:B176" si="19">B166</f>
        <v>Creativas</v>
      </c>
      <c r="C167" s="3392"/>
      <c r="D167" s="3204"/>
      <c r="E167" s="3323" t="s">
        <v>2327</v>
      </c>
      <c r="F167" s="3324"/>
      <c r="G167" s="3324"/>
      <c r="H167" s="2453" t="s">
        <v>2231</v>
      </c>
      <c r="I167" s="1872"/>
      <c r="J167" s="228">
        <f>IF(ISNA(AL167),0,MAX(MIN(AL167-Tablas!$F$495-Tablas!$N513-2*Tablas!$P513-3*Tablas!$R513,3),1))</f>
        <v>2</v>
      </c>
      <c r="K167" s="1698"/>
      <c r="L167" s="228">
        <f>IF(ISNA(AN167),0,MAX(MIN(AN167-Tablas!$F$495-Tablas!$N513-2*Tablas!$P513-3*Tablas!$R513,3),1))</f>
        <v>0</v>
      </c>
      <c r="M167" s="208"/>
      <c r="N167" s="1362">
        <f>IF(ISNA(AP167),0,MAX(MIN(AP167-Tablas!$F$495-Tablas!$N513-2*Tablas!$P513-3*Tablas!$R513,3),1))</f>
        <v>0</v>
      </c>
      <c r="O167" s="1698"/>
      <c r="P167" s="228">
        <f>IF(ISNA(AR167),0,MAX(MIN(AR167-Tablas!$F$495-Tablas!$N513-2*Tablas!$P513-3*Tablas!$R513,3),1))</f>
        <v>0</v>
      </c>
      <c r="Q167" s="208"/>
      <c r="R167" s="1362">
        <f>IF(ISNA(AT167),0,MAX(MIN(AT167-Tablas!$F$495-Tablas!$N513-2*Tablas!$P513-3*Tablas!$R513,3),1))</f>
        <v>0</v>
      </c>
      <c r="S167" s="1698"/>
      <c r="T167" s="1706">
        <f t="shared" si="15"/>
        <v>0</v>
      </c>
      <c r="U167" s="1706">
        <f>MIN(VLOOKUP($H167,Principal!$D$11:$H$18,5)*(1+W167)+10*Tablas!$F$518+10*X167,100)</f>
        <v>10</v>
      </c>
      <c r="V167" s="1706">
        <f>IF(ISNA(AE167),0,AE167)+Tablas!$Y513*Nivel_Total+10*Y167</f>
        <v>0</v>
      </c>
      <c r="W167" s="1714"/>
      <c r="X167" s="1698"/>
      <c r="Y167" s="208"/>
      <c r="Z167" s="225"/>
      <c r="AA167" s="1727" t="str">
        <f>IF(AND(T167&lt;5,Tablas!F$518=0),"-",T167+U167+V167+Z167+IF(I167="",0,40)+Combate!$AB$15+AD167+AF167)</f>
        <v>-</v>
      </c>
      <c r="AB167" s="153">
        <f>IF(AA167="-",0,IF(AA167&gt;VLOOKUP(Nivel_Total,Tabla_LímiteSecundarias,2),1,0))</f>
        <v>0</v>
      </c>
      <c r="AC167" s="2126"/>
      <c r="AE167" s="2857"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896">
        <f t="shared" si="16"/>
        <v>0</v>
      </c>
      <c r="AG167" s="2856" t="e">
        <f>HLOOKUP(Region&amp;ClaseSocial,Tabla_RaicesCulturales,Tablas!E80,FALSE)</f>
        <v>#N/A</v>
      </c>
      <c r="AH167" s="2857">
        <f>IF(AND(E167="Historia",'Elan y Personalización'!$X$26="Historia (Local)"),20&amp;" "&amp;'Elan y Personalización'!$X$26,IF(OR(E167='Elan y Personalización'!$X$25,E167='Elan y Personalización'!$X$26),VLOOKUP(E167,Tablas!$K$33:$L$34,2,FALSE),0))</f>
        <v>0</v>
      </c>
      <c r="AI167" s="2857" t="b">
        <f t="shared" si="17"/>
        <v>0</v>
      </c>
      <c r="AJ167" s="2857" t="b">
        <f t="shared" si="18"/>
        <v>0</v>
      </c>
      <c r="AL167" s="27">
        <f>IF(ISNUMBER(MATCH("Coste"&amp;$E167,Name_Tabla_Cat,0)),MIN(VLOOKUP(Categoría_1,Tabla_Categorías,MATCH("Coste"&amp;$E167,Name_Tabla_Cat,0),FALSE),VLOOKUP(Categoría_1,Tabla_Categorías,MATCH("Coste"&amp;$B167,Name_Tabla_Cat,0),FALSE)),VLOOKUP(Categoría_1,Tabla_Categorías,MATCH("Coste"&amp;$B167,Name_Tabla_Cat,0),FALSE))</f>
        <v>2</v>
      </c>
      <c r="AN167" s="27" t="e">
        <f>IF(ISNUMBER(MATCH("Coste"&amp;$E167,Name_Tabla_Cat,0)),MIN(VLOOKUP(Categoría_2,Tabla_Categorías,MATCH("Coste"&amp;$E167,Name_Tabla_Cat,0),FALSE),VLOOKUP(Categoría_2,Tabla_Categorías,MATCH("Coste"&amp;$B167,Name_Tabla_Cat,0),FALSE)),VLOOKUP(Categoría_2,Tabla_Categorías,MATCH("Coste"&amp;$B167,Name_Tabla_Cat,0),FALSE))</f>
        <v>#N/A</v>
      </c>
      <c r="AP167" s="27" t="e">
        <f>IF(ISNUMBER(MATCH("Coste"&amp;$E167,Name_Tabla_Cat,0)),MIN(VLOOKUP(Categoría_3,Tabla_Categorías,MATCH("Coste"&amp;$E167,Name_Tabla_Cat,0),FALSE),VLOOKUP(Categoría_3,Tabla_Categorías,MATCH("Coste"&amp;$B167,Name_Tabla_Cat,0),FALSE)),VLOOKUP(Categoría_3,Tabla_Categorías,MATCH("Coste"&amp;$B167,Name_Tabla_Cat,0),FALSE))</f>
        <v>#N/A</v>
      </c>
      <c r="AR167" s="27" t="e">
        <f>IF(ISNUMBER(MATCH("Coste"&amp;$E167,Name_Tabla_Cat,0)),MIN(VLOOKUP(Categoría_4,Tabla_Categorías,MATCH("Coste"&amp;$E167,Name_Tabla_Cat,0),FALSE),VLOOKUP(Categoría_4,Tabla_Categorías,MATCH("Coste"&amp;$B167,Name_Tabla_Cat,0),FALSE)),VLOOKUP(Categoría_4,Tabla_Categorías,MATCH("Coste"&amp;$B167,Name_Tabla_Cat,0),FALSE))</f>
        <v>#N/A</v>
      </c>
      <c r="AT167" s="27" t="e">
        <f>IF(ISNUMBER(MATCH("Coste"&amp;$E167,Name_Tabla_Cat,0)),MIN(VLOOKUP(Categoría_5,Tabla_Categorías,MATCH("Coste"&amp;$E167,Name_Tabla_Cat,0),FALSE),VLOOKUP(Categoría_5,Tabla_Categorías,MATCH("Coste"&amp;$B167,Name_Tabla_Cat,0),FALSE)),VLOOKUP(Categoría_5,Tabla_Categorías,MATCH("Coste"&amp;$B167,Name_Tabla_Cat,0),FALSE))</f>
        <v>#N/A</v>
      </c>
    </row>
    <row r="168" spans="1:46" ht="12" customHeight="1" x14ac:dyDescent="0.2">
      <c r="A168" s="2126"/>
      <c r="B168" s="554" t="str">
        <f t="shared" si="19"/>
        <v>Creativas</v>
      </c>
      <c r="C168" s="3392"/>
      <c r="D168" s="3204"/>
      <c r="E168" s="3325" t="s">
        <v>1279</v>
      </c>
      <c r="F168" s="3326"/>
      <c r="G168" s="3326"/>
      <c r="H168" s="2454" t="s">
        <v>2231</v>
      </c>
      <c r="I168" s="2407"/>
      <c r="J168" s="229">
        <f>IF(ISNA(AL168),0,MAX(MIN(AL168-Tablas!$F$495-Tablas!$N514-2*Tablas!$P514-3*Tablas!$R514,3),1))</f>
        <v>2</v>
      </c>
      <c r="K168" s="1699"/>
      <c r="L168" s="229">
        <f>IF(ISNA(AN168),0,MAX(MIN(AN168-Tablas!$F$495-Tablas!$N514-2*Tablas!$P514-3*Tablas!$R514,3),1))</f>
        <v>0</v>
      </c>
      <c r="M168" s="1736"/>
      <c r="N168" s="1364">
        <f>IF(ISNA(AP168),0,MAX(MIN(AP168-Tablas!$F$495-Tablas!$N514-2*Tablas!$P514-3*Tablas!$R514,3),1))</f>
        <v>0</v>
      </c>
      <c r="O168" s="1699"/>
      <c r="P168" s="229">
        <f>IF(ISNA(AR168),0,MAX(MIN(AR168-Tablas!$F$495-Tablas!$N514-2*Tablas!$P514-3*Tablas!$R514,3),1))</f>
        <v>0</v>
      </c>
      <c r="Q168" s="1736"/>
      <c r="R168" s="1364">
        <f>IF(ISNA(AT168),0,MAX(MIN(AT168-Tablas!$F$495-Tablas!$N514-2*Tablas!$P514-3*Tablas!$R514,3),1))</f>
        <v>0</v>
      </c>
      <c r="S168" s="1699"/>
      <c r="T168" s="1707">
        <f t="shared" si="15"/>
        <v>0</v>
      </c>
      <c r="U168" s="1707">
        <f>MIN(VLOOKUP($H168,Principal!$D$11:$H$18,5)*(1+W168)+10*Tablas!$F$518+10*X168,100)</f>
        <v>10</v>
      </c>
      <c r="V168" s="1707">
        <f>IF(ISNA(AE168),0,AE168)+Tablas!$Y514*Nivel_Total+10*Y168</f>
        <v>0</v>
      </c>
      <c r="W168" s="1715"/>
      <c r="X168" s="1699"/>
      <c r="Y168" s="1736"/>
      <c r="Z168" s="226"/>
      <c r="AA168" s="1728" t="str">
        <f>IF(AND(T168&lt;5,Tablas!F$518=0),"-",T168+U168+V168+Z168+IF(I168="",0,40)+Combate!$AB$15+AD168+AF168)</f>
        <v>-</v>
      </c>
      <c r="AB168" s="153">
        <f>IF(AA168="-",0,IF(AA168&gt;VLOOKUP(Nivel_Total,Tabla_LímiteSecundarias,2),1,0))</f>
        <v>0</v>
      </c>
      <c r="AC168" s="2126"/>
      <c r="AE168" s="2857"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896">
        <f t="shared" si="16"/>
        <v>0</v>
      </c>
      <c r="AG168" s="2856" t="e">
        <f>HLOOKUP(Region&amp;ClaseSocial,Tabla_RaicesCulturales,Tablas!E81,FALSE)</f>
        <v>#N/A</v>
      </c>
      <c r="AH168" s="2857">
        <f>IF(AND(E168="Historia",'Elan y Personalización'!$X$26="Historia (Local)"),20&amp;" "&amp;'Elan y Personalización'!$X$26,IF(OR(E168='Elan y Personalización'!$X$25,E168='Elan y Personalización'!$X$26),VLOOKUP(E168,Tablas!$K$33:$L$34,2,FALSE),0))</f>
        <v>0</v>
      </c>
      <c r="AI168" s="2857" t="b">
        <f t="shared" si="17"/>
        <v>0</v>
      </c>
      <c r="AJ168" s="2857" t="b">
        <f t="shared" si="18"/>
        <v>0</v>
      </c>
      <c r="AL168" s="27">
        <f>IF(ISNUMBER(MATCH("Coste"&amp;$E168,Name_Tabla_Cat,0)),MIN(VLOOKUP(Categoría_1,Tabla_Categorías,MATCH("Coste"&amp;$E168,Name_Tabla_Cat,0),FALSE),VLOOKUP(Categoría_1,Tabla_Categorías,MATCH("Coste"&amp;$B168,Name_Tabla_Cat,0),FALSE)),VLOOKUP(Categoría_1,Tabla_Categorías,MATCH("Coste"&amp;$B168,Name_Tabla_Cat,0),FALSE))</f>
        <v>2</v>
      </c>
      <c r="AN168" s="27" t="e">
        <f>IF(ISNUMBER(MATCH("Coste"&amp;$E168,Name_Tabla_Cat,0)),MIN(VLOOKUP(Categoría_2,Tabla_Categorías,MATCH("Coste"&amp;$E168,Name_Tabla_Cat,0),FALSE),VLOOKUP(Categoría_2,Tabla_Categorías,MATCH("Coste"&amp;$B168,Name_Tabla_Cat,0),FALSE)),VLOOKUP(Categoría_2,Tabla_Categorías,MATCH("Coste"&amp;$B168,Name_Tabla_Cat,0),FALSE))</f>
        <v>#N/A</v>
      </c>
      <c r="AP168" s="27" t="e">
        <f>IF(ISNUMBER(MATCH("Coste"&amp;$E168,Name_Tabla_Cat,0)),MIN(VLOOKUP(Categoría_3,Tabla_Categorías,MATCH("Coste"&amp;$E168,Name_Tabla_Cat,0),FALSE),VLOOKUP(Categoría_3,Tabla_Categorías,MATCH("Coste"&amp;$B168,Name_Tabla_Cat,0),FALSE)),VLOOKUP(Categoría_3,Tabla_Categorías,MATCH("Coste"&amp;$B168,Name_Tabla_Cat,0),FALSE))</f>
        <v>#N/A</v>
      </c>
      <c r="AR168" s="27" t="e">
        <f>IF(ISNUMBER(MATCH("Coste"&amp;$E168,Name_Tabla_Cat,0)),MIN(VLOOKUP(Categoría_4,Tabla_Categorías,MATCH("Coste"&amp;$E168,Name_Tabla_Cat,0),FALSE),VLOOKUP(Categoría_4,Tabla_Categorías,MATCH("Coste"&amp;$B168,Name_Tabla_Cat,0),FALSE)),VLOOKUP(Categoría_4,Tabla_Categorías,MATCH("Coste"&amp;$B168,Name_Tabla_Cat,0),FALSE))</f>
        <v>#N/A</v>
      </c>
      <c r="AT168" s="27" t="e">
        <f>IF(ISNUMBER(MATCH("Coste"&amp;$E168,Name_Tabla_Cat,0)),MIN(VLOOKUP(Categoría_5,Tabla_Categorías,MATCH("Coste"&amp;$E168,Name_Tabla_Cat,0),FALSE),VLOOKUP(Categoría_5,Tabla_Categorías,MATCH("Coste"&amp;$B168,Name_Tabla_Cat,0),FALSE)),VLOOKUP(Categoría_5,Tabla_Categorías,MATCH("Coste"&amp;$B168,Name_Tabla_Cat,0),FALSE))</f>
        <v>#N/A</v>
      </c>
    </row>
    <row r="169" spans="1:46" ht="12" customHeight="1" x14ac:dyDescent="0.2">
      <c r="A169" s="2126"/>
      <c r="B169" s="554" t="str">
        <f t="shared" si="19"/>
        <v>Creativas</v>
      </c>
      <c r="C169" s="3392"/>
      <c r="D169" s="3204"/>
      <c r="E169" s="3323" t="s">
        <v>1280</v>
      </c>
      <c r="F169" s="3324"/>
      <c r="G169" s="3324"/>
      <c r="H169" s="2453" t="s">
        <v>2239</v>
      </c>
      <c r="I169" s="2406"/>
      <c r="J169" s="228">
        <f>IF(ISNA(AL169),0,MAX(MIN(AL169-Tablas!$F$495-Tablas!$N515-2*Tablas!$P515-3*Tablas!$R515,3),1))</f>
        <v>2</v>
      </c>
      <c r="K169" s="1698"/>
      <c r="L169" s="228">
        <f>IF(ISNA(AN169),0,MAX(MIN(AN169-Tablas!$F$495-Tablas!$N515-2*Tablas!$P515-3*Tablas!$R515,3),1))</f>
        <v>0</v>
      </c>
      <c r="M169" s="208"/>
      <c r="N169" s="1362">
        <f>IF(ISNA(AP169),0,MAX(MIN(AP169-Tablas!$F$495-Tablas!$N515-2*Tablas!$P515-3*Tablas!$R515,3),1))</f>
        <v>0</v>
      </c>
      <c r="O169" s="1698"/>
      <c r="P169" s="228">
        <f>IF(ISNA(AR169),0,MAX(MIN(AR169-Tablas!$F$495-Tablas!$N515-2*Tablas!$P515-3*Tablas!$R515,3),1))</f>
        <v>0</v>
      </c>
      <c r="Q169" s="208"/>
      <c r="R169" s="1362">
        <f>IF(ISNA(AT169),0,MAX(MIN(AT169-Tablas!$F$495-Tablas!$N515-2*Tablas!$P515-3*Tablas!$R515,3),1))</f>
        <v>0</v>
      </c>
      <c r="S169" s="1698"/>
      <c r="T169" s="1706">
        <f>IF(J169=0,0,TRUNC(K169/J169,0))+IF(L169=0,0,TRUNC(M169/L169,0))+IF(N169=0,0,TRUNC(O169/N169,0))+IF(P169=0,0,TRUNC(Q169/P169,0))+IF(R169=0,0,TRUNC(S169/R169,0))</f>
        <v>0</v>
      </c>
      <c r="U169" s="1706">
        <f>MIN(VLOOKUP($H169,Principal!$D$11:$H$18,5)*(1+W169)+10*Tablas!$F$518+10*X169,100)</f>
        <v>5</v>
      </c>
      <c r="V169" s="1706">
        <f>IF(ISNA(AE169),0,AE169)+Tablas!$Y515*Nivel_Total+10*Y169</f>
        <v>0</v>
      </c>
      <c r="W169" s="1714"/>
      <c r="X169" s="1698"/>
      <c r="Y169" s="208"/>
      <c r="Z169" s="225"/>
      <c r="AA169" s="1727" t="str">
        <f>IF(AND(T169&lt;5,Tablas!F$518=0),"-",T169+U169+V169+Z169+IF(I169="",0,40)+Combate!$AB$15+AD169+AF169)</f>
        <v>-</v>
      </c>
      <c r="AB169" s="153">
        <f>IF(AA169="-",0,IF(AA169&gt;VLOOKUP(Nivel_Total,Tabla_LímiteSecundarias,2),1,0))</f>
        <v>0</v>
      </c>
      <c r="AC169" s="2126"/>
      <c r="AE169" s="2857"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896">
        <f t="shared" si="16"/>
        <v>0</v>
      </c>
      <c r="AG169" s="2856" t="e">
        <f>HLOOKUP(Region&amp;ClaseSocial,Tabla_RaicesCulturales,Tablas!E82,FALSE)</f>
        <v>#N/A</v>
      </c>
      <c r="AH169" s="2857">
        <f>IF(AND(E169="Historia",'Elan y Personalización'!$X$26="Historia (Local)"),20&amp;" "&amp;'Elan y Personalización'!$X$26,IF(OR(E169='Elan y Personalización'!$X$25,E169='Elan y Personalización'!$X$26),VLOOKUP(E169,Tablas!$K$33:$L$34,2,FALSE),0))</f>
        <v>0</v>
      </c>
      <c r="AI169" s="2857" t="b">
        <f>OR(ISNUMBER(FIND("(",AG169)),ISNUMBER(FIND("(",AH169)))</f>
        <v>0</v>
      </c>
      <c r="AJ169" s="2857" t="b">
        <f>AND(NOT(I169=""),OR(ISNUMBER(SEARCH(I169,AG169)),ISNUMBER(SEARCH(I169,AH169))))</f>
        <v>0</v>
      </c>
      <c r="AL169" s="27">
        <f>IF(ISNUMBER(MATCH("Coste"&amp;$E169,Name_Tabla_Cat,0)),MIN(VLOOKUP(Categoría_1,Tabla_Categorías,MATCH("Coste"&amp;$E169,Name_Tabla_Cat,0),FALSE),VLOOKUP(Categoría_1,Tabla_Categorías,MATCH("Coste"&amp;$B169,Name_Tabla_Cat,0),FALSE)),VLOOKUP(Categoría_1,Tabla_Categorías,MATCH("Coste"&amp;$B169,Name_Tabla_Cat,0),FALSE))</f>
        <v>2</v>
      </c>
      <c r="AN169" s="27" t="e">
        <f>IF(ISNUMBER(MATCH("Coste"&amp;$E169,Name_Tabla_Cat,0)),MIN(VLOOKUP(Categoría_2,Tabla_Categorías,MATCH("Coste"&amp;$E169,Name_Tabla_Cat,0),FALSE),VLOOKUP(Categoría_2,Tabla_Categorías,MATCH("Coste"&amp;$B169,Name_Tabla_Cat,0),FALSE)),VLOOKUP(Categoría_2,Tabla_Categorías,MATCH("Coste"&amp;$B169,Name_Tabla_Cat,0),FALSE))</f>
        <v>#N/A</v>
      </c>
      <c r="AP169" s="27" t="e">
        <f>IF(ISNUMBER(MATCH("Coste"&amp;$E169,Name_Tabla_Cat,0)),MIN(VLOOKUP(Categoría_3,Tabla_Categorías,MATCH("Coste"&amp;$E169,Name_Tabla_Cat,0),FALSE),VLOOKUP(Categoría_3,Tabla_Categorías,MATCH("Coste"&amp;$B169,Name_Tabla_Cat,0),FALSE)),VLOOKUP(Categoría_3,Tabla_Categorías,MATCH("Coste"&amp;$B169,Name_Tabla_Cat,0),FALSE))</f>
        <v>#N/A</v>
      </c>
      <c r="AR169" s="27" t="e">
        <f>IF(ISNUMBER(MATCH("Coste"&amp;$E169,Name_Tabla_Cat,0)),MIN(VLOOKUP(Categoría_4,Tabla_Categorías,MATCH("Coste"&amp;$E169,Name_Tabla_Cat,0),FALSE),VLOOKUP(Categoría_4,Tabla_Categorías,MATCH("Coste"&amp;$B169,Name_Tabla_Cat,0),FALSE)),VLOOKUP(Categoría_4,Tabla_Categorías,MATCH("Coste"&amp;$B169,Name_Tabla_Cat,0),FALSE))</f>
        <v>#N/A</v>
      </c>
      <c r="AT169" s="27" t="e">
        <f>IF(ISNUMBER(MATCH("Coste"&amp;$E169,Name_Tabla_Cat,0)),MIN(VLOOKUP(Categoría_5,Tabla_Categorías,MATCH("Coste"&amp;$E169,Name_Tabla_Cat,0),FALSE),VLOOKUP(Categoría_5,Tabla_Categorías,MATCH("Coste"&amp;$B169,Name_Tabla_Cat,0),FALSE)),VLOOKUP(Categoría_5,Tabla_Categorías,MATCH("Coste"&amp;$B169,Name_Tabla_Cat,0),FALSE))</f>
        <v>#N/A</v>
      </c>
    </row>
    <row r="170" spans="1:46" ht="12" customHeight="1" x14ac:dyDescent="0.2">
      <c r="A170" s="2126"/>
      <c r="B170" s="554" t="str">
        <f t="shared" si="19"/>
        <v>Creativas</v>
      </c>
      <c r="C170" s="3392"/>
      <c r="D170" s="3204"/>
      <c r="E170" s="3325" t="s">
        <v>1281</v>
      </c>
      <c r="F170" s="3326"/>
      <c r="G170" s="3326"/>
      <c r="H170" s="2454" t="s">
        <v>2244</v>
      </c>
      <c r="I170" s="2407"/>
      <c r="J170" s="229">
        <f>IF(ISNA(AL170),0,MAX(MIN(AL170-Tablas!$F$495-Tablas!$N516-2*Tablas!$P516-3*Tablas!$R516,3),1))</f>
        <v>2</v>
      </c>
      <c r="K170" s="1699"/>
      <c r="L170" s="229">
        <f>IF(ISNA(AN170),0,MAX(MIN(AN170-Tablas!$F$495-Tablas!$N516-2*Tablas!$P516-3*Tablas!$R516,3),1))</f>
        <v>0</v>
      </c>
      <c r="M170" s="1736"/>
      <c r="N170" s="1364">
        <f>IF(ISNA(AP170),0,MAX(MIN(AP170-Tablas!$F$495-Tablas!$N516-2*Tablas!$P516-3*Tablas!$R516,3),1))</f>
        <v>0</v>
      </c>
      <c r="O170" s="1699"/>
      <c r="P170" s="229">
        <f>IF(ISNA(AR170),0,MAX(MIN(AR170-Tablas!$F$495-Tablas!$N516-2*Tablas!$P516-3*Tablas!$R516,3),1))</f>
        <v>0</v>
      </c>
      <c r="Q170" s="1736"/>
      <c r="R170" s="1364">
        <f>IF(ISNA(AT170),0,MAX(MIN(AT170-Tablas!$F$495-Tablas!$N516-2*Tablas!$P516-3*Tablas!$R516,3),1))</f>
        <v>0</v>
      </c>
      <c r="S170" s="1699"/>
      <c r="T170" s="1707">
        <f>IF(J170=0,0,TRUNC(K170/J170,0))+IF(L170=0,0,TRUNC(M170/L170,0))+IF(N170=0,0,TRUNC(O170/N170,0))+IF(P170=0,0,TRUNC(Q170/P170,0))+IF(R170=0,0,TRUNC(S170/R170,0))</f>
        <v>0</v>
      </c>
      <c r="U170" s="1707">
        <f>MIN(VLOOKUP($H170,Principal!$D$11:$H$18,5)*(1+W170)+10*Tablas!$F$518+10*X170,100)</f>
        <v>10</v>
      </c>
      <c r="V170" s="1707">
        <f>IF(ISNA(AE170),0,AE170)+Tablas!$Y516*Nivel_Total+10*Y170</f>
        <v>0</v>
      </c>
      <c r="W170" s="1715"/>
      <c r="X170" s="1699"/>
      <c r="Y170" s="1736"/>
      <c r="Z170" s="226"/>
      <c r="AA170" s="1728" t="str">
        <f>IF(AND(T170&lt;5,Tablas!F$518=0),"-",T170+U170+V170+Z170+IF(I170="",0,40)+Combate!$AB$15+AD170+AF170)</f>
        <v>-</v>
      </c>
      <c r="AB170" s="153">
        <f>IF(AA170="-",0,IF(AA170&gt;VLOOKUP(Nivel_Total,Tabla_LímiteSecundarias,2),1,0))</f>
        <v>0</v>
      </c>
      <c r="AC170" s="2126"/>
      <c r="AE170" s="2857"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896">
        <f t="shared" si="16"/>
        <v>0</v>
      </c>
      <c r="AG170" s="2856" t="e">
        <f>HLOOKUP(Region&amp;ClaseSocial,Tabla_RaicesCulturales,Tablas!E83,FALSE)</f>
        <v>#N/A</v>
      </c>
      <c r="AH170" s="2857">
        <f>IF(AND(E170="Historia",'Elan y Personalización'!$X$26="Historia (Local)"),20&amp;" "&amp;'Elan y Personalización'!$X$26,IF(OR(E170='Elan y Personalización'!$X$25,E170='Elan y Personalización'!$X$26),VLOOKUP(E170,Tablas!$K$33:$L$34,2,FALSE),0))</f>
        <v>0</v>
      </c>
      <c r="AI170" s="2857" t="b">
        <f>OR(ISNUMBER(FIND("(",AG170)),ISNUMBER(FIND("(",AH170)))</f>
        <v>0</v>
      </c>
      <c r="AJ170" s="2857" t="b">
        <f>AND(NOT(I170=""),OR(ISNUMBER(SEARCH(I170,AG170)),ISNUMBER(SEARCH(I170,AH170))))</f>
        <v>0</v>
      </c>
      <c r="AL170" s="27">
        <f>IF(ISNUMBER(MATCH("Coste"&amp;$E170,Name_Tabla_Cat,0)),MIN(VLOOKUP(Categoría_1,Tabla_Categorías,MATCH("Coste"&amp;$E170,Name_Tabla_Cat,0),FALSE),VLOOKUP(Categoría_1,Tabla_Categorías,MATCH("Coste"&amp;$B170,Name_Tabla_Cat,0),FALSE)),VLOOKUP(Categoría_1,Tabla_Categorías,MATCH("Coste"&amp;$B170,Name_Tabla_Cat,0),FALSE))</f>
        <v>2</v>
      </c>
      <c r="AN170" s="27" t="e">
        <f>IF(ISNUMBER(MATCH("Coste"&amp;$E170,Name_Tabla_Cat,0)),MIN(VLOOKUP(Categoría_2,Tabla_Categorías,MATCH("Coste"&amp;$E170,Name_Tabla_Cat,0),FALSE),VLOOKUP(Categoría_2,Tabla_Categorías,MATCH("Coste"&amp;$B170,Name_Tabla_Cat,0),FALSE)),VLOOKUP(Categoría_2,Tabla_Categorías,MATCH("Coste"&amp;$B170,Name_Tabla_Cat,0),FALSE))</f>
        <v>#N/A</v>
      </c>
      <c r="AP170" s="27" t="e">
        <f>IF(ISNUMBER(MATCH("Coste"&amp;$E170,Name_Tabla_Cat,0)),MIN(VLOOKUP(Categoría_3,Tabla_Categorías,MATCH("Coste"&amp;$E170,Name_Tabla_Cat,0),FALSE),VLOOKUP(Categoría_3,Tabla_Categorías,MATCH("Coste"&amp;$B170,Name_Tabla_Cat,0),FALSE)),VLOOKUP(Categoría_3,Tabla_Categorías,MATCH("Coste"&amp;$B170,Name_Tabla_Cat,0),FALSE))</f>
        <v>#N/A</v>
      </c>
      <c r="AR170" s="27" t="e">
        <f>IF(ISNUMBER(MATCH("Coste"&amp;$E170,Name_Tabla_Cat,0)),MIN(VLOOKUP(Categoría_4,Tabla_Categorías,MATCH("Coste"&amp;$E170,Name_Tabla_Cat,0),FALSE),VLOOKUP(Categoría_4,Tabla_Categorías,MATCH("Coste"&amp;$B170,Name_Tabla_Cat,0),FALSE)),VLOOKUP(Categoría_4,Tabla_Categorías,MATCH("Coste"&amp;$B170,Name_Tabla_Cat,0),FALSE))</f>
        <v>#N/A</v>
      </c>
      <c r="AT170" s="27" t="e">
        <f>IF(ISNUMBER(MATCH("Coste"&amp;$E170,Name_Tabla_Cat,0)),MIN(VLOOKUP(Categoría_5,Tabla_Categorías,MATCH("Coste"&amp;$E170,Name_Tabla_Cat,0),FALSE),VLOOKUP(Categoría_5,Tabla_Categorías,MATCH("Coste"&amp;$B170,Name_Tabla_Cat,0),FALSE)),VLOOKUP(Categoría_5,Tabla_Categorías,MATCH("Coste"&amp;$B170,Name_Tabla_Cat,0),FALSE))</f>
        <v>#N/A</v>
      </c>
    </row>
    <row r="171" spans="1:46" ht="12" customHeight="1" x14ac:dyDescent="0.2">
      <c r="A171" s="2126"/>
      <c r="B171" s="554" t="str">
        <f t="shared" si="19"/>
        <v>Creativas</v>
      </c>
      <c r="C171" s="3392"/>
      <c r="D171" s="3204"/>
      <c r="E171" s="3323" t="s">
        <v>2328</v>
      </c>
      <c r="F171" s="3324"/>
      <c r="G171" s="3324"/>
      <c r="H171" s="2453" t="s">
        <v>2244</v>
      </c>
      <c r="I171" s="1872"/>
      <c r="J171" s="228">
        <f>IF(ISNA(AL171),0,MAX(MIN(AL171-Tablas!$F$495-Tablas!$N517-2*Tablas!$P517-3*Tablas!$R517,3),1))</f>
        <v>2</v>
      </c>
      <c r="K171" s="1698"/>
      <c r="L171" s="228">
        <f>IF(ISNA(AN171),0,MAX(MIN(AN171-Tablas!$F$495-Tablas!$N517-2*Tablas!$P517-3*Tablas!$R517,3),1))</f>
        <v>0</v>
      </c>
      <c r="M171" s="208"/>
      <c r="N171" s="1362">
        <f>IF(ISNA(AP171),0,MAX(MIN(AP171-Tablas!$F$495-Tablas!$N517-2*Tablas!$P517-3*Tablas!$R517,3),1))</f>
        <v>0</v>
      </c>
      <c r="O171" s="1698"/>
      <c r="P171" s="228">
        <f>IF(ISNA(AR171),0,MAX(MIN(AR171-Tablas!$F$495-Tablas!$N517-2*Tablas!$P517-3*Tablas!$R517,3),1))</f>
        <v>0</v>
      </c>
      <c r="Q171" s="208"/>
      <c r="R171" s="1362">
        <f>IF(ISNA(AT171),0,MAX(MIN(AT171-Tablas!$F$495-Tablas!$N517-2*Tablas!$P517-3*Tablas!$R517,3),1))</f>
        <v>0</v>
      </c>
      <c r="S171" s="1698"/>
      <c r="T171" s="1706">
        <f t="shared" si="15"/>
        <v>0</v>
      </c>
      <c r="U171" s="1706">
        <f>MIN(VLOOKUP($H171,Principal!$D$11:$H$18,5)*(1+W171)+10*Tablas!$F$518+10*X171,100)</f>
        <v>10</v>
      </c>
      <c r="V171" s="1706">
        <f>IF(ISNA(AE171),0,AE171)+Tablas!$Y517*Nivel_Total+10*Y171</f>
        <v>0</v>
      </c>
      <c r="W171" s="1714"/>
      <c r="X171" s="1698"/>
      <c r="Y171" s="208"/>
      <c r="Z171" s="225"/>
      <c r="AA171" s="1727" t="str">
        <f>IF(AND(T171&lt;5,Tablas!F$518=0),"-",T171+U171+V171+Z171+IF(I171="",0,40)+Combate!$AB$15+AD171+AF171)</f>
        <v>-</v>
      </c>
      <c r="AB171" s="153">
        <f>IF(AA171="-",0,IF(AA171&gt;VLOOKUP(Nivel_Total,Tabla_LímiteSecundarias,2),1,0))</f>
        <v>0</v>
      </c>
      <c r="AC171" s="2126"/>
      <c r="AD171" s="2856">
        <f>IF(Tablas!$M3485=0,0,Elan)</f>
        <v>0</v>
      </c>
      <c r="AE171" s="2857"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896">
        <f t="shared" si="16"/>
        <v>0</v>
      </c>
      <c r="AG171" s="2856" t="e">
        <f>HLOOKUP(Region&amp;ClaseSocial,Tabla_RaicesCulturales,Tablas!E84,FALSE)</f>
        <v>#N/A</v>
      </c>
      <c r="AH171" s="2857">
        <f>IF(AND(E171="Historia",'Elan y Personalización'!$X$26="Historia (Local)"),20&amp;" "&amp;'Elan y Personalización'!$X$26,IF(OR(E171='Elan y Personalización'!$X$25,E171='Elan y Personalización'!$X$26),VLOOKUP(E171,Tablas!$K$33:$L$34,2,FALSE),0))</f>
        <v>0</v>
      </c>
      <c r="AI171" s="2857" t="b">
        <f t="shared" si="17"/>
        <v>0</v>
      </c>
      <c r="AJ171" s="2857" t="b">
        <f t="shared" si="18"/>
        <v>0</v>
      </c>
      <c r="AL171" s="27">
        <f>IF(ISNUMBER(MATCH("Coste"&amp;$E171,Name_Tabla_Cat,0)),MIN(VLOOKUP(Categoría_1,Tabla_Categorías,MATCH("Coste"&amp;$E171,Name_Tabla_Cat,0),FALSE),VLOOKUP(Categoría_1,Tabla_Categorías,MATCH("Coste"&amp;$B171,Name_Tabla_Cat,0),FALSE)),VLOOKUP(Categoría_1,Tabla_Categorías,MATCH("Coste"&amp;$B171,Name_Tabla_Cat,0),FALSE))</f>
        <v>2</v>
      </c>
      <c r="AN171" s="27" t="e">
        <f>IF(ISNUMBER(MATCH("Coste"&amp;$E171,Name_Tabla_Cat,0)),MIN(VLOOKUP(Categoría_2,Tabla_Categorías,MATCH("Coste"&amp;$E171,Name_Tabla_Cat,0),FALSE),VLOOKUP(Categoría_2,Tabla_Categorías,MATCH("Coste"&amp;$B171,Name_Tabla_Cat,0),FALSE)),VLOOKUP(Categoría_2,Tabla_Categorías,MATCH("Coste"&amp;$B171,Name_Tabla_Cat,0),FALSE))</f>
        <v>#N/A</v>
      </c>
      <c r="AP171" s="27" t="e">
        <f>IF(ISNUMBER(MATCH("Coste"&amp;$E171,Name_Tabla_Cat,0)),MIN(VLOOKUP(Categoría_3,Tabla_Categorías,MATCH("Coste"&amp;$E171,Name_Tabla_Cat,0),FALSE),VLOOKUP(Categoría_3,Tabla_Categorías,MATCH("Coste"&amp;$B171,Name_Tabla_Cat,0),FALSE)),VLOOKUP(Categoría_3,Tabla_Categorías,MATCH("Coste"&amp;$B171,Name_Tabla_Cat,0),FALSE))</f>
        <v>#N/A</v>
      </c>
      <c r="AR171" s="27" t="e">
        <f>IF(ISNUMBER(MATCH("Coste"&amp;$E171,Name_Tabla_Cat,0)),MIN(VLOOKUP(Categoría_4,Tabla_Categorías,MATCH("Coste"&amp;$E171,Name_Tabla_Cat,0),FALSE),VLOOKUP(Categoría_4,Tabla_Categorías,MATCH("Coste"&amp;$B171,Name_Tabla_Cat,0),FALSE)),VLOOKUP(Categoría_4,Tabla_Categorías,MATCH("Coste"&amp;$B171,Name_Tabla_Cat,0),FALSE))</f>
        <v>#N/A</v>
      </c>
      <c r="AT171" s="27" t="e">
        <f>IF(ISNUMBER(MATCH("Coste"&amp;$E171,Name_Tabla_Cat,0)),MIN(VLOOKUP(Categoría_5,Tabla_Categorías,MATCH("Coste"&amp;$E171,Name_Tabla_Cat,0),FALSE),VLOOKUP(Categoría_5,Tabla_Categorías,MATCH("Coste"&amp;$B171,Name_Tabla_Cat,0),FALSE)),VLOOKUP(Categoría_5,Tabla_Categorías,MATCH("Coste"&amp;$B171,Name_Tabla_Cat,0),FALSE))</f>
        <v>#N/A</v>
      </c>
    </row>
    <row r="172" spans="1:46" ht="12" customHeight="1" x14ac:dyDescent="0.2">
      <c r="A172" s="2126"/>
      <c r="B172" s="554" t="str">
        <f t="shared" si="19"/>
        <v>Creativas</v>
      </c>
      <c r="C172" s="3392"/>
      <c r="D172" s="3204"/>
      <c r="E172" s="3325" t="s">
        <v>2331</v>
      </c>
      <c r="F172" s="3326"/>
      <c r="G172" s="3326"/>
      <c r="H172" s="2454" t="s">
        <v>2231</v>
      </c>
      <c r="I172" s="1873"/>
      <c r="J172" s="229">
        <f>IF(ISNA(AL172),0,MAX(MIN(AL172-Tablas!$F$495-Tablas!$N518-2*Tablas!$P518-3*Tablas!$R518,3),1))</f>
        <v>2</v>
      </c>
      <c r="K172" s="1699"/>
      <c r="L172" s="229">
        <f>IF(ISNA(AN172),0,MAX(MIN(AN172-Tablas!$F$495-Tablas!$N518-2*Tablas!$P518-3*Tablas!$R518,3),1))</f>
        <v>0</v>
      </c>
      <c r="M172" s="1736"/>
      <c r="N172" s="1364">
        <f>IF(ISNA(AP172),0,MAX(MIN(AP172-Tablas!$F$495-Tablas!$N518-2*Tablas!$P518-3*Tablas!$R518,3),1))</f>
        <v>0</v>
      </c>
      <c r="O172" s="1699"/>
      <c r="P172" s="229">
        <f>IF(ISNA(AR172),0,MAX(MIN(AR172-Tablas!$F$495-Tablas!$N518-2*Tablas!$P518-3*Tablas!$R518,3),1))</f>
        <v>0</v>
      </c>
      <c r="Q172" s="1736"/>
      <c r="R172" s="1364">
        <f>IF(ISNA(AT172),0,MAX(MIN(AT172-Tablas!$F$495-Tablas!$N518-2*Tablas!$P518-3*Tablas!$R518,3),1))</f>
        <v>0</v>
      </c>
      <c r="S172" s="1699"/>
      <c r="T172" s="1707">
        <f t="shared" si="15"/>
        <v>0</v>
      </c>
      <c r="U172" s="1707">
        <f>MIN(VLOOKUP($H172,Principal!$D$11:$H$18,5)*(1+W172)+10*Tablas!$F$518+10*X172,100)</f>
        <v>10</v>
      </c>
      <c r="V172" s="1707">
        <f>IF(ISNA(AE172),0,AE172)+Tablas!$Y518*Nivel_Total+10*Y172</f>
        <v>0</v>
      </c>
      <c r="W172" s="1715"/>
      <c r="X172" s="1699"/>
      <c r="Y172" s="1736"/>
      <c r="Z172" s="226"/>
      <c r="AA172" s="1728">
        <f>IF(AND(T172&lt;5,Tablas!F$518=0),-30,0)+T172+U172+V172+Z172+IF(I172="",0,40)+Combate!$AB$15+AD172+AF172</f>
        <v>-20</v>
      </c>
      <c r="AB172" s="153">
        <f>IF(AA172="-",0,IF(AA172&gt;VLOOKUP(Nivel_Total,Tabla_LímiteSecundarias,2),1,0))</f>
        <v>0</v>
      </c>
      <c r="AC172" s="2126"/>
      <c r="AD172" s="2856">
        <f>IF(Tablas!$F$583&gt;0,30,0)</f>
        <v>0</v>
      </c>
      <c r="AE172" s="2857">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896">
        <f t="shared" si="16"/>
        <v>0</v>
      </c>
      <c r="AG172" s="2856" t="e">
        <f>HLOOKUP(Region&amp;ClaseSocial,Tabla_RaicesCulturales,Tablas!E85,FALSE)</f>
        <v>#N/A</v>
      </c>
      <c r="AH172" s="2857">
        <f>IF(AND(E172="Historia",'Elan y Personalización'!$X$26="Historia (Local)"),20&amp;" "&amp;'Elan y Personalización'!$X$26,IF(OR(E172='Elan y Personalización'!$X$25,E172='Elan y Personalización'!$X$26),VLOOKUP(E172,Tablas!$K$33:$L$34,2,FALSE),0))</f>
        <v>0</v>
      </c>
      <c r="AI172" s="2857" t="b">
        <f t="shared" si="17"/>
        <v>0</v>
      </c>
      <c r="AJ172" s="2857" t="b">
        <f t="shared" si="18"/>
        <v>0</v>
      </c>
      <c r="AL172" s="27">
        <f>IF(ISNUMBER(MATCH("Coste"&amp;$E172,Name_Tabla_Cat,0)),MIN(VLOOKUP(Categoría_1,Tabla_Categorías,MATCH("Coste"&amp;$E172,Name_Tabla_Cat,0),FALSE),VLOOKUP(Categoría_1,Tabla_Categorías,MATCH("Coste"&amp;$B172,Name_Tabla_Cat,0),FALSE)),VLOOKUP(Categoría_1,Tabla_Categorías,MATCH("Coste"&amp;$B172,Name_Tabla_Cat,0),FALSE))</f>
        <v>2</v>
      </c>
      <c r="AN172" s="27" t="e">
        <f>IF(ISNUMBER(MATCH("Coste"&amp;$E172,Name_Tabla_Cat,0)),MIN(VLOOKUP(Categoría_2,Tabla_Categorías,MATCH("Coste"&amp;$E172,Name_Tabla_Cat,0),FALSE),VLOOKUP(Categoría_2,Tabla_Categorías,MATCH("Coste"&amp;$B172,Name_Tabla_Cat,0),FALSE)),VLOOKUP(Categoría_2,Tabla_Categorías,MATCH("Coste"&amp;$B172,Name_Tabla_Cat,0),FALSE))</f>
        <v>#N/A</v>
      </c>
      <c r="AP172" s="27" t="e">
        <f>IF(ISNUMBER(MATCH("Coste"&amp;$E172,Name_Tabla_Cat,0)),MIN(VLOOKUP(Categoría_3,Tabla_Categorías,MATCH("Coste"&amp;$E172,Name_Tabla_Cat,0),FALSE),VLOOKUP(Categoría_3,Tabla_Categorías,MATCH("Coste"&amp;$B172,Name_Tabla_Cat,0),FALSE)),VLOOKUP(Categoría_3,Tabla_Categorías,MATCH("Coste"&amp;$B172,Name_Tabla_Cat,0),FALSE))</f>
        <v>#N/A</v>
      </c>
      <c r="AR172" s="27" t="e">
        <f>IF(ISNUMBER(MATCH("Coste"&amp;$E172,Name_Tabla_Cat,0)),MIN(VLOOKUP(Categoría_4,Tabla_Categorías,MATCH("Coste"&amp;$E172,Name_Tabla_Cat,0),FALSE),VLOOKUP(Categoría_4,Tabla_Categorías,MATCH("Coste"&amp;$B172,Name_Tabla_Cat,0),FALSE)),VLOOKUP(Categoría_4,Tabla_Categorías,MATCH("Coste"&amp;$B172,Name_Tabla_Cat,0),FALSE))</f>
        <v>#N/A</v>
      </c>
      <c r="AT172" s="27" t="e">
        <f>IF(ISNUMBER(MATCH("Coste"&amp;$E172,Name_Tabla_Cat,0)),MIN(VLOOKUP(Categoría_5,Tabla_Categorías,MATCH("Coste"&amp;$E172,Name_Tabla_Cat,0),FALSE),VLOOKUP(Categoría_5,Tabla_Categorías,MATCH("Coste"&amp;$B172,Name_Tabla_Cat,0),FALSE)),VLOOKUP(Categoría_5,Tabla_Categorías,MATCH("Coste"&amp;$B172,Name_Tabla_Cat,0),FALSE))</f>
        <v>#N/A</v>
      </c>
    </row>
    <row r="173" spans="1:46" ht="12" customHeight="1" x14ac:dyDescent="0.2">
      <c r="A173" s="2126"/>
      <c r="B173" s="554" t="str">
        <f t="shared" si="19"/>
        <v>Creativas</v>
      </c>
      <c r="C173" s="3392"/>
      <c r="D173" s="3204"/>
      <c r="E173" s="3323" t="s">
        <v>8783</v>
      </c>
      <c r="F173" s="3324"/>
      <c r="G173" s="3324"/>
      <c r="H173" s="2453" t="s">
        <v>2231</v>
      </c>
      <c r="I173" s="2406"/>
      <c r="J173" s="228">
        <f>IF(ISNA(AL173),0,MAX(MIN(AL173-Tablas!$F$495-Tablas!$N519-2*Tablas!$P519-3*Tablas!$R519,3),1))</f>
        <v>2</v>
      </c>
      <c r="K173" s="1698"/>
      <c r="L173" s="228">
        <f>IF(ISNA(AN173),0,MAX(MIN(AN173-Tablas!$F$495-Tablas!$N519-2*Tablas!$P519-3*Tablas!$R519,3),1))</f>
        <v>0</v>
      </c>
      <c r="M173" s="208"/>
      <c r="N173" s="1362">
        <f>IF(ISNA(AP173),0,MAX(MIN(AP173-Tablas!$F$495-Tablas!$N519-2*Tablas!$P519-3*Tablas!$R519,3),1))</f>
        <v>0</v>
      </c>
      <c r="O173" s="1698"/>
      <c r="P173" s="228">
        <f>IF(ISNA(AR173),0,MAX(MIN(AR173-Tablas!$F$495-Tablas!$N519-2*Tablas!$P519-3*Tablas!$R519,3),1))</f>
        <v>0</v>
      </c>
      <c r="Q173" s="208"/>
      <c r="R173" s="1362">
        <f>IF(ISNA(AT173),0,MAX(MIN(AT173-Tablas!$F$495-Tablas!$N519-2*Tablas!$P519-3*Tablas!$R519,3),1))</f>
        <v>0</v>
      </c>
      <c r="S173" s="1698"/>
      <c r="T173" s="1706">
        <f t="shared" si="15"/>
        <v>0</v>
      </c>
      <c r="U173" s="1706">
        <f>MIN(VLOOKUP($H173,Principal!$D$11:$H$18,5)*(1+W173)+10*Tablas!$F$518+10*X173,100)</f>
        <v>10</v>
      </c>
      <c r="V173" s="1706">
        <f>IF(ISNA(AE173),0,AE173)+Tablas!$Y519*Nivel_Total+10*Y173</f>
        <v>0</v>
      </c>
      <c r="W173" s="1714"/>
      <c r="X173" s="1698"/>
      <c r="Y173" s="208"/>
      <c r="Z173" s="225"/>
      <c r="AA173" s="1727" t="str">
        <f>IF(AND(T173&lt;5,Tablas!F$518=0),"-",T173+U173+V173+Z173+IF(I173="",0,40)+Combate!$AB$15+AD173+AF173)</f>
        <v>-</v>
      </c>
      <c r="AB173" s="153">
        <f>IF(AA173="-",0,IF(AA173&gt;VLOOKUP(Nivel_Total,Tabla_LímiteSecundarias,2),1,0))</f>
        <v>0</v>
      </c>
      <c r="AC173" s="2126"/>
      <c r="AE173" s="2857"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896">
        <f t="shared" si="16"/>
        <v>0</v>
      </c>
      <c r="AG173" s="2856" t="e">
        <f>HLOOKUP(Region&amp;ClaseSocial,Tabla_RaicesCulturales,Tablas!E86,FALSE)</f>
        <v>#N/A</v>
      </c>
      <c r="AH173" s="2857">
        <f>IF(AND(E173="Historia",'Elan y Personalización'!$X$26="Historia (Local)"),20&amp;" "&amp;'Elan y Personalización'!$X$26,IF(OR(E173='Elan y Personalización'!$X$25,E173='Elan y Personalización'!$X$26),VLOOKUP(E173,Tablas!$K$33:$L$34,2,FALSE),0))</f>
        <v>0</v>
      </c>
      <c r="AI173" s="2857" t="b">
        <f t="shared" si="17"/>
        <v>0</v>
      </c>
      <c r="AJ173" s="2857" t="b">
        <f t="shared" si="18"/>
        <v>0</v>
      </c>
      <c r="AL173" s="27">
        <f>IF(ISNUMBER(MATCH("Coste"&amp;$E173,Name_Tabla_Cat,0)),MIN(VLOOKUP(Categoría_1,Tabla_Categorías,MATCH("Coste"&amp;$E173,Name_Tabla_Cat,0),FALSE),VLOOKUP(Categoría_1,Tabla_Categorías,MATCH("Coste"&amp;$B173,Name_Tabla_Cat,0),FALSE)),VLOOKUP(Categoría_1,Tabla_Categorías,MATCH("Coste"&amp;$B173,Name_Tabla_Cat,0),FALSE))</f>
        <v>2</v>
      </c>
      <c r="AN173" s="27" t="e">
        <f>IF(ISNUMBER(MATCH("Coste"&amp;$E173,Name_Tabla_Cat,0)),MIN(VLOOKUP(Categoría_2,Tabla_Categorías,MATCH("Coste"&amp;$E173,Name_Tabla_Cat,0),FALSE),VLOOKUP(Categoría_2,Tabla_Categorías,MATCH("Coste"&amp;$B173,Name_Tabla_Cat,0),FALSE)),VLOOKUP(Categoría_2,Tabla_Categorías,MATCH("Coste"&amp;$B173,Name_Tabla_Cat,0),FALSE))</f>
        <v>#N/A</v>
      </c>
      <c r="AP173" s="27" t="e">
        <f>IF(ISNUMBER(MATCH("Coste"&amp;$E173,Name_Tabla_Cat,0)),MIN(VLOOKUP(Categoría_3,Tabla_Categorías,MATCH("Coste"&amp;$E173,Name_Tabla_Cat,0),FALSE),VLOOKUP(Categoría_3,Tabla_Categorías,MATCH("Coste"&amp;$B173,Name_Tabla_Cat,0),FALSE)),VLOOKUP(Categoría_3,Tabla_Categorías,MATCH("Coste"&amp;$B173,Name_Tabla_Cat,0),FALSE))</f>
        <v>#N/A</v>
      </c>
      <c r="AR173" s="27" t="e">
        <f>IF(ISNUMBER(MATCH("Coste"&amp;$E173,Name_Tabla_Cat,0)),MIN(VLOOKUP(Categoría_4,Tabla_Categorías,MATCH("Coste"&amp;$E173,Name_Tabla_Cat,0),FALSE),VLOOKUP(Categoría_4,Tabla_Categorías,MATCH("Coste"&amp;$B173,Name_Tabla_Cat,0),FALSE)),VLOOKUP(Categoría_4,Tabla_Categorías,MATCH("Coste"&amp;$B173,Name_Tabla_Cat,0),FALSE))</f>
        <v>#N/A</v>
      </c>
      <c r="AT173" s="27" t="e">
        <f>IF(ISNUMBER(MATCH("Coste"&amp;$E173,Name_Tabla_Cat,0)),MIN(VLOOKUP(Categoría_5,Tabla_Categorías,MATCH("Coste"&amp;$E173,Name_Tabla_Cat,0),FALSE),VLOOKUP(Categoría_5,Tabla_Categorías,MATCH("Coste"&amp;$B173,Name_Tabla_Cat,0),FALSE)),VLOOKUP(Categoría_5,Tabla_Categorías,MATCH("Coste"&amp;$B173,Name_Tabla_Cat,0),FALSE))</f>
        <v>#N/A</v>
      </c>
    </row>
    <row r="174" spans="1:46" ht="12" customHeight="1" x14ac:dyDescent="0.2">
      <c r="A174" s="2126"/>
      <c r="B174" s="554" t="str">
        <f t="shared" si="19"/>
        <v>Creativas</v>
      </c>
      <c r="C174" s="3392"/>
      <c r="D174" s="3204"/>
      <c r="E174" s="3325" t="s">
        <v>8784</v>
      </c>
      <c r="F174" s="3326"/>
      <c r="G174" s="3326"/>
      <c r="H174" s="2454" t="s">
        <v>2231</v>
      </c>
      <c r="I174" s="1873"/>
      <c r="J174" s="229">
        <f>IF(ISNA(AL174),0,MAX(MIN(AL174-Tablas!$F$495-Tablas!$N520-2*Tablas!$P520-3*Tablas!$R520,3),1))</f>
        <v>2</v>
      </c>
      <c r="K174" s="1699"/>
      <c r="L174" s="229">
        <f>IF(ISNA(AN174),0,MAX(MIN(AN174-Tablas!$F$495-Tablas!$N520-2*Tablas!$P520-3*Tablas!$R520,3),1))</f>
        <v>0</v>
      </c>
      <c r="M174" s="1736"/>
      <c r="N174" s="1364">
        <f>IF(ISNA(AP174),0,MAX(MIN(AP174-Tablas!$F$495-Tablas!$N520-2*Tablas!$P520-3*Tablas!$R520,3),1))</f>
        <v>0</v>
      </c>
      <c r="O174" s="1699"/>
      <c r="P174" s="229">
        <f>IF(ISNA(AR174),0,MAX(MIN(AR174-Tablas!$F$495-Tablas!$N520-2*Tablas!$P520-3*Tablas!$R520,3),1))</f>
        <v>0</v>
      </c>
      <c r="Q174" s="1736"/>
      <c r="R174" s="1364">
        <f>IF(ISNA(AT174),0,MAX(MIN(AT174-Tablas!$F$495-Tablas!$N520-2*Tablas!$P520-3*Tablas!$R520,3),1))</f>
        <v>0</v>
      </c>
      <c r="S174" s="1699"/>
      <c r="T174" s="1707">
        <f t="shared" si="15"/>
        <v>0</v>
      </c>
      <c r="U174" s="1707">
        <f>MIN(VLOOKUP($H174,Principal!$D$11:$H$18,5)*(1+W174)+10*Tablas!$F$518+10*X174,100)</f>
        <v>10</v>
      </c>
      <c r="V174" s="1707">
        <f>IF(ISNA(AE174),0,AE174)+Tablas!$Y520*Nivel_Total+10*Y174</f>
        <v>0</v>
      </c>
      <c r="W174" s="1715"/>
      <c r="X174" s="1699"/>
      <c r="Y174" s="1736"/>
      <c r="Z174" s="226"/>
      <c r="AA174" s="1728">
        <f>IF(AND(T174&lt;5,Tablas!F$518=0),-30,0)+T174+U174+V174+Z174+IF(I174="",0,40)+Combate!$AB$15+AD174+AF174</f>
        <v>-20</v>
      </c>
      <c r="AB174" s="153">
        <f>IF(AA174="-",0,IF(AA174&gt;VLOOKUP(Nivel_Total,Tabla_LímiteSecundarias,2),1,0))</f>
        <v>0</v>
      </c>
      <c r="AC174" s="2126"/>
      <c r="AE174" s="2857"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896">
        <f t="shared" si="16"/>
        <v>0</v>
      </c>
      <c r="AG174" s="2856" t="e">
        <f>HLOOKUP(Region&amp;ClaseSocial,Tabla_RaicesCulturales,Tablas!E87,FALSE)</f>
        <v>#N/A</v>
      </c>
      <c r="AH174" s="2857">
        <f>IF(AND(E174="Historia",'Elan y Personalización'!$X$26="Historia (Local)"),20&amp;" "&amp;'Elan y Personalización'!$X$26,IF(OR(E174='Elan y Personalización'!$X$25,E174='Elan y Personalización'!$X$26),VLOOKUP(E174,Tablas!$K$33:$L$34,2,FALSE),0))</f>
        <v>0</v>
      </c>
      <c r="AI174" s="2857" t="b">
        <f t="shared" si="17"/>
        <v>0</v>
      </c>
      <c r="AJ174" s="2857" t="b">
        <f t="shared" si="18"/>
        <v>0</v>
      </c>
      <c r="AL174" s="27">
        <f>IF(ISNUMBER(MATCH("Coste"&amp;$E174,Name_Tabla_Cat,0)),MIN(VLOOKUP(Categoría_1,Tabla_Categorías,MATCH("Coste"&amp;$E174,Name_Tabla_Cat,0),FALSE),VLOOKUP(Categoría_1,Tabla_Categorías,MATCH("Coste"&amp;$B174,Name_Tabla_Cat,0),FALSE)),VLOOKUP(Categoría_1,Tabla_Categorías,MATCH("Coste"&amp;$B174,Name_Tabla_Cat,0),FALSE))</f>
        <v>2</v>
      </c>
      <c r="AN174" s="27" t="e">
        <f>IF(ISNUMBER(MATCH("Coste"&amp;$E174,Name_Tabla_Cat,0)),MIN(VLOOKUP(Categoría_2,Tabla_Categorías,MATCH("Coste"&amp;$E174,Name_Tabla_Cat,0),FALSE),VLOOKUP(Categoría_2,Tabla_Categorías,MATCH("Coste"&amp;$B174,Name_Tabla_Cat,0),FALSE)),VLOOKUP(Categoría_2,Tabla_Categorías,MATCH("Coste"&amp;$B174,Name_Tabla_Cat,0),FALSE))</f>
        <v>#N/A</v>
      </c>
      <c r="AP174" s="27" t="e">
        <f>IF(ISNUMBER(MATCH("Coste"&amp;$E174,Name_Tabla_Cat,0)),MIN(VLOOKUP(Categoría_3,Tabla_Categorías,MATCH("Coste"&amp;$E174,Name_Tabla_Cat,0),FALSE),VLOOKUP(Categoría_3,Tabla_Categorías,MATCH("Coste"&amp;$B174,Name_Tabla_Cat,0),FALSE)),VLOOKUP(Categoría_3,Tabla_Categorías,MATCH("Coste"&amp;$B174,Name_Tabla_Cat,0),FALSE))</f>
        <v>#N/A</v>
      </c>
      <c r="AR174" s="27" t="e">
        <f>IF(ISNUMBER(MATCH("Coste"&amp;$E174,Name_Tabla_Cat,0)),MIN(VLOOKUP(Categoría_4,Tabla_Categorías,MATCH("Coste"&amp;$E174,Name_Tabla_Cat,0),FALSE),VLOOKUP(Categoría_4,Tabla_Categorías,MATCH("Coste"&amp;$B174,Name_Tabla_Cat,0),FALSE)),VLOOKUP(Categoría_4,Tabla_Categorías,MATCH("Coste"&amp;$B174,Name_Tabla_Cat,0),FALSE))</f>
        <v>#N/A</v>
      </c>
      <c r="AT174" s="27" t="e">
        <f>IF(ISNUMBER(MATCH("Coste"&amp;$E174,Name_Tabla_Cat,0)),MIN(VLOOKUP(Categoría_5,Tabla_Categorías,MATCH("Coste"&amp;$E174,Name_Tabla_Cat,0),FALSE),VLOOKUP(Categoría_5,Tabla_Categorías,MATCH("Coste"&amp;$B174,Name_Tabla_Cat,0),FALSE)),VLOOKUP(Categoría_5,Tabla_Categorías,MATCH("Coste"&amp;$B174,Name_Tabla_Cat,0),FALSE))</f>
        <v>#N/A</v>
      </c>
    </row>
    <row r="175" spans="1:46" ht="12" customHeight="1" x14ac:dyDescent="0.2">
      <c r="A175" s="2126"/>
      <c r="B175" s="554" t="str">
        <f t="shared" si="19"/>
        <v>Creativas</v>
      </c>
      <c r="C175" s="3392"/>
      <c r="D175" s="3204"/>
      <c r="E175" s="3323" t="s">
        <v>8785</v>
      </c>
      <c r="F175" s="3324"/>
      <c r="G175" s="3324"/>
      <c r="H175" s="2453" t="s">
        <v>2231</v>
      </c>
      <c r="I175" s="2406"/>
      <c r="J175" s="228">
        <f>IF(ISNA(AL175),0,MAX(MIN(AL175-Tablas!$F$495-Tablas!$N521-2*Tablas!$P521-3*Tablas!$R521,3),1))</f>
        <v>2</v>
      </c>
      <c r="K175" s="1698"/>
      <c r="L175" s="228">
        <f>IF(ISNA(AN175),0,MAX(MIN(AN175-Tablas!$F$495-Tablas!$N521-2*Tablas!$P521-3*Tablas!$R521,3),1))</f>
        <v>0</v>
      </c>
      <c r="M175" s="208"/>
      <c r="N175" s="1362">
        <f>IF(ISNA(AP175),0,MAX(MIN(AP175-Tablas!$F$495-Tablas!$N521-2*Tablas!$P521-3*Tablas!$R521,3),1))</f>
        <v>0</v>
      </c>
      <c r="O175" s="1698"/>
      <c r="P175" s="228">
        <f>IF(ISNA(AR175),0,MAX(MIN(AR175-Tablas!$F$495-Tablas!$N521-2*Tablas!$P521-3*Tablas!$R521,3),1))</f>
        <v>0</v>
      </c>
      <c r="Q175" s="208"/>
      <c r="R175" s="1362">
        <f>IF(ISNA(AT175),0,MAX(MIN(AT175-Tablas!$F$495-Tablas!$N521-2*Tablas!$P521-3*Tablas!$R521,3),1))</f>
        <v>0</v>
      </c>
      <c r="S175" s="1698"/>
      <c r="T175" s="1706">
        <f t="shared" si="15"/>
        <v>0</v>
      </c>
      <c r="U175" s="1706">
        <f>MIN(VLOOKUP($H175,Principal!$D$11:$H$18,5)*(1+W175)+10*Tablas!$F$518+10*X175,100)</f>
        <v>10</v>
      </c>
      <c r="V175" s="1706">
        <f>IF(ISNA(AE175),0,AE175)+Tablas!$Y521*Nivel_Total+10*Y175</f>
        <v>0</v>
      </c>
      <c r="W175" s="1714"/>
      <c r="X175" s="1698"/>
      <c r="Y175" s="208"/>
      <c r="Z175" s="225"/>
      <c r="AA175" s="1727" t="str">
        <f>IF(AND(T175&lt;5,Tablas!F$518=0),"-",T175+U175+V175+Z175+IF(I175="",0,40)+Combate!$AB$15+AD175+AF175)</f>
        <v>-</v>
      </c>
      <c r="AB175" s="153">
        <f>IF(AA175="-",0,IF(AA175&gt;VLOOKUP(Nivel_Total,Tabla_LímiteSecundarias,2),1,0))</f>
        <v>0</v>
      </c>
      <c r="AC175" s="2126"/>
      <c r="AE175" s="2857"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896">
        <f t="shared" si="16"/>
        <v>0</v>
      </c>
      <c r="AG175" s="2856" t="e">
        <f>HLOOKUP(Region&amp;ClaseSocial,Tabla_RaicesCulturales,Tablas!E88,FALSE)</f>
        <v>#N/A</v>
      </c>
      <c r="AH175" s="2857">
        <f>IF(AND(E175="Historia",'Elan y Personalización'!$X$26="Historia (Local)"),20&amp;" "&amp;'Elan y Personalización'!$X$26,IF(OR(E175='Elan y Personalización'!$X$25,E175='Elan y Personalización'!$X$26),VLOOKUP(E175,Tablas!$K$33:$L$34,2,FALSE),0))</f>
        <v>0</v>
      </c>
      <c r="AI175" s="2857" t="b">
        <f t="shared" si="17"/>
        <v>0</v>
      </c>
      <c r="AJ175" s="2857" t="b">
        <f t="shared" si="18"/>
        <v>0</v>
      </c>
      <c r="AL175" s="27">
        <f>IF(ISNUMBER(MATCH("Coste"&amp;$E175,Name_Tabla_Cat,0)),MIN(VLOOKUP(Categoría_1,Tabla_Categorías,MATCH("Coste"&amp;$E175,Name_Tabla_Cat,0),FALSE),VLOOKUP(Categoría_1,Tabla_Categorías,MATCH("Coste"&amp;$B175,Name_Tabla_Cat,0),FALSE)),VLOOKUP(Categoría_1,Tabla_Categorías,MATCH("Coste"&amp;$B175,Name_Tabla_Cat,0),FALSE))</f>
        <v>2</v>
      </c>
      <c r="AN175" s="27" t="e">
        <f>IF(ISNUMBER(MATCH("Coste"&amp;$E175,Name_Tabla_Cat,0)),MIN(VLOOKUP(Categoría_2,Tabla_Categorías,MATCH("Coste"&amp;$E175,Name_Tabla_Cat,0),FALSE),VLOOKUP(Categoría_2,Tabla_Categorías,MATCH("Coste"&amp;$B175,Name_Tabla_Cat,0),FALSE)),VLOOKUP(Categoría_2,Tabla_Categorías,MATCH("Coste"&amp;$B175,Name_Tabla_Cat,0),FALSE))</f>
        <v>#N/A</v>
      </c>
      <c r="AP175" s="27" t="e">
        <f>IF(ISNUMBER(MATCH("Coste"&amp;$E175,Name_Tabla_Cat,0)),MIN(VLOOKUP(Categoría_3,Tabla_Categorías,MATCH("Coste"&amp;$E175,Name_Tabla_Cat,0),FALSE),VLOOKUP(Categoría_3,Tabla_Categorías,MATCH("Coste"&amp;$B175,Name_Tabla_Cat,0),FALSE)),VLOOKUP(Categoría_3,Tabla_Categorías,MATCH("Coste"&amp;$B175,Name_Tabla_Cat,0),FALSE))</f>
        <v>#N/A</v>
      </c>
      <c r="AR175" s="27" t="e">
        <f>IF(ISNUMBER(MATCH("Coste"&amp;$E175,Name_Tabla_Cat,0)),MIN(VLOOKUP(Categoría_4,Tabla_Categorías,MATCH("Coste"&amp;$E175,Name_Tabla_Cat,0),FALSE),VLOOKUP(Categoría_4,Tabla_Categorías,MATCH("Coste"&amp;$B175,Name_Tabla_Cat,0),FALSE)),VLOOKUP(Categoría_4,Tabla_Categorías,MATCH("Coste"&amp;$B175,Name_Tabla_Cat,0),FALSE))</f>
        <v>#N/A</v>
      </c>
      <c r="AT175" s="27" t="e">
        <f>IF(ISNUMBER(MATCH("Coste"&amp;$E175,Name_Tabla_Cat,0)),MIN(VLOOKUP(Categoría_5,Tabla_Categorías,MATCH("Coste"&amp;$E175,Name_Tabla_Cat,0),FALSE),VLOOKUP(Categoría_5,Tabla_Categorías,MATCH("Coste"&amp;$B175,Name_Tabla_Cat,0),FALSE)),VLOOKUP(Categoría_5,Tabla_Categorías,MATCH("Coste"&amp;$B175,Name_Tabla_Cat,0),FALSE))</f>
        <v>#N/A</v>
      </c>
    </row>
    <row r="176" spans="1:46" ht="12" customHeight="1" x14ac:dyDescent="0.2">
      <c r="A176" s="2126"/>
      <c r="B176" s="554" t="str">
        <f t="shared" si="19"/>
        <v>Creativas</v>
      </c>
      <c r="C176" s="3392"/>
      <c r="D176" s="3204"/>
      <c r="E176" s="3325" t="s">
        <v>8786</v>
      </c>
      <c r="F176" s="3326"/>
      <c r="G176" s="3326"/>
      <c r="H176" s="2457" t="s">
        <v>2244</v>
      </c>
      <c r="I176" s="2407"/>
      <c r="J176" s="229">
        <f>IF(ISNA(AL176),0,MAX(MIN(AL176-Tablas!$F$495-Tablas!$N522-2*Tablas!$P522-3*Tablas!$R522,3),1))</f>
        <v>2</v>
      </c>
      <c r="K176" s="1699"/>
      <c r="L176" s="229">
        <f>IF(ISNA(AN176),0,MAX(MIN(AN176-Tablas!$F$495-Tablas!$N522-2*Tablas!$P522-3*Tablas!$R522,3),1))</f>
        <v>0</v>
      </c>
      <c r="M176" s="1736"/>
      <c r="N176" s="1364">
        <f>IF(ISNA(AP176),0,MAX(MIN(AP176-Tablas!$F$495-Tablas!$N522-2*Tablas!$P522-3*Tablas!$R522,3),1))</f>
        <v>0</v>
      </c>
      <c r="O176" s="1699"/>
      <c r="P176" s="229">
        <f>IF(ISNA(AR176),0,MAX(MIN(AR176-Tablas!$F$495-Tablas!$N522-2*Tablas!$P522-3*Tablas!$R522,3),1))</f>
        <v>0</v>
      </c>
      <c r="Q176" s="1736"/>
      <c r="R176" s="1364">
        <f>IF(ISNA(AT176),0,MAX(MIN(AT176-Tablas!$F$495-Tablas!$N522-2*Tablas!$P522-3*Tablas!$R522,3),1))</f>
        <v>0</v>
      </c>
      <c r="S176" s="1699"/>
      <c r="T176" s="1707">
        <f t="shared" si="15"/>
        <v>0</v>
      </c>
      <c r="U176" s="1707">
        <f>MIN(VLOOKUP($H176,Principal!$D$11:$H$18,5)*(1+W176)+10*Tablas!$F$518+10*X176,100)</f>
        <v>10</v>
      </c>
      <c r="V176" s="1707">
        <f>IF(ISNA(AE176),0,AE176)+Tablas!$Y522*Nivel_Total+10*Y176</f>
        <v>30</v>
      </c>
      <c r="W176" s="1715"/>
      <c r="X176" s="1699"/>
      <c r="Y176" s="1736"/>
      <c r="Z176" s="226"/>
      <c r="AA176" s="1728" t="str">
        <f>IF(AND(T176&lt;5,Tablas!F$518=0),"-",T176+U176+V176+Z176+IF(I176="",0,40)+Combate!$AB$15+AD176+AF176)</f>
        <v>-</v>
      </c>
      <c r="AB176" s="153">
        <f>IF(AA176="-",0,IF(AA176&gt;VLOOKUP(Nivel_Total,Tabla_LímiteSecundarias,2),1,0))</f>
        <v>0</v>
      </c>
      <c r="AC176" s="2126"/>
      <c r="AE176" s="2857"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896">
        <f t="shared" si="16"/>
        <v>0</v>
      </c>
      <c r="AG176" s="2856" t="e">
        <f>HLOOKUP(Region&amp;ClaseSocial,Tabla_RaicesCulturales,Tablas!E89,FALSE)</f>
        <v>#N/A</v>
      </c>
      <c r="AH176" s="2857">
        <f>IF(AND(E176="Historia",'Elan y Personalización'!$X$26="Historia (Local)"),20&amp;" "&amp;'Elan y Personalización'!$X$26,IF(OR(E176='Elan y Personalización'!$X$25,E176='Elan y Personalización'!$X$26),VLOOKUP(E176,Tablas!$K$33:$L$34,2,FALSE),0))</f>
        <v>0</v>
      </c>
      <c r="AI176" s="2857" t="b">
        <f t="shared" si="17"/>
        <v>0</v>
      </c>
      <c r="AJ176" s="2857" t="b">
        <f t="shared" si="18"/>
        <v>0</v>
      </c>
      <c r="AL176" s="27">
        <f>IF(ISNUMBER(MATCH("Coste"&amp;$E176,Name_Tabla_Cat,0)),MIN(VLOOKUP(Categoría_1,Tabla_Categorías,MATCH("Coste"&amp;$E176,Name_Tabla_Cat,0),FALSE),VLOOKUP(Categoría_1,Tabla_Categorías,MATCH("Coste"&amp;$B176,Name_Tabla_Cat,0),FALSE)),VLOOKUP(Categoría_1,Tabla_Categorías,MATCH("Coste"&amp;$B176,Name_Tabla_Cat,0),FALSE))</f>
        <v>2</v>
      </c>
      <c r="AN176" s="27" t="e">
        <f>IF(ISNUMBER(MATCH("Coste"&amp;$E176,Name_Tabla_Cat,0)),MIN(VLOOKUP(Categoría_2,Tabla_Categorías,MATCH("Coste"&amp;$E176,Name_Tabla_Cat,0),FALSE),VLOOKUP(Categoría_2,Tabla_Categorías,MATCH("Coste"&amp;$B176,Name_Tabla_Cat,0),FALSE)),VLOOKUP(Categoría_2,Tabla_Categorías,MATCH("Coste"&amp;$B176,Name_Tabla_Cat,0),FALSE))</f>
        <v>#N/A</v>
      </c>
      <c r="AP176" s="27" t="e">
        <f>IF(ISNUMBER(MATCH("Coste"&amp;$E176,Name_Tabla_Cat,0)),MIN(VLOOKUP(Categoría_3,Tabla_Categorías,MATCH("Coste"&amp;$E176,Name_Tabla_Cat,0),FALSE),VLOOKUP(Categoría_3,Tabla_Categorías,MATCH("Coste"&amp;$B176,Name_Tabla_Cat,0),FALSE)),VLOOKUP(Categoría_3,Tabla_Categorías,MATCH("Coste"&amp;$B176,Name_Tabla_Cat,0),FALSE))</f>
        <v>#N/A</v>
      </c>
      <c r="AR176" s="27" t="e">
        <f>IF(ISNUMBER(MATCH("Coste"&amp;$E176,Name_Tabla_Cat,0)),MIN(VLOOKUP(Categoría_4,Tabla_Categorías,MATCH("Coste"&amp;$E176,Name_Tabla_Cat,0),FALSE),VLOOKUP(Categoría_4,Tabla_Categorías,MATCH("Coste"&amp;$B176,Name_Tabla_Cat,0),FALSE)),VLOOKUP(Categoría_4,Tabla_Categorías,MATCH("Coste"&amp;$B176,Name_Tabla_Cat,0),FALSE))</f>
        <v>#N/A</v>
      </c>
      <c r="AT176" s="27" t="e">
        <f>IF(ISNUMBER(MATCH("Coste"&amp;$E176,Name_Tabla_Cat,0)),MIN(VLOOKUP(Categoría_5,Tabla_Categorías,MATCH("Coste"&amp;$E176,Name_Tabla_Cat,0),FALSE),VLOOKUP(Categoría_5,Tabla_Categorías,MATCH("Coste"&amp;$B176,Name_Tabla_Cat,0),FALSE)),VLOOKUP(Categoría_5,Tabla_Categorías,MATCH("Coste"&amp;$B176,Name_Tabla_Cat,0),FALSE))</f>
        <v>#N/A</v>
      </c>
    </row>
    <row r="177" spans="1:35" ht="12" customHeight="1" x14ac:dyDescent="0.2">
      <c r="A177" s="2126"/>
      <c r="B177" s="554">
        <f>IF(OR(U177="FUE",U177="CON",U177="DES",U177="AGI"),1,IF(OR(U177="INT",U177="POD",U177="VOL",U177="PER"),2,0))</f>
        <v>0</v>
      </c>
      <c r="C177" s="3392"/>
      <c r="D177" s="2677" t="s">
        <v>2310</v>
      </c>
      <c r="E177" s="3358"/>
      <c r="F177" s="3359"/>
      <c r="G177" s="3359"/>
      <c r="H177" s="2412"/>
      <c r="I177" s="1874"/>
      <c r="J177" s="1838"/>
      <c r="K177" s="1703"/>
      <c r="L177" s="1838"/>
      <c r="M177" s="1692"/>
      <c r="N177" s="1839"/>
      <c r="O177" s="1703"/>
      <c r="P177" s="1838"/>
      <c r="Q177" s="1692"/>
      <c r="R177" s="1839"/>
      <c r="S177" s="1703"/>
      <c r="T177" s="1709">
        <f t="shared" si="15"/>
        <v>0</v>
      </c>
      <c r="U177" s="1709" t="str">
        <f>IF(H177="","",MIN(VLOOKUP($H177,Principal!$D$11:$H$18,5)*(1+W177)+10*Tablas!$F$518+10*X177,100))</f>
        <v/>
      </c>
      <c r="V177" s="1709">
        <f>IF(ISNA(AE177),0,AE177)+Tablas!$Y523*Nivel_Total+10*Y177</f>
        <v>0</v>
      </c>
      <c r="W177" s="1717"/>
      <c r="X177" s="1703"/>
      <c r="Y177" s="1692"/>
      <c r="Z177" s="1693"/>
      <c r="AA177" s="1730" t="str">
        <f>IF(AND(T177&lt;5,Tablas!F$518=0),"-",T177+U177+V177+Z177+IF(I177="",0,40)+Combate!$AB$15+AD177+AF177)</f>
        <v>-</v>
      </c>
      <c r="AB177" s="153">
        <f>IF(AA177="-",0,IF(AA177&gt;VLOOKUP(Nivel_Total,Tabla_LímiteSecundarias,2),1,0))</f>
        <v>0</v>
      </c>
      <c r="AC177" s="2126"/>
      <c r="AE177" s="2896"/>
      <c r="AH177" s="2885" t="s">
        <v>2310</v>
      </c>
    </row>
    <row r="178" spans="1:35" ht="12" customHeight="1" x14ac:dyDescent="0.2">
      <c r="A178" s="2126"/>
      <c r="B178" s="554">
        <f>IF(OR(U178="FUE",U178="CON",U178="DES",U178="AGI"),1,IF(OR(U178="INT",U178="POD",U178="VOL",U178="PER"),2,0))</f>
        <v>0</v>
      </c>
      <c r="C178" s="3392"/>
      <c r="D178" s="2678" t="s">
        <v>2310</v>
      </c>
      <c r="E178" s="3360"/>
      <c r="F178" s="3361"/>
      <c r="G178" s="3361"/>
      <c r="H178" s="2413"/>
      <c r="I178" s="1873"/>
      <c r="J178" s="1840"/>
      <c r="K178" s="1699"/>
      <c r="L178" s="1840"/>
      <c r="M178" s="1736"/>
      <c r="N178" s="1841"/>
      <c r="O178" s="1699"/>
      <c r="P178" s="1840"/>
      <c r="Q178" s="1736"/>
      <c r="R178" s="1841"/>
      <c r="S178" s="1699"/>
      <c r="T178" s="1707">
        <f t="shared" si="15"/>
        <v>0</v>
      </c>
      <c r="U178" s="1707" t="str">
        <f>IF(H178="","",MIN(VLOOKUP($H178,Principal!$D$11:$H$18,5)*(1+W178)+10*Tablas!$F$518+10*X178,100))</f>
        <v/>
      </c>
      <c r="V178" s="1707">
        <f>IF(ISNA(AE178),0,AE178)+Tablas!$Y524*Nivel_Total+10*Y178</f>
        <v>0</v>
      </c>
      <c r="W178" s="1715"/>
      <c r="X178" s="1699"/>
      <c r="Y178" s="1736"/>
      <c r="Z178" s="226"/>
      <c r="AA178" s="1728" t="str">
        <f>IF(AND(T178&lt;5,Tablas!F$518=0),"-",T178+U178+V178+Z178+IF(I178="",0,40)+Combate!$AB$15+AD178+AF178)</f>
        <v>-</v>
      </c>
      <c r="AB178" s="153">
        <f>IF(AA178="-",0,IF(AA178&gt;VLOOKUP(Nivel_Total,Tabla_LímiteSecundarias,2),1,0))</f>
        <v>0</v>
      </c>
      <c r="AC178" s="2126"/>
      <c r="AH178" s="2885" t="s">
        <v>9787</v>
      </c>
      <c r="AI178" s="2857" t="s">
        <v>2257</v>
      </c>
    </row>
    <row r="179" spans="1:35" ht="12" customHeight="1" x14ac:dyDescent="0.2">
      <c r="A179" s="2129"/>
      <c r="B179" s="554">
        <f>IF(OR(U179="FUE",U179="CON",U179="DES",U179="AGI"),1,IF(OR(U179="INT",U179="POD",U179="VOL",U179="PER"),2,0))</f>
        <v>0</v>
      </c>
      <c r="C179" s="3392"/>
      <c r="D179" s="2678" t="s">
        <v>2310</v>
      </c>
      <c r="E179" s="3362"/>
      <c r="F179" s="3363"/>
      <c r="G179" s="3363"/>
      <c r="H179" s="2414"/>
      <c r="I179" s="1872"/>
      <c r="J179" s="1842"/>
      <c r="K179" s="1698"/>
      <c r="L179" s="1842"/>
      <c r="M179" s="208"/>
      <c r="N179" s="1843"/>
      <c r="O179" s="1698"/>
      <c r="P179" s="1842"/>
      <c r="Q179" s="208"/>
      <c r="R179" s="1843"/>
      <c r="S179" s="1698"/>
      <c r="T179" s="1706">
        <f t="shared" si="15"/>
        <v>0</v>
      </c>
      <c r="U179" s="1706" t="str">
        <f>IF(H179="","",MIN(VLOOKUP($H179,Principal!$D$11:$H$18,5)*(1+W179)+10*Tablas!$F$518+10*X179,100))</f>
        <v/>
      </c>
      <c r="V179" s="1706">
        <f>IF(ISNA(AE179),0,AE179)+Tablas!$Y525*Nivel_Total+10*Y179</f>
        <v>0</v>
      </c>
      <c r="W179" s="1714"/>
      <c r="X179" s="1698"/>
      <c r="Y179" s="208"/>
      <c r="Z179" s="225"/>
      <c r="AA179" s="1727" t="str">
        <f>IF(AND(T179&lt;5,Tablas!F$518=0),"-",T179+U179+V179+Z179+IF(I179="",0,40)+Combate!$AB$15+AD179+AF179)</f>
        <v>-</v>
      </c>
      <c r="AB179" s="153">
        <f>IF(AA179="-",0,IF(AA179&gt;VLOOKUP(Nivel_Total,Tabla_LímiteSecundarias,2),1,0))</f>
        <v>0</v>
      </c>
      <c r="AC179" s="2126"/>
      <c r="AH179" s="2885" t="s">
        <v>9783</v>
      </c>
      <c r="AI179" s="2857" t="s">
        <v>2276</v>
      </c>
    </row>
    <row r="180" spans="1:35" ht="12" customHeight="1" x14ac:dyDescent="0.2">
      <c r="A180" s="2129"/>
      <c r="B180" s="554">
        <f>IF(OR(U180="FUE",U180="CON",U180="DES",U180="AGI"),1,IF(OR(U180="INT",U180="POD",U180="VOL",U180="PER"),2,0))</f>
        <v>0</v>
      </c>
      <c r="C180" s="3392"/>
      <c r="D180" s="2678" t="s">
        <v>2310</v>
      </c>
      <c r="E180" s="3360"/>
      <c r="F180" s="3361"/>
      <c r="G180" s="3361"/>
      <c r="H180" s="2413"/>
      <c r="I180" s="1873"/>
      <c r="J180" s="1840"/>
      <c r="K180" s="1699"/>
      <c r="L180" s="1840"/>
      <c r="M180" s="1736"/>
      <c r="N180" s="1841"/>
      <c r="O180" s="1699"/>
      <c r="P180" s="1840"/>
      <c r="Q180" s="1736"/>
      <c r="R180" s="1841"/>
      <c r="S180" s="1699"/>
      <c r="T180" s="1707">
        <f t="shared" si="15"/>
        <v>0</v>
      </c>
      <c r="U180" s="1707" t="str">
        <f>IF(H180="","",MIN(VLOOKUP($H180,Principal!$D$11:$H$18,5)*(1+W180)+10*Tablas!$F$518+10*X180,100))</f>
        <v/>
      </c>
      <c r="V180" s="1707">
        <f>IF(ISNA(AE180),0,AE180)+Tablas!$Y526*Nivel_Total+10*Y180</f>
        <v>0</v>
      </c>
      <c r="W180" s="1715"/>
      <c r="X180" s="1699"/>
      <c r="Y180" s="1736"/>
      <c r="Z180" s="226"/>
      <c r="AA180" s="1728" t="str">
        <f>IF(AND(T180&lt;5,Tablas!F$518=0),"-",T180+U180+V180+Z180+IF(I180="",0,40)+Combate!$AB$15+AD180+AF180)</f>
        <v>-</v>
      </c>
      <c r="AB180" s="153">
        <f>IF(AA180="-",0,IF(AA180&gt;VLOOKUP(Nivel_Total,Tabla_LímiteSecundarias,2),1,0))</f>
        <v>0</v>
      </c>
      <c r="AC180" s="2126"/>
      <c r="AH180" s="2885" t="s">
        <v>9788</v>
      </c>
      <c r="AI180" s="2857" t="s">
        <v>9766</v>
      </c>
    </row>
    <row r="181" spans="1:35" ht="12" customHeight="1" x14ac:dyDescent="0.2">
      <c r="A181" s="2129"/>
      <c r="B181" s="554">
        <f>IF(OR(U181="FUE",U181="CON",U181="DES",U181="AGI"),1,IF(OR(U181="INT",U181="POD",U181="VOL",U181="PER"),2,0))</f>
        <v>0</v>
      </c>
      <c r="C181" s="3392"/>
      <c r="D181" s="2679" t="s">
        <v>2310</v>
      </c>
      <c r="E181" s="3352"/>
      <c r="F181" s="3353"/>
      <c r="G181" s="3353"/>
      <c r="H181" s="2415"/>
      <c r="I181" s="1875"/>
      <c r="J181" s="1844"/>
      <c r="K181" s="1704"/>
      <c r="L181" s="1844"/>
      <c r="M181" s="1694"/>
      <c r="N181" s="1845"/>
      <c r="O181" s="1704"/>
      <c r="P181" s="1844"/>
      <c r="Q181" s="1694"/>
      <c r="R181" s="1845"/>
      <c r="S181" s="1704"/>
      <c r="T181" s="1710">
        <f t="shared" si="15"/>
        <v>0</v>
      </c>
      <c r="U181" s="1710" t="str">
        <f>IF(H181="","",MIN(VLOOKUP($H181,Principal!$D$11:$H$18,5)*(1+W181)+10*Tablas!$F$518+10*X181,100))</f>
        <v/>
      </c>
      <c r="V181" s="1710">
        <f>IF(ISNA(AE181),0,AE181)+Tablas!$Y527*Nivel_Total+10*Y181</f>
        <v>0</v>
      </c>
      <c r="W181" s="1718"/>
      <c r="X181" s="1704"/>
      <c r="Y181" s="1694"/>
      <c r="Z181" s="1695"/>
      <c r="AA181" s="1731" t="str">
        <f>IF(AND(T181&lt;5,Tablas!F$518=0),"-",T181+U181+V181+Z181+IF(I181="",0,40)+Combate!$AB$15+AD181+AF181)</f>
        <v>-</v>
      </c>
      <c r="AB181" s="153">
        <f>IF(AA181="-",0,IF(AA181&gt;VLOOKUP(Nivel_Total,Tabla_LímiteSecundarias,2),1,0))</f>
        <v>0</v>
      </c>
      <c r="AC181" s="2126"/>
      <c r="AH181" s="2885" t="s">
        <v>9784</v>
      </c>
      <c r="AI181" s="2857" t="s">
        <v>2289</v>
      </c>
    </row>
    <row r="182" spans="1:35" ht="12" customHeight="1" thickBot="1" x14ac:dyDescent="0.25">
      <c r="A182" s="2129"/>
      <c r="B182" s="554"/>
      <c r="C182" s="3392"/>
      <c r="D182" s="3380" t="s">
        <v>2397</v>
      </c>
      <c r="E182" s="3381"/>
      <c r="F182" s="3381"/>
      <c r="G182" s="3381"/>
      <c r="H182" s="3381"/>
      <c r="I182" s="3381"/>
      <c r="J182" s="3381"/>
      <c r="K182" s="3381"/>
      <c r="L182" s="3381"/>
      <c r="M182" s="3381"/>
      <c r="N182" s="3381"/>
      <c r="O182" s="3381"/>
      <c r="P182" s="3381"/>
      <c r="Q182" s="3381"/>
      <c r="R182" s="3381"/>
      <c r="S182" s="3381"/>
      <c r="T182" s="3381"/>
      <c r="U182" s="3381"/>
      <c r="V182" s="3381"/>
      <c r="W182" s="3381"/>
      <c r="X182" s="3381"/>
      <c r="Y182" s="1851" t="str">
        <f>SUMIFS(W126:W181,H126:H181,"FUE")+SUMIFS(W126:W181,H126:H181,"AGI")+SUMIFS(W126:W181,H126:H181,"DES")+SUMIFS(W126:W181,H126:H181,"CON")&amp;" + "&amp;SUMIFS(W126:W181,H126:H181,"INT")+SUMIFS(W126:W181,H126:H181,"PER")+SUMIFS(W126:W181,H126:H181,"POD")+SUMIFS(W126:W181,H126:H181,"VOL")</f>
        <v>0 + 0</v>
      </c>
      <c r="Z182" s="1852" t="s">
        <v>2398</v>
      </c>
      <c r="AA182" s="1853" t="str">
        <f>IF(Nivel_Total=0,"1 + 1",Nivel_Total*IF(Tablas!F575&gt;0,2,1)*IF(Tablas!F746&gt;0,0,1)&amp;" + "&amp;Nivel_Total*IF(Tablas!F575&gt;0,2,1)*IF(Tablas!F746&gt;0,0,1))</f>
        <v>1 + 1</v>
      </c>
      <c r="AB182" s="2890"/>
      <c r="AC182" s="2126"/>
      <c r="AH182" s="2885" t="s">
        <v>2303</v>
      </c>
      <c r="AI182" s="2857" t="s">
        <v>2303</v>
      </c>
    </row>
    <row r="183" spans="1:35" ht="12" customHeight="1" x14ac:dyDescent="0.2">
      <c r="A183" s="2129"/>
      <c r="B183" s="554"/>
      <c r="C183" s="3392"/>
      <c r="D183" s="3382" t="s">
        <v>2399</v>
      </c>
      <c r="E183" s="3383"/>
      <c r="F183" s="3383"/>
      <c r="G183" s="3383"/>
      <c r="H183" s="3383"/>
      <c r="I183" s="3383"/>
      <c r="J183" s="3383"/>
      <c r="K183" s="3383"/>
      <c r="L183" s="3383"/>
      <c r="M183" s="3383"/>
      <c r="N183" s="3383"/>
      <c r="O183" s="3383"/>
      <c r="P183" s="3383"/>
      <c r="Q183" s="3383"/>
      <c r="R183" s="3383"/>
      <c r="S183" s="3383"/>
      <c r="T183" s="3383"/>
      <c r="U183" s="3383"/>
      <c r="V183" s="3383"/>
      <c r="W183" s="3383"/>
      <c r="X183" s="3383"/>
      <c r="Y183" s="235">
        <f>SUM(X126:X181)</f>
        <v>0</v>
      </c>
      <c r="Z183" s="234" t="s">
        <v>2398</v>
      </c>
      <c r="AA183" s="1733">
        <f>IF(Nivel_Total=0,5,Nivel_Total*5)</f>
        <v>5</v>
      </c>
      <c r="AB183" s="2890"/>
      <c r="AC183" s="2126"/>
      <c r="AH183" s="2885" t="s">
        <v>9785</v>
      </c>
      <c r="AI183" s="2857" t="s">
        <v>2311</v>
      </c>
    </row>
    <row r="184" spans="1:35" ht="12" customHeight="1" x14ac:dyDescent="0.2">
      <c r="A184" s="2129"/>
      <c r="B184" s="554"/>
      <c r="C184" s="3392"/>
      <c r="D184" s="3384" t="s">
        <v>2400</v>
      </c>
      <c r="E184" s="3326"/>
      <c r="F184" s="3326"/>
      <c r="G184" s="3326"/>
      <c r="H184" s="3326"/>
      <c r="I184" s="3326"/>
      <c r="J184" s="3326"/>
      <c r="K184" s="3326"/>
      <c r="L184" s="3326"/>
      <c r="M184" s="3326"/>
      <c r="N184" s="3326"/>
      <c r="O184" s="3326"/>
      <c r="P184" s="3326"/>
      <c r="Q184" s="3326"/>
      <c r="R184" s="3326"/>
      <c r="S184" s="3326"/>
      <c r="T184" s="3326"/>
      <c r="U184" s="3326"/>
      <c r="V184" s="3326"/>
      <c r="W184" s="3326"/>
      <c r="X184" s="3326"/>
      <c r="Y184" s="236">
        <f>SUM(Y126:Y181)</f>
        <v>0</v>
      </c>
      <c r="Z184" s="237" t="s">
        <v>2398</v>
      </c>
      <c r="AA184" s="1734">
        <f>(IF(Categoría_1="Novel",X5,0)+IF(Categoría_2="Novel",X7,0)+IF(Categoría_3="Novel",X9,0)+IF(Categoría_4="Novel",X11,0)+IF(Categoría_5="Novel",X13,0))*5</f>
        <v>0</v>
      </c>
      <c r="AB184" s="2900"/>
      <c r="AC184" s="2126"/>
      <c r="AH184" s="2885" t="s">
        <v>9786</v>
      </c>
      <c r="AI184" s="2857" t="s">
        <v>2324</v>
      </c>
    </row>
    <row r="185" spans="1:35" ht="12" customHeight="1" x14ac:dyDescent="0.2">
      <c r="A185" s="2129"/>
      <c r="B185" s="554"/>
      <c r="C185" s="3392"/>
      <c r="D185" s="3385" t="s">
        <v>2401</v>
      </c>
      <c r="E185" s="3354" t="str">
        <f>IF(Principal!Y13="Si","Múltiplos de Acumulación","Múltiplos de Vida")</f>
        <v>Múltiplos de Vida</v>
      </c>
      <c r="F185" s="3355"/>
      <c r="G185" s="3355"/>
      <c r="H185" s="3355"/>
      <c r="I185" s="3356"/>
      <c r="J185" s="3329">
        <f>IF(Acumulacion="Si","X",IF(Categoría_1=0,0,VLOOKUP(Categoría_1,Tablas!C189:F210,4,FALSE)))</f>
        <v>20</v>
      </c>
      <c r="K185" s="3331"/>
      <c r="L185" s="3329">
        <f>IF(Acumulacion="Si","X",IF(Categoría_2=0,0,VLOOKUP(Categoría_2,Tablas!C189:F210,4,FALSE)))</f>
        <v>0</v>
      </c>
      <c r="M185" s="3331"/>
      <c r="N185" s="3329">
        <f>IF(Acumulacion="Si","X",IF(Categoría_3=0,0,VLOOKUP(Categoría_3,Tablas!C189:F210,4,FALSE)))</f>
        <v>0</v>
      </c>
      <c r="O185" s="3331"/>
      <c r="P185" s="3329">
        <f>IF(Acumulacion="Si","X",IF(Categoría_4=0,0,VLOOKUP(Categoría_4,Tablas!C189:F210,4,FALSE)))</f>
        <v>0</v>
      </c>
      <c r="Q185" s="3331"/>
      <c r="R185" s="3329">
        <f>IF(Acumulacion="Si","X",IF(Categoría_5=0,0,VLOOKUP(Categoría_5,Tablas!C189:F210,4,FALSE)))</f>
        <v>0</v>
      </c>
      <c r="S185" s="3331"/>
      <c r="T185" s="3329">
        <f>IF(Principal!Y13="Si",IF(Tablas!I2253&gt;0,Tablas!I2253,VLOOKUP(Tamaño,Tablas!B123:F130,5)),IF(J185=0,0,TRUNC((K185/J185),0))+IF(L185=0,0,TRUNC((M185/L185),0))+IF(N185=0,0,TRUNC((O185/N185),0))+IF(P185=0,0,TRUNC((Q185/P185),0))+IF(R185=0,0,TRUNC((S185/R185),0)))</f>
        <v>0</v>
      </c>
      <c r="U185" s="3343">
        <f>20+CON*10+Bono_Con</f>
        <v>110</v>
      </c>
      <c r="V185" s="3343">
        <f>((IF(Categoría_1=0,0,VLOOKUP(Categoría_1,Tabla_Categorías,3,FALSE))+10*Tablas!$F$564+20*Tablas!$F$565+30*Tablas!$F$566)*PDs!$X$5+(IF([0]!Categoría_2=0,0,VLOOKUP([0]!Categoría_2,Tabla_Categorías,3,FALSE))+10*Tablas!$F$564+20*Tablas!$F$565+30*Tablas!$F$566)*PDs!$X$7+(IF([0]!Categoría_3=0,0,VLOOKUP([0]!Categoría_3,Tabla_Categorías,3,FALSE))+10*Tablas!$F$564+20*Tablas!$F$565+30*Tablas!$F$566)*PDs!$X$9+(IF([0]!Categoría_4=0,0,VLOOKUP([0]!Categoría_4,Tabla_Categorías,3,FALSE))+10*Tablas!$F$564+20*Tablas!$F$565+30*Tablas!$F$566)*PDs!$X$11+(IF([0]!Categoría_5=0,0,VLOOKUP([0]!Categoría_5,Tabla_Categorías,3,FALSE))+10*Tablas!$F$564+20*Tablas!$F$565+30*Tablas!$F$566)*PDs!$X$13)*IF(Principal!Y13="Si",VLOOKUP(Tamaño,Tablas!B123:F130,5),1)</f>
        <v>5</v>
      </c>
      <c r="W185" s="3343">
        <f>IF(Principal!Y13="Si",T185*(K185+M185+O185+Q185+S185),T185*CON)</f>
        <v>0</v>
      </c>
      <c r="X185" s="3387"/>
      <c r="Y185" s="3388"/>
      <c r="Z185" s="3348">
        <f>U185+W185+V185+X185</f>
        <v>115</v>
      </c>
      <c r="AA185" s="3349"/>
      <c r="AB185" s="150"/>
      <c r="AC185" s="2126"/>
    </row>
    <row r="186" spans="1:35" ht="12" customHeight="1" thickBot="1" x14ac:dyDescent="0.25">
      <c r="A186" s="2129"/>
      <c r="B186" s="554"/>
      <c r="C186" s="3393"/>
      <c r="D186" s="3386"/>
      <c r="E186" s="3330"/>
      <c r="F186" s="3344"/>
      <c r="G186" s="3344"/>
      <c r="H186" s="3344"/>
      <c r="I186" s="3357"/>
      <c r="J186" s="3330"/>
      <c r="K186" s="3332"/>
      <c r="L186" s="3330"/>
      <c r="M186" s="3332"/>
      <c r="N186" s="3330"/>
      <c r="O186" s="3332"/>
      <c r="P186" s="3330"/>
      <c r="Q186" s="3332"/>
      <c r="R186" s="3330"/>
      <c r="S186" s="3332"/>
      <c r="T186" s="3330"/>
      <c r="U186" s="3344"/>
      <c r="V186" s="3344"/>
      <c r="W186" s="3344"/>
      <c r="X186" s="3389"/>
      <c r="Y186" s="3390"/>
      <c r="Z186" s="3350"/>
      <c r="AA186" s="3351"/>
      <c r="AB186" s="571"/>
      <c r="AC186" s="2126"/>
    </row>
    <row r="187" spans="1:35" ht="12" customHeight="1" x14ac:dyDescent="0.2">
      <c r="A187" s="2129"/>
      <c r="B187" s="5190"/>
      <c r="AB187" s="150"/>
      <c r="AC187" s="2126"/>
    </row>
    <row r="188" spans="1:35" ht="12" customHeight="1" thickBot="1" x14ac:dyDescent="0.25">
      <c r="A188" s="2129"/>
      <c r="B188" s="554"/>
      <c r="AB188" s="150"/>
      <c r="AC188" s="2126"/>
    </row>
    <row r="189" spans="1:35" ht="12" customHeight="1" x14ac:dyDescent="0.2">
      <c r="A189" s="2129"/>
      <c r="B189" s="554"/>
      <c r="C189" s="3374" t="s">
        <v>2402</v>
      </c>
      <c r="D189" s="3375"/>
      <c r="E189" s="3375"/>
      <c r="F189" s="3375"/>
      <c r="G189" s="3375"/>
      <c r="H189" s="3375"/>
      <c r="I189" s="3376"/>
      <c r="J189" s="3372">
        <f>$AA$5</f>
        <v>580</v>
      </c>
      <c r="K189" s="3370">
        <f>M83+M101+M117+SUM(K126:K181)+K185</f>
        <v>0</v>
      </c>
      <c r="L189" s="3372">
        <f>SUM($AA$5:$AA$7)</f>
        <v>580</v>
      </c>
      <c r="M189" s="3370">
        <f>O83+O101+O117+M185+SUM(M126:M181)+K189-M83-M101-M117</f>
        <v>0</v>
      </c>
      <c r="N189" s="3372">
        <f>SUM($AA$5:$AA$9)</f>
        <v>580</v>
      </c>
      <c r="O189" s="3370">
        <f>Q83+Q101+Q117+O185+SUM(O126:O181)+M189-O83-O101-O117</f>
        <v>0</v>
      </c>
      <c r="P189" s="3372">
        <f>SUM($AA$5:$AA$11)</f>
        <v>580</v>
      </c>
      <c r="Q189" s="3370">
        <f>S83+S101+S117+Q185+SUM(Q126:Q181)+O189-Q83-Q101-Q117</f>
        <v>0</v>
      </c>
      <c r="R189" s="3372">
        <f>SUM($AA$5:$AA$13)</f>
        <v>580</v>
      </c>
      <c r="S189" s="3370">
        <f>U83+U101+U117+S185+SUM(S126:S181)+Q189-S83-S101-S117</f>
        <v>0</v>
      </c>
      <c r="T189" s="3364" t="str">
        <f>IF(OR(K189&gt;J189,M189&gt;L189,O189&gt;N189,Q189&gt;P189,S189&gt;R189),"Límite por Categoría excedido","")</f>
        <v/>
      </c>
      <c r="U189" s="3365"/>
      <c r="V189" s="3365"/>
      <c r="W189" s="3365"/>
      <c r="X189" s="3365"/>
      <c r="Y189" s="3365"/>
      <c r="Z189" s="3365"/>
      <c r="AA189" s="3366"/>
      <c r="AB189" s="150"/>
      <c r="AC189" s="2126"/>
    </row>
    <row r="190" spans="1:35" ht="12" customHeight="1" thickBot="1" x14ac:dyDescent="0.25">
      <c r="A190" s="2129"/>
      <c r="B190" s="554"/>
      <c r="C190" s="3377"/>
      <c r="D190" s="3378"/>
      <c r="E190" s="3378"/>
      <c r="F190" s="3378"/>
      <c r="G190" s="3378"/>
      <c r="H190" s="3378"/>
      <c r="I190" s="3379"/>
      <c r="J190" s="3373"/>
      <c r="K190" s="3371"/>
      <c r="L190" s="3373"/>
      <c r="M190" s="3371"/>
      <c r="N190" s="3373"/>
      <c r="O190" s="3371"/>
      <c r="P190" s="3373"/>
      <c r="Q190" s="3371"/>
      <c r="R190" s="3373"/>
      <c r="S190" s="3371"/>
      <c r="T190" s="3367"/>
      <c r="U190" s="3368"/>
      <c r="V190" s="3368"/>
      <c r="W190" s="3368"/>
      <c r="X190" s="3368"/>
      <c r="Y190" s="3368"/>
      <c r="Z190" s="3368"/>
      <c r="AA190" s="3369"/>
      <c r="AB190" s="150"/>
      <c r="AC190" s="2126"/>
    </row>
    <row r="191" spans="1:35" ht="12" customHeight="1" x14ac:dyDescent="0.2">
      <c r="A191" s="2127"/>
      <c r="B191" s="554"/>
      <c r="AB191" s="150"/>
      <c r="AC191" s="2127"/>
    </row>
    <row r="192" spans="1:35" ht="12" customHeight="1" thickBot="1" x14ac:dyDescent="0.25">
      <c r="A192" s="2127"/>
      <c r="B192" s="560"/>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2898"/>
      <c r="AC192" s="2127"/>
    </row>
    <row r="193" spans="1:29" ht="12" customHeight="1" x14ac:dyDescent="0.2">
      <c r="A193" s="2127"/>
      <c r="B193" s="2887"/>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6"/>
      <c r="AC193" s="2126"/>
    </row>
    <row r="870" spans="7:7" ht="12" customHeight="1" x14ac:dyDescent="0.2">
      <c r="G870" s="48">
        <f>IF(PDs!E75=0,0,VLOOKUP(PDs!E75,Tabla_ArtesM_Armas,5,FALSE))</f>
        <v>0</v>
      </c>
    </row>
    <row r="871" spans="7:7" ht="12" customHeight="1" x14ac:dyDescent="0.2">
      <c r="G871" s="48">
        <f>IF(PDs!E75=0,0,VLOOKUP(PDs!E75,Tabla_ArtesM_Armas,6,FALSE))</f>
        <v>0</v>
      </c>
    </row>
    <row r="872" spans="7:7" ht="12" customHeight="1" x14ac:dyDescent="0.2">
      <c r="G872" s="48">
        <f>IF(PDs!E75=0,0,VLOOKUP(PDs!E75,Tabla_ArtesM_Armas,7,FALSE))</f>
        <v>0</v>
      </c>
    </row>
    <row r="873" spans="7:7" ht="12" customHeight="1" x14ac:dyDescent="0.2">
      <c r="G873" s="48">
        <f>IF(PDs!E75=0,0,VLOOKUP(PDs!E75,Tabla_ArtesM_Armas,8,FALSE))</f>
        <v>0</v>
      </c>
    </row>
    <row r="875" spans="7:7" ht="12" customHeight="1" x14ac:dyDescent="0.2">
      <c r="G875" s="48">
        <f>IF(PDs!E76=0,0,VLOOKUP(PDs!E76,Tabla_ArtesM_Armas,5,FALSE))</f>
        <v>0</v>
      </c>
    </row>
    <row r="876" spans="7:7" ht="12" customHeight="1" x14ac:dyDescent="0.2">
      <c r="G876" s="48">
        <f>IF(PDs!E76=0,0,VLOOKUP(PDs!E76,Tabla_ArtesM_Armas,6,FALSE))</f>
        <v>0</v>
      </c>
    </row>
    <row r="877" spans="7:7" ht="12" customHeight="1" x14ac:dyDescent="0.2">
      <c r="G877" s="48">
        <f>IF(PDs!E76=0,0,VLOOKUP(PDs!E76,Tabla_ArtesM_Armas,7,FALSE))</f>
        <v>0</v>
      </c>
    </row>
    <row r="878" spans="7:7" ht="12" customHeight="1" x14ac:dyDescent="0.2">
      <c r="G878" s="48">
        <f>IF(PDs!E76=0,0,VLOOKUP(PDs!E76,Tabla_ArtesM_Armas,8,FALSE))</f>
        <v>0</v>
      </c>
    </row>
    <row r="880" spans="7:7" ht="12" customHeight="1" x14ac:dyDescent="0.2">
      <c r="G880" s="48">
        <f>IF(PDs!E77=0,0,VLOOKUP(PDs!E77,Tabla_ArtesM_Armas,5,FALSE))</f>
        <v>0</v>
      </c>
    </row>
    <row r="881" spans="7:7" ht="12" customHeight="1" x14ac:dyDescent="0.2">
      <c r="G881" s="48">
        <f>IF(PDs!E77=0,0,VLOOKUP(PDs!E77,Tabla_ArtesM_Armas,6,FALSE))</f>
        <v>0</v>
      </c>
    </row>
    <row r="882" spans="7:7" ht="12" customHeight="1" x14ac:dyDescent="0.2">
      <c r="G882" s="48">
        <f>IF(PDs!E77=0,0,VLOOKUP(PDs!E77,Tabla_ArtesM_Armas,7,FALSE))</f>
        <v>0</v>
      </c>
    </row>
    <row r="883" spans="7:7" ht="12" customHeight="1" x14ac:dyDescent="0.2">
      <c r="G883" s="48">
        <f>IF(PDs!E77=0,0,VLOOKUP(PDs!E77,Tabla_ArtesM_Armas,8,FALSE))</f>
        <v>0</v>
      </c>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93" priority="375" stopIfTrue="1" operator="equal">
      <formula>"Tabla de Esquiva con Escudo"</formula>
    </cfRule>
  </conditionalFormatting>
  <conditionalFormatting sqref="K189">
    <cfRule type="cellIs" dxfId="492" priority="376" stopIfTrue="1" operator="greaterThan">
      <formula>$J$189</formula>
    </cfRule>
  </conditionalFormatting>
  <conditionalFormatting sqref="Y184">
    <cfRule type="cellIs" dxfId="491" priority="377" stopIfTrue="1" operator="notEqual">
      <formula>$AA$184</formula>
    </cfRule>
  </conditionalFormatting>
  <conditionalFormatting sqref="Y183">
    <cfRule type="cellIs" dxfId="490" priority="378" stopIfTrue="1" operator="notEqual">
      <formula>$AA$183</formula>
    </cfRule>
  </conditionalFormatting>
  <conditionalFormatting sqref="Y182">
    <cfRule type="cellIs" dxfId="489" priority="379" stopIfTrue="1" operator="notEqual">
      <formula>$AA$182</formula>
    </cfRule>
  </conditionalFormatting>
  <conditionalFormatting sqref="Y126:Y128">
    <cfRule type="cellIs" dxfId="488" priority="380" stopIfTrue="1" operator="greaterThan">
      <formula>$AA$184/5</formula>
    </cfRule>
  </conditionalFormatting>
  <conditionalFormatting sqref="M83">
    <cfRule type="cellIs" dxfId="487" priority="383" stopIfTrue="1" operator="greaterThan">
      <formula>$L$83</formula>
    </cfRule>
  </conditionalFormatting>
  <conditionalFormatting sqref="AA126:AA128">
    <cfRule type="expression" dxfId="486" priority="384" stopIfTrue="1">
      <formula>B1</formula>
    </cfRule>
  </conditionalFormatting>
  <conditionalFormatting sqref="U7 U9 U11 U13">
    <cfRule type="expression" dxfId="485" priority="426" stopIfTrue="1">
      <formula>$U$5=0</formula>
    </cfRule>
  </conditionalFormatting>
  <conditionalFormatting sqref="M101">
    <cfRule type="cellIs" dxfId="484" priority="148" stopIfTrue="1" operator="greaterThan">
      <formula>$L$101</formula>
    </cfRule>
  </conditionalFormatting>
  <conditionalFormatting sqref="M117">
    <cfRule type="cellIs" dxfId="483" priority="133" stopIfTrue="1" operator="greaterThan">
      <formula>$L$117</formula>
    </cfRule>
  </conditionalFormatting>
  <conditionalFormatting sqref="Y129:Y132">
    <cfRule type="cellIs" dxfId="482" priority="56" stopIfTrue="1" operator="greaterThan">
      <formula>$AA$184/5</formula>
    </cfRule>
  </conditionalFormatting>
  <conditionalFormatting sqref="AA129:AA132">
    <cfRule type="expression" dxfId="481" priority="57" stopIfTrue="1">
      <formula>B4</formula>
    </cfRule>
  </conditionalFormatting>
  <conditionalFormatting sqref="Y133:Y180">
    <cfRule type="cellIs" dxfId="480" priority="45" stopIfTrue="1" operator="greaterThan">
      <formula>$AA$184/5</formula>
    </cfRule>
  </conditionalFormatting>
  <conditionalFormatting sqref="AA133:AA180">
    <cfRule type="expression" dxfId="479" priority="46" stopIfTrue="1">
      <formula>B8</formula>
    </cfRule>
  </conditionalFormatting>
  <conditionalFormatting sqref="Y181">
    <cfRule type="cellIs" dxfId="478" priority="38" stopIfTrue="1" operator="greaterThan">
      <formula>$AA$184/5</formula>
    </cfRule>
  </conditionalFormatting>
  <conditionalFormatting sqref="AA181">
    <cfRule type="expression" dxfId="477" priority="39" stopIfTrue="1">
      <formula>B56</formula>
    </cfRule>
  </conditionalFormatting>
  <conditionalFormatting sqref="V40:V45">
    <cfRule type="expression" dxfId="476" priority="1592" stopIfTrue="1">
      <formula>AND(NOT($V40="Armas improvisadas"),$Y40=0)</formula>
    </cfRule>
  </conditionalFormatting>
  <conditionalFormatting sqref="E40:E56 E99:E100 E110:E116 E75:E82">
    <cfRule type="expression" dxfId="475" priority="1595">
      <formula>NOT(OR(L40=M40,$N40=$O40,$P40=$Q40,$R40=$S40,$T40=$U40))</formula>
    </cfRule>
  </conditionalFormatting>
  <conditionalFormatting sqref="Y40:AA45">
    <cfRule type="expression" dxfId="474" priority="37">
      <formula>$V40=0</formula>
    </cfRule>
  </conditionalFormatting>
  <conditionalFormatting sqref="E113">
    <cfRule type="expression" dxfId="473" priority="1707" stopIfTrue="1">
      <formula>NOT(OR(#REF!=#REF!,#REF!=#REF!,#REF!=#REF!,#REF!=#REF!,#REF!=#REF!))</formula>
    </cfRule>
  </conditionalFormatting>
  <conditionalFormatting sqref="E114">
    <cfRule type="expression" dxfId="472" priority="2247" stopIfTrue="1">
      <formula>NOT(OR(#REF!=#REF!,#REF!=#REF!,#REF!=#REF!,#REF!=#REF!,#REF!=#REF!))</formula>
    </cfRule>
  </conditionalFormatting>
  <conditionalFormatting sqref="E115:E116">
    <cfRule type="expression" dxfId="471" priority="2250" stopIfTrue="1">
      <formula>NOT(OR(M123=L123,O123=N123,Q123=P123,S123=R123,U123=T123))</formula>
    </cfRule>
  </conditionalFormatting>
  <conditionalFormatting sqref="E57">
    <cfRule type="expression" dxfId="470" priority="21">
      <formula>NOT(OR(L57=M57,$N57=$O57,$P57=$Q57,$R57=$S57,$T57=$U57))</formula>
    </cfRule>
  </conditionalFormatting>
  <conditionalFormatting sqref="E59">
    <cfRule type="expression" dxfId="469" priority="19">
      <formula>NOT(OR(L59=M59,$N59=$O59,$P59=$Q59,$R59=$S59,$T59=$U59))</formula>
    </cfRule>
  </conditionalFormatting>
  <conditionalFormatting sqref="E58">
    <cfRule type="expression" dxfId="468" priority="18">
      <formula>NOT(OR(L58=M58,$N58=$O58,$P58=$Q58,$R58=$S58,$T58=$U58))</formula>
    </cfRule>
  </conditionalFormatting>
  <conditionalFormatting sqref="E61">
    <cfRule type="expression" dxfId="467" priority="17">
      <formula>NOT(OR(L61=M61,$N61=$O61,$P61=$Q61,$R61=$S61,$T61=$U61))</formula>
    </cfRule>
  </conditionalFormatting>
  <conditionalFormatting sqref="E60">
    <cfRule type="expression" dxfId="466" priority="16">
      <formula>NOT(OR(L60=M60,$N60=$O60,$P60=$Q60,$R60=$S60,$T60=$U60))</formula>
    </cfRule>
  </conditionalFormatting>
  <conditionalFormatting sqref="E63">
    <cfRule type="expression" dxfId="465" priority="15">
      <formula>NOT(OR(L63=M63,$N63=$O63,$P63=$Q63,$R63=$S63,$T63=$U63))</formula>
    </cfRule>
  </conditionalFormatting>
  <conditionalFormatting sqref="E62">
    <cfRule type="expression" dxfId="464" priority="14">
      <formula>NOT(OR(L62=M62,$N62=$O62,$P62=$Q62,$R62=$S62,$T62=$U62))</formula>
    </cfRule>
  </conditionalFormatting>
  <conditionalFormatting sqref="E65">
    <cfRule type="expression" dxfId="463" priority="13">
      <formula>NOT(OR(L65=M65,$N65=$O65,$P65=$Q65,$R65=$S65,$T65=$U65))</formula>
    </cfRule>
  </conditionalFormatting>
  <conditionalFormatting sqref="E64">
    <cfRule type="expression" dxfId="462" priority="12">
      <formula>NOT(OR(L64=M64,$N64=$O64,$P64=$Q64,$R64=$S64,$T64=$U64))</formula>
    </cfRule>
  </conditionalFormatting>
  <conditionalFormatting sqref="E67">
    <cfRule type="expression" dxfId="461" priority="11">
      <formula>NOT(OR(L67=M67,$N67=$O67,$P67=$Q67,$R67=$S67,$T67=$U67))</formula>
    </cfRule>
  </conditionalFormatting>
  <conditionalFormatting sqref="E66">
    <cfRule type="expression" dxfId="460" priority="10">
      <formula>NOT(OR(L66=M66,$N66=$O66,$P66=$Q66,$R66=$S66,$T66=$U66))</formula>
    </cfRule>
  </conditionalFormatting>
  <conditionalFormatting sqref="E69">
    <cfRule type="expression" dxfId="459" priority="9">
      <formula>NOT(OR(L69=M69,$N69=$O69,$P69=$Q69,$R69=$S69,$T69=$U69))</formula>
    </cfRule>
  </conditionalFormatting>
  <conditionalFormatting sqref="E68">
    <cfRule type="expression" dxfId="458" priority="8">
      <formula>NOT(OR(L68=M68,$N68=$O68,$P68=$Q68,$R68=$S68,$T68=$U68))</formula>
    </cfRule>
  </conditionalFormatting>
  <conditionalFormatting sqref="E71">
    <cfRule type="expression" dxfId="457" priority="7">
      <formula>NOT(OR(L71=M71,$N71=$O71,$P71=$Q71,$R71=$S71,$T71=$U71))</formula>
    </cfRule>
  </conditionalFormatting>
  <conditionalFormatting sqref="E70">
    <cfRule type="expression" dxfId="456" priority="6">
      <formula>NOT(OR(L70=M70,$N70=$O70,$P70=$Q70,$R70=$S70,$T70=$U70))</formula>
    </cfRule>
  </conditionalFormatting>
  <conditionalFormatting sqref="E73">
    <cfRule type="expression" dxfId="455" priority="5">
      <formula>NOT(OR(L73=M73,$N73=$O73,$P73=$Q73,$R73=$S73,$T73=$U73))</formula>
    </cfRule>
  </conditionalFormatting>
  <conditionalFormatting sqref="E72">
    <cfRule type="expression" dxfId="454" priority="4">
      <formula>NOT(OR(L72=M72,$N72=$O72,$P72=$Q72,$R72=$S72,$T72=$U72))</formula>
    </cfRule>
  </conditionalFormatting>
  <conditionalFormatting sqref="E74">
    <cfRule type="expression" dxfId="453" priority="3">
      <formula>NOT(OR(L74=M74,$N74=$O74,$P74=$Q74,$R74=$S74,$T74=$U74))</formula>
    </cfRule>
  </conditionalFormatting>
  <conditionalFormatting sqref="E56:I74">
    <cfRule type="expression" dxfId="452" priority="1">
      <formula>$J56=""</formula>
    </cfRule>
  </conditionalFormatting>
  <conditionalFormatting sqref="L189:M189">
    <cfRule type="cellIs" dxfId="449" priority="4042" stopIfTrue="1" operator="greaterThan">
      <formula>$L$189</formula>
    </cfRule>
    <cfRule type="expression" dxfId="448" priority="4043" stopIfTrue="1">
      <formula>$U$7=0</formula>
    </cfRule>
  </conditionalFormatting>
  <conditionalFormatting sqref="N189:O189">
    <cfRule type="cellIs" dxfId="447" priority="4044" stopIfTrue="1" operator="greaterThan">
      <formula>$N$189</formula>
    </cfRule>
    <cfRule type="expression" dxfId="446" priority="4045" stopIfTrue="1">
      <formula>$U$9=0</formula>
    </cfRule>
  </conditionalFormatting>
  <conditionalFormatting sqref="P189:Q189">
    <cfRule type="cellIs" dxfId="445" priority="4046" stopIfTrue="1" operator="greaterThan">
      <formula>$P$189</formula>
    </cfRule>
    <cfRule type="expression" dxfId="444" priority="4047" stopIfTrue="1">
      <formula>$U$11=0</formula>
    </cfRule>
  </conditionalFormatting>
  <conditionalFormatting sqref="R189:S189">
    <cfRule type="cellIs" dxfId="443" priority="4048" stopIfTrue="1" operator="greaterThan">
      <formula>$R$189</formula>
    </cfRule>
    <cfRule type="expression" dxfId="442" priority="4049"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1" priority="405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0" priority="412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39" priority="419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38" priority="4260" stopIfTrue="1">
      <formula>Categoría_5=0</formula>
    </cfRule>
  </conditionalFormatting>
  <conditionalFormatting sqref="W126:X181">
    <cfRule type="cellIs" dxfId="437" priority="4330"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6" priority="433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35" priority="439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4" priority="446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3" priority="4532" stopIfTrue="1">
      <formula>Categoría_5=0</formula>
    </cfRule>
  </conditionalFormatting>
  <conditionalFormatting sqref="N83:O83 N101:O101 N117:O117">
    <cfRule type="expression" dxfId="432" priority="4600" stopIfTrue="1">
      <formula>Categoría_2=0</formula>
    </cfRule>
  </conditionalFormatting>
  <conditionalFormatting sqref="P83:Q83 P101:Q101 P117:Q117">
    <cfRule type="expression" dxfId="431" priority="4606" stopIfTrue="1">
      <formula>Categoría_3=0</formula>
    </cfRule>
  </conditionalFormatting>
  <conditionalFormatting sqref="R83 R101 R117">
    <cfRule type="expression" dxfId="430" priority="4612" stopIfTrue="1">
      <formula>Categoría_4=0</formula>
    </cfRule>
  </conditionalFormatting>
  <conditionalFormatting sqref="T83 T101 T117">
    <cfRule type="expression" dxfId="429" priority="4618" stopIfTrue="1">
      <formula>Categoría_5=0</formula>
    </cfRule>
  </conditionalFormatting>
  <conditionalFormatting sqref="S83 S101 S117">
    <cfRule type="cellIs" dxfId="428" priority="4623" stopIfTrue="1" operator="greaterThan">
      <formula>$N$83</formula>
    </cfRule>
    <cfRule type="expression" dxfId="427" priority="4624" stopIfTrue="1">
      <formula>Categoría_4=0</formula>
    </cfRule>
  </conditionalFormatting>
  <conditionalFormatting sqref="U83 U101 U117">
    <cfRule type="cellIs" dxfId="426" priority="4629" stopIfTrue="1" operator="greaterThan">
      <formula>$N$83</formula>
    </cfRule>
    <cfRule type="expression" dxfId="425" priority="4630" stopIfTrue="1">
      <formula>$U$13=0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4" workbookViewId="0">
      <selection activeCell="AS40" sqref="AS40"/>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39" width="5.7109375" style="48"/>
    <col min="40" max="40" width="5.7109375" style="2749"/>
    <col min="41" max="41" width="1.7109375" style="2749" customWidth="1"/>
    <col min="42" max="42" width="5.7109375" style="5165"/>
    <col min="43" max="43" width="3.28515625" style="5165" customWidth="1"/>
    <col min="44" max="44" width="5" style="5165" customWidth="1"/>
    <col min="45" max="45" width="5.7109375" style="5165"/>
    <col min="46" max="50" width="4.7109375" style="5165" customWidth="1"/>
    <col min="51" max="52" width="5.7109375" style="5176"/>
    <col min="53" max="54" width="5.7109375" style="5151"/>
    <col min="55" max="55" width="5.7109375" style="2749"/>
    <col min="56" max="16384" width="5.7109375" style="48"/>
  </cols>
  <sheetData>
    <row r="1" spans="1:72" ht="12" customHeight="1" thickBot="1"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137"/>
      <c r="AO1" s="5137"/>
      <c r="AV1" s="5166"/>
      <c r="AW1" s="5166"/>
      <c r="AX1" s="5166"/>
      <c r="BA1" s="5143"/>
      <c r="BB1" s="5143"/>
      <c r="BC1" s="2348"/>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865"/>
      <c r="U2" s="50"/>
      <c r="V2" s="50"/>
      <c r="W2" s="143"/>
      <c r="X2" s="144"/>
      <c r="Y2" s="144"/>
      <c r="Z2" s="144"/>
      <c r="AA2" s="144"/>
      <c r="AB2" s="144"/>
      <c r="AC2" s="144"/>
      <c r="AD2" s="144"/>
      <c r="AE2" s="144"/>
      <c r="AF2" s="144"/>
      <c r="AG2" s="144"/>
      <c r="AH2" s="144"/>
      <c r="AI2" s="144"/>
      <c r="AJ2" s="144"/>
      <c r="AK2" s="144"/>
      <c r="AL2" s="144"/>
      <c r="AM2" s="144"/>
      <c r="AN2" s="5138"/>
      <c r="AO2" s="5137"/>
      <c r="BA2" s="5143"/>
      <c r="BB2" s="5143"/>
      <c r="BC2" s="5139"/>
      <c r="BD2" s="241"/>
      <c r="BE2" s="241"/>
      <c r="BF2" s="23"/>
      <c r="BG2" s="73"/>
      <c r="BH2" s="73"/>
      <c r="BI2" s="73"/>
      <c r="BJ2" s="233"/>
      <c r="BK2" s="233"/>
      <c r="BL2" s="233"/>
      <c r="BM2" s="90"/>
      <c r="BN2" s="90"/>
      <c r="BO2" s="90"/>
      <c r="BP2" s="90"/>
      <c r="BQ2" s="23"/>
      <c r="BR2" s="27"/>
      <c r="BS2" s="27"/>
      <c r="BT2" s="27"/>
    </row>
    <row r="3" spans="1:72" ht="12" customHeight="1" thickBot="1" x14ac:dyDescent="0.25">
      <c r="A3" s="50"/>
      <c r="B3" s="149"/>
      <c r="C3" s="3046"/>
      <c r="D3" s="3046"/>
      <c r="E3" s="3046"/>
      <c r="F3" s="3046"/>
      <c r="G3" s="3046"/>
      <c r="H3" s="3046"/>
      <c r="I3" s="13"/>
      <c r="J3" s="13"/>
      <c r="K3" s="13"/>
      <c r="L3" s="13"/>
      <c r="M3" s="13"/>
      <c r="N3" s="13"/>
      <c r="O3" s="13"/>
      <c r="P3" s="13"/>
      <c r="Q3" s="13"/>
      <c r="R3" s="13"/>
      <c r="S3" s="2377"/>
      <c r="T3" s="2866"/>
      <c r="U3" s="50"/>
      <c r="V3" s="50"/>
      <c r="W3" s="149"/>
      <c r="X3" s="3046"/>
      <c r="Y3" s="3046"/>
      <c r="Z3" s="3046"/>
      <c r="AA3" s="3046"/>
      <c r="AB3" s="3046"/>
      <c r="AC3" s="3046"/>
      <c r="AD3" s="13"/>
      <c r="AE3" s="13"/>
      <c r="AF3" s="13"/>
      <c r="AG3" s="13"/>
      <c r="AH3" s="13"/>
      <c r="AI3" s="13"/>
      <c r="AJ3" s="13"/>
      <c r="AK3" s="13"/>
      <c r="AL3" s="13"/>
      <c r="AM3" s="14"/>
      <c r="AN3" s="5140"/>
      <c r="AO3" s="5137"/>
      <c r="BA3" s="5143"/>
      <c r="BB3" s="5141"/>
      <c r="BC3" s="2348"/>
      <c r="BD3" s="73"/>
      <c r="BE3" s="73"/>
      <c r="BF3" s="73"/>
      <c r="BG3" s="73"/>
      <c r="BH3" s="73"/>
      <c r="BI3" s="73"/>
      <c r="BJ3" s="154"/>
      <c r="BK3" s="23"/>
      <c r="BL3" s="23"/>
    </row>
    <row r="4" spans="1:72" ht="12" customHeight="1" thickBot="1" x14ac:dyDescent="0.25">
      <c r="A4" s="50"/>
      <c r="B4" s="149"/>
      <c r="C4" s="3046"/>
      <c r="D4" s="3046"/>
      <c r="E4" s="3046"/>
      <c r="F4" s="3046"/>
      <c r="G4" s="3046"/>
      <c r="H4" s="3046"/>
      <c r="I4" s="16"/>
      <c r="J4" s="16"/>
      <c r="K4" s="2963" t="s">
        <v>2169</v>
      </c>
      <c r="L4" s="2963"/>
      <c r="M4" s="2964" t="str">
        <f>IF(OR(General!$G$22="",General!$G$22=0),"",General!$G$22)</f>
        <v/>
      </c>
      <c r="N4" s="2964"/>
      <c r="O4" s="2964"/>
      <c r="P4" s="2964"/>
      <c r="Q4" s="2964"/>
      <c r="R4" s="2374"/>
      <c r="S4" s="17"/>
      <c r="T4" s="2866"/>
      <c r="U4" s="50"/>
      <c r="V4" s="50"/>
      <c r="W4" s="149"/>
      <c r="X4" s="3046"/>
      <c r="Y4" s="3046"/>
      <c r="Z4" s="3046"/>
      <c r="AA4" s="3046"/>
      <c r="AB4" s="3046"/>
      <c r="AC4" s="3046"/>
      <c r="AD4" s="16"/>
      <c r="AE4" s="16"/>
      <c r="AF4" s="2963" t="s">
        <v>2169</v>
      </c>
      <c r="AG4" s="2963"/>
      <c r="AH4" s="2964" t="str">
        <f>IF(OR(General!$G$22="",General!$G$22=0),"",General!$G$22)</f>
        <v/>
      </c>
      <c r="AI4" s="2964"/>
      <c r="AJ4" s="2964"/>
      <c r="AK4" s="2964"/>
      <c r="AL4" s="2964"/>
      <c r="AM4" s="17"/>
      <c r="AN4" s="5140"/>
      <c r="AO4" s="5137"/>
      <c r="AP4" s="5166"/>
      <c r="AQ4" s="5166"/>
      <c r="AR4" s="5166"/>
      <c r="AV4" s="5166"/>
      <c r="AW4" s="5166"/>
      <c r="AX4" s="5166"/>
      <c r="BA4" s="5143"/>
      <c r="BB4" s="5141"/>
      <c r="BC4" s="5142"/>
      <c r="BD4" s="123"/>
      <c r="BE4" s="90"/>
      <c r="BF4" s="244"/>
      <c r="BG4" s="154"/>
      <c r="BH4" s="154"/>
      <c r="BI4" s="154"/>
      <c r="BJ4" s="154"/>
      <c r="BK4" s="154"/>
      <c r="BL4" s="154"/>
    </row>
    <row r="5" spans="1:72" ht="12" customHeight="1" thickBot="1" x14ac:dyDescent="0.25">
      <c r="A5" s="50"/>
      <c r="B5" s="149"/>
      <c r="C5" s="3046"/>
      <c r="D5" s="3046"/>
      <c r="E5" s="3046"/>
      <c r="F5" s="3046"/>
      <c r="G5" s="3046"/>
      <c r="H5" s="3046"/>
      <c r="I5" s="16"/>
      <c r="J5" s="16"/>
      <c r="K5" s="3042" t="s">
        <v>2170</v>
      </c>
      <c r="L5" s="3042"/>
      <c r="M5" s="3043" t="str">
        <f>Principal!$L$5</f>
        <v>Hechicero</v>
      </c>
      <c r="N5" s="3043"/>
      <c r="O5" s="3043"/>
      <c r="P5" s="18" t="s">
        <v>2171</v>
      </c>
      <c r="Q5" s="19" t="str">
        <f>Principal!$P$5</f>
        <v>1 + 2</v>
      </c>
      <c r="R5" s="16"/>
      <c r="S5" s="20"/>
      <c r="T5" s="2866"/>
      <c r="U5" s="50"/>
      <c r="V5" s="50"/>
      <c r="W5" s="149"/>
      <c r="X5" s="3046"/>
      <c r="Y5" s="3046"/>
      <c r="Z5" s="3046"/>
      <c r="AA5" s="3046"/>
      <c r="AB5" s="3046"/>
      <c r="AC5" s="3046"/>
      <c r="AD5" s="16"/>
      <c r="AE5" s="16"/>
      <c r="AF5" s="3042" t="s">
        <v>2170</v>
      </c>
      <c r="AG5" s="3042"/>
      <c r="AH5" s="3043" t="str">
        <f>Principal!$L$5</f>
        <v>Hechicero</v>
      </c>
      <c r="AI5" s="3043"/>
      <c r="AJ5" s="3043"/>
      <c r="AK5" s="18" t="s">
        <v>2171</v>
      </c>
      <c r="AL5" s="19" t="str">
        <f>Principal!$P$5</f>
        <v>1 + 2</v>
      </c>
      <c r="AM5" s="20"/>
      <c r="AN5" s="5140"/>
      <c r="AO5" s="5137"/>
      <c r="AP5" s="5167"/>
      <c r="AQ5" s="5167"/>
      <c r="AR5" s="5167"/>
      <c r="AS5" s="5167"/>
      <c r="AT5" s="5167"/>
      <c r="AU5" s="5167"/>
      <c r="AV5" s="5167"/>
      <c r="AW5" s="5167"/>
      <c r="AX5" s="5167"/>
      <c r="BA5" s="5143"/>
      <c r="BB5" s="5141"/>
      <c r="BC5" s="5142"/>
      <c r="BD5" s="123"/>
      <c r="BE5" s="90"/>
      <c r="BF5" s="244"/>
      <c r="BG5" s="154"/>
      <c r="BH5" s="154"/>
      <c r="BI5" s="154"/>
      <c r="BJ5" s="154"/>
      <c r="BK5" s="154"/>
      <c r="BL5" s="154"/>
    </row>
    <row r="6" spans="1:72" ht="12" customHeight="1" thickBot="1" x14ac:dyDescent="0.25">
      <c r="A6" s="50"/>
      <c r="B6" s="149"/>
      <c r="C6" s="3046"/>
      <c r="D6" s="3046"/>
      <c r="E6" s="3046"/>
      <c r="F6" s="3046"/>
      <c r="G6" s="3046"/>
      <c r="H6" s="3046"/>
      <c r="I6" s="16"/>
      <c r="J6" s="16"/>
      <c r="K6" s="3044" t="s">
        <v>2403</v>
      </c>
      <c r="L6" s="3044"/>
      <c r="M6" s="3044"/>
      <c r="N6" s="3044"/>
      <c r="O6" s="3044"/>
      <c r="P6" s="3044"/>
      <c r="Q6" s="3044"/>
      <c r="R6" s="16"/>
      <c r="S6" s="20"/>
      <c r="T6" s="2866"/>
      <c r="U6" s="50"/>
      <c r="V6" s="50"/>
      <c r="W6" s="149"/>
      <c r="X6" s="3046"/>
      <c r="Y6" s="3046"/>
      <c r="Z6" s="3046"/>
      <c r="AA6" s="3046"/>
      <c r="AB6" s="3046"/>
      <c r="AC6" s="3046"/>
      <c r="AD6" s="16"/>
      <c r="AE6" s="16"/>
      <c r="AF6" s="3044" t="s">
        <v>2404</v>
      </c>
      <c r="AG6" s="3044"/>
      <c r="AH6" s="3044"/>
      <c r="AI6" s="3044"/>
      <c r="AJ6" s="3044"/>
      <c r="AK6" s="3044"/>
      <c r="AL6" s="3044"/>
      <c r="AM6" s="20"/>
      <c r="AN6" s="5140"/>
      <c r="AO6" s="5137"/>
      <c r="AP6" s="5167"/>
      <c r="AQ6" s="5167"/>
      <c r="AR6" s="5167"/>
      <c r="AS6" s="5167"/>
      <c r="AT6" s="5167"/>
      <c r="AU6" s="5167"/>
      <c r="AV6" s="5166"/>
      <c r="AW6" s="5166"/>
      <c r="AX6" s="5167"/>
      <c r="BA6" s="5143"/>
      <c r="BB6" s="5143"/>
      <c r="BC6" s="5142"/>
      <c r="BD6" s="123"/>
      <c r="BE6" s="90"/>
      <c r="BF6" s="244"/>
      <c r="BG6" s="154"/>
      <c r="BH6" s="154"/>
      <c r="BI6" s="154"/>
      <c r="BJ6" s="154"/>
      <c r="BK6" s="154"/>
      <c r="BL6" s="154"/>
    </row>
    <row r="7" spans="1:72" ht="12" customHeight="1" thickBot="1" x14ac:dyDescent="0.25">
      <c r="A7" s="50"/>
      <c r="B7" s="149"/>
      <c r="C7" s="3046"/>
      <c r="D7" s="3046"/>
      <c r="E7" s="3046"/>
      <c r="F7" s="3046"/>
      <c r="G7" s="3046"/>
      <c r="H7" s="3046"/>
      <c r="I7" s="16"/>
      <c r="J7" s="16"/>
      <c r="K7" s="3044"/>
      <c r="L7" s="3044"/>
      <c r="M7" s="3044"/>
      <c r="N7" s="3044"/>
      <c r="O7" s="3044"/>
      <c r="P7" s="3044"/>
      <c r="Q7" s="3044"/>
      <c r="R7" s="16"/>
      <c r="S7" s="20"/>
      <c r="T7" s="2866"/>
      <c r="U7" s="50"/>
      <c r="V7" s="50"/>
      <c r="W7" s="149"/>
      <c r="X7" s="3046"/>
      <c r="Y7" s="3046"/>
      <c r="Z7" s="3046"/>
      <c r="AA7" s="3046"/>
      <c r="AB7" s="3046"/>
      <c r="AC7" s="3046"/>
      <c r="AD7" s="16"/>
      <c r="AE7" s="16"/>
      <c r="AF7" s="3044"/>
      <c r="AG7" s="3044"/>
      <c r="AH7" s="3044"/>
      <c r="AI7" s="3044"/>
      <c r="AJ7" s="3044"/>
      <c r="AK7" s="3044"/>
      <c r="AL7" s="3044"/>
      <c r="AM7" s="20"/>
      <c r="AN7" s="5140"/>
      <c r="AO7" s="5137"/>
      <c r="AP7" s="5167"/>
      <c r="AQ7" s="5167"/>
      <c r="AR7" s="5167"/>
      <c r="AS7" s="5167"/>
      <c r="AT7" s="5167"/>
      <c r="AU7" s="5167"/>
      <c r="AV7" s="5166"/>
      <c r="AW7" s="5166"/>
      <c r="AX7" s="5166"/>
      <c r="BA7" s="5143"/>
      <c r="BB7" s="5143"/>
      <c r="BC7" s="5142"/>
      <c r="BD7" s="123"/>
      <c r="BE7" s="90"/>
      <c r="BF7" s="244"/>
      <c r="BG7" s="154"/>
      <c r="BH7" s="154"/>
      <c r="BI7" s="154"/>
      <c r="BJ7" s="154"/>
      <c r="BK7" s="154"/>
      <c r="BL7" s="154"/>
    </row>
    <row r="8" spans="1:72" ht="12" customHeight="1" thickBot="1" x14ac:dyDescent="0.25">
      <c r="A8" s="50"/>
      <c r="B8" s="149"/>
      <c r="C8" s="3046"/>
      <c r="D8" s="3046"/>
      <c r="E8" s="3046"/>
      <c r="F8" s="3046"/>
      <c r="G8" s="3046"/>
      <c r="H8" s="3046"/>
      <c r="I8" s="21"/>
      <c r="J8" s="21"/>
      <c r="K8" s="21"/>
      <c r="L8" s="21"/>
      <c r="M8" s="21"/>
      <c r="N8" s="21"/>
      <c r="O8" s="21"/>
      <c r="P8" s="21"/>
      <c r="Q8" s="21"/>
      <c r="R8" s="21"/>
      <c r="S8" s="2378"/>
      <c r="T8" s="2866"/>
      <c r="U8" s="50"/>
      <c r="V8" s="50"/>
      <c r="W8" s="149"/>
      <c r="X8" s="3046"/>
      <c r="Y8" s="3046"/>
      <c r="Z8" s="3046"/>
      <c r="AA8" s="3046"/>
      <c r="AB8" s="3046"/>
      <c r="AC8" s="3046"/>
      <c r="AD8" s="21"/>
      <c r="AE8" s="21"/>
      <c r="AF8" s="21"/>
      <c r="AG8" s="21"/>
      <c r="AH8" s="21"/>
      <c r="AI8" s="21"/>
      <c r="AJ8" s="21"/>
      <c r="AK8" s="21"/>
      <c r="AL8" s="21"/>
      <c r="AM8" s="22"/>
      <c r="AN8" s="5140"/>
      <c r="AO8" s="5137"/>
      <c r="AP8" s="5167"/>
      <c r="AQ8" s="5167"/>
      <c r="AS8" s="5167"/>
      <c r="AT8" s="5167"/>
      <c r="AU8" s="5167"/>
      <c r="AV8" s="5167"/>
      <c r="AW8" s="5167"/>
      <c r="AX8" s="5167"/>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376"/>
      <c r="T9" s="2866"/>
      <c r="U9" s="50"/>
      <c r="V9" s="50"/>
      <c r="W9" s="149"/>
      <c r="X9" s="69"/>
      <c r="Y9" s="69"/>
      <c r="Z9" s="69"/>
      <c r="AA9" s="69"/>
      <c r="AB9" s="69"/>
      <c r="AC9" s="69"/>
      <c r="AD9" s="69"/>
      <c r="AE9" s="69"/>
      <c r="AF9" s="69"/>
      <c r="AG9" s="69"/>
      <c r="AH9" s="69"/>
      <c r="AI9" s="69"/>
      <c r="AJ9" s="69"/>
      <c r="AK9" s="69"/>
      <c r="AL9" s="69"/>
      <c r="AM9" s="69"/>
      <c r="AN9" s="5140"/>
      <c r="AO9" s="5137"/>
      <c r="AP9" s="5167"/>
      <c r="AS9" s="5167"/>
      <c r="AT9" s="5167"/>
      <c r="AU9" s="5167"/>
      <c r="AV9" s="5167"/>
      <c r="AW9" s="5167"/>
      <c r="AX9" s="5167"/>
      <c r="BL9" s="23"/>
      <c r="BM9" s="23"/>
      <c r="BN9" s="23"/>
      <c r="BO9" s="23"/>
      <c r="BP9" s="23"/>
      <c r="BQ9" s="23"/>
      <c r="BR9" s="27"/>
      <c r="BS9" s="27"/>
      <c r="BT9" s="27"/>
    </row>
    <row r="10" spans="1:72" ht="12" customHeight="1" thickBot="1" x14ac:dyDescent="0.25">
      <c r="A10" s="50"/>
      <c r="B10" s="149"/>
      <c r="C10" s="3676" t="s">
        <v>2405</v>
      </c>
      <c r="D10" s="3677"/>
      <c r="E10" s="3677"/>
      <c r="F10" s="3677"/>
      <c r="G10" s="3677"/>
      <c r="H10" s="3677"/>
      <c r="I10" s="3677"/>
      <c r="J10" s="3677"/>
      <c r="K10" s="3677"/>
      <c r="L10" s="3677"/>
      <c r="M10" s="3677"/>
      <c r="N10" s="3677"/>
      <c r="O10" s="3677"/>
      <c r="P10" s="3677"/>
      <c r="Q10" s="3677"/>
      <c r="R10" s="3677"/>
      <c r="S10" s="2380"/>
      <c r="T10" s="2866"/>
      <c r="U10" s="50"/>
      <c r="V10" s="50"/>
      <c r="W10" s="149"/>
      <c r="X10" s="3678" t="s">
        <v>2251</v>
      </c>
      <c r="Y10" s="3679" t="s">
        <v>2406</v>
      </c>
      <c r="Z10" s="3679"/>
      <c r="AA10" s="3679"/>
      <c r="AB10" s="245"/>
      <c r="AD10" s="3028" t="s">
        <v>2358</v>
      </c>
      <c r="AE10" s="3028"/>
      <c r="AF10" s="3028"/>
      <c r="AG10" s="3028"/>
      <c r="AH10" s="3680" t="s">
        <v>2407</v>
      </c>
      <c r="AI10" s="3680"/>
      <c r="AJ10" s="3680"/>
      <c r="AK10" s="3680"/>
      <c r="AL10" s="3680"/>
      <c r="AM10" s="3680"/>
      <c r="AN10" s="5140"/>
      <c r="AO10" s="5137"/>
      <c r="AP10" s="5166"/>
      <c r="BL10" s="73"/>
      <c r="BM10" s="73"/>
      <c r="BN10" s="73"/>
      <c r="BO10" s="73"/>
      <c r="BP10" s="73"/>
      <c r="BQ10" s="73"/>
    </row>
    <row r="11" spans="1:72" ht="12" customHeight="1" thickBot="1" x14ac:dyDescent="0.25">
      <c r="A11" s="50"/>
      <c r="B11" s="149"/>
      <c r="C11" s="3681" t="s">
        <v>2405</v>
      </c>
      <c r="D11" s="3681"/>
      <c r="E11" s="3681"/>
      <c r="F11" s="3682" t="s">
        <v>2174</v>
      </c>
      <c r="G11" s="3682"/>
      <c r="H11" s="246" t="s">
        <v>2408</v>
      </c>
      <c r="I11" s="105" t="s">
        <v>2409</v>
      </c>
      <c r="J11" s="71" t="s">
        <v>2354</v>
      </c>
      <c r="K11" s="71" t="s">
        <v>2410</v>
      </c>
      <c r="L11" s="71" t="s">
        <v>2411</v>
      </c>
      <c r="M11" s="71" t="s">
        <v>2412</v>
      </c>
      <c r="N11" s="71" t="s">
        <v>2413</v>
      </c>
      <c r="O11" s="71" t="s">
        <v>2414</v>
      </c>
      <c r="P11" s="105" t="s">
        <v>2415</v>
      </c>
      <c r="Q11" s="71" t="s">
        <v>2416</v>
      </c>
      <c r="R11" s="289" t="s">
        <v>2417</v>
      </c>
      <c r="S11" s="2389" t="s">
        <v>9583</v>
      </c>
      <c r="T11" s="2866"/>
      <c r="U11" s="50"/>
      <c r="V11" s="50"/>
      <c r="W11" s="149"/>
      <c r="X11" s="3678"/>
      <c r="Y11" s="3683" t="s">
        <v>2418</v>
      </c>
      <c r="Z11" s="3683"/>
      <c r="AA11" s="3683"/>
      <c r="AB11" s="247"/>
      <c r="AD11" s="3684" t="str">
        <f>IF(PDs!$E40=0,"",PDs!$E40)</f>
        <v/>
      </c>
      <c r="AE11" s="3684"/>
      <c r="AF11" s="3684"/>
      <c r="AG11" s="3684"/>
      <c r="AH11" s="3685" t="str">
        <f>IF(PDs!$AD40=0,"",PDs!$V40&amp;" ")&amp;IF(PDs!$AD40=0,"",IF(PDs!$Y40=0,"",PDs!$Y40))</f>
        <v xml:space="preserve"> </v>
      </c>
      <c r="AI11" s="3685"/>
      <c r="AJ11" s="3685"/>
      <c r="AK11" s="3685"/>
      <c r="AL11" s="3685"/>
      <c r="AM11" s="3685"/>
      <c r="AN11" s="5140"/>
      <c r="AO11" s="5137"/>
      <c r="AP11" s="5167"/>
      <c r="AR11" s="5166" t="str">
        <f>I11</f>
        <v>FIL</v>
      </c>
      <c r="AS11" s="5166" t="str">
        <f t="shared" ref="AS11:AX11" si="0">J11</f>
        <v>CON</v>
      </c>
      <c r="AT11" s="5166" t="str">
        <f t="shared" si="0"/>
        <v>PEN</v>
      </c>
      <c r="AU11" s="5166" t="str">
        <f t="shared" si="0"/>
        <v>CAL</v>
      </c>
      <c r="AV11" s="5166" t="str">
        <f t="shared" si="0"/>
        <v>ELE</v>
      </c>
      <c r="AW11" s="5166" t="str">
        <f t="shared" si="0"/>
        <v>FRI</v>
      </c>
      <c r="AX11" s="5166" t="str">
        <f t="shared" si="0"/>
        <v>ENE</v>
      </c>
    </row>
    <row r="12" spans="1:72" ht="12" customHeight="1" thickBot="1" x14ac:dyDescent="0.25">
      <c r="A12" s="50"/>
      <c r="B12" s="249" t="str">
        <f>IF(C12=0,0,VLOOKUP($C12,Tabla_Armaduras,8,FALSE))</f>
        <v>Blanda</v>
      </c>
      <c r="C12" s="3691" t="s">
        <v>1685</v>
      </c>
      <c r="D12" s="3691"/>
      <c r="E12" s="3691"/>
      <c r="F12" s="3690" t="str">
        <f>IF(C12=0,"",VLOOKUP(C12,Tabla_Armaduras,7,FALSE))</f>
        <v>Camisola</v>
      </c>
      <c r="G12" s="3690"/>
      <c r="H12" s="82"/>
      <c r="I12" s="127">
        <f>IF(C12=0,0,H12/5+VLOOKUP($C12,Tabla_Armaduras,9,FALSE))</f>
        <v>1</v>
      </c>
      <c r="J12" s="127">
        <f>IF(C12=0,0,H12/5+VLOOKUP($C12,Tabla_Armaduras,10,FALSE))</f>
        <v>1</v>
      </c>
      <c r="K12" s="127">
        <f>IF(C12=0,0,H12/5+VLOOKUP($C12,Tabla_Armaduras,11,FALSE))</f>
        <v>1</v>
      </c>
      <c r="L12" s="127">
        <f>IF(C12=0,0,H12/5+VLOOKUP($C12,Tabla_Armaduras,12,FALSE))</f>
        <v>1</v>
      </c>
      <c r="M12" s="127">
        <f>IF(C12=0,0,H12/5+VLOOKUP($C12,Tabla_Armaduras,13,FALSE))</f>
        <v>2</v>
      </c>
      <c r="N12" s="127">
        <f>IF(C12=0,0,H12/5+VLOOKUP($C12,Tabla_Armaduras,14,FALSE))</f>
        <v>2</v>
      </c>
      <c r="O12" s="127">
        <f>IF(C12=0,0,VLOOKUP($C12,Tabla_Armaduras,15,FALSE))+IF(S12="Si",QUOTIENT(H12,5),0)</f>
        <v>0</v>
      </c>
      <c r="P12" s="250">
        <f>IF(C12=0,0,IF(Ki!$K$61="-",10,0)+H12*2+VLOOKUP(C12,Tabla_Armaduras,5,FALSE))</f>
        <v>10</v>
      </c>
      <c r="Q12" s="127">
        <f>IF(C12=0,0,H12*10+VLOOKUP(C12,Tabla_Armaduras,6,FALSE))</f>
        <v>25</v>
      </c>
      <c r="R12" s="2369">
        <f>IF(C12=0,0,MAX(VLOOKUP(C12,Tabla_Armaduras,4,FALSE)-H12/5,0))</f>
        <v>0</v>
      </c>
      <c r="S12" s="2555" t="s">
        <v>2234</v>
      </c>
      <c r="T12" s="2866"/>
      <c r="U12" s="50"/>
      <c r="V12" s="50"/>
      <c r="W12" s="149"/>
      <c r="X12" s="3678"/>
      <c r="Y12" s="3683" t="s">
        <v>2419</v>
      </c>
      <c r="Z12" s="3683"/>
      <c r="AA12" s="3683"/>
      <c r="AB12" s="247"/>
      <c r="AD12" s="3687" t="str">
        <f>IF(PDs!$E41=0,"",PDs!$E41)</f>
        <v/>
      </c>
      <c r="AE12" s="3687"/>
      <c r="AF12" s="3687"/>
      <c r="AG12" s="3687"/>
      <c r="AH12" s="3688" t="str">
        <f>IF(PDs!$AD41=0,"",PDs!$V41&amp;" ")&amp;IF(PDs!$AD41=0,"",IF(PDs!$Y41=0,"",PDs!$Y41))</f>
        <v xml:space="preserve"> </v>
      </c>
      <c r="AI12" s="3688"/>
      <c r="AJ12" s="3688"/>
      <c r="AK12" s="3688"/>
      <c r="AL12" s="3688"/>
      <c r="AM12" s="3688"/>
      <c r="AN12" s="5140"/>
      <c r="AO12" s="5137"/>
      <c r="AP12" s="5166" t="s">
        <v>9926</v>
      </c>
      <c r="AR12" s="5166">
        <f>MAX(AR$17:AR$26)</f>
        <v>14</v>
      </c>
      <c r="AS12" s="5166">
        <f>MAX(AS$17:AS$26)</f>
        <v>14</v>
      </c>
      <c r="AT12" s="5166">
        <f t="shared" ref="AT12:AX12" si="1">MAX(AT$17:AT$26)</f>
        <v>14</v>
      </c>
      <c r="AU12" s="5166">
        <f t="shared" si="1"/>
        <v>14</v>
      </c>
      <c r="AV12" s="5166">
        <f t="shared" si="1"/>
        <v>14</v>
      </c>
      <c r="AW12" s="5166">
        <f t="shared" si="1"/>
        <v>14</v>
      </c>
      <c r="AX12" s="5166">
        <f t="shared" si="1"/>
        <v>4</v>
      </c>
      <c r="BJ12" s="192"/>
    </row>
    <row r="13" spans="1:72" ht="12" customHeight="1" thickBot="1" x14ac:dyDescent="0.25">
      <c r="A13" s="50"/>
      <c r="B13" s="249" t="str">
        <f>IF(C13=0,0,VLOOKUP($C13,Tabla_Armaduras,8,FALSE))</f>
        <v>Blanda</v>
      </c>
      <c r="C13" s="3689" t="s">
        <v>1691</v>
      </c>
      <c r="D13" s="3689"/>
      <c r="E13" s="3689"/>
      <c r="F13" s="3690" t="str">
        <f>IF(C13=0,"",VLOOKUP(C13,Tabla_Armaduras,7,FALSE))</f>
        <v>Camisola</v>
      </c>
      <c r="G13" s="3690"/>
      <c r="H13" s="82"/>
      <c r="I13" s="127">
        <f>IF(C13=0,0,H13/5+VLOOKUP($C13,Tabla_Armaduras,9,FALSE))</f>
        <v>3</v>
      </c>
      <c r="J13" s="127">
        <f>IF(C13=0,0,H13/5+VLOOKUP($C13,Tabla_Armaduras,10,FALSE))</f>
        <v>1</v>
      </c>
      <c r="K13" s="127">
        <f>IF(C13=0,0,H13/5+VLOOKUP($C13,Tabla_Armaduras,11,FALSE))</f>
        <v>1</v>
      </c>
      <c r="L13" s="127">
        <f>IF(C13=0,0,H13/5+VLOOKUP($C13,Tabla_Armaduras,12,FALSE))</f>
        <v>0</v>
      </c>
      <c r="M13" s="127">
        <f>IF(C13=0,0,H13/5+VLOOKUP($C13,Tabla_Armaduras,13,FALSE))</f>
        <v>2</v>
      </c>
      <c r="N13" s="127">
        <f>IF(C13=0,0,H13/5+VLOOKUP($C13,Tabla_Armaduras,14,FALSE))</f>
        <v>2</v>
      </c>
      <c r="O13" s="127">
        <f>IF(C13=0,0,VLOOKUP($C13,Tabla_Armaduras,15,FALSE))+IF(S13="Si",QUOTIENT(H13,5),0)</f>
        <v>0</v>
      </c>
      <c r="P13" s="250">
        <f>IF(C13=0,0,IF(Ki!$K$61="-",10,0)+H13*2+VLOOKUP(C13,Tabla_Armaduras,5,FALSE))</f>
        <v>12</v>
      </c>
      <c r="Q13" s="127">
        <f>IF(C13=0,0,H13*10+VLOOKUP(C13,Tabla_Armaduras,6,FALSE))</f>
        <v>25</v>
      </c>
      <c r="R13" s="2369">
        <f>IF(C13=0,0,MAX(VLOOKUP(C13,Tabla_Armaduras,4,FALSE)-H13/5,0))</f>
        <v>0</v>
      </c>
      <c r="S13" s="2555" t="s">
        <v>2234</v>
      </c>
      <c r="T13" s="2866"/>
      <c r="U13" s="50"/>
      <c r="V13" s="50"/>
      <c r="W13" s="149"/>
      <c r="X13" s="3678"/>
      <c r="Y13" s="3683" t="s">
        <v>2420</v>
      </c>
      <c r="Z13" s="3683"/>
      <c r="AA13" s="3683"/>
      <c r="AB13" s="247"/>
      <c r="AD13" s="3687" t="str">
        <f>IF(PDs!$E42=0,"",PDs!$E42)</f>
        <v/>
      </c>
      <c r="AE13" s="3687"/>
      <c r="AF13" s="3687"/>
      <c r="AG13" s="3687"/>
      <c r="AH13" s="3688" t="str">
        <f>IF(PDs!$AD42=0,"",PDs!$V42&amp;" ")&amp;IF(PDs!$AD42=0,"",IF(PDs!$Y42=0,"",PDs!$Y42))</f>
        <v xml:space="preserve"> </v>
      </c>
      <c r="AI13" s="3688"/>
      <c r="AJ13" s="3688"/>
      <c r="AK13" s="3688"/>
      <c r="AL13" s="3688"/>
      <c r="AM13" s="3688"/>
      <c r="AN13" s="5140"/>
      <c r="AO13" s="5137"/>
      <c r="AP13" s="5166" t="s">
        <v>9935</v>
      </c>
      <c r="AR13" s="5166">
        <f t="array" ref="AR13">SUM(TRUNC((AR$17:AR$26)/2,0))</f>
        <v>14</v>
      </c>
      <c r="AS13" s="5166">
        <f t="array" ref="AS13">SUM(TRUNC((AS$17:AS$26)/2,0))</f>
        <v>13</v>
      </c>
      <c r="AT13" s="5166">
        <f t="array" ref="AT13">SUM(TRUNC((AT$17:AT$26)/2,0))</f>
        <v>13</v>
      </c>
      <c r="AU13" s="5166">
        <f t="array" ref="AU13">SUM(TRUNC((AU$17:AU$26)/2,0))</f>
        <v>13</v>
      </c>
      <c r="AV13" s="5166">
        <f t="array" ref="AV13">SUM(TRUNC((AV$17:AV$26)/2,0))</f>
        <v>14</v>
      </c>
      <c r="AW13" s="5166">
        <f t="array" ref="AW13">SUM(TRUNC((AW$17:AW$26)/2,0))</f>
        <v>14</v>
      </c>
      <c r="AX13" s="5166">
        <f t="array" ref="AX13">SUM(TRUNC((AX$17:AX$26)/2,0))</f>
        <v>2</v>
      </c>
      <c r="BJ13" s="192"/>
      <c r="BL13" s="90"/>
    </row>
    <row r="14" spans="1:72" ht="12" customHeight="1" thickBot="1" x14ac:dyDescent="0.25">
      <c r="A14" s="50"/>
      <c r="B14" s="249">
        <f>IF(C14=0,0,VLOOKUP($C14,Tabla_Armaduras,8,FALSE))</f>
        <v>0</v>
      </c>
      <c r="C14" s="3700"/>
      <c r="D14" s="3700"/>
      <c r="E14" s="3700"/>
      <c r="F14" s="3701" t="str">
        <f>IF(C14=0,"",VLOOKUP(C14,Tabla_Armaduras,7,FALSE))</f>
        <v/>
      </c>
      <c r="G14" s="3701"/>
      <c r="H14" s="252"/>
      <c r="I14" s="253">
        <f>IF(C14=0,0,H14/5+VLOOKUP($C14,Tabla_Armaduras,9,FALSE))</f>
        <v>0</v>
      </c>
      <c r="J14" s="129">
        <f>IF(C14=0,0,H14/5+VLOOKUP($C14,Tabla_Armaduras,10,FALSE))</f>
        <v>0</v>
      </c>
      <c r="K14" s="129">
        <f>IF(C14=0,0,H14/5+VLOOKUP($C14,Tabla_Armaduras,11,FALSE))</f>
        <v>0</v>
      </c>
      <c r="L14" s="129">
        <f>IF(C14=0,0,H14/5+VLOOKUP($C14,Tabla_Armaduras,12,FALSE))</f>
        <v>0</v>
      </c>
      <c r="M14" s="129">
        <f>IF(C14=0,0,H14/5+VLOOKUP($C14,Tabla_Armaduras,13,FALSE))</f>
        <v>0</v>
      </c>
      <c r="N14" s="129">
        <f>IF(C14=0,0,H14/5+VLOOKUP($C14,Tabla_Armaduras,14,FALSE))</f>
        <v>0</v>
      </c>
      <c r="O14" s="116">
        <f>IF(C14=0,0,VLOOKUP($C14,Tabla_Armaduras,15,FALSE))+IF(S14="Si",QUOTIENT(H14,5),0)</f>
        <v>0</v>
      </c>
      <c r="P14" s="253">
        <f>IF(C14=0,0,IF(Ki!$K$61="-",10,0)+H14*2+VLOOKUP(C14,Tabla_Armaduras,5,FALSE))</f>
        <v>0</v>
      </c>
      <c r="Q14" s="129">
        <f>IF(C14=0,0,H14*10+VLOOKUP(C14,Tabla_Armaduras,6,FALSE))</f>
        <v>0</v>
      </c>
      <c r="R14" s="129">
        <f>IF(C14=0,0,MAX(VLOOKUP(C14,Tabla_Armaduras,4,FALSE)-H14/5,0))</f>
        <v>0</v>
      </c>
      <c r="S14" s="2565" t="s">
        <v>2234</v>
      </c>
      <c r="T14" s="2866"/>
      <c r="U14" s="50"/>
      <c r="V14" s="50"/>
      <c r="W14" s="149"/>
      <c r="X14" s="3678"/>
      <c r="Y14" s="3686" t="s">
        <v>2421</v>
      </c>
      <c r="Z14" s="3686"/>
      <c r="AA14" s="3686"/>
      <c r="AB14" s="254"/>
      <c r="AD14" s="3687" t="str">
        <f>IF(PDs!$E43=0,"",PDs!$E43)</f>
        <v/>
      </c>
      <c r="AE14" s="3687"/>
      <c r="AF14" s="3687"/>
      <c r="AG14" s="3687"/>
      <c r="AH14" s="3688" t="str">
        <f>IF(PDs!$AD43=0,"",PDs!$V43&amp;" ")&amp;IF(PDs!$AD43=0,"",IF(PDs!$Y43=0,"",PDs!$Y43))</f>
        <v xml:space="preserve"> </v>
      </c>
      <c r="AI14" s="3688"/>
      <c r="AJ14" s="3688"/>
      <c r="AK14" s="3688"/>
      <c r="AL14" s="3688"/>
      <c r="AM14" s="3688"/>
      <c r="AN14" s="5140"/>
      <c r="AO14" s="5137"/>
      <c r="AP14" s="5167" t="s">
        <v>9925</v>
      </c>
      <c r="AR14" s="5179">
        <f>AR12+AR13-AR12/2</f>
        <v>21</v>
      </c>
      <c r="AS14" s="5179">
        <f>AS12+AS13-AS12/2</f>
        <v>20</v>
      </c>
      <c r="AT14" s="5179">
        <f t="shared" ref="AT14:AX14" si="2">AT12+AT13-AT12/2</f>
        <v>20</v>
      </c>
      <c r="AU14" s="5179">
        <f t="shared" si="2"/>
        <v>20</v>
      </c>
      <c r="AV14" s="5179">
        <f t="shared" si="2"/>
        <v>21</v>
      </c>
      <c r="AW14" s="5179">
        <f t="shared" si="2"/>
        <v>21</v>
      </c>
      <c r="AX14" s="5179">
        <f>AX12+AX13-AX12/2</f>
        <v>4</v>
      </c>
      <c r="AY14" s="5165" t="s">
        <v>9936</v>
      </c>
      <c r="BJ14" s="192"/>
      <c r="BL14" s="73"/>
    </row>
    <row r="15" spans="1:72" ht="12" customHeight="1" thickBot="1" x14ac:dyDescent="0.25">
      <c r="A15" s="50"/>
      <c r="B15" s="149"/>
      <c r="C15" s="3693"/>
      <c r="D15" s="3694"/>
      <c r="E15" s="3075"/>
      <c r="F15" s="3695" t="s">
        <v>2422</v>
      </c>
      <c r="G15" s="3695"/>
      <c r="H15" s="256"/>
      <c r="I15" s="44">
        <f>IF($C$15=0,2*Tablas!F537,MAX(2*Tablas!F537,$H$15/5+VLOOKUP($C$15,Tabla_Yelmos,8))+TRUNC(MIN(2*Tablas!F537,$H$15/5+VLOOKUP($C$15,Tablas!$C$1282:$P$1289,8))/2,0))</f>
        <v>2</v>
      </c>
      <c r="J15" s="44">
        <f>IF($C$15=0,2*Tablas!F537,MAX(2*Tablas!F537,$H$15/5+VLOOKUP($C$15,Tabla_Yelmos,9))+TRUNC(MIN(2*Tablas!F537,$H$15/5+VLOOKUP($C$15,Tabla_Yelmos,9))/2,0))</f>
        <v>2</v>
      </c>
      <c r="K15" s="44">
        <f>IF($C$15=0,2*Tablas!F537,MAX(2*Tablas!F537,$H$15/5+VLOOKUP($C$15,Tabla_Yelmos,10))+TRUNC(MIN(2*Tablas!F537,$H$15/5+VLOOKUP($C$15,Tabla_Yelmos,10))/2,0))</f>
        <v>2</v>
      </c>
      <c r="L15" s="44">
        <f>IF($C$15=0,2*Tablas!F537,MAX(2*Tablas!F537,$H$15/5+VLOOKUP($C$15,Tabla_Yelmos,11))+TRUNC(MIN(2*Tablas!F537,$H$15/5+VLOOKUP($C$15,Tabla_Yelmos,11))/2,0))</f>
        <v>2</v>
      </c>
      <c r="M15" s="44">
        <f>IF($C$15=0,2*Tablas!F537,MAX(2*Tablas!F537,$H$15/5+VLOOKUP($C$15,Tabla_Yelmos,12))+TRUNC(MIN(2*Tablas!F537,$H$15/5+VLOOKUP($C$15,Tabla_Yelmos,12))/2,0))</f>
        <v>2</v>
      </c>
      <c r="N15" s="44">
        <f>IF($C$15=0,2*Tablas!F537,MAX(2*Tablas!F537,$H$15/5+VLOOKUP($C$15,Tabla_Yelmos,13))+TRUNC(MIN(2*Tablas!F537,$H$15/5+VLOOKUP($C$15,Tabla_Yelmos,13))/2,0))</f>
        <v>2</v>
      </c>
      <c r="O15" s="44">
        <f>IF($C$15=0,4*Tablas!F538,MAX(4*Tablas!F538,VLOOKUP($C$15,Tabla_Yelmos,14))+TRUNC(MIN(4*Tablas!F538,VLOOKUP($C$15,Tabla_Yelmos,14))/2,0))++IF(S15="Si",QUOTIENT(H15,5),0)</f>
        <v>0</v>
      </c>
      <c r="P15" s="255">
        <f>IF(C15=0,0,IF(Ki!$K$61="-",10,0)+H15*2+VLOOKUP(C15,Tabla_Yelmos,4))</f>
        <v>0</v>
      </c>
      <c r="Q15" s="44">
        <f>IF(C15=0,0,H15*10+VLOOKUP(C15,Tabla_Yelmos,5))</f>
        <v>0</v>
      </c>
      <c r="R15" s="44" t="s">
        <v>2310</v>
      </c>
      <c r="S15" s="2566" t="s">
        <v>2234</v>
      </c>
      <c r="T15" s="2866"/>
      <c r="U15" s="50"/>
      <c r="V15" s="50"/>
      <c r="W15" s="149"/>
      <c r="X15" s="3678"/>
      <c r="Y15" s="3703" t="s">
        <v>2202</v>
      </c>
      <c r="Z15" s="3703"/>
      <c r="AA15" s="3703"/>
      <c r="AB15" s="3706">
        <f>SUM(AB10:AB14)</f>
        <v>0</v>
      </c>
      <c r="AD15" s="3687" t="str">
        <f>IF(PDs!$E44=0,"",PDs!$E44)</f>
        <v/>
      </c>
      <c r="AE15" s="3687"/>
      <c r="AF15" s="3687"/>
      <c r="AG15" s="3687"/>
      <c r="AH15" s="3688" t="str">
        <f>IF(PDs!$AD44=0,"",PDs!$V44&amp;" ")&amp;IF(PDs!$AD44=0,"",IF(PDs!$Y44=0,"",PDs!$Y44))</f>
        <v xml:space="preserve"> </v>
      </c>
      <c r="AI15" s="3688"/>
      <c r="AJ15" s="3688"/>
      <c r="AK15" s="3688"/>
      <c r="AL15" s="3688"/>
      <c r="AM15" s="3688"/>
      <c r="AN15" s="5140"/>
      <c r="AO15" s="5137"/>
      <c r="AP15" s="5167"/>
      <c r="AR15" s="5167"/>
      <c r="BJ15" s="192"/>
      <c r="BL15" s="90"/>
    </row>
    <row r="16" spans="1:72" ht="12" customHeight="1" thickBot="1" x14ac:dyDescent="0.25">
      <c r="A16" s="50"/>
      <c r="B16" s="149"/>
      <c r="C16" s="3696" t="s">
        <v>2423</v>
      </c>
      <c r="D16" s="3696"/>
      <c r="E16" s="3697">
        <f>R12+R13+R14</f>
        <v>0</v>
      </c>
      <c r="F16" s="3698" t="s">
        <v>2424</v>
      </c>
      <c r="G16" s="3698"/>
      <c r="H16" s="121">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699">
        <f>AR$32</f>
        <v>19</v>
      </c>
      <c r="J16" s="5181">
        <f t="shared" ref="J16:O16" si="3">AS$32</f>
        <v>19</v>
      </c>
      <c r="K16" s="5181">
        <f t="shared" si="3"/>
        <v>19</v>
      </c>
      <c r="L16" s="5181">
        <f t="shared" si="3"/>
        <v>19</v>
      </c>
      <c r="M16" s="5181">
        <f t="shared" si="3"/>
        <v>19</v>
      </c>
      <c r="N16" s="5181">
        <f t="shared" si="3"/>
        <v>19</v>
      </c>
      <c r="O16" s="3709">
        <f t="shared" si="3"/>
        <v>4</v>
      </c>
      <c r="P16" s="3698" t="s">
        <v>2425</v>
      </c>
      <c r="Q16" s="3698"/>
      <c r="R16" s="2375">
        <f>IF(H16=0,"",IF((-H16+Principal!H25)&lt;0,-H16+Principal!H25,""))</f>
        <v>-10</v>
      </c>
      <c r="S16" s="2373"/>
      <c r="T16" s="2866"/>
      <c r="U16" s="50"/>
      <c r="V16" s="50"/>
      <c r="W16" s="149"/>
      <c r="X16" s="3678"/>
      <c r="Y16" s="3703"/>
      <c r="Z16" s="3703"/>
      <c r="AA16" s="3703"/>
      <c r="AB16" s="3706"/>
      <c r="AD16" s="3704" t="str">
        <f>IF(PDs!$E45=0,"",PDs!$E45)</f>
        <v/>
      </c>
      <c r="AE16" s="3704"/>
      <c r="AF16" s="3704"/>
      <c r="AG16" s="3704"/>
      <c r="AH16" s="3705" t="str">
        <f>IF(PDs!$AD45=0,"",PDs!$V45&amp;" ")&amp;IF(PDs!$AD45=0,"",IF(PDs!$Y45=0,"",PDs!$Y45))</f>
        <v xml:space="preserve"> </v>
      </c>
      <c r="AI16" s="3705"/>
      <c r="AJ16" s="3705"/>
      <c r="AK16" s="3705"/>
      <c r="AL16" s="3705"/>
      <c r="AM16" s="3705"/>
      <c r="AN16" s="5140"/>
      <c r="AO16" s="5137"/>
      <c r="AR16" s="5167" t="str">
        <f>I11</f>
        <v>FIL</v>
      </c>
      <c r="AS16" s="5167" t="str">
        <f t="shared" ref="AS16:AY16" si="4">J11</f>
        <v>CON</v>
      </c>
      <c r="AT16" s="5167" t="str">
        <f t="shared" si="4"/>
        <v>PEN</v>
      </c>
      <c r="AU16" s="5167" t="str">
        <f t="shared" si="4"/>
        <v>CAL</v>
      </c>
      <c r="AV16" s="5167" t="str">
        <f t="shared" si="4"/>
        <v>ELE</v>
      </c>
      <c r="AW16" s="5167" t="str">
        <f t="shared" si="4"/>
        <v>FRI</v>
      </c>
      <c r="AX16" s="5167" t="str">
        <f t="shared" si="4"/>
        <v>ENE</v>
      </c>
      <c r="AY16" s="5167"/>
      <c r="BD16" s="192"/>
      <c r="BE16" s="192"/>
      <c r="BF16" s="192"/>
      <c r="BG16" s="192"/>
      <c r="BH16" s="192"/>
      <c r="BI16" s="192"/>
      <c r="BJ16" s="192"/>
      <c r="BL16" s="73"/>
    </row>
    <row r="17" spans="1:64" ht="12" customHeight="1" thickBot="1" x14ac:dyDescent="0.25">
      <c r="A17" s="50"/>
      <c r="B17" s="149"/>
      <c r="C17" s="3696"/>
      <c r="D17" s="3696"/>
      <c r="E17" s="3697"/>
      <c r="F17" s="3692" t="s">
        <v>2426</v>
      </c>
      <c r="G17" s="3692"/>
      <c r="H17" s="155">
        <f>IF(C12=0,0,IF(H12+VLOOKUP(C12,Tabla_Armaduras,3,FALSE)&gt;0,0,H12+VLOOKUP(C12,Tabla_Armaduras,3,FALSE)))+IF(C13=0,0,IF(H13+VLOOKUP(C13,Tabla_Armaduras,3,FALSE)&gt;0,0,H13+VLOOKUP(C13,Tabla_Armaduras,3,FALSE)))+IF(C14=0,0,IF(H14+VLOOKUP(C14,Tabla_Armaduras,3,FALSE)&gt;0,0,H14+VLOOKUP(C14,Tabla_Armaduras,3,FALSE)))</f>
        <v>-15</v>
      </c>
      <c r="I17" s="3699"/>
      <c r="J17" s="5182"/>
      <c r="K17" s="5182"/>
      <c r="L17" s="5182"/>
      <c r="M17" s="5182"/>
      <c r="N17" s="5182"/>
      <c r="O17" s="5180"/>
      <c r="P17" s="3702" t="s">
        <v>2427</v>
      </c>
      <c r="Q17" s="3702"/>
      <c r="R17" s="98">
        <f>MIN(MAX(H17-H16+Principal!H25,H17),0)+MAX(MIN(-20*IF(OR(C12=0,B12="Natural"),0,1)-20*IF(OR(C13=0,B13="Natural"),0,1)-20*IF(OR(C14=0,B14="Natural"),0,1)+20,0),-40)</f>
        <v>-35</v>
      </c>
      <c r="S17" s="2371"/>
      <c r="T17" s="2866"/>
      <c r="U17" s="50"/>
      <c r="V17" s="50"/>
      <c r="W17" s="149"/>
      <c r="AN17" s="5140"/>
      <c r="AO17" s="5137"/>
      <c r="AP17" s="5165" t="s">
        <v>9927</v>
      </c>
      <c r="AR17" s="5167">
        <f>I$12</f>
        <v>1</v>
      </c>
      <c r="AS17" s="5167">
        <f t="shared" ref="AS17:AX17" si="5">J$12</f>
        <v>1</v>
      </c>
      <c r="AT17" s="5167">
        <f t="shared" si="5"/>
        <v>1</v>
      </c>
      <c r="AU17" s="5167">
        <f t="shared" si="5"/>
        <v>1</v>
      </c>
      <c r="AV17" s="5167">
        <f t="shared" si="5"/>
        <v>2</v>
      </c>
      <c r="AW17" s="5167">
        <f t="shared" si="5"/>
        <v>2</v>
      </c>
      <c r="AX17" s="5167">
        <f>O$12</f>
        <v>0</v>
      </c>
      <c r="BD17" s="192"/>
      <c r="BE17" s="192"/>
      <c r="BF17" s="192"/>
      <c r="BG17" s="192"/>
      <c r="BH17" s="192"/>
      <c r="BI17" s="257"/>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379"/>
      <c r="T18" s="2866"/>
      <c r="U18" s="50"/>
      <c r="V18" s="50"/>
      <c r="W18" s="149"/>
      <c r="X18" s="3028" t="s">
        <v>2359</v>
      </c>
      <c r="Y18" s="3028"/>
      <c r="Z18" s="3028"/>
      <c r="AA18" s="3028"/>
      <c r="AB18" s="3028"/>
      <c r="AC18" s="3028"/>
      <c r="AD18" s="3680" t="s">
        <v>2407</v>
      </c>
      <c r="AE18" s="3680"/>
      <c r="AF18" s="3680"/>
      <c r="AG18" s="3680"/>
      <c r="AH18" s="3680"/>
      <c r="AI18" s="3680"/>
      <c r="AJ18" s="3680"/>
      <c r="AK18" s="3680"/>
      <c r="AL18" s="3680"/>
      <c r="AM18" s="3680"/>
      <c r="AN18" s="5140"/>
      <c r="AO18" s="5137"/>
      <c r="AP18" s="5165" t="s">
        <v>9928</v>
      </c>
      <c r="AR18" s="5167">
        <f>I$13</f>
        <v>3</v>
      </c>
      <c r="AS18" s="5167">
        <f t="shared" ref="AS18:AX18" si="6">J$13</f>
        <v>1</v>
      </c>
      <c r="AT18" s="5167">
        <f t="shared" si="6"/>
        <v>1</v>
      </c>
      <c r="AU18" s="5167">
        <f t="shared" si="6"/>
        <v>0</v>
      </c>
      <c r="AV18" s="5167">
        <f t="shared" si="6"/>
        <v>2</v>
      </c>
      <c r="AW18" s="5167">
        <f t="shared" si="6"/>
        <v>2</v>
      </c>
      <c r="AX18" s="5167">
        <f t="shared" si="6"/>
        <v>0</v>
      </c>
      <c r="BD18" s="192"/>
      <c r="BE18" s="192"/>
      <c r="BF18" s="192"/>
      <c r="BG18" s="192"/>
      <c r="BH18" s="192"/>
      <c r="BI18" s="257"/>
      <c r="BJ18" s="192"/>
    </row>
    <row r="19" spans="1:64" ht="12" customHeight="1" thickBot="1" x14ac:dyDescent="0.25">
      <c r="A19" s="50"/>
      <c r="B19" s="149"/>
      <c r="C19" s="3028" t="s">
        <v>2428</v>
      </c>
      <c r="D19" s="3028"/>
      <c r="E19" s="3028"/>
      <c r="F19" s="3028"/>
      <c r="G19" s="3028"/>
      <c r="H19" s="69"/>
      <c r="I19" s="3028" t="s">
        <v>2429</v>
      </c>
      <c r="J19" s="3028"/>
      <c r="K19" s="3717" t="str">
        <f>IF(COUNTA(PDs!$E$56:$E$74)&gt;0,"Artes Marciales","Desarmado")</f>
        <v>Desarmado</v>
      </c>
      <c r="L19" s="3717"/>
      <c r="M19" s="3717"/>
      <c r="N19" s="214" t="s">
        <v>2246</v>
      </c>
      <c r="O19" s="258" t="s">
        <v>2430</v>
      </c>
      <c r="P19" s="3718" t="s">
        <v>2431</v>
      </c>
      <c r="Q19" s="3718"/>
      <c r="R19" s="2392" t="s">
        <v>2432</v>
      </c>
      <c r="S19" s="2390" t="s">
        <v>9583</v>
      </c>
      <c r="T19" s="2866"/>
      <c r="U19" s="50"/>
      <c r="V19" s="50"/>
      <c r="W19" s="149"/>
      <c r="X19" s="3668" t="str">
        <f>IF(PDs!$AD46=0,"",PDs!$AD46)</f>
        <v/>
      </c>
      <c r="Y19" s="3668"/>
      <c r="Z19" s="3668"/>
      <c r="AA19" s="3668"/>
      <c r="AB19" s="3668"/>
      <c r="AC19" s="3668"/>
      <c r="AD19" s="3669" t="str">
        <f>IF(PDs!$V46=0,"",PDs!$V46)</f>
        <v/>
      </c>
      <c r="AE19" s="3669"/>
      <c r="AF19" s="3669"/>
      <c r="AG19" s="3669"/>
      <c r="AH19" s="3669"/>
      <c r="AI19" s="3669"/>
      <c r="AJ19" s="3669"/>
      <c r="AK19" s="3669"/>
      <c r="AL19" s="3669"/>
      <c r="AM19" s="3669"/>
      <c r="AN19" s="5140"/>
      <c r="AO19" s="5137"/>
      <c r="AP19" s="5165" t="s">
        <v>9929</v>
      </c>
      <c r="AR19" s="5167">
        <f>I$14</f>
        <v>0</v>
      </c>
      <c r="AS19" s="5167">
        <f t="shared" ref="AS19:AX19" si="7">J$14</f>
        <v>0</v>
      </c>
      <c r="AT19" s="5167">
        <f t="shared" si="7"/>
        <v>0</v>
      </c>
      <c r="AU19" s="5167">
        <f t="shared" si="7"/>
        <v>0</v>
      </c>
      <c r="AV19" s="5167">
        <f t="shared" si="7"/>
        <v>0</v>
      </c>
      <c r="AW19" s="5167">
        <f t="shared" si="7"/>
        <v>0</v>
      </c>
      <c r="AX19" s="5167">
        <f t="shared" si="7"/>
        <v>0</v>
      </c>
      <c r="AY19" s="5177"/>
      <c r="AZ19" s="5177"/>
      <c r="BA19" s="5143"/>
      <c r="BB19" s="5143"/>
      <c r="BC19" s="5145"/>
      <c r="BD19" s="259"/>
      <c r="BE19" s="259"/>
      <c r="BF19" s="259"/>
      <c r="BG19" s="192"/>
      <c r="BH19" s="192"/>
      <c r="BI19" s="257"/>
      <c r="BJ19" s="192"/>
    </row>
    <row r="20" spans="1:64" ht="12" customHeight="1" thickBot="1" x14ac:dyDescent="0.25">
      <c r="A20" s="50"/>
      <c r="B20" s="149"/>
      <c r="C20" s="3711" t="s">
        <v>2433</v>
      </c>
      <c r="D20" s="3712"/>
      <c r="E20" s="3713"/>
      <c r="F20" s="3713"/>
      <c r="G20" s="3714"/>
      <c r="H20" s="69"/>
      <c r="I20" s="3715" t="str">
        <f>IF(K19="Artes Marciales","Conocida",Tablas!$X$282)</f>
        <v>Conocida</v>
      </c>
      <c r="J20" s="3715"/>
      <c r="K20" s="3716" t="str">
        <f>IF(OR(COUNTIF(Principal!$AB$42:$AE$64,"Armas naturales")&gt;0,Tablas!O554&gt;0,Raza="Jayán",Raza="Daimah",Raza="Tuan Dalyr",Nephilim="Nephilim Turak",Raza="Turak"),"Armas Naturales","")</f>
        <v>Armas Naturales</v>
      </c>
      <c r="L20" s="3716"/>
      <c r="M20" s="3716"/>
      <c r="N20" s="3707">
        <f>Principal!$D$28+Combate!J23</f>
        <v>6</v>
      </c>
      <c r="O20" s="3707">
        <f>IF(K19="Desarmado",MAX(Principal!H21-IF(Tablas!$X$282="Conocida",0,60),0),Principal!H21-PDs!$X$22+MIN(PDs!$X$22+L23,50)+BonoMaestro_HA)-IF(Tablas!$G$734&lt;0,IF(Principal!F28="Desarmado",0,30),0)</f>
        <v>10</v>
      </c>
      <c r="P20" s="3708">
        <f>MAX(HP_final-PDs!X23-IF(K19="Desarmado",IF(Tablas!$X$282="Conocida",0,60),0)+MIN(PDs!X23+N23,50)-IF(Tablas!$G$734&lt;0,IF(Principal!F28="Desarmado",0,30),0),HE_final-PDs!X24+MIN(PDs!X24+P23,50))+BonoMaestro_HD</f>
        <v>10</v>
      </c>
      <c r="Q20" s="3709" t="str">
        <f>IF(HP_final-PDs!X23-IF(K19="Desarmado",IF(Tablas!$X$282="Conocida",0,60),0)+MIN(PDs!X23+N23,50)-IF(Tablas!$G$734&lt;0,IF(Principal!F28="Desarmado",0,30),0)&gt;HE_final-PDs!X24+MIN(PDs!X24+P23,50),"Par","Esq")</f>
        <v>Esq</v>
      </c>
      <c r="R20" s="3710">
        <f>IF(K19="Desarmado",IF(Raza="Criatura",IF(K20="Armas Naturales",VLOOKUP(Tamaño,Tabla_CreaciónSeres,8),VLOOKUP(Tamaño,Tabla_CreaciónSeres,7)),IF(K20="Armas Naturales",ArmasNaturales_Daño,10)+Bono_Fue),ArtesM_Daño)+R23+IF(Extensióndelauraalarma,10,0)+IF(DañoIncrementado,10,0)+IF(Tablas!$M$3446=0,0,MROUND(Elan/2,5))</f>
        <v>50</v>
      </c>
      <c r="S20" s="3673"/>
      <c r="T20" s="2866"/>
      <c r="U20" s="50"/>
      <c r="V20" s="50"/>
      <c r="W20" s="149"/>
      <c r="X20" s="3668" t="str">
        <f>IF(PDs!$AD47=0,"",PDs!$AD47)</f>
        <v/>
      </c>
      <c r="Y20" s="3668"/>
      <c r="Z20" s="3668"/>
      <c r="AA20" s="3668"/>
      <c r="AB20" s="3668"/>
      <c r="AC20" s="3668"/>
      <c r="AD20" s="3669" t="str">
        <f>IF(PDs!$V47=0,"",PDs!$V47)</f>
        <v/>
      </c>
      <c r="AE20" s="3669"/>
      <c r="AF20" s="3669"/>
      <c r="AG20" s="3669"/>
      <c r="AH20" s="3669"/>
      <c r="AI20" s="3669"/>
      <c r="AJ20" s="3669"/>
      <c r="AK20" s="3669"/>
      <c r="AL20" s="3669"/>
      <c r="AM20" s="3669"/>
      <c r="AN20" s="5140"/>
      <c r="AO20" s="5137"/>
      <c r="AP20" s="5165" t="s">
        <v>9930</v>
      </c>
      <c r="AR20" s="5167">
        <f>2*Tablas!$F$537</f>
        <v>2</v>
      </c>
      <c r="AS20" s="5167">
        <f>2*Tablas!$F$537</f>
        <v>2</v>
      </c>
      <c r="AT20" s="5167">
        <f>2*Tablas!$F$537</f>
        <v>2</v>
      </c>
      <c r="AU20" s="5167">
        <f>2*Tablas!$F$537</f>
        <v>2</v>
      </c>
      <c r="AV20" s="5167">
        <f>2*Tablas!$F$537</f>
        <v>2</v>
      </c>
      <c r="AW20" s="5167">
        <f>2*Tablas!$F$537</f>
        <v>2</v>
      </c>
      <c r="AX20" s="5167">
        <f>4*Tablas!F538</f>
        <v>0</v>
      </c>
      <c r="AY20" s="5177"/>
      <c r="AZ20" s="5177"/>
      <c r="BA20" s="5143"/>
      <c r="BB20" s="5143"/>
      <c r="BC20" s="5143"/>
      <c r="BD20" s="192"/>
      <c r="BE20" s="192"/>
      <c r="BF20" s="192"/>
      <c r="BG20" s="192"/>
      <c r="BH20" s="192"/>
      <c r="BI20" s="257"/>
      <c r="BJ20" s="192"/>
      <c r="BK20" s="260"/>
    </row>
    <row r="21" spans="1:64" ht="12" customHeight="1" x14ac:dyDescent="0.2">
      <c r="A21" s="50"/>
      <c r="B21" s="149"/>
      <c r="C21" s="3711"/>
      <c r="D21" s="3712"/>
      <c r="E21" s="3713"/>
      <c r="F21" s="3713"/>
      <c r="G21" s="3714"/>
      <c r="H21" s="69"/>
      <c r="I21" s="261" t="s">
        <v>2434</v>
      </c>
      <c r="J21" s="227" t="s">
        <v>2435</v>
      </c>
      <c r="K21" s="227" t="s">
        <v>2415</v>
      </c>
      <c r="L21" s="227" t="s">
        <v>2436</v>
      </c>
      <c r="M21" s="227" t="s">
        <v>2416</v>
      </c>
      <c r="N21" s="3707"/>
      <c r="O21" s="3707"/>
      <c r="P21" s="3708"/>
      <c r="Q21" s="3709"/>
      <c r="R21" s="3710"/>
      <c r="S21" s="3674"/>
      <c r="T21" s="2866"/>
      <c r="U21" s="50"/>
      <c r="V21" s="50"/>
      <c r="W21" s="149"/>
      <c r="X21" s="3668" t="str">
        <f>IF(PDs!$AD48=0,"",PDs!$AD48)</f>
        <v/>
      </c>
      <c r="Y21" s="3668"/>
      <c r="Z21" s="3668"/>
      <c r="AA21" s="3668"/>
      <c r="AB21" s="3668"/>
      <c r="AC21" s="3668"/>
      <c r="AD21" s="3669" t="str">
        <f>IF(PDs!$V48=0,"",PDs!$V48)</f>
        <v/>
      </c>
      <c r="AE21" s="3669"/>
      <c r="AF21" s="3669"/>
      <c r="AG21" s="3669"/>
      <c r="AH21" s="3669"/>
      <c r="AI21" s="3669"/>
      <c r="AJ21" s="3669"/>
      <c r="AK21" s="3669"/>
      <c r="AL21" s="3669"/>
      <c r="AM21" s="3669"/>
      <c r="AN21" s="5140"/>
      <c r="AO21" s="5137"/>
      <c r="AP21" s="5165" t="s">
        <v>9931</v>
      </c>
      <c r="AR21" s="5167">
        <f>Tablas!H$2024</f>
        <v>8</v>
      </c>
      <c r="AS21" s="5167">
        <f>Tablas!I$2024</f>
        <v>8</v>
      </c>
      <c r="AT21" s="5167">
        <f>Tablas!J$2024</f>
        <v>8</v>
      </c>
      <c r="AU21" s="5167">
        <f>Tablas!K$2024</f>
        <v>8</v>
      </c>
      <c r="AV21" s="5167">
        <f>Tablas!L$2024</f>
        <v>8</v>
      </c>
      <c r="AW21" s="5167">
        <f>Tablas!M$2024</f>
        <v>8</v>
      </c>
      <c r="AX21" s="5167">
        <f>Tablas!N$2024</f>
        <v>0</v>
      </c>
      <c r="AY21" s="5177"/>
      <c r="AZ21" s="5177"/>
      <c r="BA21" s="5143"/>
      <c r="BB21" s="5143"/>
      <c r="BC21" s="5143"/>
      <c r="BD21" s="192"/>
      <c r="BE21" s="192"/>
      <c r="BF21" s="192"/>
      <c r="BG21" s="192"/>
      <c r="BH21" s="192"/>
      <c r="BI21" s="257"/>
      <c r="BJ21" s="192"/>
    </row>
    <row r="22" spans="1:64" ht="12" customHeight="1" x14ac:dyDescent="0.2">
      <c r="A22" s="50"/>
      <c r="B22" s="149"/>
      <c r="C22" s="262">
        <v>10</v>
      </c>
      <c r="D22" s="94">
        <f t="shared" ref="D22:D61" si="8">TRUNC(D$20*$C22/100,0)</f>
        <v>0</v>
      </c>
      <c r="E22" s="94">
        <f t="shared" ref="E22:E61" si="9">TRUNC(E$20*$C22/100,0)</f>
        <v>0</v>
      </c>
      <c r="F22" s="94">
        <f t="shared" ref="F22:F61" si="10">TRUNC(F$20*$C22/100,0)</f>
        <v>0</v>
      </c>
      <c r="G22" s="198">
        <f t="shared" ref="G22:G61" si="11">TRUNC(G$20*$C22/100,0)</f>
        <v>0</v>
      </c>
      <c r="H22" s="69"/>
      <c r="I22" s="263" t="s">
        <v>2354</v>
      </c>
      <c r="J22" s="77"/>
      <c r="K22" s="127">
        <f>CON+IF(Extensióndelauraalarma,10,0)+IF(Ki!$P$39="-",10,0)+IF($K$20="Armas Naturales",VLOOKUP(Tamaño,Tabla_CreaciónSeres,10),0)</f>
        <v>20</v>
      </c>
      <c r="L22" s="127">
        <f>IF(FUE=0,0,VLOOKUP(FUE,Tablas!$B$140:$C$159,2))+IF(Ki!$P$39="-",5,0)+IF(Extensióndelauraalarma,5,0)+IF($K$20="Armas Naturales",VLOOKUP(Tamaño,Tabla_CreaciónSeres,9),0)</f>
        <v>1</v>
      </c>
      <c r="M22" s="127">
        <f>Presencia_final*IF(OR(Ki!$P$32="-",Ki!$H$54="-"),2,1)</f>
        <v>30</v>
      </c>
      <c r="N22" s="3719"/>
      <c r="O22" s="3719"/>
      <c r="P22" s="3719"/>
      <c r="Q22" s="3719"/>
      <c r="R22" s="3720"/>
      <c r="S22" s="2382"/>
      <c r="T22" s="2866"/>
      <c r="U22" s="50"/>
      <c r="V22" s="50"/>
      <c r="W22" s="149"/>
      <c r="X22" s="3668" t="str">
        <f>IF(PDs!$AD49=0,"",PDs!$AD49)</f>
        <v/>
      </c>
      <c r="Y22" s="3668"/>
      <c r="Z22" s="3668"/>
      <c r="AA22" s="3668"/>
      <c r="AB22" s="3668"/>
      <c r="AC22" s="3668"/>
      <c r="AD22" s="3669" t="str">
        <f>IF(PDs!$V49=0,"",PDs!$V49)</f>
        <v/>
      </c>
      <c r="AE22" s="3669"/>
      <c r="AF22" s="3669"/>
      <c r="AG22" s="3669"/>
      <c r="AH22" s="3669"/>
      <c r="AI22" s="3669"/>
      <c r="AJ22" s="3669"/>
      <c r="AK22" s="3669"/>
      <c r="AL22" s="3669"/>
      <c r="AM22" s="3669"/>
      <c r="AN22" s="5140"/>
      <c r="AO22" s="5137"/>
      <c r="AP22" s="5165" t="s">
        <v>9932</v>
      </c>
      <c r="AQ22" s="5167"/>
      <c r="AR22" s="5167">
        <f>MAX(3*Tablas!$Q$1009,6*Tablas!$Q$1010)</f>
        <v>0</v>
      </c>
      <c r="AS22" s="5167">
        <f>MAX(3*Tablas!$Q$1009,6*Tablas!$Q$1010)</f>
        <v>0</v>
      </c>
      <c r="AT22" s="5167">
        <f>MAX(3*Tablas!$Q$1009,6*Tablas!$Q$1010)</f>
        <v>0</v>
      </c>
      <c r="AU22" s="5167">
        <f>MAX(3*Tablas!$Q$1009,6*Tablas!$Q$1010)</f>
        <v>0</v>
      </c>
      <c r="AV22" s="5167">
        <f>MAX(3*Tablas!$Q$1009,6*Tablas!$Q$1010)</f>
        <v>0</v>
      </c>
      <c r="AW22" s="5167">
        <f>MAX(3*Tablas!$Q$1009,6*Tablas!$Q$1010)</f>
        <v>0</v>
      </c>
      <c r="AX22" s="5167">
        <f>MAX(3*Tablas!$Q$1009,6*Tablas!$Q$1010)</f>
        <v>0</v>
      </c>
      <c r="AY22" s="5177"/>
      <c r="AZ22" s="5167" t="s">
        <v>9933</v>
      </c>
      <c r="BA22" s="5143"/>
      <c r="BB22" s="5143"/>
      <c r="BC22" s="5143"/>
      <c r="BD22" s="192"/>
      <c r="BE22" s="192"/>
      <c r="BF22" s="192"/>
      <c r="BG22" s="192"/>
      <c r="BH22" s="192"/>
      <c r="BI22" s="192"/>
      <c r="BJ22" s="192"/>
    </row>
    <row r="23" spans="1:64" ht="12" customHeight="1" thickBot="1" x14ac:dyDescent="0.25">
      <c r="A23" s="50"/>
      <c r="B23" s="149"/>
      <c r="C23" s="264">
        <f t="shared" ref="C23:C61" si="12">C22+10</f>
        <v>20</v>
      </c>
      <c r="D23" s="127">
        <f t="shared" si="8"/>
        <v>0</v>
      </c>
      <c r="E23" s="127">
        <f t="shared" si="9"/>
        <v>0</v>
      </c>
      <c r="F23" s="127">
        <f t="shared" si="10"/>
        <v>0</v>
      </c>
      <c r="G23" s="80">
        <f t="shared" si="11"/>
        <v>0</v>
      </c>
      <c r="H23" s="69"/>
      <c r="I23" s="3722" t="s">
        <v>2437</v>
      </c>
      <c r="J23" s="3723">
        <f>Tablas!$J$1021</f>
        <v>0</v>
      </c>
      <c r="K23" s="3721" t="s">
        <v>2438</v>
      </c>
      <c r="L23" s="3723">
        <f>MIN(Tablas!$G$1021,50)</f>
        <v>0</v>
      </c>
      <c r="M23" s="3721" t="s">
        <v>2439</v>
      </c>
      <c r="N23" s="3723">
        <f>MIN(Tablas!$I$1021,50)</f>
        <v>0</v>
      </c>
      <c r="O23" s="3721" t="s">
        <v>2440</v>
      </c>
      <c r="P23" s="3724">
        <f>MIN(Tablas!$H$1021,50)</f>
        <v>0</v>
      </c>
      <c r="Q23" s="3725" t="s">
        <v>2441</v>
      </c>
      <c r="R23" s="3726">
        <f>Tablas!E987*Tablas!Q987+Tablas!E990*Tablas!Q990+Tablas!E989*Tablas!Q989+Tablas!E1000*Tablas!Q1000+Tablas!E999*Tablas!Q999+Tablas!E1013*Tablas!Q1013+Tablas!E1018*Tablas!Q1018</f>
        <v>0</v>
      </c>
      <c r="S23" s="2391"/>
      <c r="T23" s="2866"/>
      <c r="U23" s="50"/>
      <c r="V23" s="50"/>
      <c r="W23" s="149"/>
      <c r="X23" s="3668" t="str">
        <f>IF(PDs!$AD50=0,"",PDs!$AD50)</f>
        <v/>
      </c>
      <c r="Y23" s="3668"/>
      <c r="Z23" s="3668"/>
      <c r="AA23" s="3668"/>
      <c r="AB23" s="3668"/>
      <c r="AC23" s="3668"/>
      <c r="AD23" s="3669" t="str">
        <f>IF(PDs!$V50=0,"",PDs!$V50)</f>
        <v/>
      </c>
      <c r="AE23" s="3669"/>
      <c r="AF23" s="3669"/>
      <c r="AG23" s="3669"/>
      <c r="AH23" s="3669"/>
      <c r="AI23" s="3669"/>
      <c r="AJ23" s="3669"/>
      <c r="AK23" s="3669"/>
      <c r="AL23" s="3669"/>
      <c r="AM23" s="3669"/>
      <c r="AN23" s="5140"/>
      <c r="AO23" s="5137"/>
      <c r="AP23" s="5167" t="s">
        <v>9934</v>
      </c>
      <c r="AQ23" s="5167"/>
      <c r="AR23" s="5167">
        <f>IF(Acumulacion="Si",VLOOKUP(Tamaño,Tabla_CreaciónSeres,6),0)</f>
        <v>0</v>
      </c>
      <c r="AS23" s="5167">
        <f>IF(Acumulacion="Si",VLOOKUP(Tamaño,Tabla_CreaciónSeres,6),0)</f>
        <v>0</v>
      </c>
      <c r="AT23" s="5167">
        <f>IF(Acumulacion="Si",VLOOKUP(Tamaño,Tabla_CreaciónSeres,6),0)</f>
        <v>0</v>
      </c>
      <c r="AU23" s="5167">
        <f>IF(Acumulacion="Si",VLOOKUP(Tamaño,Tabla_CreaciónSeres,6),0)</f>
        <v>0</v>
      </c>
      <c r="AV23" s="5167">
        <f>IF(Acumulacion="Si",VLOOKUP(Tamaño,Tabla_CreaciónSeres,6),0)</f>
        <v>0</v>
      </c>
      <c r="AW23" s="5167">
        <f>IF(Acumulacion="Si",VLOOKUP(Tamaño,Tabla_CreaciónSeres,6),0)</f>
        <v>0</v>
      </c>
      <c r="AX23" s="5167">
        <f>IF(Acumulacion="Si",VLOOKUP(Tamaño,Tabla_CreaciónSeres,6),0)</f>
        <v>0</v>
      </c>
      <c r="AY23" s="5177"/>
      <c r="AZ23" s="5177"/>
      <c r="BA23" s="5143"/>
      <c r="BB23" s="5143"/>
      <c r="BC23" s="5143"/>
      <c r="BD23" s="192"/>
      <c r="BE23" s="192"/>
      <c r="BF23" s="192"/>
      <c r="BG23" s="192"/>
      <c r="BH23" s="192"/>
      <c r="BI23" s="192"/>
      <c r="BJ23" s="192"/>
    </row>
    <row r="24" spans="1:64" ht="12" customHeight="1" thickBot="1" x14ac:dyDescent="0.25">
      <c r="A24" s="50"/>
      <c r="B24" s="149"/>
      <c r="C24" s="265">
        <f t="shared" si="12"/>
        <v>30</v>
      </c>
      <c r="D24" s="94">
        <f t="shared" si="8"/>
        <v>0</v>
      </c>
      <c r="E24" s="94">
        <f t="shared" si="9"/>
        <v>0</v>
      </c>
      <c r="F24" s="94">
        <f t="shared" si="10"/>
        <v>0</v>
      </c>
      <c r="G24" s="198">
        <f t="shared" si="11"/>
        <v>0</v>
      </c>
      <c r="H24" s="69"/>
      <c r="I24" s="3722"/>
      <c r="J24" s="3723"/>
      <c r="K24" s="3721"/>
      <c r="L24" s="3723"/>
      <c r="M24" s="3721"/>
      <c r="N24" s="3723"/>
      <c r="O24" s="3721"/>
      <c r="P24" s="3724"/>
      <c r="Q24" s="3725"/>
      <c r="R24" s="3726"/>
      <c r="S24" s="2383"/>
      <c r="T24" s="2866"/>
      <c r="U24" s="50"/>
      <c r="V24" s="50"/>
      <c r="W24" s="149"/>
      <c r="X24" s="3668" t="str">
        <f>IF(PDs!$AD51=0,"",PDs!$AD51)</f>
        <v/>
      </c>
      <c r="Y24" s="3668"/>
      <c r="Z24" s="3668"/>
      <c r="AA24" s="3668"/>
      <c r="AB24" s="3668"/>
      <c r="AC24" s="3668"/>
      <c r="AD24" s="3669" t="str">
        <f>IF(PDs!$V51=0,"",PDs!$V51)</f>
        <v/>
      </c>
      <c r="AE24" s="3669"/>
      <c r="AF24" s="3669"/>
      <c r="AG24" s="3669"/>
      <c r="AH24" s="3669"/>
      <c r="AI24" s="3669"/>
      <c r="AJ24" s="3669"/>
      <c r="AK24" s="3669"/>
      <c r="AL24" s="3669"/>
      <c r="AM24" s="3669"/>
      <c r="AN24" s="5140"/>
      <c r="AO24" s="5137"/>
      <c r="AP24" s="5167" t="s">
        <v>9918</v>
      </c>
      <c r="AQ24" s="5167"/>
      <c r="AR24" s="5168">
        <f>'Tablas psiquica'!$AH$27</f>
        <v>14</v>
      </c>
      <c r="AS24" s="5168">
        <f>'Tablas psiquica'!$AH$27</f>
        <v>14</v>
      </c>
      <c r="AT24" s="5168">
        <f>'Tablas psiquica'!$AH$27</f>
        <v>14</v>
      </c>
      <c r="AU24" s="5168">
        <f>'Tablas psiquica'!$AH$27</f>
        <v>14</v>
      </c>
      <c r="AV24" s="5168">
        <f>'Tablas psiquica'!$AH$27</f>
        <v>14</v>
      </c>
      <c r="AW24" s="5168">
        <f>'Tablas psiquica'!$AH$27</f>
        <v>14</v>
      </c>
      <c r="AX24" s="5168">
        <v>0</v>
      </c>
      <c r="AY24" s="5177"/>
      <c r="AZ24" s="5177"/>
      <c r="BA24" s="5143"/>
      <c r="BB24" s="5143"/>
      <c r="BC24" s="5143"/>
      <c r="BD24" s="192"/>
      <c r="BE24" s="192"/>
      <c r="BF24" s="192"/>
      <c r="BG24" s="192"/>
      <c r="BH24" s="192"/>
      <c r="BI24" s="192"/>
      <c r="BJ24" s="192"/>
    </row>
    <row r="25" spans="1:64" ht="12" customHeight="1" thickBot="1" x14ac:dyDescent="0.25">
      <c r="A25" s="50"/>
      <c r="B25" s="149"/>
      <c r="C25" s="264">
        <f t="shared" si="12"/>
        <v>40</v>
      </c>
      <c r="D25" s="127">
        <f t="shared" si="8"/>
        <v>0</v>
      </c>
      <c r="E25" s="127">
        <f t="shared" si="9"/>
        <v>0</v>
      </c>
      <c r="F25" s="127">
        <f t="shared" si="10"/>
        <v>0</v>
      </c>
      <c r="G25" s="80">
        <f t="shared" si="11"/>
        <v>0</v>
      </c>
      <c r="H25" s="69"/>
      <c r="I25" s="73"/>
      <c r="J25" s="73"/>
      <c r="K25" s="73"/>
      <c r="L25" s="73"/>
      <c r="M25" s="73"/>
      <c r="N25" s="73"/>
      <c r="O25" s="73"/>
      <c r="P25" s="73"/>
      <c r="Q25" s="73"/>
      <c r="R25" s="73"/>
      <c r="S25" s="2384"/>
      <c r="T25" s="2866"/>
      <c r="U25" s="50"/>
      <c r="V25" s="50"/>
      <c r="W25" s="149"/>
      <c r="X25" s="3668" t="str">
        <f>IF(PDs!$AD52=0,"",PDs!$AD52)</f>
        <v/>
      </c>
      <c r="Y25" s="3668"/>
      <c r="Z25" s="3668"/>
      <c r="AA25" s="3668"/>
      <c r="AB25" s="3668"/>
      <c r="AC25" s="3668"/>
      <c r="AD25" s="3669" t="str">
        <f>IF(PDs!$V52=0,"",PDs!$V52)</f>
        <v/>
      </c>
      <c r="AE25" s="3669"/>
      <c r="AF25" s="3669"/>
      <c r="AG25" s="3669"/>
      <c r="AH25" s="3669"/>
      <c r="AI25" s="3669"/>
      <c r="AJ25" s="3669"/>
      <c r="AK25" s="3669"/>
      <c r="AL25" s="3669"/>
      <c r="AM25" s="3669"/>
      <c r="AN25" s="5140"/>
      <c r="AO25" s="5137"/>
      <c r="AP25" s="5166" t="s">
        <v>2307</v>
      </c>
      <c r="AQ25" s="5166"/>
      <c r="AR25" s="5166">
        <f>IF(Nephilim="Nephilim Turak",1)+IF(Raza="Turak",IF(COUNTIF(Cercanía_Dragón,"Escamas de metal")&gt;0,3,2),0)</f>
        <v>2</v>
      </c>
      <c r="AS25" s="5166">
        <f>IF(Nephilim="Nephilim Turak",1)+IF(Raza="Turak",IF(COUNTIF(Cercanía_Dragón,"Escamas de metal")&gt;0,3,2),0)</f>
        <v>2</v>
      </c>
      <c r="AT25" s="5166">
        <f>IF(Nephilim="Nephilim Turak",1)+IF(Raza="Turak",IF(COUNTIF(Cercanía_Dragón,"Escamas de metal")&gt;0,3,2),0)</f>
        <v>2</v>
      </c>
      <c r="AU25" s="5166">
        <f>IF(Nephilim="Nephilim Turak",1)+IF(Raza="Turak",IF(COUNTIF(Cercanía_Dragón,"Escamas de metal")&gt;0,3,2),0)</f>
        <v>2</v>
      </c>
      <c r="AV25" s="5166">
        <v>0</v>
      </c>
      <c r="AW25" s="5166">
        <v>0</v>
      </c>
      <c r="AX25" s="5166">
        <v>0</v>
      </c>
      <c r="AY25" s="5177"/>
      <c r="AZ25" s="5177"/>
      <c r="BA25" s="5143"/>
      <c r="BB25" s="5143"/>
      <c r="BC25" s="5143"/>
      <c r="BD25" s="192"/>
      <c r="BE25" s="192"/>
      <c r="BF25" s="192"/>
      <c r="BG25" s="192"/>
      <c r="BH25" s="192"/>
      <c r="BI25" s="192"/>
      <c r="BJ25" s="192"/>
    </row>
    <row r="26" spans="1:64" ht="12" customHeight="1" thickBot="1" x14ac:dyDescent="0.25">
      <c r="A26" s="50"/>
      <c r="B26" s="149"/>
      <c r="C26" s="265">
        <f t="shared" si="12"/>
        <v>50</v>
      </c>
      <c r="D26" s="94">
        <f t="shared" si="8"/>
        <v>0</v>
      </c>
      <c r="E26" s="94">
        <f t="shared" si="9"/>
        <v>0</v>
      </c>
      <c r="F26" s="94">
        <f t="shared" si="10"/>
        <v>0</v>
      </c>
      <c r="G26" s="198">
        <f t="shared" si="11"/>
        <v>0</v>
      </c>
      <c r="H26" s="69"/>
      <c r="I26" s="3028" t="s">
        <v>2269</v>
      </c>
      <c r="J26" s="3292"/>
      <c r="K26" s="3735"/>
      <c r="L26" s="3736"/>
      <c r="M26" s="3737"/>
      <c r="N26" s="1449" t="s">
        <v>2246</v>
      </c>
      <c r="O26" s="258" t="s">
        <v>2430</v>
      </c>
      <c r="P26" s="3718" t="s">
        <v>2431</v>
      </c>
      <c r="Q26" s="3718"/>
      <c r="R26" s="2392" t="s">
        <v>2432</v>
      </c>
      <c r="S26" s="2381" t="s">
        <v>9583</v>
      </c>
      <c r="T26" s="2866"/>
      <c r="U26" s="50"/>
      <c r="V26" s="50"/>
      <c r="W26" s="149"/>
      <c r="X26" s="3668" t="str">
        <f>IF(PDs!$AD53=0,"",PDs!$AD53)</f>
        <v/>
      </c>
      <c r="Y26" s="3668"/>
      <c r="Z26" s="3668"/>
      <c r="AA26" s="3668"/>
      <c r="AB26" s="3668"/>
      <c r="AC26" s="3668"/>
      <c r="AD26" s="3669" t="str">
        <f>IF(PDs!$V53=0,"",PDs!$V53)</f>
        <v/>
      </c>
      <c r="AE26" s="3669"/>
      <c r="AF26" s="3669"/>
      <c r="AG26" s="3669"/>
      <c r="AH26" s="3669"/>
      <c r="AI26" s="3669"/>
      <c r="AJ26" s="3669"/>
      <c r="AK26" s="3669"/>
      <c r="AL26" s="3669"/>
      <c r="AM26" s="3669"/>
      <c r="AN26" s="5140"/>
      <c r="AO26" s="5137"/>
      <c r="AP26" s="5166" t="s">
        <v>3991</v>
      </c>
      <c r="AQ26" s="5166"/>
      <c r="AR26" s="5166">
        <v>0</v>
      </c>
      <c r="AS26" s="5167">
        <v>0</v>
      </c>
      <c r="AT26" s="5167">
        <v>0</v>
      </c>
      <c r="AU26" s="5167">
        <v>0</v>
      </c>
      <c r="AV26" s="5167">
        <v>0</v>
      </c>
      <c r="AW26" s="5167">
        <v>0</v>
      </c>
      <c r="AX26" s="5167">
        <f>MAX(IF(ArmaduradeEnergia,2,0),IF(ArmaduraArcana,4,0))</f>
        <v>4</v>
      </c>
      <c r="AY26" s="5177"/>
      <c r="AZ26" s="5177"/>
      <c r="BA26" s="5143"/>
      <c r="BB26" s="5143"/>
      <c r="BC26" s="5143"/>
      <c r="BD26" s="192"/>
      <c r="BE26" s="192"/>
      <c r="BF26" s="192"/>
      <c r="BG26" s="192"/>
      <c r="BH26" s="192"/>
      <c r="BI26" s="192"/>
      <c r="BJ26" s="192"/>
    </row>
    <row r="27" spans="1:64" ht="12" customHeight="1" x14ac:dyDescent="0.2">
      <c r="A27" s="50"/>
      <c r="B27" s="149"/>
      <c r="C27" s="264">
        <f t="shared" si="12"/>
        <v>60</v>
      </c>
      <c r="D27" s="127">
        <f t="shared" si="8"/>
        <v>0</v>
      </c>
      <c r="E27" s="127">
        <f t="shared" si="9"/>
        <v>0</v>
      </c>
      <c r="F27" s="127">
        <f t="shared" si="10"/>
        <v>0</v>
      </c>
      <c r="G27" s="80">
        <f t="shared" si="11"/>
        <v>0</v>
      </c>
      <c r="H27" s="69"/>
      <c r="I27" s="3731" t="str">
        <f>IF(K26=0,"",VLOOKUP(K26,Tabla_ArmasyEscudos,22,FALSE))</f>
        <v/>
      </c>
      <c r="J27" s="3731"/>
      <c r="K27" s="172" t="s">
        <v>2442</v>
      </c>
      <c r="L27" s="3732"/>
      <c r="M27" s="3732"/>
      <c r="N27" s="3733">
        <f>MIN(Principal!$D$28,IF(K26=0,0,IF(OR(K31="Escudo medio",K31="Rodela",K31="Escudo corporal"),Principal!$D$28-20+O29+VLOOKUP(K26,Tabla_ArmasyEscudos,3,FALSE)+VLOOKUP(K31,Tabla_ArmasyEscudos,3,FALSE),Principal!$D$28-20+IF(K26=K31,VLOOKUP(K26,Tabla_ArmasyEscudos,3,FALSE)-10+O29,MIN(VLOOKUP(K26,Tabla_ArmasyEscudos,3,FALSE)+O29,IF(K31=0,100,VLOOKUP(K31,Tabla_ArmasyEscudos,3,FALSE)+O34))))+IF(L27=0,0,IF(Tamaño&lt;VLOOKUP(L27,Tabla_ArmasEnormes,3,FALSE),-40,0))+IF(L32=0,0,IF(Tamaño&lt;VLOOKUP(L32,Tabla_ArmasEnormes,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707">
        <f>IF(K26=0,Principal!$H$21,MAX(Principal!$H$21+O29+IF(COUNTIF(Tablas!$G$869:$G$899,K26)&gt;0,MIN($L$23+PDs!$X$22,50)-PDs!$X$22+BonoMaestro_HA,0)-IF(FUE&lt;VLOOKUP(K26,Tabla_ArmasyEscudos,4,FALSE)+IF(L27=0,0,VLOOKUP(L27,Tabla_ArmasEnormes,4,FALSE)),10*(VLOOKUP(K26,Tabla_ArmasyEscudos,4,FALSE)-FUE+IF(L27=0,0,VLOOKUP(L27,Tabla_ArmasEnormes,4,FALSE))),0)+IF(I27=0,0,VLOOKUP(I27,Tabla_PenPorTipo,2)),0))-IF(Tablas!$G$734&lt;0,IF(K26=Principal!F28,0,30),0)</f>
        <v>10</v>
      </c>
      <c r="P27" s="3734">
        <f>IF(K26=0,MAX(HP_final,HE_final),MAX(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HE_final+IF(COUNTIF(Tablas!$G$869:$G$899,K26)&gt;0,MIN($P$23+PDs!$X$24,50)-PDs!$X$24+BonoMaestro_HD,0)+VLOOKUP(K26,Tabla_ArmasyEscudos,14,FALSE)))</f>
        <v>10</v>
      </c>
      <c r="Q27" s="3132" t="str">
        <f>IF(K26=0,"",IF(HP_final+VLOOKUP(K26,Tabla_ArmasyEscudos,13,FALSE)+O29+IF(COUNTIF(Tablas!$G$869:$G$899,K26)&gt;0,MIN($N$23+PDs!$X$23,50)-PDs!$X$23+BonoMaestro_HD,0)-IF(Tablas!$G$734&lt;0,IF(K26=Principal!F28,0,30),0)+IF(I27=0,0,VLOOKUP(I27,Tabla_PenPorTipo,2))-IF(FUE&lt;VLOOKUP(K26,Tabla_ArmasyEscudos,4,FALSE)+IF(L27=0,0,VLOOKUP(L27,Tabla_ArmasEnormes,4,FALSE)),10*(VLOOKUP(K26,Tabla_ArmasyEscudos,4,FALSE)-FUE+IF(L27=0,0,VLOOKUP(L27,Tabla_ArmasEnormes,4,FALSE))),0)&gt;HE_final+IF(COUNTIF(Tablas!$G$869:$G$899,K26)&gt;0,MIN($P$23+PDs!$X$24,50)-PDs!$X$24+BonoMaestro_HD,0)+VLOOKUP(K26,Tabla_ArmasyEscudos,14,FALSE),"Par","Esq"))</f>
        <v/>
      </c>
      <c r="R27" s="3710">
        <f>IF(K26=0,0,IF(DañoIncrementado,10,0)+IF(Extensióndelauraalarma,10,0)+VLOOKUP(K26,Tabla_ArmasyEscudos,2,FALSE)*IF(L27=0,1,VLOOKUP(L27,Tabla_ArmasEnormes,5,FALSE))+Bono_Fue+2*O29+IF(AND(L27="Enorme",MOD(VLOOKUP(K26,Tabla_ArmasyEscudos,2,FALSE),10)&gt;0),-2.5,0))+IF(Tablas!M3446=0,0,MROUND(Elan/2,5))</f>
        <v>0</v>
      </c>
      <c r="S27" s="3673"/>
      <c r="T27" s="2866"/>
      <c r="U27" s="50"/>
      <c r="V27" s="50"/>
      <c r="W27" s="149"/>
      <c r="X27" s="3668" t="str">
        <f>IF(PDs!$AD54=0,"",PDs!$AD54)</f>
        <v/>
      </c>
      <c r="Y27" s="3668"/>
      <c r="Z27" s="3668"/>
      <c r="AA27" s="3668"/>
      <c r="AB27" s="3668"/>
      <c r="AC27" s="3668"/>
      <c r="AD27" s="3669" t="str">
        <f>IF(PDs!$V54=0,"",PDs!$V54)</f>
        <v/>
      </c>
      <c r="AE27" s="3669"/>
      <c r="AF27" s="3669"/>
      <c r="AG27" s="3669"/>
      <c r="AH27" s="3669"/>
      <c r="AI27" s="3669"/>
      <c r="AJ27" s="3669"/>
      <c r="AK27" s="3669"/>
      <c r="AL27" s="3669"/>
      <c r="AM27" s="3669"/>
      <c r="AN27" s="5140"/>
      <c r="AO27" s="5137"/>
      <c r="AP27" s="5166"/>
      <c r="AQ27" s="5166"/>
      <c r="AR27" s="5166"/>
      <c r="AS27" s="5167"/>
      <c r="AT27" s="5167"/>
      <c r="AU27" s="5167"/>
      <c r="AV27" s="5167"/>
      <c r="AW27" s="5167"/>
      <c r="AX27" s="5167"/>
      <c r="AY27" s="5177"/>
      <c r="AZ27" s="5177"/>
      <c r="BA27" s="5147"/>
      <c r="BB27" s="5142"/>
      <c r="BC27" s="5147"/>
      <c r="BD27" s="181"/>
      <c r="BE27" s="268"/>
      <c r="BF27" s="90"/>
      <c r="BG27" s="181"/>
      <c r="BH27" s="269"/>
      <c r="BI27" s="90"/>
      <c r="BJ27" s="90"/>
    </row>
    <row r="28" spans="1:64" ht="12" customHeight="1" thickBot="1" x14ac:dyDescent="0.25">
      <c r="A28" s="50"/>
      <c r="B28" s="149"/>
      <c r="C28" s="265">
        <f t="shared" si="12"/>
        <v>70</v>
      </c>
      <c r="D28" s="94">
        <f t="shared" si="8"/>
        <v>0</v>
      </c>
      <c r="E28" s="94">
        <f t="shared" si="9"/>
        <v>0</v>
      </c>
      <c r="F28" s="94">
        <f t="shared" si="10"/>
        <v>0</v>
      </c>
      <c r="G28" s="198">
        <f t="shared" si="11"/>
        <v>0</v>
      </c>
      <c r="H28" s="69"/>
      <c r="I28" s="685" t="s">
        <v>2434</v>
      </c>
      <c r="J28" s="686" t="s">
        <v>2435</v>
      </c>
      <c r="K28" s="686" t="s">
        <v>2415</v>
      </c>
      <c r="L28" s="686" t="s">
        <v>2436</v>
      </c>
      <c r="M28" s="687" t="s">
        <v>2416</v>
      </c>
      <c r="N28" s="3132"/>
      <c r="O28" s="3707"/>
      <c r="P28" s="3734"/>
      <c r="Q28" s="3132"/>
      <c r="R28" s="3710"/>
      <c r="S28" s="3674"/>
      <c r="T28" s="2866"/>
      <c r="U28" s="50"/>
      <c r="V28" s="50"/>
      <c r="W28" s="149"/>
      <c r="X28" s="3670" t="str">
        <f>IF(PDs!$AD55=0,"",PDs!$AD55)</f>
        <v/>
      </c>
      <c r="Y28" s="3670"/>
      <c r="Z28" s="3670"/>
      <c r="AA28" s="3670"/>
      <c r="AB28" s="3670"/>
      <c r="AC28" s="3670"/>
      <c r="AD28" s="3671" t="str">
        <f>IF(PDs!$V55=0,"",PDs!$V55)</f>
        <v/>
      </c>
      <c r="AE28" s="3671"/>
      <c r="AF28" s="3671"/>
      <c r="AG28" s="3671"/>
      <c r="AH28" s="3671"/>
      <c r="AI28" s="3671"/>
      <c r="AJ28" s="3671"/>
      <c r="AK28" s="3671"/>
      <c r="AL28" s="3671"/>
      <c r="AM28" s="3671"/>
      <c r="AN28" s="5140"/>
      <c r="AO28" s="5137"/>
      <c r="AP28" s="5166" t="s">
        <v>9923</v>
      </c>
      <c r="AQ28" s="5166"/>
      <c r="AR28" s="5167">
        <f>LARGE(AR$17:AR$26,1)</f>
        <v>14</v>
      </c>
      <c r="AS28" s="5167">
        <f t="shared" ref="AS28:AX28" si="13">LARGE(AS$17:AS$26,1)</f>
        <v>14</v>
      </c>
      <c r="AT28" s="5167">
        <f t="shared" si="13"/>
        <v>14</v>
      </c>
      <c r="AU28" s="5167">
        <f t="shared" si="13"/>
        <v>14</v>
      </c>
      <c r="AV28" s="5167">
        <f t="shared" si="13"/>
        <v>14</v>
      </c>
      <c r="AW28" s="5167">
        <f t="shared" si="13"/>
        <v>14</v>
      </c>
      <c r="AX28" s="5167">
        <f t="shared" si="13"/>
        <v>4</v>
      </c>
      <c r="AY28" s="5177"/>
      <c r="AZ28" s="5177"/>
      <c r="BA28" s="5143"/>
      <c r="BB28" s="5143"/>
      <c r="BC28" s="5149"/>
      <c r="BD28" s="181"/>
      <c r="BE28" s="268"/>
      <c r="BF28" s="181"/>
      <c r="BG28" s="181"/>
      <c r="BH28" s="269"/>
      <c r="BI28" s="123"/>
      <c r="BJ28" s="123"/>
    </row>
    <row r="29" spans="1:64" ht="12" customHeight="1" thickBot="1" x14ac:dyDescent="0.25">
      <c r="A29" s="50"/>
      <c r="B29" s="149"/>
      <c r="C29" s="264">
        <f t="shared" si="12"/>
        <v>80</v>
      </c>
      <c r="D29" s="127">
        <f t="shared" si="8"/>
        <v>0</v>
      </c>
      <c r="E29" s="127">
        <f t="shared" si="9"/>
        <v>0</v>
      </c>
      <c r="F29" s="127">
        <f t="shared" si="10"/>
        <v>0</v>
      </c>
      <c r="G29" s="80">
        <f t="shared" si="11"/>
        <v>0</v>
      </c>
      <c r="H29" s="69"/>
      <c r="I29" s="688" t="str">
        <f>IF(OR(S27="",S27="No"),IF(K26=0,"",VLOOKUP(K26,Tabla_ArmasyEscudos,6,FALSE)),"ENE")</f>
        <v/>
      </c>
      <c r="J29" s="689" t="str">
        <f>IF(K26=0,"",VLOOKUP(K26,Tabla_ArmasyEscudos,7,FALSE))</f>
        <v/>
      </c>
      <c r="K29" s="689" t="str">
        <f>IF(K26=0,"",IF(Extensióndelauraalarma,10,0)+IF(Ki!$P$39="-",10,0)+O29*2+VLOOKUP(K26,Tabla_ArmasyEscudos,10,FALSE)+IF(L27=0,0,VLOOKUP(L27,Tabla_ArmasEnormes,6,FALSE)))</f>
        <v/>
      </c>
      <c r="L29" s="689" t="str">
        <f>IF(K26=0,"",IF(Extensióndelauraalarma,5,0)+IF(Ki!$P$39="-",5,0)+O29*2/5+VLOOKUP(K26,Tabla_ArmasyEscudos,11,FALSE)+IF(L27=0,0,VLOOKUP(L27,Tabla_ArmasEnormes,7,FALSE))+IF(FUE=0,0,VLOOKUP(FUE,Tablas!$B$140:$C$159,2)))</f>
        <v/>
      </c>
      <c r="M29" s="690">
        <f>IF(K26=0,0,MAX(O29*10,0)+VLOOKUP(K26,Tabla_ArmasyEscudos,12,FALSE))</f>
        <v>0</v>
      </c>
      <c r="N29" s="684" t="s">
        <v>2444</v>
      </c>
      <c r="O29" s="128"/>
      <c r="P29" s="3727" t="str">
        <f>IF(L27=0,IF(O29=0,"","TA defensor:"),IF(Tamaño&lt;VLOOKUP(L27,Tabla_ArmasEnormes,2,FALSE),"Tam. excesivo",IF(O29=0,"","TA defensor:")))</f>
        <v/>
      </c>
      <c r="Q29" s="3727"/>
      <c r="R29" s="2394" t="str">
        <f>IF(P29="TA defensor:",O29/(-5),"")</f>
        <v/>
      </c>
      <c r="S29" s="2393"/>
      <c r="T29" s="2866"/>
      <c r="U29" s="50"/>
      <c r="V29" s="50"/>
      <c r="W29" s="149"/>
      <c r="AN29" s="5140"/>
      <c r="AO29" s="5137"/>
      <c r="AP29" s="5166" t="s">
        <v>9950</v>
      </c>
      <c r="AQ29" s="5166"/>
      <c r="AR29" s="5167">
        <f>LARGE(AR$17:AR$26,2)</f>
        <v>8</v>
      </c>
      <c r="AS29" s="5167">
        <f t="shared" ref="AS29:AX29" si="14">LARGE(AS$17:AS$26,2)</f>
        <v>8</v>
      </c>
      <c r="AT29" s="5167">
        <f t="shared" si="14"/>
        <v>8</v>
      </c>
      <c r="AU29" s="5167">
        <f t="shared" si="14"/>
        <v>8</v>
      </c>
      <c r="AV29" s="5167">
        <f t="shared" si="14"/>
        <v>8</v>
      </c>
      <c r="AW29" s="5167">
        <f t="shared" si="14"/>
        <v>8</v>
      </c>
      <c r="AX29" s="5167">
        <f t="shared" si="14"/>
        <v>0</v>
      </c>
      <c r="AY29" s="5177"/>
      <c r="AZ29" s="5177"/>
      <c r="BA29" s="5143"/>
      <c r="BB29" s="5143"/>
      <c r="BC29" s="5143"/>
      <c r="BD29" s="192"/>
      <c r="BE29" s="192"/>
      <c r="BF29" s="192"/>
      <c r="BG29" s="192"/>
      <c r="BH29" s="192"/>
      <c r="BI29" s="192"/>
      <c r="BJ29" s="192"/>
    </row>
    <row r="30" spans="1:64" ht="12" customHeight="1" thickBot="1" x14ac:dyDescent="0.25">
      <c r="A30" s="50"/>
      <c r="B30" s="149"/>
      <c r="C30" s="265">
        <f t="shared" si="12"/>
        <v>90</v>
      </c>
      <c r="D30" s="94">
        <f t="shared" si="8"/>
        <v>0</v>
      </c>
      <c r="E30" s="94">
        <f t="shared" si="9"/>
        <v>0</v>
      </c>
      <c r="F30" s="94">
        <f t="shared" si="10"/>
        <v>0</v>
      </c>
      <c r="G30" s="198">
        <f t="shared" si="11"/>
        <v>0</v>
      </c>
      <c r="H30" s="69"/>
      <c r="I30" s="3728" t="str">
        <f>IF(K26=0,"",VLOOKUP(K26,Tabla_ArmasyEscudos,19,FALSE))</f>
        <v/>
      </c>
      <c r="J30" s="3728"/>
      <c r="K30" s="3728"/>
      <c r="L30" s="3728"/>
      <c r="M30" s="3728"/>
      <c r="N30" s="3729"/>
      <c r="O30" s="3729"/>
      <c r="P30" s="3729"/>
      <c r="Q30" s="3729"/>
      <c r="R30" s="3730"/>
      <c r="S30" s="2402"/>
      <c r="T30" s="2866"/>
      <c r="U30" s="50"/>
      <c r="V30" s="50"/>
      <c r="W30" s="149"/>
      <c r="X30" s="3028" t="s">
        <v>2360</v>
      </c>
      <c r="Y30" s="3028"/>
      <c r="Z30" s="3028"/>
      <c r="AA30" s="3028"/>
      <c r="AB30" s="3028"/>
      <c r="AC30" s="3028"/>
      <c r="AD30" s="3045" t="s">
        <v>2407</v>
      </c>
      <c r="AE30" s="3045"/>
      <c r="AF30" s="3045"/>
      <c r="AG30" s="3045"/>
      <c r="AH30" s="3045"/>
      <c r="AI30" s="3045"/>
      <c r="AJ30" s="3045"/>
      <c r="AK30" s="3045"/>
      <c r="AL30" s="3045"/>
      <c r="AM30" s="104" t="s">
        <v>2356</v>
      </c>
      <c r="AN30" s="5140"/>
      <c r="AO30" s="5137"/>
      <c r="AP30" s="5166" t="s">
        <v>9951</v>
      </c>
      <c r="AQ30" s="5166"/>
      <c r="AR30" s="5167">
        <f>LARGE(AR$17:AR$26,3)</f>
        <v>3</v>
      </c>
      <c r="AS30" s="5167">
        <f t="shared" ref="AS30:AX30" si="15">LARGE(AS$17:AS$26,3)</f>
        <v>2</v>
      </c>
      <c r="AT30" s="5167">
        <f t="shared" si="15"/>
        <v>2</v>
      </c>
      <c r="AU30" s="5167">
        <f t="shared" si="15"/>
        <v>2</v>
      </c>
      <c r="AV30" s="5167">
        <f t="shared" si="15"/>
        <v>2</v>
      </c>
      <c r="AW30" s="5167">
        <f t="shared" si="15"/>
        <v>2</v>
      </c>
      <c r="AX30" s="5167">
        <f t="shared" si="15"/>
        <v>0</v>
      </c>
      <c r="AY30" s="5177"/>
      <c r="AZ30" s="5177"/>
      <c r="BA30" s="5143"/>
      <c r="BB30" s="5143"/>
      <c r="BC30" s="5143"/>
      <c r="BD30" s="192"/>
      <c r="BE30" s="192"/>
      <c r="BF30" s="192"/>
      <c r="BG30" s="192"/>
      <c r="BH30" s="192"/>
      <c r="BI30" s="192"/>
      <c r="BJ30" s="192"/>
    </row>
    <row r="31" spans="1:64" ht="12" customHeight="1" thickBot="1" x14ac:dyDescent="0.25">
      <c r="A31" s="50"/>
      <c r="B31" s="149"/>
      <c r="C31" s="264">
        <f t="shared" si="12"/>
        <v>100</v>
      </c>
      <c r="D31" s="127">
        <f t="shared" si="8"/>
        <v>0</v>
      </c>
      <c r="E31" s="127">
        <f t="shared" si="9"/>
        <v>0</v>
      </c>
      <c r="F31" s="127">
        <f t="shared" si="10"/>
        <v>0</v>
      </c>
      <c r="G31" s="80">
        <f t="shared" si="11"/>
        <v>0</v>
      </c>
      <c r="H31" s="69"/>
      <c r="I31" s="3028" t="s">
        <v>2445</v>
      </c>
      <c r="J31" s="3028"/>
      <c r="K31" s="3735"/>
      <c r="L31" s="3736"/>
      <c r="M31" s="3737"/>
      <c r="N31" s="258" t="s">
        <v>2246</v>
      </c>
      <c r="O31" s="258" t="s">
        <v>2430</v>
      </c>
      <c r="P31" s="3718" t="s">
        <v>2431</v>
      </c>
      <c r="Q31" s="3718"/>
      <c r="R31" s="2392" t="s">
        <v>2432</v>
      </c>
      <c r="S31" s="2385" t="s">
        <v>9583</v>
      </c>
      <c r="T31" s="2866"/>
      <c r="U31" s="50"/>
      <c r="V31" s="50"/>
      <c r="W31" s="149"/>
      <c r="X31" s="3687" t="str">
        <f>IF(PDs!$AD56=0,"",PDs!$AD56)</f>
        <v/>
      </c>
      <c r="Y31" s="3687"/>
      <c r="Z31" s="3687"/>
      <c r="AA31" s="3687"/>
      <c r="AB31" s="3687"/>
      <c r="AC31" s="3687"/>
      <c r="AD31" s="3672" t="str">
        <f>IF(PDs!$V56=0,"",PDs!$V56)</f>
        <v/>
      </c>
      <c r="AE31" s="3672"/>
      <c r="AF31" s="3672"/>
      <c r="AG31" s="3672"/>
      <c r="AH31" s="3672"/>
      <c r="AI31" s="3672"/>
      <c r="AJ31" s="3672"/>
      <c r="AK31" s="3672"/>
      <c r="AL31" s="3672"/>
      <c r="AM31" s="272">
        <f>IF(X31="",0,VLOOKUP(X31,Tablas!$C$931:$F$1020,4,FALSE))</f>
        <v>0</v>
      </c>
      <c r="AN31" s="5140"/>
      <c r="AO31" s="5137"/>
      <c r="AP31" s="5166"/>
      <c r="AQ31" s="5166"/>
      <c r="AR31" s="5166"/>
      <c r="AS31" s="5166"/>
      <c r="AT31" s="5166"/>
      <c r="AU31" s="5166"/>
      <c r="AV31" s="5166"/>
      <c r="AW31" s="5166"/>
      <c r="AX31" s="5166"/>
      <c r="AY31" s="5177"/>
      <c r="AZ31" s="5177"/>
      <c r="BA31" s="5143"/>
      <c r="BB31" s="5143"/>
      <c r="BC31" s="5143"/>
      <c r="BD31" s="192"/>
      <c r="BE31" s="192"/>
      <c r="BF31" s="192"/>
      <c r="BG31" s="192"/>
      <c r="BH31" s="192"/>
      <c r="BI31" s="192"/>
      <c r="BJ31" s="192"/>
    </row>
    <row r="32" spans="1:64" ht="12" customHeight="1" x14ac:dyDescent="0.2">
      <c r="A32" s="50"/>
      <c r="B32" s="149"/>
      <c r="C32" s="265">
        <f t="shared" si="12"/>
        <v>110</v>
      </c>
      <c r="D32" s="94">
        <f t="shared" si="8"/>
        <v>0</v>
      </c>
      <c r="E32" s="94">
        <f t="shared" si="9"/>
        <v>0</v>
      </c>
      <c r="F32" s="94">
        <f t="shared" si="10"/>
        <v>0</v>
      </c>
      <c r="G32" s="198">
        <f t="shared" si="11"/>
        <v>0</v>
      </c>
      <c r="H32" s="69"/>
      <c r="I32" s="3738" t="str">
        <f>IF(K31=0,"",VLOOKUP(K31,Tabla_ArmasyEscudos,22,FALSE))</f>
        <v/>
      </c>
      <c r="J32" s="3738"/>
      <c r="K32" s="203" t="s">
        <v>2442</v>
      </c>
      <c r="L32" s="3739"/>
      <c r="M32" s="3739"/>
      <c r="N32" s="3707" t="s">
        <v>2446</v>
      </c>
      <c r="O32" s="3707">
        <f>IF(K31=0,Principal!$H$21,MAX(Principal!$H$21+O34+IF(COUNTIF(Tablas!$G$869:$G$899,K31)&gt;0,MIN($L$23+PDs!$X$22,50)-PDs!$X$22+BonoMaestro_HA,0)-IF(OR(Tablas!$F$487&gt;0,Tablas!$G$1608&gt;0),10,40)-IF(FUE&lt;VLOOKUP(K31,Tabla_ArmasyEscudos,4,FALSE)+IF(L32=0,0,VLOOKUP(L32,Tabla_ArmasEnormes,4,FALSE)),10*(VLOOKUP(K31,Tabla_ArmasyEscudos,4,FALSE)-FUE+IF(L32=0,0,VLOOKUP(L32,Tabla_ArmasEnormes,4,FALSE))),0)+IF(I32=0,0,VLOOKUP(I32,Tabla_PenPorTipo,2)),0))-IF(Tablas!$G$734&lt;0,IF(K31=Principal!F28,0,30),0)</f>
        <v>10</v>
      </c>
      <c r="P32" s="3734">
        <f>IF(K31=0,MAX(HP_final,HE_final),MAX(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HE_final+IF(COUNTIF(Tablas!$G$869:$G$899,K31)&gt;0,MIN($P$23+PDs!$X$24,50)-PDs!$X$24+BonoMaestro_HD,0)+VLOOKUP(K31,Tabla_ArmasyEscudos,14,FALSE)))</f>
        <v>10</v>
      </c>
      <c r="Q32" s="3132" t="str">
        <f>IF(K31=0,"",IF(HP_final+VLOOKUP(K31,Tabla_ArmasyEscudos,13,FALSE)+O34+IF(COUNTIF(Tablas!$G$869:$G$899,K31)&gt;0,MIN($N$23+PDs!$X$23,50)-PDs!$X$23+BonoMaestro_HD,0)-IF(Tablas!$G$734&lt;0,IF(K31=Principal!F28,0,30),0)-IF(VLOOKUP(K31,Tabla_ArmasyEscudos,13,FALSE)=0,IF(OR(Tablas!$F$487&gt;0,Tablas!$G$1608&gt;0),10,40),0)+IF(I32=0,0,VLOOKUP(I32,Tabla_PenPorTipo,2))-IF(FUE&lt;VLOOKUP(K31,Tabla_ArmasyEscudos,4,FALSE)+IF(L32=0,0,VLOOKUP(L32,Tabla_ArmasEnormes,4,FALSE)),10*(VLOOKUP(K31,Tabla_ArmasyEscudos,4,FALSE)-FUE+IF(L32=0,0,VLOOKUP(L32,Tabla_ArmasEnormes,4,FALSE))),0)&gt;HE_final+IF(COUNTIF(Tablas!$G$869:$G$899,K31)&gt;0,MIN($P$23+PDs!$X$24,50)-PDs!$X$24+BonoMaestro_HD,0)+VLOOKUP(K31,Tabla_ArmasyEscudos,14,FALSE),"Par","Esq"))</f>
        <v/>
      </c>
      <c r="R32" s="3710">
        <f>IF(K31=0,0,IF(DañoIncrementado,10,0)+IF(Extensióndelauraalarma,10,0)+VLOOKUP(K31,Tabla_ArmasyEscudos,2,FALSE)*IF(L32=0,1,VLOOKUP(L32,Tabla_ArmasEnormes,5,FALSE))+Bono_Fue+2*O34+IF(AND(L32="Enorme",MOD(VLOOKUP(K31,Tabla_ArmasyEscudos,2,FALSE),10)&gt;0),-2.5,0))+IF(Tablas!M3446=0,0,MROUND(Elan/2,5))</f>
        <v>0</v>
      </c>
      <c r="S32" s="3673"/>
      <c r="T32" s="2866"/>
      <c r="U32" s="50"/>
      <c r="V32" s="50"/>
      <c r="W32" s="149"/>
      <c r="X32" s="3687" t="str">
        <f>IF(PDs!$AD57=0,"",PDs!$AD57)</f>
        <v/>
      </c>
      <c r="Y32" s="3687"/>
      <c r="Z32" s="3687"/>
      <c r="AA32" s="3687"/>
      <c r="AB32" s="3687"/>
      <c r="AC32" s="3687"/>
      <c r="AD32" s="3228" t="str">
        <f>IF(PDs!$V57=0,"",PDs!$V57)</f>
        <v/>
      </c>
      <c r="AE32" s="3228"/>
      <c r="AF32" s="3228"/>
      <c r="AG32" s="3228"/>
      <c r="AH32" s="3228"/>
      <c r="AI32" s="3228"/>
      <c r="AJ32" s="3228"/>
      <c r="AK32" s="3228"/>
      <c r="AL32" s="3228"/>
      <c r="AM32" s="273">
        <f>IF(X32="",0,VLOOKUP(X32,Tablas!$C$931:$F$1020,4,FALSE))</f>
        <v>0</v>
      </c>
      <c r="AN32" s="5140"/>
      <c r="AO32" s="5137"/>
      <c r="AP32" s="5166" t="s">
        <v>9952</v>
      </c>
      <c r="AQ32" s="5166"/>
      <c r="AR32" s="5166">
        <f>AR28+TRUNC((AR29+AR30)/2,0)</f>
        <v>19</v>
      </c>
      <c r="AS32" s="5166">
        <f t="shared" ref="AS32:AX32" si="16">AS28+TRUNC((AS29+AS30)/2,0)</f>
        <v>19</v>
      </c>
      <c r="AT32" s="5166">
        <f t="shared" si="16"/>
        <v>19</v>
      </c>
      <c r="AU32" s="5166">
        <f t="shared" si="16"/>
        <v>19</v>
      </c>
      <c r="AV32" s="5166">
        <f t="shared" si="16"/>
        <v>19</v>
      </c>
      <c r="AW32" s="5166">
        <f t="shared" si="16"/>
        <v>19</v>
      </c>
      <c r="AX32" s="5166">
        <f t="shared" si="16"/>
        <v>4</v>
      </c>
      <c r="AY32" s="5177"/>
      <c r="AZ32" s="5177"/>
      <c r="BA32" s="5143"/>
      <c r="BB32" s="5143"/>
      <c r="BC32" s="5143"/>
      <c r="BD32" s="192"/>
      <c r="BE32" s="192"/>
      <c r="BF32" s="192"/>
      <c r="BG32" s="192"/>
      <c r="BH32" s="192"/>
      <c r="BI32" s="192"/>
      <c r="BJ32" s="192"/>
    </row>
    <row r="33" spans="1:62" ht="12" customHeight="1" x14ac:dyDescent="0.2">
      <c r="A33" s="50"/>
      <c r="B33" s="149"/>
      <c r="C33" s="264">
        <f t="shared" si="12"/>
        <v>120</v>
      </c>
      <c r="D33" s="127">
        <f t="shared" si="8"/>
        <v>0</v>
      </c>
      <c r="E33" s="127">
        <f t="shared" si="9"/>
        <v>0</v>
      </c>
      <c r="F33" s="127">
        <f t="shared" si="10"/>
        <v>0</v>
      </c>
      <c r="G33" s="80">
        <f t="shared" si="11"/>
        <v>0</v>
      </c>
      <c r="H33" s="69"/>
      <c r="I33" s="274" t="s">
        <v>2434</v>
      </c>
      <c r="J33" s="161" t="s">
        <v>2435</v>
      </c>
      <c r="K33" s="161" t="s">
        <v>2415</v>
      </c>
      <c r="L33" s="161" t="s">
        <v>2436</v>
      </c>
      <c r="M33" s="161" t="s">
        <v>2416</v>
      </c>
      <c r="N33" s="3707"/>
      <c r="O33" s="3707"/>
      <c r="P33" s="3734"/>
      <c r="Q33" s="3132"/>
      <c r="R33" s="3710"/>
      <c r="S33" s="3674"/>
      <c r="T33" s="2866"/>
      <c r="U33" s="50"/>
      <c r="V33" s="50"/>
      <c r="W33" s="149"/>
      <c r="X33" s="3687" t="str">
        <f>IF(PDs!$AD58=0,"",PDs!$AD58)</f>
        <v/>
      </c>
      <c r="Y33" s="3687"/>
      <c r="Z33" s="3687"/>
      <c r="AA33" s="3687"/>
      <c r="AB33" s="3687"/>
      <c r="AC33" s="3687"/>
      <c r="AD33" s="3228" t="str">
        <f>IF(PDs!$V58=0,"",PDs!$V58)</f>
        <v/>
      </c>
      <c r="AE33" s="3228"/>
      <c r="AF33" s="3228"/>
      <c r="AG33" s="3228"/>
      <c r="AH33" s="3228"/>
      <c r="AI33" s="3228"/>
      <c r="AJ33" s="3228"/>
      <c r="AK33" s="3228"/>
      <c r="AL33" s="3228"/>
      <c r="AM33" s="273">
        <f>IF(X33="",0,VLOOKUP(X33,Tablas!$C$931:$F$1020,4,FALSE))</f>
        <v>0</v>
      </c>
      <c r="AN33" s="5140"/>
      <c r="AO33" s="5137"/>
      <c r="AP33" s="5166"/>
      <c r="AQ33" s="5166"/>
      <c r="AR33" s="5166"/>
      <c r="AS33" s="5167"/>
      <c r="AT33" s="5167"/>
      <c r="AU33" s="5167"/>
      <c r="AV33" s="5167"/>
      <c r="AW33" s="5167"/>
      <c r="AX33" s="5167"/>
      <c r="AY33" s="5177"/>
      <c r="AZ33" s="5177"/>
      <c r="BA33" s="5143"/>
      <c r="BB33" s="5143"/>
      <c r="BC33" s="5143"/>
      <c r="BD33" s="192"/>
      <c r="BE33" s="192"/>
      <c r="BF33" s="192"/>
      <c r="BG33" s="233"/>
      <c r="BH33" s="243"/>
      <c r="BI33" s="266"/>
      <c r="BJ33" s="266"/>
    </row>
    <row r="34" spans="1:62" ht="12" customHeight="1" x14ac:dyDescent="0.2">
      <c r="A34" s="50"/>
      <c r="B34" s="149"/>
      <c r="C34" s="265">
        <f t="shared" si="12"/>
        <v>130</v>
      </c>
      <c r="D34" s="94">
        <f t="shared" si="8"/>
        <v>0</v>
      </c>
      <c r="E34" s="94">
        <f t="shared" si="9"/>
        <v>0</v>
      </c>
      <c r="F34" s="94">
        <f t="shared" si="10"/>
        <v>0</v>
      </c>
      <c r="G34" s="198">
        <f t="shared" si="11"/>
        <v>0</v>
      </c>
      <c r="H34" s="69"/>
      <c r="I34" s="271" t="str">
        <f>IF(OR(S32="",S32="No"),IF(K31=0,"",VLOOKUP(K31,Tabla_ArmasyEscudos,6,FALSE)),"ENE")</f>
        <v/>
      </c>
      <c r="J34" s="127" t="str">
        <f>IF(K31=0,"",VLOOKUP(K31,Tabla_ArmasyEscudos,7,FALSE))</f>
        <v/>
      </c>
      <c r="K34" s="127" t="str">
        <f>IF(K31=0,"",IF(Extensióndelauraalarma,10,0)+IF(Ki!$P$39="-",10,0)+O34*2+VLOOKUP(K31,Tabla_ArmasyEscudos,10,FALSE)+IF(L32=0,0,VLOOKUP(L32,Tabla_ArmasEnormes,6,FALSE)))</f>
        <v/>
      </c>
      <c r="L34" s="127" t="str">
        <f>IF(K31=0,"",IF(Extensióndelauraalarma,5,0)+IF(Ki!$P$39="-",5,0)+O34*2/5+VLOOKUP(K31,Tabla_ArmasyEscudos,11,FALSE)+IF(L32=0,0,VLOOKUP(L32,Tabla_ArmasEnormes,7,FALSE))+IF(FUE=0,0,VLOOKUP(FUE,Tablas!$B$140:$C$159,2)))</f>
        <v/>
      </c>
      <c r="M34" s="127">
        <f>IF(K31=0,0,MAX(O34*10,0)+VLOOKUP(K31,Tabla_ArmasyEscudos,12,FALSE))</f>
        <v>0</v>
      </c>
      <c r="N34" s="183" t="s">
        <v>2444</v>
      </c>
      <c r="O34" s="130"/>
      <c r="P34" s="3727" t="str">
        <f>IF(L32=0,IF(O34=0,"","TA defensor:"),IF(Tamaño&lt;VLOOKUP(L32,Tabla_ArmasEnormes,2,FALSE),"Tam. excesivo",IF(O34=0,"","TA defensor:")))</f>
        <v/>
      </c>
      <c r="Q34" s="3727"/>
      <c r="R34" s="2394" t="str">
        <f>IF(P34="TA defensor:",O34/(-5),"")</f>
        <v/>
      </c>
      <c r="S34" s="2403"/>
      <c r="T34" s="2866"/>
      <c r="U34" s="50"/>
      <c r="V34" s="50"/>
      <c r="W34" s="149"/>
      <c r="X34" s="3687" t="str">
        <f>IF(PDs!$AD59=0,"",PDs!$AD59)</f>
        <v/>
      </c>
      <c r="Y34" s="3687"/>
      <c r="Z34" s="3687"/>
      <c r="AA34" s="3687"/>
      <c r="AB34" s="3687"/>
      <c r="AC34" s="3687"/>
      <c r="AD34" s="3228" t="str">
        <f>IF(PDs!$V59=0,"",PDs!$V59)</f>
        <v/>
      </c>
      <c r="AE34" s="3228"/>
      <c r="AF34" s="3228"/>
      <c r="AG34" s="3228"/>
      <c r="AH34" s="3228"/>
      <c r="AI34" s="3228"/>
      <c r="AJ34" s="3228"/>
      <c r="AK34" s="3228"/>
      <c r="AL34" s="3228"/>
      <c r="AM34" s="273">
        <f>IF(X34="",0,VLOOKUP(X34,Tablas!$C$931:$F$1020,4,FALSE))</f>
        <v>0</v>
      </c>
      <c r="AN34" s="5140"/>
      <c r="AO34" s="5137"/>
      <c r="AP34" s="5166"/>
      <c r="AQ34" s="5166"/>
      <c r="AR34" s="5166"/>
      <c r="AS34" s="5167"/>
      <c r="AT34" s="5167"/>
      <c r="AU34" s="5167"/>
      <c r="AV34" s="5167"/>
      <c r="AW34" s="5167"/>
      <c r="AX34" s="5167"/>
      <c r="AY34" s="5177"/>
      <c r="AZ34" s="5177"/>
      <c r="BA34" s="5143"/>
      <c r="BB34" s="5143"/>
      <c r="BC34" s="5143"/>
      <c r="BD34" s="192"/>
      <c r="BE34" s="192"/>
      <c r="BF34" s="192"/>
      <c r="BG34" s="192"/>
      <c r="BH34" s="192"/>
      <c r="BI34" s="192"/>
      <c r="BJ34" s="192"/>
    </row>
    <row r="35" spans="1:62" ht="12" customHeight="1" thickBot="1" x14ac:dyDescent="0.25">
      <c r="A35" s="50"/>
      <c r="B35" s="149"/>
      <c r="C35" s="264">
        <f t="shared" si="12"/>
        <v>140</v>
      </c>
      <c r="D35" s="127">
        <f t="shared" si="8"/>
        <v>0</v>
      </c>
      <c r="E35" s="127">
        <f t="shared" si="9"/>
        <v>0</v>
      </c>
      <c r="F35" s="127">
        <f t="shared" si="10"/>
        <v>0</v>
      </c>
      <c r="G35" s="80">
        <f t="shared" si="11"/>
        <v>0</v>
      </c>
      <c r="H35" s="69"/>
      <c r="I35" s="3729" t="str">
        <f>IF(K31=0,"",VLOOKUP(K31,Tabla_ArmasyEscudos,19,FALSE))</f>
        <v/>
      </c>
      <c r="J35" s="3729"/>
      <c r="K35" s="3729"/>
      <c r="L35" s="3729"/>
      <c r="M35" s="3729"/>
      <c r="N35" s="3729"/>
      <c r="O35" s="3729"/>
      <c r="P35" s="3729"/>
      <c r="Q35" s="3729"/>
      <c r="R35" s="3730"/>
      <c r="S35" s="2402"/>
      <c r="T35" s="2866"/>
      <c r="U35" s="50"/>
      <c r="V35" s="50"/>
      <c r="W35" s="149"/>
      <c r="X35" s="3687" t="str">
        <f>IF(PDs!$AD60=0,"",PDs!$AD60)</f>
        <v/>
      </c>
      <c r="Y35" s="3687"/>
      <c r="Z35" s="3687"/>
      <c r="AA35" s="3687"/>
      <c r="AB35" s="3687"/>
      <c r="AC35" s="3687"/>
      <c r="AD35" s="3228" t="str">
        <f>IF(PDs!$V60=0,"",PDs!$V60)</f>
        <v/>
      </c>
      <c r="AE35" s="3228"/>
      <c r="AF35" s="3228"/>
      <c r="AG35" s="3228"/>
      <c r="AH35" s="3228"/>
      <c r="AI35" s="3228"/>
      <c r="AJ35" s="3228"/>
      <c r="AK35" s="3228"/>
      <c r="AL35" s="3228"/>
      <c r="AM35" s="273">
        <f>IF(X35="",0,VLOOKUP(X35,Tablas!$C$931:$F$1020,4,FALSE))</f>
        <v>0</v>
      </c>
      <c r="AN35" s="5140"/>
      <c r="AO35" s="5137"/>
      <c r="AP35" s="5166"/>
      <c r="AQ35" s="5166"/>
      <c r="AR35" s="5166"/>
      <c r="AS35" s="5167"/>
      <c r="AT35" s="5167"/>
      <c r="AU35" s="5167"/>
      <c r="AV35" s="5167"/>
      <c r="AW35" s="5167"/>
      <c r="AX35" s="5167"/>
      <c r="AY35" s="5177"/>
      <c r="AZ35" s="5177"/>
      <c r="BA35" s="5143"/>
      <c r="BB35" s="5143"/>
      <c r="BC35" s="5143"/>
      <c r="BD35" s="192"/>
      <c r="BE35" s="192"/>
      <c r="BF35" s="192"/>
      <c r="BG35" s="192"/>
      <c r="BH35" s="192"/>
      <c r="BI35" s="192"/>
      <c r="BJ35" s="192"/>
    </row>
    <row r="36" spans="1:62" ht="12" customHeight="1" thickBot="1" x14ac:dyDescent="0.25">
      <c r="A36" s="50"/>
      <c r="B36" s="149"/>
      <c r="C36" s="265">
        <f t="shared" si="12"/>
        <v>150</v>
      </c>
      <c r="D36" s="94">
        <f t="shared" si="8"/>
        <v>0</v>
      </c>
      <c r="E36" s="94">
        <f t="shared" si="9"/>
        <v>0</v>
      </c>
      <c r="F36" s="94">
        <f t="shared" si="10"/>
        <v>0</v>
      </c>
      <c r="G36" s="198">
        <f t="shared" si="11"/>
        <v>0</v>
      </c>
      <c r="H36" s="69"/>
      <c r="I36" s="73"/>
      <c r="J36" s="73"/>
      <c r="K36" s="73"/>
      <c r="L36" s="73"/>
      <c r="M36" s="73"/>
      <c r="N36" s="73"/>
      <c r="O36" s="2020">
        <f>IF(Combate!C15=0,0,VLOOKUP(Combate!C15,Tabla_Yelmos,3))</f>
        <v>0</v>
      </c>
      <c r="P36" s="73"/>
      <c r="Q36" s="73"/>
      <c r="R36" s="73"/>
      <c r="S36" s="2384"/>
      <c r="T36" s="2866"/>
      <c r="U36" s="50"/>
      <c r="V36" s="50"/>
      <c r="W36" s="149"/>
      <c r="X36" s="3687" t="str">
        <f>IF(PDs!$AD61=0,"",PDs!$AD61)</f>
        <v/>
      </c>
      <c r="Y36" s="3687"/>
      <c r="Z36" s="3687"/>
      <c r="AA36" s="3687"/>
      <c r="AB36" s="3687"/>
      <c r="AC36" s="3687"/>
      <c r="AD36" s="3228" t="str">
        <f>IF(PDs!$V61=0,"",PDs!$V61)</f>
        <v/>
      </c>
      <c r="AE36" s="3228"/>
      <c r="AF36" s="3228"/>
      <c r="AG36" s="3228"/>
      <c r="AH36" s="3228"/>
      <c r="AI36" s="3228"/>
      <c r="AJ36" s="3228"/>
      <c r="AK36" s="3228"/>
      <c r="AL36" s="3228"/>
      <c r="AM36" s="273">
        <f>IF(X36="",0,VLOOKUP(X36,Tablas!$C$931:$F$1020,4,FALSE))</f>
        <v>0</v>
      </c>
      <c r="AN36" s="5140"/>
      <c r="AO36" s="5137"/>
      <c r="AP36" s="5166"/>
      <c r="AQ36" s="5166"/>
      <c r="AR36" s="5166"/>
      <c r="AS36" s="5167"/>
      <c r="AT36" s="5167"/>
      <c r="AU36" s="5167"/>
      <c r="AV36" s="5167"/>
      <c r="AW36" s="5167"/>
      <c r="AX36" s="5167"/>
      <c r="AY36" s="5177"/>
      <c r="AZ36" s="5177"/>
      <c r="BA36" s="5143"/>
      <c r="BB36" s="5143"/>
      <c r="BC36" s="5143"/>
      <c r="BD36" s="192"/>
      <c r="BE36" s="192"/>
      <c r="BF36" s="192"/>
      <c r="BG36" s="192"/>
      <c r="BH36" s="192"/>
      <c r="BI36" s="192"/>
      <c r="BJ36" s="192"/>
    </row>
    <row r="37" spans="1:62" ht="12" customHeight="1" thickBot="1" x14ac:dyDescent="0.25">
      <c r="A37" s="50"/>
      <c r="B37" s="149"/>
      <c r="C37" s="264">
        <f t="shared" si="12"/>
        <v>160</v>
      </c>
      <c r="D37" s="127">
        <f t="shared" si="8"/>
        <v>0</v>
      </c>
      <c r="E37" s="127">
        <f t="shared" si="9"/>
        <v>0</v>
      </c>
      <c r="F37" s="127">
        <f t="shared" si="10"/>
        <v>0</v>
      </c>
      <c r="G37" s="80">
        <f t="shared" si="11"/>
        <v>0</v>
      </c>
      <c r="H37" s="69"/>
      <c r="I37" s="3028" t="s">
        <v>2269</v>
      </c>
      <c r="J37" s="3028"/>
      <c r="K37" s="3735"/>
      <c r="L37" s="3736"/>
      <c r="M37" s="3737"/>
      <c r="N37" s="258" t="s">
        <v>2246</v>
      </c>
      <c r="O37" s="258">
        <f>IF(Combate!C15=0,0,VLOOKUP(Combate!C15,Tabla_Yelmos,3))</f>
        <v>0</v>
      </c>
      <c r="P37" s="3718" t="s">
        <v>2431</v>
      </c>
      <c r="Q37" s="3718"/>
      <c r="R37" s="2392" t="s">
        <v>2432</v>
      </c>
      <c r="S37" s="2381" t="s">
        <v>9583</v>
      </c>
      <c r="T37" s="2866"/>
      <c r="U37" s="50"/>
      <c r="V37" s="50"/>
      <c r="W37" s="149"/>
      <c r="X37" s="3675" t="str">
        <f>IF(PDs!$AD62=0,"",PDs!$AD62)</f>
        <v/>
      </c>
      <c r="Y37" s="3675"/>
      <c r="Z37" s="3675"/>
      <c r="AA37" s="3675"/>
      <c r="AB37" s="3675"/>
      <c r="AC37" s="3675"/>
      <c r="AD37" s="3228" t="str">
        <f>IF(PDs!$V62=0,"",PDs!$V62)</f>
        <v/>
      </c>
      <c r="AE37" s="3228"/>
      <c r="AF37" s="3228"/>
      <c r="AG37" s="3228"/>
      <c r="AH37" s="3228"/>
      <c r="AI37" s="3228"/>
      <c r="AJ37" s="3228"/>
      <c r="AK37" s="3228"/>
      <c r="AL37" s="3228"/>
      <c r="AM37" s="273">
        <f>IF(X37="",0,VLOOKUP(X37,Tablas!$C$931:$F$1020,4,FALSE))</f>
        <v>0</v>
      </c>
      <c r="AN37" s="5140"/>
      <c r="AO37" s="5137"/>
      <c r="AP37" s="5166"/>
      <c r="AQ37" s="5166"/>
      <c r="AR37" s="5166"/>
      <c r="AS37" s="5167"/>
      <c r="AT37" s="5167"/>
      <c r="AU37" s="5167"/>
      <c r="AV37" s="5167"/>
      <c r="AW37" s="5167"/>
      <c r="AX37" s="5167"/>
      <c r="AY37" s="5177"/>
      <c r="AZ37" s="5177"/>
      <c r="BA37" s="5143"/>
      <c r="BB37" s="5147"/>
      <c r="BC37" s="5148"/>
      <c r="BD37" s="270"/>
      <c r="BE37" s="233"/>
      <c r="BF37" s="243"/>
      <c r="BG37" s="90"/>
      <c r="BH37" s="90"/>
      <c r="BI37" s="90"/>
      <c r="BJ37" s="90"/>
    </row>
    <row r="38" spans="1:62" ht="12" customHeight="1" x14ac:dyDescent="0.2">
      <c r="A38" s="50"/>
      <c r="B38" s="149"/>
      <c r="C38" s="265">
        <f t="shared" si="12"/>
        <v>170</v>
      </c>
      <c r="D38" s="94">
        <f t="shared" si="8"/>
        <v>0</v>
      </c>
      <c r="E38" s="94">
        <f t="shared" si="9"/>
        <v>0</v>
      </c>
      <c r="F38" s="94">
        <f t="shared" si="10"/>
        <v>0</v>
      </c>
      <c r="G38" s="198">
        <f t="shared" si="11"/>
        <v>0</v>
      </c>
      <c r="H38" s="69"/>
      <c r="I38" s="3731" t="str">
        <f>IF(K37=0,"",VLOOKUP(K37,Tabla_ArmasyEscudos,22,FALSE))</f>
        <v/>
      </c>
      <c r="J38" s="3731"/>
      <c r="K38" s="172" t="s">
        <v>2442</v>
      </c>
      <c r="L38" s="3742"/>
      <c r="M38" s="3742"/>
      <c r="N38" s="3733">
        <f>MIN(Principal!$D$28,IF(K37=0,0,IF(OR(K42="Escudo medio",K42="Rodela",K42="Escudo corporal"),Principal!$D$28-20+O40+VLOOKUP(K37,Tabla_ArmasyEscudos,3,FALSE)+VLOOKUP(K42,Tabla_ArmasyEscudos,3,FALSE),Principal!$D$28-20+IF(K37=K42,VLOOKUP(K37,Tabla_ArmasyEscudos,3,FALSE)-10+O40,MIN(VLOOKUP(K37,Tabla_ArmasyEscudos,3,FALSE)+O40,IF(K42=0,100,VLOOKUP(K42,Tabla_ArmasyEscudos,3,FALSE)+O45))))+IF(L38=0,0,IF(Tamaño&lt;VLOOKUP(L38,Tabla_ArmasEnormes,3,FALSE),-40,0))+IF(L43=0,0,IF(Tamaño&lt;VLOOKUP(L43,Tabla_ArmasEnorm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707">
        <f>IF(K37=0,Principal!$H$21,MAX(Principal!$H$21+O40+IF(COUNTIF(Tablas!$G$869:$G$899,K37)&gt;0,MIN($L$23+PDs!$X$22,50)-PDs!$X$22+BonoMaestro_HA,0)-IF(FUE&lt;VLOOKUP(K37,Tabla_ArmasyEscudos,4,FALSE)+IF(L38=0,0,VLOOKUP(L38,Tabla_ArmasEnormes,4,FALSE)),10*(VLOOKUP(K37,Tabla_ArmasyEscudos,4,FALSE)-FUE+IF(L38=0,0,VLOOKUP(L38,Tabla_ArmasEnormes,4,FALSE))),0)+IF(I38=0,0,VLOOKUP(I38,Tabla_PenPorTipo,2)),0))-IF(Tablas!$G$734&lt;0,IF(K37=Principal!F28,0,30),0)</f>
        <v>10</v>
      </c>
      <c r="P38" s="3734">
        <f>IF(K37=0,MAX(HP_final,HE_final),MAX(HP_final+VLOOKUP(K37,Tabla_ArmasyEscudos,13,FALSE)+O40+IF(COUNTIF(Tablas!$G$869:$G$899,K37)&gt;0,MIN($N$23+PDs!$X$23,50)-PDs!$X$23+BonoMaestro_HD,0)-IF(Tablas!$G$734&lt;0,IF(K37=Principal!F28,0,30),0)+IF(I38=0,0,VLOOKUP(I38,Tabla_PenPorTipo,2))-IF(FUE&lt;VLOOKUP(K37,Tabla_ArmasyEscudos,4,FALSE)+IF(L38=0,0,VLOOKUP(L38,Tabla_ArmasEnormes,4,FALSE)),10*(VLOOKUP(K37,Tabla_ArmasyEscudos,4,FALSE)-FUE+IF(L38=0,0,VLOOKUP(L38,Tabla_ArmasEnormes,4,FALSE))),0),HE_final+IF(COUNTIF(Tablas!$G$869:$G$899,K37)&gt;0,MIN($P$23+PDs!$X$24,50)-PDs!$X$24+BonoMaestro_HD,0)+VLOOKUP(K37,Tabla_ArmasyEscudos,14,FALSE)))</f>
        <v>10</v>
      </c>
      <c r="Q38" s="3132" t="str">
        <f>IF(K37=0,"",IF(HP_final+VLOOKUP(K37,Tabla_ArmasyEscudos,13,FALSE)+O40+IF(COUNTIF(Tablas!$G$869:$G$899,K37)&gt;0,MIN($N$23+PDs!$X$23,50)-PDs!$X$23+BonoMaestro_HD,0)-IF(Tablas!$G$734&lt;0,IF(K37=Principal!F39,0,30),0)+IF(I38=0,0,VLOOKUP(I38,Tabla_PenPorTipo,2))-IF(FUE&lt;VLOOKUP(K37,Tabla_ArmasyEscudos,4,FALSE)+IF(L38=0,0,VLOOKUP(L38,Tabla_ArmasEnormes,4,FALSE)),10*(VLOOKUP(K37,Tabla_ArmasyEscudos,4,FALSE)-FUE+IF(L38=0,0,VLOOKUP(L38,Tabla_ArmasEnormes,4,FALSE))),0)&gt;HE_final+IF(COUNTIF(Tablas!$G$869:$G$899,K37)&gt;0,MIN($P$23+PDs!$X$24,50)-PDs!$X$24+BonoMaestro_HD,0)+VLOOKUP(K37,Tabla_ArmasyEscudos,14,FALSE),"Par","Esq"))</f>
        <v/>
      </c>
      <c r="R38" s="3710">
        <f>IF(K37=0,0,IF(DañoIncrementado,10,0)+IF(Extensióndelauraalarma,10,0)+VLOOKUP(K37,Tabla_ArmasyEscudos,2,FALSE)*IF(L38=0,1,VLOOKUP(L38,Tabla_ArmasEnormes,5,FALSE))+Bono_Fue+2*O40+IF(AND(L38="Enorme",MOD(VLOOKUP(K37,Tabla_ArmasyEscudos,2,FALSE),10)&gt;0),-2.5,0))+IF(Tablas!M3446=0,0,MROUND(Elan/2,5))</f>
        <v>0</v>
      </c>
      <c r="S38" s="3673"/>
      <c r="T38" s="2866"/>
      <c r="U38" s="50"/>
      <c r="V38" s="50"/>
      <c r="W38" s="149"/>
      <c r="X38" s="3675" t="str">
        <f>IF(PDs!$AD63=0,"",PDs!$AD63)</f>
        <v/>
      </c>
      <c r="Y38" s="3675"/>
      <c r="Z38" s="3675"/>
      <c r="AA38" s="3675"/>
      <c r="AB38" s="3675"/>
      <c r="AC38" s="3675"/>
      <c r="AD38" s="3226" t="str">
        <f>IF(PDs!$V63=0,"",PDs!$V63)</f>
        <v/>
      </c>
      <c r="AE38" s="3226"/>
      <c r="AF38" s="3226"/>
      <c r="AG38" s="3226"/>
      <c r="AH38" s="3226"/>
      <c r="AI38" s="3226"/>
      <c r="AJ38" s="3226"/>
      <c r="AK38" s="3226"/>
      <c r="AL38" s="3226"/>
      <c r="AM38" s="273">
        <f>IF(X38="",0,VLOOKUP(X38,Tablas!$C$931:$F$1020,4,FALSE))</f>
        <v>0</v>
      </c>
      <c r="AN38" s="5140"/>
      <c r="AO38" s="5137"/>
      <c r="AP38" s="5166"/>
      <c r="AQ38" s="5166"/>
      <c r="AR38" s="5166"/>
      <c r="AS38" s="5167"/>
      <c r="AT38" s="5167"/>
      <c r="AU38" s="5167"/>
      <c r="AV38" s="5167"/>
      <c r="AW38" s="5167"/>
      <c r="AX38" s="5167"/>
      <c r="AY38" s="5177"/>
      <c r="AZ38" s="5177"/>
      <c r="BA38" s="5143"/>
      <c r="BB38" s="5142"/>
      <c r="BC38" s="5148"/>
      <c r="BD38" s="270"/>
      <c r="BE38" s="233"/>
      <c r="BF38" s="243"/>
      <c r="BG38" s="123"/>
      <c r="BH38" s="123"/>
      <c r="BI38" s="123"/>
      <c r="BJ38" s="123"/>
    </row>
    <row r="39" spans="1:62" ht="12" customHeight="1" x14ac:dyDescent="0.2">
      <c r="A39" s="50"/>
      <c r="B39" s="149"/>
      <c r="C39" s="264">
        <f t="shared" si="12"/>
        <v>180</v>
      </c>
      <c r="D39" s="127">
        <f t="shared" si="8"/>
        <v>0</v>
      </c>
      <c r="E39" s="127">
        <f t="shared" si="9"/>
        <v>0</v>
      </c>
      <c r="F39" s="127">
        <f t="shared" si="10"/>
        <v>0</v>
      </c>
      <c r="G39" s="80">
        <f t="shared" si="11"/>
        <v>0</v>
      </c>
      <c r="H39" s="69"/>
      <c r="I39" s="685" t="s">
        <v>2434</v>
      </c>
      <c r="J39" s="686" t="s">
        <v>2435</v>
      </c>
      <c r="K39" s="686" t="s">
        <v>2415</v>
      </c>
      <c r="L39" s="686" t="s">
        <v>2436</v>
      </c>
      <c r="M39" s="687" t="s">
        <v>2416</v>
      </c>
      <c r="N39" s="3132"/>
      <c r="O39" s="3707"/>
      <c r="P39" s="3734"/>
      <c r="Q39" s="3132"/>
      <c r="R39" s="3710"/>
      <c r="S39" s="3674"/>
      <c r="T39" s="2866"/>
      <c r="U39" s="50"/>
      <c r="V39" s="50"/>
      <c r="W39" s="149"/>
      <c r="X39" s="3675" t="str">
        <f>IF(PDs!$AD64=0,"",PDs!$AD64)</f>
        <v/>
      </c>
      <c r="Y39" s="3675"/>
      <c r="Z39" s="3675"/>
      <c r="AA39" s="3675"/>
      <c r="AB39" s="3675"/>
      <c r="AC39" s="3675"/>
      <c r="AD39" s="3228" t="str">
        <f>IF(PDs!$V64=0,"",PDs!$V64)</f>
        <v/>
      </c>
      <c r="AE39" s="3228"/>
      <c r="AF39" s="3228"/>
      <c r="AG39" s="3228"/>
      <c r="AH39" s="3228"/>
      <c r="AI39" s="3228"/>
      <c r="AJ39" s="3228"/>
      <c r="AK39" s="3228"/>
      <c r="AL39" s="3228"/>
      <c r="AM39" s="273">
        <f>IF(X39="",0,VLOOKUP(X39,Tablas!$C$931:$F$1020,4,FALSE))</f>
        <v>0</v>
      </c>
      <c r="AN39" s="5140"/>
      <c r="AO39" s="5137"/>
      <c r="AP39" s="5166"/>
      <c r="AQ39" s="5166"/>
      <c r="AR39" s="5166"/>
      <c r="AS39" s="5167"/>
      <c r="AT39" s="5167"/>
      <c r="AU39" s="5167"/>
      <c r="AV39" s="5167"/>
      <c r="AW39" s="5167"/>
      <c r="AX39" s="5167"/>
      <c r="AY39" s="5177"/>
      <c r="AZ39" s="5177"/>
      <c r="BA39" s="5147"/>
      <c r="BB39" s="5147"/>
      <c r="BC39" s="5146"/>
      <c r="BD39" s="233"/>
      <c r="BE39" s="233"/>
      <c r="BF39" s="233"/>
      <c r="BG39" s="233"/>
      <c r="BH39" s="233"/>
      <c r="BI39" s="233"/>
      <c r="BJ39" s="233"/>
    </row>
    <row r="40" spans="1:62" ht="12" customHeight="1" x14ac:dyDescent="0.2">
      <c r="A40" s="50"/>
      <c r="B40" s="149"/>
      <c r="C40" s="265">
        <f t="shared" si="12"/>
        <v>190</v>
      </c>
      <c r="D40" s="94">
        <f t="shared" si="8"/>
        <v>0</v>
      </c>
      <c r="E40" s="94">
        <f t="shared" si="9"/>
        <v>0</v>
      </c>
      <c r="F40" s="94">
        <f t="shared" si="10"/>
        <v>0</v>
      </c>
      <c r="G40" s="198">
        <f t="shared" si="11"/>
        <v>0</v>
      </c>
      <c r="H40" s="69"/>
      <c r="I40" s="688" t="str">
        <f>IF(S38="Si","ENE",IF(K37=0,"",VLOOKUP(K37,Tabla_ArmasyEscudos,6,FALSE)))</f>
        <v/>
      </c>
      <c r="J40" s="689" t="str">
        <f>IF(K37=0,"",VLOOKUP(K37,Tabla_ArmasyEscudos,7,FALSE))</f>
        <v/>
      </c>
      <c r="K40" s="689" t="str">
        <f>IF(K37=0,"",IF(Extensióndelauraalarma,10,0)+IF(Ki!$P$39="-",10,0)+O40*2+VLOOKUP(K37,Tabla_ArmasyEscudos,10,FALSE)+IF(L38=0,0,VLOOKUP(L38,Tabla_ArmasEnormes,6,FALSE)))</f>
        <v/>
      </c>
      <c r="L40" s="689" t="str">
        <f>IF(K37=0,"",IF(Extensióndelauraalarma,5,0)+IF(Ki!$P$39="-",5,0)+O40*2/5+VLOOKUP(K37,Tabla_ArmasyEscudos,11,FALSE)+IF(L38=0,0,VLOOKUP(L38,Tabla_ArmasEnormes,7,FALSE))+IF(FUE=0,0,VLOOKUP(FUE,Tablas!$B$140:$C$159,2)))</f>
        <v/>
      </c>
      <c r="M40" s="690">
        <f>IF(K37=0,0,MAX(O40*10,0)+VLOOKUP(K37,Tabla_ArmasyEscudos,12,FALSE))</f>
        <v>0</v>
      </c>
      <c r="N40" s="684" t="s">
        <v>2444</v>
      </c>
      <c r="O40" s="128"/>
      <c r="P40" s="3727" t="str">
        <f>IF(L38=0,IF(O40=0,"","TA defensor:"),IF(Tamaño&lt;VLOOKUP(L38,Tabla_ArmasEnormes,2,FALSE),"Tam. excesivo",IF(O40=0,"","TA defensor:")))</f>
        <v/>
      </c>
      <c r="Q40" s="3727"/>
      <c r="R40" s="2394" t="str">
        <f>IF(P40="TA defensor:",O40/(-5),"")</f>
        <v/>
      </c>
      <c r="S40" s="2403"/>
      <c r="T40" s="2866"/>
      <c r="U40" s="50"/>
      <c r="V40" s="50"/>
      <c r="W40" s="149"/>
      <c r="X40" s="3675" t="str">
        <f>IF(PDs!$AD65=0,"",PDs!$AD65)</f>
        <v/>
      </c>
      <c r="Y40" s="3675"/>
      <c r="Z40" s="3675"/>
      <c r="AA40" s="3675"/>
      <c r="AB40" s="3675"/>
      <c r="AC40" s="3675"/>
      <c r="AD40" s="3214" t="str">
        <f>IF(PDs!$V65=0,"",PDs!$V65)</f>
        <v/>
      </c>
      <c r="AE40" s="3214"/>
      <c r="AF40" s="3214"/>
      <c r="AG40" s="3214"/>
      <c r="AH40" s="3214"/>
      <c r="AI40" s="3214"/>
      <c r="AJ40" s="3214"/>
      <c r="AK40" s="3214"/>
      <c r="AL40" s="3214"/>
      <c r="AM40" s="80">
        <f>IF(X40="",0,VLOOKUP(X40,Tablas!$C$931:$F$1020,4,FALSE))</f>
        <v>0</v>
      </c>
      <c r="AN40" s="5140"/>
      <c r="AO40" s="5137"/>
      <c r="AQ40" s="5166"/>
      <c r="AR40" s="5166"/>
      <c r="AS40" s="5167"/>
      <c r="AT40" s="5167"/>
      <c r="AU40" s="5167"/>
      <c r="AV40" s="5167"/>
      <c r="AW40" s="5167"/>
      <c r="AX40" s="5167"/>
      <c r="AY40" s="5177"/>
      <c r="AZ40" s="5177"/>
      <c r="BA40" s="5147"/>
      <c r="BB40" s="5147"/>
      <c r="BC40" s="5146"/>
      <c r="BD40" s="233"/>
      <c r="BE40" s="154"/>
      <c r="BF40" s="154"/>
      <c r="BG40" s="154"/>
      <c r="BH40" s="154"/>
      <c r="BI40" s="154"/>
      <c r="BJ40" s="154"/>
    </row>
    <row r="41" spans="1:62" ht="12" customHeight="1" thickBot="1" x14ac:dyDescent="0.25">
      <c r="A41" s="50"/>
      <c r="B41" s="149"/>
      <c r="C41" s="264">
        <f t="shared" si="12"/>
        <v>200</v>
      </c>
      <c r="D41" s="127">
        <f t="shared" si="8"/>
        <v>0</v>
      </c>
      <c r="E41" s="127">
        <f t="shared" si="9"/>
        <v>0</v>
      </c>
      <c r="F41" s="127">
        <f t="shared" si="10"/>
        <v>0</v>
      </c>
      <c r="G41" s="80">
        <f t="shared" si="11"/>
        <v>0</v>
      </c>
      <c r="H41" s="69"/>
      <c r="I41" s="3728" t="str">
        <f>IF(K37=0,"",VLOOKUP(K37,Tabla_ArmasyEscudos,19,FALSE))</f>
        <v/>
      </c>
      <c r="J41" s="3728"/>
      <c r="K41" s="3728"/>
      <c r="L41" s="3728"/>
      <c r="M41" s="3728"/>
      <c r="N41" s="3729"/>
      <c r="O41" s="3729"/>
      <c r="P41" s="3729"/>
      <c r="Q41" s="3729"/>
      <c r="R41" s="3730"/>
      <c r="S41" s="2402"/>
      <c r="T41" s="2866"/>
      <c r="U41" s="50"/>
      <c r="V41" s="50"/>
      <c r="W41" s="149"/>
      <c r="X41" s="3675" t="str">
        <f>IF(PDs!$AD66=0,"",PDs!$AD66)</f>
        <v/>
      </c>
      <c r="Y41" s="3675"/>
      <c r="Z41" s="3675"/>
      <c r="AA41" s="3675"/>
      <c r="AB41" s="3675"/>
      <c r="AC41" s="3675"/>
      <c r="AD41" s="3214" t="str">
        <f>IF(PDs!$V66=0,"",PDs!$V66)</f>
        <v/>
      </c>
      <c r="AE41" s="3214"/>
      <c r="AF41" s="3214"/>
      <c r="AG41" s="3214"/>
      <c r="AH41" s="3214"/>
      <c r="AI41" s="3214"/>
      <c r="AJ41" s="3214"/>
      <c r="AK41" s="3214"/>
      <c r="AL41" s="3214"/>
      <c r="AM41" s="80">
        <f>IF(X41="",0,VLOOKUP(X41,Tablas!$C$931:$F$1020,4,FALSE))</f>
        <v>0</v>
      </c>
      <c r="AN41" s="5140"/>
      <c r="AO41" s="5137"/>
      <c r="AQ41" s="5166"/>
      <c r="AR41" s="5166"/>
      <c r="AS41" s="5167"/>
      <c r="AT41" s="5167"/>
      <c r="AU41" s="5167"/>
      <c r="AV41" s="5167"/>
      <c r="AW41" s="5167"/>
      <c r="AX41" s="5167"/>
      <c r="AY41" s="5177"/>
      <c r="AZ41" s="5177"/>
      <c r="BA41" s="5147"/>
      <c r="BB41" s="5147"/>
      <c r="BC41" s="5144"/>
      <c r="BD41" s="154"/>
      <c r="BE41" s="154"/>
      <c r="BF41" s="154"/>
      <c r="BG41" s="154"/>
      <c r="BH41" s="154"/>
      <c r="BI41" s="154"/>
      <c r="BJ41" s="154"/>
    </row>
    <row r="42" spans="1:62" ht="12" customHeight="1" thickBot="1" x14ac:dyDescent="0.25">
      <c r="A42" s="50"/>
      <c r="B42" s="149"/>
      <c r="C42" s="265">
        <f t="shared" si="12"/>
        <v>210</v>
      </c>
      <c r="D42" s="94">
        <f t="shared" si="8"/>
        <v>0</v>
      </c>
      <c r="E42" s="94">
        <f t="shared" si="9"/>
        <v>0</v>
      </c>
      <c r="F42" s="94">
        <f t="shared" si="10"/>
        <v>0</v>
      </c>
      <c r="G42" s="198">
        <f t="shared" si="11"/>
        <v>0</v>
      </c>
      <c r="H42" s="69"/>
      <c r="I42" s="3028" t="s">
        <v>2445</v>
      </c>
      <c r="J42" s="3028"/>
      <c r="K42" s="3735"/>
      <c r="L42" s="3740"/>
      <c r="M42" s="3741"/>
      <c r="N42" s="258" t="s">
        <v>2246</v>
      </c>
      <c r="O42" s="258" t="s">
        <v>2430</v>
      </c>
      <c r="P42" s="3718" t="s">
        <v>2431</v>
      </c>
      <c r="Q42" s="3718"/>
      <c r="R42" s="2392" t="s">
        <v>2432</v>
      </c>
      <c r="S42" s="2395" t="s">
        <v>9583</v>
      </c>
      <c r="T42" s="2866"/>
      <c r="U42" s="50"/>
      <c r="V42" s="50"/>
      <c r="W42" s="149"/>
      <c r="X42" s="3675" t="str">
        <f>IF(PDs!$AD67=0,"",PDs!$AD67)</f>
        <v/>
      </c>
      <c r="Y42" s="3675"/>
      <c r="Z42" s="3675"/>
      <c r="AA42" s="3675"/>
      <c r="AB42" s="3675"/>
      <c r="AC42" s="3675"/>
      <c r="AD42" s="3214" t="str">
        <f>IF(PDs!$V67=0,"",PDs!$V67)</f>
        <v/>
      </c>
      <c r="AE42" s="3214"/>
      <c r="AF42" s="3214"/>
      <c r="AG42" s="3214"/>
      <c r="AH42" s="3214"/>
      <c r="AI42" s="3214"/>
      <c r="AJ42" s="3214"/>
      <c r="AK42" s="3214"/>
      <c r="AL42" s="3214"/>
      <c r="AM42" s="80">
        <f>IF(X42="",0,VLOOKUP(X42,Tablas!$C$931:$F$1020,4,FALSE))</f>
        <v>0</v>
      </c>
      <c r="AN42" s="5140"/>
      <c r="AO42" s="5137"/>
      <c r="AQ42" s="5166"/>
      <c r="AR42" s="5166"/>
      <c r="AS42" s="5167"/>
      <c r="AT42" s="5167"/>
      <c r="AU42" s="5167"/>
      <c r="AV42" s="5167"/>
      <c r="AW42" s="5167"/>
      <c r="AX42" s="5167"/>
      <c r="AY42" s="5177"/>
      <c r="AZ42" s="5177"/>
      <c r="BA42" s="5143"/>
      <c r="BB42" s="5143"/>
      <c r="BC42" s="5143"/>
      <c r="BD42" s="192"/>
      <c r="BE42" s="192"/>
      <c r="BF42" s="192"/>
      <c r="BG42" s="192"/>
      <c r="BH42" s="192"/>
      <c r="BI42" s="192"/>
      <c r="BJ42" s="192"/>
    </row>
    <row r="43" spans="1:62" ht="12" customHeight="1" x14ac:dyDescent="0.2">
      <c r="A43" s="50"/>
      <c r="B43" s="149"/>
      <c r="C43" s="264">
        <f t="shared" si="12"/>
        <v>220</v>
      </c>
      <c r="D43" s="127">
        <f t="shared" si="8"/>
        <v>0</v>
      </c>
      <c r="E43" s="127">
        <f t="shared" si="9"/>
        <v>0</v>
      </c>
      <c r="F43" s="127">
        <f t="shared" si="10"/>
        <v>0</v>
      </c>
      <c r="G43" s="80">
        <f t="shared" si="11"/>
        <v>0</v>
      </c>
      <c r="H43" s="69"/>
      <c r="I43" s="3738" t="str">
        <f>IF(K42=0,"",VLOOKUP(K42,Tabla_ArmasyEscudos,22,FALSE))</f>
        <v/>
      </c>
      <c r="J43" s="3738"/>
      <c r="K43" s="203" t="s">
        <v>2442</v>
      </c>
      <c r="L43" s="3743"/>
      <c r="M43" s="3744"/>
      <c r="N43" s="3132" t="s">
        <v>2446</v>
      </c>
      <c r="O43" s="3707">
        <f>IF(K42=0,Principal!$H$21,MAX(Principal!$H$21+O45+IF(COUNTIF(Tablas!$G$869:$G$899,K42)&gt;0,MIN($L$23+PDs!$X$22,50)-PDs!$X$22+BonoMaestro_HA,0)-IF(OR(Tablas!$F$487&gt;0,Tablas!$G$1608&gt;0),10,40)-IF(FUE&lt;VLOOKUP(K42,Tabla_ArmasyEscudos,4,FALSE)+IF(L43=0,0,VLOOKUP(L43,Tabla_ArmasEnormes,4,FALSE)),10*(VLOOKUP(K42,Tabla_ArmasyEscudos,4,FALSE)-FUE+IF(L43=0,0,VLOOKUP(L43,Tabla_ArmasEnormes,4,FALSE))),0)+IF(I43=0,0,VLOOKUP(I43,Tabla_PenPorTipo,2)),0))-IF(Tablas!$G$734&lt;0,IF(K42=Principal!F28,0,30),0)</f>
        <v>10</v>
      </c>
      <c r="P43" s="3734">
        <f>IF(K42=0,MAX(HP_final,HE_final),MAX(HP_final+VLOOKUP(K42,Tabla_ArmasyEscudos,13,FALSE)+O45+IF(COUNTIF(Tablas!$G$869:$G$899,K42)&gt;0,MIN($N$23+PDs!$X$23,50)-PDs!$X$23+BonoMaestro_HD,0)-IF(Tablas!$G$734&lt;0,IF(K42=Principal!F28,0,30),0)-IF(VLOOKUP(K42,Tabla_ArmasyEscudos,13,FALSE)=0,IF(OR(Tablas!$F$487&gt;0,Tablas!$G$1608&gt;0),10,40),0)+IF(I43=0,0,VLOOKUP(I43,Tabla_PenPorTipo,2))-IF(FUE&lt;VLOOKUP(K42,Tabla_ArmasyEscudos,4,FALSE)+IF(L43=0,0,VLOOKUP(L43,Tabla_ArmasEnormes,4,FALSE)),10*(VLOOKUP(K42,Tabla_ArmasyEscudos,4,FALSE)-FUE+IF(L43=0,0,VLOOKUP(L43,Tabla_ArmasEnormes,4,FALSE))),0),HE_final+IF(COUNTIF(Tablas!$G$869:$G$899,K42)&gt;0,MIN($P$23+PDs!$X$24,50)-PDs!$X$24+BonoMaestro_HD,0)+VLOOKUP(K42,Tabla_ArmasyEscudos,14,FALSE)))</f>
        <v>10</v>
      </c>
      <c r="Q43" s="3132" t="str">
        <f>IF(K42=0,"",IF(HP_final+VLOOKUP(K42,Tabla_ArmasyEscudos,13,FALSE)+O45+IF(COUNTIF(Tablas!$G$869:$G$899,K42)&gt;0,MIN($N$23+PDs!$X$23,50)-PDs!$X$23+BonoMaestro_HD,0)-IF(Tablas!$G$734&lt;0,IF(K42=Principal!F39,0,30),0)-IF(VLOOKUP(K42,Tabla_ArmasyEscudos,13,FALSE)=0,IF(OR(Tablas!$F$487&gt;0,Tablas!$G$1608&gt;0),10,40),0)+IF(I43=0,0,VLOOKUP(I43,Tabla_PenPorTipo,2))-IF(FUE&lt;VLOOKUP(K42,Tabla_ArmasyEscudos,4,FALSE)+IF(L43=0,0,VLOOKUP(L43,Tabla_ArmasEnormes,4,FALSE)),10*(VLOOKUP(K42,Tabla_ArmasyEscudos,4,FALSE)-FUE+IF(L43=0,0,VLOOKUP(L43,Tabla_ArmasEnormes,4,FALSE))),0)&gt;HE_final+IF(COUNTIF(Tablas!$G$869:$G$899,K42)&gt;0,MIN($P$23+PDs!$X$24,50)-PDs!$X$24+BonoMaestro_HD,0)+VLOOKUP(K42,Tabla_ArmasyEscudos,14,FALSE),"Par","Esq"))</f>
        <v/>
      </c>
      <c r="R43" s="3710">
        <f>IF(K42=0,0,IF(DañoIncrementado,10,0)+IF(Extensióndelauraalarma,10,0)+VLOOKUP(K42,Tabla_ArmasyEscudos,2,FALSE)*IF(L43=0,1,VLOOKUP(L43,Tabla_ArmasEnormes,5,FALSE))+Bono_Fue+2*O45+IF(AND(L43="Enorme",MOD(VLOOKUP(K42,Tabla_ArmasyEscudos,2,FALSE),10)&gt;0),-2.5,0))+IF(Tablas!M3446=0,0,MROUND(Elan/2,5))</f>
        <v>0</v>
      </c>
      <c r="S43" s="3673"/>
      <c r="T43" s="2866"/>
      <c r="U43" s="50"/>
      <c r="V43" s="50"/>
      <c r="W43" s="149"/>
      <c r="X43" s="3675" t="str">
        <f>IF(PDs!$AD68=0,"",PDs!$AD68)</f>
        <v/>
      </c>
      <c r="Y43" s="3675"/>
      <c r="Z43" s="3675"/>
      <c r="AA43" s="3675"/>
      <c r="AB43" s="3675"/>
      <c r="AC43" s="3675"/>
      <c r="AD43" s="3214" t="str">
        <f>IF(PDs!$V68=0,"",PDs!$V68)</f>
        <v/>
      </c>
      <c r="AE43" s="3214"/>
      <c r="AF43" s="3214"/>
      <c r="AG43" s="3214"/>
      <c r="AH43" s="3214"/>
      <c r="AI43" s="3214"/>
      <c r="AJ43" s="3214"/>
      <c r="AK43" s="3214"/>
      <c r="AL43" s="3214"/>
      <c r="AM43" s="80">
        <f>IF(X43="",0,VLOOKUP(X43,Tablas!$C$931:$F$1020,4,FALSE))</f>
        <v>0</v>
      </c>
      <c r="AN43" s="5140"/>
      <c r="AO43" s="5137"/>
      <c r="AQ43" s="5166"/>
      <c r="AR43" s="5166"/>
      <c r="AS43" s="5167"/>
      <c r="AT43" s="5167"/>
      <c r="AU43" s="5167"/>
      <c r="AV43" s="5167"/>
      <c r="AW43" s="5167"/>
      <c r="AX43" s="5167"/>
      <c r="AY43" s="5177"/>
      <c r="AZ43" s="5177"/>
      <c r="BA43" s="5143"/>
      <c r="BB43" s="5143"/>
      <c r="BC43" s="5143"/>
      <c r="BD43" s="192"/>
      <c r="BE43" s="192"/>
      <c r="BF43" s="192"/>
      <c r="BG43" s="192"/>
      <c r="BH43" s="192"/>
      <c r="BI43" s="192"/>
      <c r="BJ43" s="192"/>
    </row>
    <row r="44" spans="1:62" ht="12" customHeight="1" x14ac:dyDescent="0.2">
      <c r="A44" s="50"/>
      <c r="B44" s="149"/>
      <c r="C44" s="265">
        <f t="shared" si="12"/>
        <v>230</v>
      </c>
      <c r="D44" s="94">
        <f t="shared" si="8"/>
        <v>0</v>
      </c>
      <c r="E44" s="94">
        <f t="shared" si="9"/>
        <v>0</v>
      </c>
      <c r="F44" s="94">
        <f t="shared" si="10"/>
        <v>0</v>
      </c>
      <c r="G44" s="198">
        <f t="shared" si="11"/>
        <v>0</v>
      </c>
      <c r="H44" s="69"/>
      <c r="I44" s="274" t="s">
        <v>2434</v>
      </c>
      <c r="J44" s="161" t="s">
        <v>2435</v>
      </c>
      <c r="K44" s="161" t="s">
        <v>2415</v>
      </c>
      <c r="L44" s="161" t="s">
        <v>2436</v>
      </c>
      <c r="M44" s="161" t="s">
        <v>2416</v>
      </c>
      <c r="N44" s="3707"/>
      <c r="O44" s="3707"/>
      <c r="P44" s="3734"/>
      <c r="Q44" s="3132"/>
      <c r="R44" s="3710"/>
      <c r="S44" s="3674"/>
      <c r="T44" s="2866"/>
      <c r="U44" s="50"/>
      <c r="V44" s="50"/>
      <c r="W44" s="149"/>
      <c r="X44" s="3675" t="str">
        <f>IF(PDs!$AD69=0,"",PDs!$AD69)</f>
        <v/>
      </c>
      <c r="Y44" s="3675"/>
      <c r="Z44" s="3675"/>
      <c r="AA44" s="3675"/>
      <c r="AB44" s="3675"/>
      <c r="AC44" s="3675"/>
      <c r="AD44" s="3214" t="str">
        <f>IF(PDs!$V69=0,"",PDs!$V69)</f>
        <v/>
      </c>
      <c r="AE44" s="3214"/>
      <c r="AF44" s="3214"/>
      <c r="AG44" s="3214"/>
      <c r="AH44" s="3214"/>
      <c r="AI44" s="3214"/>
      <c r="AJ44" s="3214"/>
      <c r="AK44" s="3214"/>
      <c r="AL44" s="3214"/>
      <c r="AM44" s="80">
        <f>IF(X44="",0,VLOOKUP(X44,Tablas!$C$931:$F$1020,4,FALSE))</f>
        <v>0</v>
      </c>
      <c r="AN44" s="5140"/>
      <c r="AO44" s="5137"/>
      <c r="AQ44" s="5166"/>
      <c r="AR44" s="5166"/>
      <c r="AS44" s="5167"/>
      <c r="AT44" s="5167"/>
      <c r="AU44" s="5167"/>
      <c r="AV44" s="5167"/>
      <c r="AW44" s="5167"/>
      <c r="AX44" s="5167"/>
      <c r="AY44" s="5177"/>
      <c r="AZ44" s="5177"/>
      <c r="BA44" s="5143"/>
      <c r="BB44" s="5143"/>
      <c r="BC44" s="5143"/>
      <c r="BD44" s="192"/>
      <c r="BE44" s="192"/>
      <c r="BF44" s="192"/>
      <c r="BG44" s="192"/>
      <c r="BH44" s="192"/>
      <c r="BI44" s="192"/>
      <c r="BJ44" s="192"/>
    </row>
    <row r="45" spans="1:62" ht="12" customHeight="1" x14ac:dyDescent="0.2">
      <c r="A45" s="50"/>
      <c r="B45" s="149"/>
      <c r="C45" s="264">
        <f t="shared" si="12"/>
        <v>240</v>
      </c>
      <c r="D45" s="127">
        <f t="shared" si="8"/>
        <v>0</v>
      </c>
      <c r="E45" s="127">
        <f t="shared" si="9"/>
        <v>0</v>
      </c>
      <c r="F45" s="127">
        <f t="shared" si="10"/>
        <v>0</v>
      </c>
      <c r="G45" s="80">
        <f t="shared" si="11"/>
        <v>0</v>
      </c>
      <c r="H45" s="69"/>
      <c r="I45" s="271" t="str">
        <f>IF(S43="Si","ENE",IF(K42=0,"",VLOOKUP(K42,Tabla_ArmasyEscudos,6,FALSE)))</f>
        <v/>
      </c>
      <c r="J45" s="127" t="str">
        <f>IF(K42=0,"",VLOOKUP(K42,Tabla_ArmasyEscudos,7,FALSE))</f>
        <v/>
      </c>
      <c r="K45" s="127" t="str">
        <f>IF(K42=0,"",IF(Extensióndelauraalarma,10,0)+IF(Ki!$P$39="-",10,0)+O45*2+VLOOKUP(K42,Tabla_ArmasyEscudos,10,FALSE)+IF(L43=0,0,VLOOKUP(L43,Tabla_ArmasEnormes,6,FALSE)))</f>
        <v/>
      </c>
      <c r="L45" s="127" t="str">
        <f>IF(K42=0,"",IF(Extensióndelauraalarma,5,0)+IF(Ki!$P$39="-",5,0)+O45*2/5+VLOOKUP(K42,Tabla_ArmasyEscudos,11,FALSE)+IF(L43=0,0,VLOOKUP(L43,Tabla_ArmasEnormes,7,FALSE))+IF(FUE=0,0,VLOOKUP(FUE,Tablas!$B$140:$C$159,2)))</f>
        <v/>
      </c>
      <c r="M45" s="127">
        <f>IF(K42=0,0,MAX(O45*10,0)+VLOOKUP(K42,Tabla_ArmasyEscudos,12,FALSE))</f>
        <v>0</v>
      </c>
      <c r="N45" s="183" t="s">
        <v>2444</v>
      </c>
      <c r="O45" s="130"/>
      <c r="P45" s="3727" t="str">
        <f>IF(L43=0,IF(O45=0,"","TA defensor:"),IF(Tamaño&lt;VLOOKUP(L43,Tabla_ArmasEnormes,2,FALSE),"Tam. excesivo",IF(O45=0,"","TA defensor:")))</f>
        <v/>
      </c>
      <c r="Q45" s="3727"/>
      <c r="R45" s="2394" t="str">
        <f>IF(P45="TA defensor:",O45/(-5),"")</f>
        <v/>
      </c>
      <c r="S45" s="2401"/>
      <c r="T45" s="2866"/>
      <c r="U45" s="50"/>
      <c r="V45" s="50"/>
      <c r="W45" s="149"/>
      <c r="X45" s="3675" t="str">
        <f>IF(PDs!$AD70=0,"",PDs!$AD70)</f>
        <v/>
      </c>
      <c r="Y45" s="3675"/>
      <c r="Z45" s="3675"/>
      <c r="AA45" s="3675"/>
      <c r="AB45" s="3675"/>
      <c r="AC45" s="3675"/>
      <c r="AD45" s="3214" t="str">
        <f>IF(PDs!$V70=0,"",PDs!$V70)</f>
        <v/>
      </c>
      <c r="AE45" s="3214"/>
      <c r="AF45" s="3214"/>
      <c r="AG45" s="3214"/>
      <c r="AH45" s="3214"/>
      <c r="AI45" s="3214"/>
      <c r="AJ45" s="3214"/>
      <c r="AK45" s="3214"/>
      <c r="AL45" s="3214"/>
      <c r="AM45" s="80">
        <f>IF(X45="",0,VLOOKUP(X45,Tablas!$C$931:$F$1020,4,FALSE))</f>
        <v>0</v>
      </c>
      <c r="AN45" s="5140"/>
      <c r="AO45" s="5137"/>
      <c r="AQ45" s="5166"/>
      <c r="AR45" s="5166"/>
      <c r="AS45" s="5167"/>
      <c r="AT45" s="5167"/>
      <c r="AU45" s="5167"/>
      <c r="AV45" s="5167"/>
      <c r="AW45" s="5167"/>
      <c r="AX45" s="5167"/>
      <c r="AY45" s="5177"/>
      <c r="AZ45" s="5177"/>
      <c r="BA45" s="5143"/>
      <c r="BB45" s="5143"/>
      <c r="BC45" s="5143"/>
      <c r="BD45" s="192"/>
      <c r="BE45" s="192"/>
      <c r="BF45" s="192"/>
      <c r="BG45" s="192"/>
      <c r="BH45" s="192"/>
      <c r="BI45" s="192"/>
      <c r="BJ45" s="192"/>
    </row>
    <row r="46" spans="1:62" ht="12" customHeight="1" thickBot="1" x14ac:dyDescent="0.25">
      <c r="A46" s="50"/>
      <c r="B46" s="149"/>
      <c r="C46" s="265">
        <f t="shared" si="12"/>
        <v>250</v>
      </c>
      <c r="D46" s="94">
        <f t="shared" si="8"/>
        <v>0</v>
      </c>
      <c r="E46" s="94">
        <f t="shared" si="9"/>
        <v>0</v>
      </c>
      <c r="F46" s="94">
        <f t="shared" si="10"/>
        <v>0</v>
      </c>
      <c r="G46" s="198">
        <f t="shared" si="11"/>
        <v>0</v>
      </c>
      <c r="H46" s="69"/>
      <c r="I46" s="3729" t="str">
        <f>IF(K42=0,"",VLOOKUP(K42,Tabla_ArmasyEscudos,19,FALSE))</f>
        <v/>
      </c>
      <c r="J46" s="3729"/>
      <c r="K46" s="3729"/>
      <c r="L46" s="3729"/>
      <c r="M46" s="3729"/>
      <c r="N46" s="3729"/>
      <c r="O46" s="3729"/>
      <c r="P46" s="3729"/>
      <c r="Q46" s="3729"/>
      <c r="R46" s="3730"/>
      <c r="S46" s="2402"/>
      <c r="T46" s="2866"/>
      <c r="U46" s="50"/>
      <c r="V46" s="50"/>
      <c r="W46" s="149"/>
      <c r="X46" s="3675" t="str">
        <f>IF(PDs!$AD71=0,"",PDs!$AD71)</f>
        <v/>
      </c>
      <c r="Y46" s="3675"/>
      <c r="Z46" s="3675"/>
      <c r="AA46" s="3675"/>
      <c r="AB46" s="3675"/>
      <c r="AC46" s="3675"/>
      <c r="AD46" s="3228" t="str">
        <f>IF(PDs!$V71=0,"",PDs!$V71)</f>
        <v/>
      </c>
      <c r="AE46" s="3228"/>
      <c r="AF46" s="3228"/>
      <c r="AG46" s="3228"/>
      <c r="AH46" s="3228"/>
      <c r="AI46" s="3228"/>
      <c r="AJ46" s="3228"/>
      <c r="AK46" s="3228"/>
      <c r="AL46" s="3228"/>
      <c r="AM46" s="273">
        <f>IF(X46="",0,VLOOKUP(X46,Tablas!$C$931:$F$1020,4,FALSE))</f>
        <v>0</v>
      </c>
      <c r="AN46" s="5140"/>
      <c r="AO46" s="5137"/>
      <c r="AQ46" s="5166"/>
      <c r="AR46" s="5166"/>
      <c r="AS46" s="5167"/>
      <c r="AT46" s="5167"/>
      <c r="AU46" s="5167"/>
      <c r="AV46" s="5167"/>
      <c r="AW46" s="5167"/>
      <c r="AX46" s="5167"/>
      <c r="AY46" s="5177"/>
      <c r="AZ46" s="5177"/>
      <c r="BA46" s="5143"/>
      <c r="BB46" s="5143"/>
      <c r="BC46" s="5143"/>
      <c r="BD46" s="192"/>
      <c r="BE46" s="192"/>
      <c r="BF46" s="192"/>
      <c r="BG46" s="192"/>
      <c r="BH46" s="192"/>
      <c r="BI46" s="192"/>
      <c r="BJ46" s="192"/>
    </row>
    <row r="47" spans="1:62" ht="12" customHeight="1" thickBot="1" x14ac:dyDescent="0.25">
      <c r="A47" s="50"/>
      <c r="B47" s="149"/>
      <c r="C47" s="264">
        <f t="shared" si="12"/>
        <v>260</v>
      </c>
      <c r="D47" s="127">
        <f t="shared" si="8"/>
        <v>0</v>
      </c>
      <c r="E47" s="127">
        <f t="shared" si="9"/>
        <v>0</v>
      </c>
      <c r="F47" s="127">
        <f t="shared" si="10"/>
        <v>0</v>
      </c>
      <c r="G47" s="80">
        <f t="shared" si="11"/>
        <v>0</v>
      </c>
      <c r="H47" s="69"/>
      <c r="I47" s="275"/>
      <c r="J47" s="275"/>
      <c r="K47" s="1457"/>
      <c r="L47" s="275"/>
      <c r="M47" s="276"/>
      <c r="N47" s="137"/>
      <c r="O47" s="137"/>
      <c r="P47" s="137"/>
      <c r="Q47" s="277"/>
      <c r="R47" s="278"/>
      <c r="S47" s="2386"/>
      <c r="T47" s="2866"/>
      <c r="U47" s="50"/>
      <c r="V47" s="50"/>
      <c r="W47" s="149"/>
      <c r="X47" s="3675" t="str">
        <f>IF(PDs!$AD72=0,"",PDs!$AD72)</f>
        <v/>
      </c>
      <c r="Y47" s="3675"/>
      <c r="Z47" s="3675"/>
      <c r="AA47" s="3675"/>
      <c r="AB47" s="3675"/>
      <c r="AC47" s="3675"/>
      <c r="AD47" s="3228" t="str">
        <f>IF(PDs!$V72=0,"",PDs!$V72)</f>
        <v/>
      </c>
      <c r="AE47" s="3228"/>
      <c r="AF47" s="3228"/>
      <c r="AG47" s="3228"/>
      <c r="AH47" s="3228"/>
      <c r="AI47" s="3228"/>
      <c r="AJ47" s="3228"/>
      <c r="AK47" s="3228"/>
      <c r="AL47" s="3228"/>
      <c r="AM47" s="273">
        <f>IF(X47="",0,VLOOKUP(X47,Tablas!$C$931:$F$1020,4,FALSE))</f>
        <v>0</v>
      </c>
      <c r="AN47" s="5140"/>
      <c r="AO47" s="5137"/>
      <c r="AQ47" s="5166"/>
      <c r="AR47" s="5166"/>
      <c r="AS47" s="5167"/>
      <c r="AT47" s="5167"/>
      <c r="AU47" s="5167"/>
      <c r="AV47" s="5167"/>
      <c r="AW47" s="5167"/>
      <c r="AX47" s="5167"/>
      <c r="AY47" s="5177"/>
      <c r="AZ47" s="5177"/>
      <c r="BA47" s="5143"/>
      <c r="BB47" s="5143"/>
      <c r="BC47" s="5143"/>
      <c r="BD47" s="192"/>
      <c r="BE47" s="192"/>
      <c r="BF47" s="192"/>
      <c r="BG47" s="192"/>
      <c r="BH47" s="192"/>
      <c r="BI47" s="192"/>
      <c r="BJ47" s="192"/>
    </row>
    <row r="48" spans="1:62" ht="12" customHeight="1" thickBot="1" x14ac:dyDescent="0.25">
      <c r="A48" s="50"/>
      <c r="B48" s="149"/>
      <c r="C48" s="265">
        <f t="shared" si="12"/>
        <v>270</v>
      </c>
      <c r="D48" s="94">
        <f t="shared" si="8"/>
        <v>0</v>
      </c>
      <c r="E48" s="94">
        <f t="shared" si="9"/>
        <v>0</v>
      </c>
      <c r="F48" s="94">
        <f t="shared" si="10"/>
        <v>0</v>
      </c>
      <c r="G48" s="198">
        <f t="shared" si="11"/>
        <v>0</v>
      </c>
      <c r="H48" s="69"/>
      <c r="I48" s="3028" t="s">
        <v>2447</v>
      </c>
      <c r="J48" s="3028"/>
      <c r="K48" s="3735" t="s">
        <v>2853</v>
      </c>
      <c r="L48" s="3736"/>
      <c r="M48" s="3737"/>
      <c r="N48" s="258" t="s">
        <v>2246</v>
      </c>
      <c r="O48" s="258" t="s">
        <v>2430</v>
      </c>
      <c r="P48" s="3718" t="s">
        <v>2431</v>
      </c>
      <c r="Q48" s="3718"/>
      <c r="R48" s="2396" t="s">
        <v>2432</v>
      </c>
      <c r="S48" s="2390" t="s">
        <v>9583</v>
      </c>
      <c r="T48" s="2866"/>
      <c r="U48" s="50"/>
      <c r="V48" s="50"/>
      <c r="W48" s="149"/>
      <c r="X48" s="3675" t="str">
        <f>IF(PDs!$AD73=0,"",PDs!$AD73)</f>
        <v/>
      </c>
      <c r="Y48" s="3675"/>
      <c r="Z48" s="3675"/>
      <c r="AA48" s="3675"/>
      <c r="AB48" s="3675"/>
      <c r="AC48" s="3675"/>
      <c r="AD48" s="3228" t="str">
        <f>IF(PDs!$V73=0,"",PDs!$V73)</f>
        <v/>
      </c>
      <c r="AE48" s="3228"/>
      <c r="AF48" s="3228"/>
      <c r="AG48" s="3228"/>
      <c r="AH48" s="3228"/>
      <c r="AI48" s="3228"/>
      <c r="AJ48" s="3228"/>
      <c r="AK48" s="3228"/>
      <c r="AL48" s="3228"/>
      <c r="AM48" s="273">
        <f>IF(X48="",0,VLOOKUP(X48,Tablas!$C$931:$F$1020,4,FALSE))</f>
        <v>0</v>
      </c>
      <c r="AN48" s="5140"/>
      <c r="AO48" s="5137"/>
      <c r="AQ48" s="5166"/>
      <c r="AR48" s="5166"/>
      <c r="AS48" s="5167"/>
      <c r="AT48" s="5167"/>
      <c r="AU48" s="5167"/>
      <c r="AV48" s="5167"/>
      <c r="AW48" s="5167"/>
      <c r="AX48" s="5167"/>
      <c r="AY48" s="5177"/>
      <c r="AZ48" s="5177"/>
      <c r="BA48" s="5143"/>
      <c r="BB48" s="5143"/>
      <c r="BC48" s="5143"/>
      <c r="BD48" s="192"/>
      <c r="BE48" s="192"/>
      <c r="BF48" s="192"/>
      <c r="BG48" s="192"/>
      <c r="BH48" s="192"/>
      <c r="BI48" s="192"/>
      <c r="BJ48" s="192"/>
    </row>
    <row r="49" spans="1:62" ht="12" customHeight="1" x14ac:dyDescent="0.2">
      <c r="A49" s="50"/>
      <c r="B49" s="149"/>
      <c r="C49" s="264">
        <f t="shared" si="12"/>
        <v>280</v>
      </c>
      <c r="D49" s="127">
        <f t="shared" si="8"/>
        <v>0</v>
      </c>
      <c r="E49" s="127">
        <f t="shared" si="9"/>
        <v>0</v>
      </c>
      <c r="F49" s="127">
        <f t="shared" si="10"/>
        <v>0</v>
      </c>
      <c r="G49" s="80">
        <f t="shared" si="11"/>
        <v>0</v>
      </c>
      <c r="H49" s="69"/>
      <c r="I49" s="3738" t="str">
        <f>IF(K48=0,"",VLOOKUP(K48,Tabla_ArmasyEscudos,22,FALSE))</f>
        <v>Distinta</v>
      </c>
      <c r="J49" s="3738"/>
      <c r="K49" s="1572" t="s">
        <v>2442</v>
      </c>
      <c r="L49" s="3739"/>
      <c r="M49" s="3739"/>
      <c r="N49" s="3707">
        <f>MIN(Principal!$D$28,IF(K48=0,0,Principal!$D$28-20+O51+VLOOKUP(K48,Tabla_ArmasyEscudos,3,FALSE)+IF(L49=0,0,IF(Tamaño&lt;VLOOKUP(L49,Tabla_ArmasEnormes,3,FALSE),-40,0))))+IF(K48='Elan y Personalización'!$X$46,'Elan y Personalización'!$AF$49,IF(K48='Elan y Personalización'!$X$50,'Elan y Personalización'!$AF$53,IF(K48='Elan y Personalización'!$X$54,'Elan y Personalización'!AF57,0)))</f>
        <v>6</v>
      </c>
      <c r="O49" s="3707">
        <f>IF(K48=0,Principal!$H$21,MAX(Principal!$H$21+O51+IF(COUNTIF(Tablas!$G$869:$G$899,K48)&gt;0,MIN($L$23+PDs!$X$22,50)-PDs!$X$22+BonoMaestro_HA,0)-IF(FUE&lt;VLOOKUP(K48,Tabla_ArmasyEscudos,5,FALSE)+IF(L49=0,0,VLOOKUP(L49,Tabla_ArmasEnormes,4,FALSE)),10*(VLOOKUP(K48,Tabla_ArmasyEscudos,5,FALSE)-FUE+IF(L49=0,0,VLOOKUP(L49,Tabla_ArmasEnormes,4,FALSE))),0)+IF(I49=0,0,VLOOKUP(I49,Tabla_PenPorTipo,2)),0))-IF(Tablas!$G$734&lt;0,IF(K48=Principal!F28,0,30),0)</f>
        <v>0</v>
      </c>
      <c r="P49" s="3734">
        <f>IF(K48=0,MAX(HP_final,HE_final),MAX(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HE_final+IF(COUNTIF(Tablas!$G$869:$G$899,K48)&gt;0,MIN($P$23+PDs!$X$24,50)-PDs!$X$24+BonoMaestro_HD,0)+VLOOKUP(K48,Tabla_ArmasyEscudos,14,FALSE)))</f>
        <v>10</v>
      </c>
      <c r="Q49" s="3132" t="str">
        <f>IF(K48=0,"",IF(HP_final+VLOOKUP(K48,Tabla_ArmasyEscudos,13,FALSE)+O51+IF(COUNTIF(Tablas!$G$869:$G$899,K48)&gt;0,MIN($N$23+PDs!$X$23,50)-PDs!$X$23+BonoMaestro_HD,0)-IF(Tablas!$G$734&lt;0,IF(K48=Principal!F28,0,30),0)+IF(I49=0,0,VLOOKUP(I49,Tabla_PenPorTipo,2))-IF(FUE&lt;VLOOKUP(K48,Tabla_ArmasyEscudos,5,FALSE)+IF(L49=0,0,VLOOKUP(L49,Tabla_ArmasEnormes,4,FALSE)),10*(VLOOKUP(K48,Tabla_ArmasyEscudos,5,FALSE)-FUE+IF(L49=0,0,VLOOKUP(L49,Tabla_ArmasEnormes,4,FALSE))),0)&gt;HE_final+IF(COUNTIF(Tablas!$G$869:$G$899,K48)&gt;0,MIN($P$23+PDs!$X$24,50)-PDs!$X$24+BonoMaestro_HD,0)+VLOOKUP(K48,Tabla_ArmasyEscudos,14,FALSE),"Par","Esq"))</f>
        <v>Esq</v>
      </c>
      <c r="R49" s="3755">
        <f>IF(K48=0,0,IF(DañoIncrementado,10,0)+IF(Extensióndelauraalarma,10,0)+VLOOKUP(K48,Tabla_ArmasyEscudos,2,FALSE)*IF(L49=0,1,VLOOKUP(L49,Tabla_ArmasEnormes,5,FALSE))+Bono_Fue*2+2*O51+IF(AND(L49="Enorme",MOD(VLOOKUP(K48,Tabla_ArmasyEscudos,2,FALSE),10)&gt;0),-2.5,0))+IF(Tablas!M3446=0,0,MROUND(Elan/2,5))</f>
        <v>60</v>
      </c>
      <c r="S49" s="3673"/>
      <c r="T49" s="2866"/>
      <c r="U49" s="50"/>
      <c r="V49" s="50"/>
      <c r="W49" s="149"/>
      <c r="X49" s="3675" t="str">
        <f>IF(PDs!$AD74=0,"",PDs!$AD74)</f>
        <v/>
      </c>
      <c r="Y49" s="3675"/>
      <c r="Z49" s="3675"/>
      <c r="AA49" s="3675"/>
      <c r="AB49" s="3675"/>
      <c r="AC49" s="3675"/>
      <c r="AD49" s="3228" t="str">
        <f>IF(PDs!$V74=0,"",PDs!$V74)</f>
        <v/>
      </c>
      <c r="AE49" s="3228"/>
      <c r="AF49" s="3228"/>
      <c r="AG49" s="3228"/>
      <c r="AH49" s="3228"/>
      <c r="AI49" s="3228"/>
      <c r="AJ49" s="3228"/>
      <c r="AK49" s="3228"/>
      <c r="AL49" s="3228"/>
      <c r="AM49" s="273">
        <f>IF(X49="",0,VLOOKUP(X49,Tablas!$C$931:$F$1020,4,FALSE))</f>
        <v>0</v>
      </c>
      <c r="AN49" s="5140"/>
      <c r="AO49" s="5137"/>
      <c r="AQ49" s="5166"/>
      <c r="AR49" s="5166"/>
      <c r="AS49" s="5167"/>
      <c r="AT49" s="5167"/>
      <c r="AU49" s="5167"/>
      <c r="AV49" s="5167"/>
      <c r="AW49" s="5167"/>
      <c r="AX49" s="5167"/>
      <c r="AY49" s="5177"/>
      <c r="AZ49" s="5177"/>
      <c r="BA49" s="5143"/>
      <c r="BB49" s="5143"/>
      <c r="BC49" s="5143"/>
      <c r="BD49" s="192"/>
      <c r="BE49" s="192"/>
      <c r="BF49" s="192"/>
      <c r="BG49" s="192"/>
      <c r="BH49" s="192"/>
      <c r="BI49" s="192"/>
      <c r="BJ49" s="192"/>
    </row>
    <row r="50" spans="1:62" ht="12" customHeight="1" x14ac:dyDescent="0.2">
      <c r="A50" s="50"/>
      <c r="B50" s="149"/>
      <c r="C50" s="265">
        <f t="shared" si="12"/>
        <v>290</v>
      </c>
      <c r="D50" s="94">
        <f t="shared" si="8"/>
        <v>0</v>
      </c>
      <c r="E50" s="94">
        <f t="shared" si="9"/>
        <v>0</v>
      </c>
      <c r="F50" s="94">
        <f t="shared" si="10"/>
        <v>0</v>
      </c>
      <c r="G50" s="198">
        <f t="shared" si="11"/>
        <v>0</v>
      </c>
      <c r="H50" s="69"/>
      <c r="I50" s="261" t="s">
        <v>2434</v>
      </c>
      <c r="J50" s="227" t="s">
        <v>2435</v>
      </c>
      <c r="K50" s="227" t="s">
        <v>2415</v>
      </c>
      <c r="L50" s="227" t="s">
        <v>2436</v>
      </c>
      <c r="M50" s="227" t="s">
        <v>2416</v>
      </c>
      <c r="N50" s="3707"/>
      <c r="O50" s="3707"/>
      <c r="P50" s="3734"/>
      <c r="Q50" s="3132"/>
      <c r="R50" s="3710"/>
      <c r="S50" s="3674"/>
      <c r="T50" s="2866"/>
      <c r="U50" s="50"/>
      <c r="V50" s="50"/>
      <c r="W50" s="149"/>
      <c r="X50" s="3752" t="str">
        <f>IF(PDs!$AD75=0,"",PDs!$AD75)</f>
        <v/>
      </c>
      <c r="Y50" s="3752"/>
      <c r="Z50" s="3752"/>
      <c r="AA50" s="3752"/>
      <c r="AB50" s="3752"/>
      <c r="AC50" s="3752"/>
      <c r="AD50" s="3753" t="str">
        <f>IF(PDs!$AD75=0,"",IF(PDs!$V75="FALTAN REQUISITOS",PDs!$V75,VLOOKUP(X50,Tablas!$D$1027:$L$1057,9,FALSE)))</f>
        <v/>
      </c>
      <c r="AE50" s="3753"/>
      <c r="AF50" s="3753"/>
      <c r="AG50" s="3753"/>
      <c r="AH50" s="3753"/>
      <c r="AI50" s="3753"/>
      <c r="AJ50" s="3753"/>
      <c r="AK50" s="3753"/>
      <c r="AL50" s="3753"/>
      <c r="AM50" s="3753"/>
      <c r="AN50" s="5140"/>
      <c r="AO50" s="5137"/>
      <c r="AQ50" s="5166"/>
      <c r="AR50" s="5166"/>
      <c r="AS50" s="5167"/>
      <c r="AT50" s="5167"/>
      <c r="AU50" s="5167"/>
      <c r="AV50" s="5167"/>
      <c r="AW50" s="5167"/>
      <c r="AX50" s="5167"/>
      <c r="AY50" s="5177"/>
      <c r="AZ50" s="5177"/>
      <c r="BA50" s="5143"/>
      <c r="BB50" s="5143"/>
      <c r="BC50" s="5143"/>
      <c r="BD50" s="192"/>
      <c r="BE50" s="192"/>
      <c r="BF50" s="192"/>
      <c r="BG50" s="192"/>
      <c r="BH50" s="192"/>
      <c r="BI50" s="192"/>
      <c r="BJ50" s="192"/>
    </row>
    <row r="51" spans="1:62" ht="12" customHeight="1" x14ac:dyDescent="0.2">
      <c r="A51" s="50"/>
      <c r="B51" s="149"/>
      <c r="C51" s="264">
        <f t="shared" si="12"/>
        <v>300</v>
      </c>
      <c r="D51" s="127">
        <f t="shared" si="8"/>
        <v>0</v>
      </c>
      <c r="E51" s="127">
        <f t="shared" si="9"/>
        <v>0</v>
      </c>
      <c r="F51" s="127">
        <f t="shared" si="10"/>
        <v>0</v>
      </c>
      <c r="G51" s="80">
        <f t="shared" si="11"/>
        <v>0</v>
      </c>
      <c r="H51" s="69"/>
      <c r="I51" s="271" t="str">
        <f>IF(S49="Si","ENE",IF(K48=0,"",VLOOKUP(K48,Tabla_ArmasyEscudos,6,FALSE)))</f>
        <v>FIL</v>
      </c>
      <c r="J51" s="127" t="str">
        <f>IF(K48=0,"",VLOOKUP(K48,Tabla_ArmasyEscudos,7,FALSE))</f>
        <v>-</v>
      </c>
      <c r="K51" s="127">
        <f>IF(K48=0,"",IF(Extensióndelauraalarma,10,0)+IF(Ki!$P$39="-",10,0)+O51*2+VLOOKUP(K48,Tabla_ArmasyEscudos,10,FALSE)+IF(L49=0,0,VLOOKUP(L49,Tabla_ArmasEnormes,6,FALSE)))</f>
        <v>12</v>
      </c>
      <c r="L51" s="127">
        <f>IF(K48=0,"",IF(Extensióndelauraalarma,5,0)+IF(Ki!$P$39="-",5,0)+O51*2/5+VLOOKUP(K48,Tabla_ArmasyEscudos,11,FALSE)+IF(L49=0,0,VLOOKUP(L49,Tabla_ArmasEnormes,7,FALSE))+IF(FUE=0,0,VLOOKUP(FUE,Tablas!$B$140:$C$159,2)))</f>
        <v>1</v>
      </c>
      <c r="M51" s="127">
        <f>IF(K48=0,0,MAX(O51*10,0)+VLOOKUP(K48,Tabla_ArmasyEscudos,12,FALSE))</f>
        <v>0</v>
      </c>
      <c r="N51" s="279" t="s">
        <v>2444</v>
      </c>
      <c r="O51" s="128"/>
      <c r="P51" s="3727" t="str">
        <f>IF(L49=0,IF(O51=0,"","TA defensor:"),IF(Tamaño&lt;VLOOKUP(L49,Tabla_ArmasEnormes,2,FALSE),"Tam. excesivo",IF(O51=0,"","TA defensor:")))</f>
        <v/>
      </c>
      <c r="Q51" s="3727"/>
      <c r="R51" s="2394" t="str">
        <f>IF(P51="TA defensor:",O51/(-5),"")</f>
        <v/>
      </c>
      <c r="S51" s="2401"/>
      <c r="T51" s="2866"/>
      <c r="U51" s="50"/>
      <c r="V51" s="50"/>
      <c r="W51" s="149"/>
      <c r="X51" s="3754" t="str">
        <f>IF(PDs!$AD76=0,"",PDs!$AD76)</f>
        <v/>
      </c>
      <c r="Y51" s="3754"/>
      <c r="Z51" s="3754"/>
      <c r="AA51" s="3754"/>
      <c r="AB51" s="3754"/>
      <c r="AC51" s="3754"/>
      <c r="AD51" s="3669" t="str">
        <f>IF(PDs!$AD76=0,"",IF(PDs!$V76="FALTAN REQUISITOS",PDs!$V76,VLOOKUP(X51,Tablas!$D$1027:$L$1057,9,FALSE)))</f>
        <v/>
      </c>
      <c r="AE51" s="3669"/>
      <c r="AF51" s="3669"/>
      <c r="AG51" s="3669"/>
      <c r="AH51" s="3669"/>
      <c r="AI51" s="3669"/>
      <c r="AJ51" s="3669"/>
      <c r="AK51" s="3669"/>
      <c r="AL51" s="3669"/>
      <c r="AM51" s="3669"/>
      <c r="AN51" s="5140"/>
      <c r="AO51" s="5137"/>
      <c r="AQ51" s="5166"/>
      <c r="AR51" s="5166"/>
      <c r="AS51" s="5167"/>
      <c r="AT51" s="5167"/>
      <c r="AU51" s="5167"/>
      <c r="AV51" s="5167"/>
      <c r="AW51" s="5167"/>
      <c r="AX51" s="5167"/>
      <c r="AY51" s="5177"/>
      <c r="AZ51" s="5177"/>
      <c r="BA51" s="5143"/>
      <c r="BB51" s="5143"/>
      <c r="BC51" s="5143"/>
      <c r="BD51" s="192"/>
      <c r="BE51" s="192"/>
      <c r="BF51" s="192"/>
      <c r="BG51" s="192"/>
      <c r="BH51" s="192"/>
      <c r="BI51" s="192"/>
      <c r="BJ51" s="192"/>
    </row>
    <row r="52" spans="1:62" ht="12" customHeight="1" thickBot="1" x14ac:dyDescent="0.25">
      <c r="A52" s="50"/>
      <c r="B52" s="149"/>
      <c r="C52" s="265">
        <f t="shared" si="12"/>
        <v>310</v>
      </c>
      <c r="D52" s="94">
        <f t="shared" si="8"/>
        <v>0</v>
      </c>
      <c r="E52" s="94">
        <f t="shared" si="9"/>
        <v>0</v>
      </c>
      <c r="F52" s="94">
        <f t="shared" si="10"/>
        <v>0</v>
      </c>
      <c r="G52" s="198">
        <f t="shared" si="11"/>
        <v>0</v>
      </c>
      <c r="H52" s="69"/>
      <c r="I52" s="3729" t="str">
        <f>IF(K48=0,"",VLOOKUP(K48,Tabla_ArmasyEscudos,19,FALSE))</f>
        <v/>
      </c>
      <c r="J52" s="3729"/>
      <c r="K52" s="3729"/>
      <c r="L52" s="3729"/>
      <c r="M52" s="3729"/>
      <c r="N52" s="3729"/>
      <c r="O52" s="3729"/>
      <c r="P52" s="3729"/>
      <c r="Q52" s="3729"/>
      <c r="R52" s="3730"/>
      <c r="S52" s="2402"/>
      <c r="T52" s="2866"/>
      <c r="U52" s="50"/>
      <c r="V52" s="50"/>
      <c r="W52" s="149"/>
      <c r="X52" s="3745" t="str">
        <f>IF(PDs!$AD77=0,"",PDs!$AD77)</f>
        <v/>
      </c>
      <c r="Y52" s="3745"/>
      <c r="Z52" s="3745"/>
      <c r="AA52" s="3745"/>
      <c r="AB52" s="3745"/>
      <c r="AC52" s="3745"/>
      <c r="AD52" s="3671" t="str">
        <f>IF(PDs!$AD77=0,"",IF(PDs!$V77="FALTAN REQUISITOS",PDs!$V77,VLOOKUP(X52,Tablas!$D$1027:$L$1057,9,FALSE)))</f>
        <v/>
      </c>
      <c r="AE52" s="3671"/>
      <c r="AF52" s="3671"/>
      <c r="AG52" s="3671"/>
      <c r="AH52" s="3671"/>
      <c r="AI52" s="3671"/>
      <c r="AJ52" s="3671"/>
      <c r="AK52" s="3671"/>
      <c r="AL52" s="3671"/>
      <c r="AM52" s="3671"/>
      <c r="AN52" s="5140"/>
      <c r="AO52" s="5137"/>
      <c r="AQ52" s="5166"/>
      <c r="AR52" s="5166"/>
      <c r="AS52" s="5167"/>
      <c r="AT52" s="5167"/>
      <c r="AU52" s="5167"/>
      <c r="AV52" s="5167"/>
      <c r="AW52" s="5167"/>
      <c r="AX52" s="5167"/>
      <c r="AY52" s="5177"/>
      <c r="AZ52" s="5177"/>
      <c r="BA52" s="5143"/>
      <c r="BB52" s="5143"/>
      <c r="BC52" s="5143"/>
      <c r="BD52" s="192"/>
      <c r="BE52" s="192"/>
      <c r="BF52" s="192"/>
      <c r="BG52" s="192"/>
      <c r="BH52" s="192"/>
      <c r="BI52" s="192"/>
      <c r="BJ52" s="192"/>
    </row>
    <row r="53" spans="1:62" ht="12" customHeight="1" thickBot="1" x14ac:dyDescent="0.25">
      <c r="A53" s="50"/>
      <c r="B53" s="149"/>
      <c r="C53" s="264">
        <f t="shared" si="12"/>
        <v>320</v>
      </c>
      <c r="D53" s="127">
        <f t="shared" si="8"/>
        <v>0</v>
      </c>
      <c r="E53" s="127">
        <f t="shared" si="9"/>
        <v>0</v>
      </c>
      <c r="F53" s="127">
        <f t="shared" si="10"/>
        <v>0</v>
      </c>
      <c r="G53" s="80">
        <f t="shared" si="11"/>
        <v>0</v>
      </c>
      <c r="H53" s="69"/>
      <c r="I53" s="73"/>
      <c r="J53" s="73"/>
      <c r="K53" s="73"/>
      <c r="L53" s="73"/>
      <c r="M53" s="73"/>
      <c r="N53" s="73"/>
      <c r="O53" s="73"/>
      <c r="P53" s="73"/>
      <c r="Q53" s="73"/>
      <c r="R53" s="73"/>
      <c r="S53" s="73"/>
      <c r="T53" s="2866"/>
      <c r="U53" s="50"/>
      <c r="V53" s="50"/>
      <c r="W53" s="149"/>
      <c r="AN53" s="5140"/>
      <c r="AO53" s="5137"/>
      <c r="AQ53" s="5166"/>
      <c r="AR53" s="5166"/>
      <c r="AS53" s="5167"/>
      <c r="AT53" s="5167"/>
      <c r="AU53" s="5167"/>
      <c r="AV53" s="5167"/>
      <c r="AW53" s="5167"/>
      <c r="AX53" s="5167"/>
      <c r="AY53" s="5177"/>
      <c r="AZ53" s="5177"/>
      <c r="BA53" s="5143"/>
      <c r="BB53" s="5143"/>
      <c r="BC53" s="5143"/>
      <c r="BD53" s="192"/>
      <c r="BE53" s="192"/>
      <c r="BF53" s="192"/>
      <c r="BG53" s="192"/>
      <c r="BH53" s="192"/>
      <c r="BI53" s="192"/>
      <c r="BJ53" s="192"/>
    </row>
    <row r="54" spans="1:62" ht="12" customHeight="1" thickBot="1" x14ac:dyDescent="0.25">
      <c r="A54" s="50"/>
      <c r="B54" s="149"/>
      <c r="C54" s="265">
        <f t="shared" si="12"/>
        <v>330</v>
      </c>
      <c r="D54" s="94">
        <f t="shared" si="8"/>
        <v>0</v>
      </c>
      <c r="E54" s="94">
        <f t="shared" si="9"/>
        <v>0</v>
      </c>
      <c r="F54" s="94">
        <f t="shared" si="10"/>
        <v>0</v>
      </c>
      <c r="G54" s="198">
        <f t="shared" si="11"/>
        <v>0</v>
      </c>
      <c r="H54" s="69"/>
      <c r="I54" s="3136" t="s">
        <v>2448</v>
      </c>
      <c r="J54" s="3746"/>
      <c r="K54" s="3747" t="s">
        <v>3222</v>
      </c>
      <c r="L54" s="3748"/>
      <c r="M54" s="3749"/>
      <c r="N54" s="1458" t="s">
        <v>2246</v>
      </c>
      <c r="O54" s="1459" t="s">
        <v>2430</v>
      </c>
      <c r="P54" s="3750" t="s">
        <v>2431</v>
      </c>
      <c r="Q54" s="3750"/>
      <c r="R54" s="2399" t="s">
        <v>2432</v>
      </c>
      <c r="S54" s="2400" t="s">
        <v>9583</v>
      </c>
      <c r="T54" s="2866"/>
      <c r="U54" s="50"/>
      <c r="V54" s="50"/>
      <c r="W54" s="149"/>
      <c r="X54" s="3028" t="s">
        <v>2361</v>
      </c>
      <c r="Y54" s="3028"/>
      <c r="Z54" s="3028"/>
      <c r="AA54" s="3028"/>
      <c r="AB54" s="3028"/>
      <c r="AC54" s="3028"/>
      <c r="AD54" s="3751" t="s">
        <v>2407</v>
      </c>
      <c r="AE54" s="3751"/>
      <c r="AF54" s="3751"/>
      <c r="AG54" s="3751"/>
      <c r="AH54" s="3751"/>
      <c r="AI54" s="3751"/>
      <c r="AJ54" s="3751"/>
      <c r="AK54" s="3751"/>
      <c r="AL54" s="3751"/>
      <c r="AM54" s="3751"/>
      <c r="AN54" s="5140"/>
      <c r="AO54" s="5137"/>
      <c r="AQ54" s="5166"/>
      <c r="AR54" s="5166"/>
      <c r="AS54" s="5167"/>
      <c r="AT54" s="5167"/>
      <c r="AU54" s="5167"/>
      <c r="AV54" s="5167"/>
      <c r="AW54" s="5167"/>
      <c r="AX54" s="5167"/>
      <c r="AY54" s="5177"/>
      <c r="AZ54" s="5177"/>
      <c r="BA54" s="5143"/>
      <c r="BB54" s="5143"/>
      <c r="BC54" s="5143"/>
      <c r="BD54" s="192"/>
      <c r="BE54" s="192"/>
      <c r="BF54" s="192"/>
      <c r="BG54" s="192"/>
      <c r="BH54" s="192"/>
      <c r="BI54" s="192"/>
      <c r="BJ54" s="192"/>
    </row>
    <row r="55" spans="1:62" ht="12" customHeight="1" thickBot="1" x14ac:dyDescent="0.25">
      <c r="A55" s="50"/>
      <c r="B55" s="149"/>
      <c r="C55" s="264">
        <f t="shared" si="12"/>
        <v>340</v>
      </c>
      <c r="D55" s="127">
        <f t="shared" si="8"/>
        <v>0</v>
      </c>
      <c r="E55" s="127">
        <f t="shared" si="9"/>
        <v>0</v>
      </c>
      <c r="F55" s="127">
        <f t="shared" si="10"/>
        <v>0</v>
      </c>
      <c r="G55" s="80">
        <f t="shared" si="11"/>
        <v>0</v>
      </c>
      <c r="H55" s="69"/>
      <c r="I55" s="3767" t="str">
        <f>IF(K54=0,"",VLOOKUP(K54,Tabla_ArmasyEscudos,22,FALSE))</f>
        <v>Distinta</v>
      </c>
      <c r="J55" s="3731"/>
      <c r="K55" s="1572" t="s">
        <v>2442</v>
      </c>
      <c r="L55" s="3732"/>
      <c r="M55" s="3732"/>
      <c r="N55" s="3707">
        <f>MIN(Principal!$D$28,IF(K54=0,0,Principal!$D$28-20+O57+IF(K54="Leo (Espada-Pistola)",30,0)+IF(K54="Leo (Lanza-Rifle)",-5,0)+IF(K54="Leo (Maza-Cañón)",-25,0)+VLOOKUP(K54,Tabla_ArmasyEscudos,3,FALSE)+IF(L55=0,0,IF(Tamaño&lt;VLOOKUP(L55,Tabla_ArmasEnormes,3,FALSE),-40,0))))+MAX(IF(K54='Elan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-44</v>
      </c>
      <c r="O55" s="3707">
        <f>IF(K54=0,Principal!$H$21,MAX(Principal!$H$21+O57-IF(FUE&lt;VLOOKUP(K54,Tabla_ArmasyEscudos,5,FALSE)+IF(L55=0,0,VLOOKUP(L55,Tabla_ArmasEnormes,4,FALSE)),10*(VLOOKUP(K54,Tabla_ArmasyEscudos,5,FALSE)-FUE+IF(L55=0,0,VLOOKUP(L55,Tabla_ArmasEnormes,4,FALSE))),0)+IF(I55=0,0,VLOOKUP(I55,Tabla_PenPorTipo,2)),0))-IF(Tablas!$G$734&lt;0,IF(K54=Principal!F28,0,30),0)</f>
        <v>0</v>
      </c>
      <c r="P55" s="3734">
        <f>IF(K54=0,MAX(HP_final,HE_final),MAX(HP_final+VLOOKUP(K54,Tabla_ArmasyEscudos,13,FALSE)+O57-IF(Tablas!$G$734&lt;0,IF(K54=Principal!F28,0,30),0)+IF(I55=0,0,VLOOKUP(I55,Tabla_PenPorTipo,2))-IF(FUE&lt;VLOOKUP(K54,Tabla_ArmasyEscudos,5,FALSE)+IF(L55=0,0,VLOOKUP(L55,Tabla_ArmasEnormes,4,FALSE)),10*(VLOOKUP(K54,Tabla_ArmasyEscudos,5,FALSE)-FUE+IF(L55=0,0,VLOOKUP(L55,Tabla_ArmasEnormes,4,FALSE))),0),HE_final+VLOOKUP(K54,Tabla_ArmasyEscudos,14,FALSE)))</f>
        <v>10</v>
      </c>
      <c r="Q55" s="3132" t="str">
        <f>IF(K54=0,"",IF(HP_final+VLOOKUP(K54,Tabla_ArmasyEscudos,13,FALSE)+O57-IF(Tablas!$G$734&lt;0,IF(K54=Principal!F28,0,30),0)+IF(I55=0,0,VLOOKUP(I55,Tabla_PenPorTipo,2))-IF(FUE&lt;VLOOKUP(K54,Tabla_ArmasyEscudos,4,FALSE)+IF(L55=0,0,VLOOKUP(L55,Tabla_ArmasEnormes,4,FALSE)),10*(VLOOKUP(K54,Tabla_ArmasyEscudos,4,FALSE)-FUE+IF(L55=0,0,VLOOKUP(L55,Tabla_ArmasEnormes,4,FALSE))),0)&gt;HE_final+VLOOKUP(K54,Tabla_ArmasyEscudos,14,FALSE),"Par","Esq"))</f>
        <v>Esq</v>
      </c>
      <c r="R55" s="3710">
        <f>IF(K58=0,0,IF(DañoIncrementado,10,0)+IF(Extensióndelauraalarma,10,0)+IF(K54=0,0,VLOOKUP(K58,Tabla_ArmasyEscudos,2,FALSE)*IF(L55=0,1,VLOOKUP(L55,Tabla_ArmasEnormes,5,FALSE))+IF(VLOOKUP(K54,Tabla_ArmasyEscudos,18,FALSE)=0,Bono_Fue,VLOOKUP(VLOOKUP(K54,Tabla_ArmasyEscudos,18,FALSE)+TRUNC(O57/5,0),Tablas!$H$98:$I$117,2))+2*O58)+IF(AND(L55="Enorme",MOD(VLOOKUP(K58,Tabla_ArmasyEscudos,2,FALSE),10)&gt;0),-2.5,0))+IF(Tablas!M3446=0,0,MROUND(Elan/2,5))</f>
        <v>50</v>
      </c>
      <c r="S55" s="3673"/>
      <c r="T55" s="2866"/>
      <c r="U55" s="50"/>
      <c r="V55" s="50"/>
      <c r="W55" s="149"/>
      <c r="X55" s="3684" t="str">
        <f>IF(PDs!E78=0,"",PDs!E78)</f>
        <v/>
      </c>
      <c r="Y55" s="3684"/>
      <c r="Z55" s="3684"/>
      <c r="AA55" s="3684"/>
      <c r="AB55" s="3684"/>
      <c r="AC55" s="3684"/>
      <c r="AD55" s="3764" t="str">
        <f>IF(X55="","",VLOOKUP(X55,Tabla_Ars_Magnus,6,FALSE))</f>
        <v/>
      </c>
      <c r="AE55" s="3764"/>
      <c r="AF55" s="3764"/>
      <c r="AG55" s="3764"/>
      <c r="AH55" s="3764"/>
      <c r="AI55" s="3764"/>
      <c r="AJ55" s="3764"/>
      <c r="AK55" s="3764"/>
      <c r="AL55" s="3764"/>
      <c r="AM55" s="3764"/>
      <c r="AN55" s="5140"/>
      <c r="AO55" s="5137"/>
      <c r="AQ55" s="5167"/>
      <c r="AR55" s="5167"/>
      <c r="AS55" s="5167"/>
      <c r="AT55" s="5167"/>
      <c r="AU55" s="5167"/>
      <c r="AV55" s="5167"/>
      <c r="AW55" s="5167"/>
      <c r="AX55" s="5167"/>
      <c r="AY55" s="5177"/>
      <c r="AZ55" s="5177"/>
      <c r="BA55" s="5143"/>
      <c r="BB55" s="5143"/>
      <c r="BC55" s="5143"/>
      <c r="BD55" s="192"/>
      <c r="BE55" s="192"/>
      <c r="BF55" s="192"/>
      <c r="BG55" s="192"/>
      <c r="BH55" s="192"/>
      <c r="BI55" s="192"/>
      <c r="BJ55" s="192"/>
    </row>
    <row r="56" spans="1:62" ht="12" customHeight="1" x14ac:dyDescent="0.2">
      <c r="A56" s="50"/>
      <c r="B56" s="149"/>
      <c r="C56" s="265">
        <f t="shared" si="12"/>
        <v>350</v>
      </c>
      <c r="D56" s="94">
        <f t="shared" si="8"/>
        <v>0</v>
      </c>
      <c r="E56" s="94">
        <f t="shared" si="9"/>
        <v>0</v>
      </c>
      <c r="F56" s="94">
        <f t="shared" si="10"/>
        <v>0</v>
      </c>
      <c r="G56" s="198">
        <f t="shared" si="11"/>
        <v>0</v>
      </c>
      <c r="H56" s="69"/>
      <c r="I56" s="1460" t="s">
        <v>2434</v>
      </c>
      <c r="J56" s="686" t="s">
        <v>2435</v>
      </c>
      <c r="K56" s="686" t="s">
        <v>2415</v>
      </c>
      <c r="L56" s="686" t="s">
        <v>2436</v>
      </c>
      <c r="M56" s="687" t="s">
        <v>2416</v>
      </c>
      <c r="N56" s="3132"/>
      <c r="O56" s="3707"/>
      <c r="P56" s="3734"/>
      <c r="Q56" s="3132"/>
      <c r="R56" s="3710"/>
      <c r="S56" s="3674"/>
      <c r="T56" s="2866"/>
      <c r="U56" s="50"/>
      <c r="V56" s="50"/>
      <c r="W56" s="149"/>
      <c r="X56" s="3684"/>
      <c r="Y56" s="3684"/>
      <c r="Z56" s="3684"/>
      <c r="AA56" s="3684"/>
      <c r="AB56" s="3684"/>
      <c r="AC56" s="3684"/>
      <c r="AD56" s="3764"/>
      <c r="AE56" s="3764"/>
      <c r="AF56" s="3764"/>
      <c r="AG56" s="3764"/>
      <c r="AH56" s="3764"/>
      <c r="AI56" s="3764"/>
      <c r="AJ56" s="3764"/>
      <c r="AK56" s="3764"/>
      <c r="AL56" s="3764"/>
      <c r="AM56" s="3764"/>
      <c r="AN56" s="5140"/>
      <c r="AO56" s="5137"/>
      <c r="AQ56" s="5167"/>
      <c r="AR56" s="5167"/>
      <c r="AS56" s="5167"/>
      <c r="AT56" s="5167"/>
      <c r="AU56" s="5167"/>
      <c r="AV56" s="5167"/>
      <c r="AW56" s="5167"/>
      <c r="AX56" s="5167"/>
      <c r="AY56" s="5177"/>
      <c r="AZ56" s="5177"/>
      <c r="BA56" s="5143"/>
      <c r="BB56" s="5143"/>
      <c r="BC56" s="5143"/>
      <c r="BD56" s="192"/>
      <c r="BE56" s="192"/>
      <c r="BF56" s="192"/>
      <c r="BG56" s="192"/>
      <c r="BH56" s="192"/>
      <c r="BI56" s="192"/>
      <c r="BJ56" s="192"/>
    </row>
    <row r="57" spans="1:62" ht="12" customHeight="1" thickBot="1" x14ac:dyDescent="0.25">
      <c r="A57" s="50"/>
      <c r="B57" s="149"/>
      <c r="C57" s="264">
        <f t="shared" si="12"/>
        <v>360</v>
      </c>
      <c r="D57" s="127">
        <f t="shared" si="8"/>
        <v>0</v>
      </c>
      <c r="E57" s="127">
        <f t="shared" si="9"/>
        <v>0</v>
      </c>
      <c r="F57" s="127">
        <f t="shared" si="10"/>
        <v>0</v>
      </c>
      <c r="G57" s="80">
        <f t="shared" si="11"/>
        <v>0</v>
      </c>
      <c r="H57" s="69"/>
      <c r="I57" s="1461" t="str">
        <f>IF(S55="Si","ENE",IF(K54=0,"",VLOOKUP(K54,Tabla_ArmasyEscudos,6,FALSE)))</f>
        <v>PEN</v>
      </c>
      <c r="J57" s="689" t="str">
        <f>IF(K54=0,"",VLOOKUP(K54,Tabla_ArmasyEscudos,7,FALSE))</f>
        <v>-</v>
      </c>
      <c r="K57" s="689">
        <f>IF(K54=0,"",IF(Extensióndelauraalarma,10,0)+IF(Ki!$P$39="-",10,0)+O57*2+VLOOKUP(K54,Tabla_ArmasyEscudos,10,FALSE)+IF(L55=0,0,VLOOKUP(L55,Tabla_ArmasEnormes,6,FALSE)))</f>
        <v>8</v>
      </c>
      <c r="L57" s="689"/>
      <c r="M57" s="690">
        <f>IF(K54=0,0,MAX(O57*10,0)+VLOOKUP(K54,Tabla_ArmasyEscudos,12,FALSE))</f>
        <v>20</v>
      </c>
      <c r="N57" s="691" t="s">
        <v>2444</v>
      </c>
      <c r="O57" s="280"/>
      <c r="P57" s="3765" t="str">
        <f>IF(Tablas!$F$715&gt;0,"-50 a puntería","")</f>
        <v/>
      </c>
      <c r="Q57" s="3765"/>
      <c r="R57" s="3766"/>
      <c r="S57" s="2370"/>
      <c r="T57" s="2866"/>
      <c r="U57" s="50"/>
      <c r="V57" s="50"/>
      <c r="W57" s="149"/>
      <c r="X57" s="3687" t="str">
        <f>IF(PDs!E79=0,"",PDs!E79)</f>
        <v/>
      </c>
      <c r="Y57" s="3687"/>
      <c r="Z57" s="3687"/>
      <c r="AA57" s="3687"/>
      <c r="AB57" s="3687"/>
      <c r="AC57" s="3687"/>
      <c r="AD57" s="3232" t="str">
        <f>IF(X57="","",VLOOKUP(X57,Tabla_Ars_Magnus,6,FALSE))</f>
        <v/>
      </c>
      <c r="AE57" s="3232"/>
      <c r="AF57" s="3232"/>
      <c r="AG57" s="3232"/>
      <c r="AH57" s="3232"/>
      <c r="AI57" s="3232"/>
      <c r="AJ57" s="3232"/>
      <c r="AK57" s="3232"/>
      <c r="AL57" s="3232"/>
      <c r="AM57" s="3232"/>
      <c r="AN57" s="5140"/>
      <c r="AO57" s="5137"/>
      <c r="AQ57" s="5167"/>
      <c r="AR57" s="5167"/>
      <c r="AS57" s="5167"/>
      <c r="AT57" s="5167"/>
      <c r="AU57" s="5167"/>
      <c r="AV57" s="5167"/>
      <c r="AW57" s="5167"/>
      <c r="AX57" s="5167"/>
      <c r="AY57" s="5177"/>
      <c r="AZ57" s="5177"/>
      <c r="BA57" s="5143"/>
      <c r="BB57" s="5143"/>
      <c r="BC57" s="5143"/>
      <c r="BD57" s="192"/>
      <c r="BE57" s="192"/>
      <c r="BF57" s="192"/>
      <c r="BG57" s="192"/>
      <c r="BH57" s="192"/>
      <c r="BI57" s="192"/>
      <c r="BJ57" s="192"/>
    </row>
    <row r="58" spans="1:62" ht="12" customHeight="1" x14ac:dyDescent="0.2">
      <c r="A58" s="50"/>
      <c r="B58" s="149"/>
      <c r="C58" s="265">
        <f t="shared" si="12"/>
        <v>370</v>
      </c>
      <c r="D58" s="94">
        <f t="shared" si="8"/>
        <v>0</v>
      </c>
      <c r="E58" s="94">
        <f t="shared" si="9"/>
        <v>0</v>
      </c>
      <c r="F58" s="94">
        <f t="shared" si="10"/>
        <v>0</v>
      </c>
      <c r="G58" s="198">
        <f t="shared" si="11"/>
        <v>0</v>
      </c>
      <c r="H58" s="69"/>
      <c r="I58" s="3756" t="s">
        <v>2449</v>
      </c>
      <c r="J58" s="3757"/>
      <c r="K58" s="3758" t="s">
        <v>3239</v>
      </c>
      <c r="L58" s="3759"/>
      <c r="M58" s="3760"/>
      <c r="N58" s="185" t="s">
        <v>2444</v>
      </c>
      <c r="O58" s="130"/>
      <c r="P58" s="3761" t="str">
        <f>IF(L55=0,IF(O58=0,"","TA defensor:"),IF(Tamaño&lt;VLOOKUP(L55,Tabla_ArmasEnormes,2,FALSE),"Tam. excesivo",IF(O58=0,"","TA defensor:")))</f>
        <v/>
      </c>
      <c r="Q58" s="3761"/>
      <c r="R58" s="2397" t="str">
        <f>IF(P58="TA defensor:",O58/(-5),"")</f>
        <v/>
      </c>
      <c r="S58" s="2400" t="s">
        <v>9583</v>
      </c>
      <c r="T58" s="2866"/>
      <c r="U58" s="50"/>
      <c r="V58" s="50"/>
      <c r="W58" s="149"/>
      <c r="X58" s="3687"/>
      <c r="Y58" s="3687"/>
      <c r="Z58" s="3687"/>
      <c r="AA58" s="3687"/>
      <c r="AB58" s="3687"/>
      <c r="AC58" s="3687"/>
      <c r="AD58" s="3232"/>
      <c r="AE58" s="3232"/>
      <c r="AF58" s="3232"/>
      <c r="AG58" s="3232"/>
      <c r="AH58" s="3232"/>
      <c r="AI58" s="3232"/>
      <c r="AJ58" s="3232"/>
      <c r="AK58" s="3232"/>
      <c r="AL58" s="3232"/>
      <c r="AM58" s="3232"/>
      <c r="AN58" s="5140"/>
      <c r="AO58" s="5137"/>
      <c r="AQ58" s="5167"/>
      <c r="AR58" s="5167"/>
      <c r="AS58" s="5167"/>
      <c r="AT58" s="5167"/>
      <c r="AU58" s="5167"/>
      <c r="AV58" s="5167"/>
      <c r="AW58" s="5167"/>
      <c r="AX58" s="5167"/>
      <c r="AY58" s="5177"/>
      <c r="AZ58" s="5177"/>
      <c r="BA58" s="5143"/>
      <c r="BB58" s="5143"/>
      <c r="BC58" s="5143"/>
      <c r="BD58" s="192"/>
      <c r="BE58" s="192"/>
      <c r="BF58" s="192"/>
      <c r="BG58" s="192"/>
      <c r="BH58" s="192"/>
      <c r="BI58" s="192"/>
      <c r="BJ58" s="192"/>
    </row>
    <row r="59" spans="1:62" ht="12" customHeight="1" x14ac:dyDescent="0.2">
      <c r="A59" s="50"/>
      <c r="B59" s="149"/>
      <c r="C59" s="264">
        <f t="shared" si="12"/>
        <v>380</v>
      </c>
      <c r="D59" s="127">
        <f t="shared" si="8"/>
        <v>0</v>
      </c>
      <c r="E59" s="127">
        <f t="shared" si="9"/>
        <v>0</v>
      </c>
      <c r="F59" s="127">
        <f t="shared" si="10"/>
        <v>0</v>
      </c>
      <c r="G59" s="80">
        <f t="shared" si="11"/>
        <v>0</v>
      </c>
      <c r="H59" s="69"/>
      <c r="I59" s="1462" t="s">
        <v>2434</v>
      </c>
      <c r="J59" s="227" t="s">
        <v>2435</v>
      </c>
      <c r="K59" s="1450" t="s">
        <v>2415</v>
      </c>
      <c r="L59" s="1450" t="s">
        <v>2436</v>
      </c>
      <c r="M59" s="1450" t="s">
        <v>2416</v>
      </c>
      <c r="N59" s="1448" t="s">
        <v>2202</v>
      </c>
      <c r="O59" s="3762"/>
      <c r="P59" s="3762"/>
      <c r="Q59" s="159" t="s">
        <v>2450</v>
      </c>
      <c r="R59" s="1712" t="s">
        <v>2451</v>
      </c>
      <c r="S59" s="3673"/>
      <c r="T59" s="2866"/>
      <c r="U59" s="50"/>
      <c r="V59" s="50"/>
      <c r="W59" s="149"/>
      <c r="X59" s="3687" t="str">
        <f>IF(PDs!E80=0,"",PDs!E80)</f>
        <v/>
      </c>
      <c r="Y59" s="3687"/>
      <c r="Z59" s="3687"/>
      <c r="AA59" s="3687"/>
      <c r="AB59" s="3687"/>
      <c r="AC59" s="3687"/>
      <c r="AD59" s="3232" t="str">
        <f>IF(X59="","",VLOOKUP(X59,Tabla_Ars_Magnus,6,FALSE))</f>
        <v/>
      </c>
      <c r="AE59" s="3232"/>
      <c r="AF59" s="3232"/>
      <c r="AG59" s="3232"/>
      <c r="AH59" s="3232"/>
      <c r="AI59" s="3232"/>
      <c r="AJ59" s="3232"/>
      <c r="AK59" s="3232"/>
      <c r="AL59" s="3232"/>
      <c r="AM59" s="3232"/>
      <c r="AN59" s="5140"/>
      <c r="AO59" s="5137"/>
      <c r="AQ59" s="5167"/>
      <c r="AR59" s="5167"/>
      <c r="AS59" s="5167"/>
      <c r="AT59" s="5167"/>
      <c r="AU59" s="5167"/>
      <c r="AV59" s="5167"/>
      <c r="AW59" s="5167"/>
      <c r="AX59" s="5167"/>
      <c r="AY59" s="5177"/>
      <c r="AZ59" s="5177"/>
      <c r="BA59" s="5143"/>
      <c r="BB59" s="5143"/>
      <c r="BC59" s="5143"/>
      <c r="BD59" s="192"/>
      <c r="BE59" s="192"/>
      <c r="BF59" s="192"/>
      <c r="BG59" s="192"/>
      <c r="BH59" s="192"/>
      <c r="BI59" s="192"/>
      <c r="BJ59" s="192"/>
    </row>
    <row r="60" spans="1:62" ht="12" customHeight="1" thickBot="1" x14ac:dyDescent="0.25">
      <c r="A60" s="50"/>
      <c r="B60" s="149"/>
      <c r="C60" s="265">
        <f t="shared" si="12"/>
        <v>390</v>
      </c>
      <c r="D60" s="94">
        <f t="shared" si="8"/>
        <v>0</v>
      </c>
      <c r="E60" s="94">
        <f t="shared" si="9"/>
        <v>0</v>
      </c>
      <c r="F60" s="94">
        <f t="shared" si="10"/>
        <v>0</v>
      </c>
      <c r="G60" s="198">
        <f t="shared" si="11"/>
        <v>0</v>
      </c>
      <c r="H60" s="69"/>
      <c r="I60" s="1463" t="str">
        <f>IF(S59="Si","ENE",IF(K58=0,"",VLOOKUP(K58,Tabla_ArmasyEscudos,6,FALSE)))</f>
        <v>PEN</v>
      </c>
      <c r="J60" s="1464" t="str">
        <f>IF(K58=0,"",VLOOKUP(K58,Tabla_ArmasyEscudos,7,FALSE))</f>
        <v>-</v>
      </c>
      <c r="K60" s="1464">
        <f>IF(K58=0,"",O58*2+VLOOKUP(K58,Tabla_ArmasyEscudos,10,FALSE)+IF(L55=0,0,VLOOKUP(L55,Tabla_ArmasEnormes,6,FALSE)))</f>
        <v>4</v>
      </c>
      <c r="L60" s="1464">
        <f>IF(K58=0,"",O58*2/5+VLOOKUP(K58,Tabla_ArmasyEscudos,11,FALSE)+IF(L55=0,0,VLOOKUP(L55,Tabla_ArmasEnormes,7,FALSE))+IF(FUE=0,0,VLOOKUP(FUE,Tablas!$B$140:$C$159,2)))</f>
        <v>2</v>
      </c>
      <c r="M60" s="1465">
        <f>IF(K58=0,0,MAX(O58*10,0)+VLOOKUP(K58,Tabla_ArmasyEscudos,12,FALSE))</f>
        <v>20</v>
      </c>
      <c r="N60" s="1466"/>
      <c r="O60" s="3763"/>
      <c r="P60" s="3763"/>
      <c r="Q60" s="1467">
        <f>IF(K54=0,"",VLOOKUP(K54,Tabla_ArmasyEscudos,17,FALSE)+IF(VLOOKUP(K54,Tabla_ArmasyEscudos,18,FALSE)=0,IF(FUE=0,0,VLOOKUP(FUE,Tabla_AlcanceFUE,2)),VLOOKUP(VLOOKUP(K54,Tabla_ArmasyEscudos,18,FALSE)+TRUNC(O57/5,0),Tabla_AlcanceFUE,2)))</f>
        <v>80</v>
      </c>
      <c r="R60" s="2398">
        <f>IF(K54=0,"",VLOOKUP(K54,Tabla_ArmasyEscudos,16,FALSE))</f>
        <v>1</v>
      </c>
      <c r="S60" s="3768"/>
      <c r="T60" s="2866"/>
      <c r="U60" s="50"/>
      <c r="V60" s="50"/>
      <c r="W60" s="149"/>
      <c r="X60" s="3687"/>
      <c r="Y60" s="3687"/>
      <c r="Z60" s="3687"/>
      <c r="AA60" s="3687"/>
      <c r="AB60" s="3687"/>
      <c r="AC60" s="3687"/>
      <c r="AD60" s="3232"/>
      <c r="AE60" s="3232"/>
      <c r="AF60" s="3232"/>
      <c r="AG60" s="3232"/>
      <c r="AH60" s="3232"/>
      <c r="AI60" s="3232"/>
      <c r="AJ60" s="3232"/>
      <c r="AK60" s="3232"/>
      <c r="AL60" s="3232"/>
      <c r="AM60" s="3232"/>
      <c r="AN60" s="5140"/>
      <c r="AO60" s="5137"/>
      <c r="AQ60" s="5167"/>
      <c r="AR60" s="5167"/>
      <c r="AS60" s="5167"/>
      <c r="AT60" s="5167"/>
      <c r="AU60" s="5167"/>
      <c r="AV60" s="5167"/>
      <c r="AW60" s="5167"/>
      <c r="AX60" s="5167"/>
      <c r="AY60" s="5177"/>
      <c r="AZ60" s="5177"/>
      <c r="BA60" s="5143"/>
      <c r="BB60" s="5143"/>
      <c r="BC60" s="5143"/>
      <c r="BD60" s="192"/>
      <c r="BE60" s="192"/>
      <c r="BF60" s="192"/>
      <c r="BG60" s="192"/>
      <c r="BH60" s="192"/>
      <c r="BI60" s="192"/>
      <c r="BJ60" s="192"/>
    </row>
    <row r="61" spans="1:62" ht="12" customHeight="1" thickBot="1" x14ac:dyDescent="0.25">
      <c r="A61" s="50"/>
      <c r="B61" s="149"/>
      <c r="C61" s="281">
        <f t="shared" si="12"/>
        <v>400</v>
      </c>
      <c r="D61" s="140">
        <f t="shared" si="8"/>
        <v>0</v>
      </c>
      <c r="E61" s="140">
        <f t="shared" si="9"/>
        <v>0</v>
      </c>
      <c r="F61" s="140">
        <f t="shared" si="10"/>
        <v>0</v>
      </c>
      <c r="G61" s="99">
        <f t="shared" si="11"/>
        <v>0</v>
      </c>
      <c r="H61" s="69"/>
      <c r="I61" s="3772" t="str">
        <f>IF(K54=0,"",VLOOKUP(K54,Tabla_ArmasyEscudos,19,FALSE))</f>
        <v>A 2 manos</v>
      </c>
      <c r="J61" s="3772"/>
      <c r="K61" s="3772"/>
      <c r="L61" s="3772"/>
      <c r="M61" s="3772"/>
      <c r="N61" s="3773" t="str">
        <f>IF(K58=0,"",VLOOKUP(K58,Tabla_ArmasyEscudos,19,FALSE))</f>
        <v>Munición para arcos</v>
      </c>
      <c r="O61" s="3773"/>
      <c r="P61" s="3773"/>
      <c r="Q61" s="3773"/>
      <c r="R61" s="3774"/>
      <c r="S61" s="2372"/>
      <c r="T61" s="2866"/>
      <c r="U61" s="50"/>
      <c r="V61" s="50"/>
      <c r="W61" s="149"/>
      <c r="X61" s="3687" t="str">
        <f>IF(PDs!E81=0,"",PDs!E81)</f>
        <v/>
      </c>
      <c r="Y61" s="3687"/>
      <c r="Z61" s="3687"/>
      <c r="AA61" s="3687"/>
      <c r="AB61" s="3687"/>
      <c r="AC61" s="3687"/>
      <c r="AD61" s="3232" t="str">
        <f>IF(X61="","",VLOOKUP(X61,Tabla_Ars_Magnus,6,FALSE))</f>
        <v/>
      </c>
      <c r="AE61" s="3232"/>
      <c r="AF61" s="3232"/>
      <c r="AG61" s="3232"/>
      <c r="AH61" s="3232"/>
      <c r="AI61" s="3232"/>
      <c r="AJ61" s="3232"/>
      <c r="AK61" s="3232"/>
      <c r="AL61" s="3232"/>
      <c r="AM61" s="3232"/>
      <c r="AN61" s="5140"/>
      <c r="AO61" s="5137"/>
      <c r="AQ61" s="5167"/>
      <c r="AR61" s="5167"/>
      <c r="AS61" s="5167"/>
      <c r="AT61" s="5167"/>
      <c r="AU61" s="5167"/>
      <c r="AV61" s="5167"/>
      <c r="AW61" s="5167"/>
      <c r="AX61" s="5167"/>
      <c r="AY61" s="5177"/>
      <c r="AZ61" s="5177"/>
      <c r="BA61" s="5143"/>
      <c r="BB61" s="5143"/>
      <c r="BC61" s="5143"/>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384"/>
      <c r="T62" s="2866"/>
      <c r="U62" s="50"/>
      <c r="V62" s="50"/>
      <c r="W62" s="149"/>
      <c r="X62" s="3687"/>
      <c r="Y62" s="3687"/>
      <c r="Z62" s="3687"/>
      <c r="AA62" s="3687"/>
      <c r="AB62" s="3687"/>
      <c r="AC62" s="3687"/>
      <c r="AD62" s="3232"/>
      <c r="AE62" s="3232"/>
      <c r="AF62" s="3232"/>
      <c r="AG62" s="3232"/>
      <c r="AH62" s="3232"/>
      <c r="AI62" s="3232"/>
      <c r="AJ62" s="3232"/>
      <c r="AK62" s="3232"/>
      <c r="AL62" s="3232"/>
      <c r="AM62" s="3232"/>
      <c r="AN62" s="5140"/>
      <c r="AO62" s="5137"/>
      <c r="AQ62" s="5167"/>
      <c r="AR62" s="5167"/>
      <c r="AS62" s="5167"/>
      <c r="AT62" s="5167"/>
      <c r="AU62" s="5167"/>
      <c r="AV62" s="5167"/>
      <c r="AW62" s="5167"/>
      <c r="AX62" s="5167"/>
      <c r="AY62" s="5177"/>
      <c r="AZ62" s="5177"/>
      <c r="BA62" s="5143"/>
      <c r="BB62" s="5143"/>
      <c r="BC62" s="5143"/>
      <c r="BD62" s="192"/>
      <c r="BE62" s="192"/>
      <c r="BF62" s="192"/>
      <c r="BG62" s="192"/>
      <c r="BH62" s="192"/>
      <c r="BI62" s="192"/>
      <c r="BJ62" s="192"/>
    </row>
    <row r="63" spans="1:62" ht="12" customHeight="1" thickBot="1" x14ac:dyDescent="0.25">
      <c r="A63" s="50"/>
      <c r="B63" s="149"/>
      <c r="C63" s="3769"/>
      <c r="D63" s="3769"/>
      <c r="E63" s="3769"/>
      <c r="F63" s="3769"/>
      <c r="G63" s="3769"/>
      <c r="H63" s="3769"/>
      <c r="I63" s="3769"/>
      <c r="J63" s="3769"/>
      <c r="K63" s="3769"/>
      <c r="L63" s="3769"/>
      <c r="M63" s="3769"/>
      <c r="N63" s="3769"/>
      <c r="O63" s="3769"/>
      <c r="P63" s="3769"/>
      <c r="Q63" s="3769"/>
      <c r="R63" s="3770"/>
      <c r="S63" s="2387"/>
      <c r="T63" s="2866"/>
      <c r="U63" s="50"/>
      <c r="V63" s="50"/>
      <c r="W63" s="149"/>
      <c r="X63" s="3704" t="str">
        <f>IF(PDs!E82=0,"",PDs!E82)</f>
        <v/>
      </c>
      <c r="Y63" s="3704"/>
      <c r="Z63" s="3704"/>
      <c r="AA63" s="3704"/>
      <c r="AB63" s="3704"/>
      <c r="AC63" s="3704"/>
      <c r="AD63" s="3771" t="str">
        <f>IF(X63="","",VLOOKUP(X63,Tabla_Ars_Magnus,6,FALSE))</f>
        <v/>
      </c>
      <c r="AE63" s="3771"/>
      <c r="AF63" s="3771"/>
      <c r="AG63" s="3771"/>
      <c r="AH63" s="3771"/>
      <c r="AI63" s="3771"/>
      <c r="AJ63" s="3771"/>
      <c r="AK63" s="3771"/>
      <c r="AL63" s="3771"/>
      <c r="AM63" s="3771"/>
      <c r="AN63" s="5140"/>
      <c r="AO63" s="5137"/>
      <c r="AQ63" s="5167"/>
      <c r="AR63" s="5167"/>
      <c r="AS63" s="5167"/>
      <c r="AT63" s="5167"/>
      <c r="AU63" s="5167"/>
      <c r="AV63" s="5167"/>
      <c r="AW63" s="5167"/>
      <c r="AX63" s="5167"/>
      <c r="AY63" s="5177"/>
      <c r="AZ63" s="5177"/>
      <c r="BA63" s="5143"/>
      <c r="BB63" s="5143"/>
      <c r="BC63" s="5143"/>
      <c r="BD63" s="192"/>
      <c r="BE63" s="192"/>
      <c r="BF63" s="192"/>
      <c r="BG63" s="192"/>
      <c r="BH63" s="192"/>
      <c r="BI63" s="192"/>
      <c r="BJ63" s="192"/>
    </row>
    <row r="64" spans="1:62" ht="12" customHeight="1" thickBot="1" x14ac:dyDescent="0.25">
      <c r="A64" s="50"/>
      <c r="B64" s="149"/>
      <c r="C64" s="3769"/>
      <c r="D64" s="3769"/>
      <c r="E64" s="3769"/>
      <c r="F64" s="3769"/>
      <c r="G64" s="3769"/>
      <c r="H64" s="3769"/>
      <c r="I64" s="3769"/>
      <c r="J64" s="3769"/>
      <c r="K64" s="3769"/>
      <c r="L64" s="3769"/>
      <c r="M64" s="3769"/>
      <c r="N64" s="3769"/>
      <c r="O64" s="3769"/>
      <c r="P64" s="3769"/>
      <c r="Q64" s="3769"/>
      <c r="R64" s="3770"/>
      <c r="S64" s="2388"/>
      <c r="T64" s="2866"/>
      <c r="U64" s="50"/>
      <c r="V64" s="50"/>
      <c r="W64" s="149"/>
      <c r="X64" s="3704"/>
      <c r="Y64" s="3704"/>
      <c r="Z64" s="3704"/>
      <c r="AA64" s="3704"/>
      <c r="AB64" s="3704"/>
      <c r="AC64" s="3704"/>
      <c r="AD64" s="3771"/>
      <c r="AE64" s="3771"/>
      <c r="AF64" s="3771"/>
      <c r="AG64" s="3771"/>
      <c r="AH64" s="3771"/>
      <c r="AI64" s="3771"/>
      <c r="AJ64" s="3771"/>
      <c r="AK64" s="3771"/>
      <c r="AL64" s="3771"/>
      <c r="AM64" s="3771"/>
      <c r="AN64" s="5140"/>
      <c r="AO64" s="5137"/>
      <c r="AQ64" s="5167"/>
      <c r="AR64" s="5167"/>
      <c r="AS64" s="5167"/>
      <c r="AT64" s="5167"/>
      <c r="AU64" s="5167"/>
      <c r="AV64" s="5167"/>
      <c r="AW64" s="5167"/>
      <c r="AX64" s="5167"/>
      <c r="AY64" s="5177"/>
      <c r="AZ64" s="5177"/>
      <c r="BA64" s="5143"/>
      <c r="BB64" s="5143"/>
      <c r="BC64" s="5143"/>
      <c r="BD64" s="192"/>
      <c r="BE64" s="192"/>
      <c r="BF64" s="192"/>
      <c r="BG64" s="192"/>
      <c r="BH64" s="192"/>
      <c r="BI64" s="192"/>
      <c r="BJ64" s="192"/>
    </row>
    <row r="65" spans="1:62" ht="12" customHeight="1" thickBot="1" x14ac:dyDescent="0.25">
      <c r="A65" s="50"/>
      <c r="B65" s="282"/>
      <c r="C65" s="283"/>
      <c r="D65" s="283"/>
      <c r="E65" s="283"/>
      <c r="F65" s="283"/>
      <c r="G65" s="283"/>
      <c r="H65" s="283"/>
      <c r="I65" s="284"/>
      <c r="J65" s="284"/>
      <c r="K65" s="284"/>
      <c r="L65" s="284"/>
      <c r="M65" s="284"/>
      <c r="N65" s="284"/>
      <c r="O65" s="284"/>
      <c r="P65" s="284"/>
      <c r="Q65" s="284"/>
      <c r="R65" s="284"/>
      <c r="S65" s="284"/>
      <c r="T65" s="2867"/>
      <c r="U65" s="50"/>
      <c r="V65" s="50"/>
      <c r="W65" s="282"/>
      <c r="X65" s="283"/>
      <c r="Y65" s="283"/>
      <c r="Z65" s="283"/>
      <c r="AA65" s="283"/>
      <c r="AB65" s="283"/>
      <c r="AC65" s="283"/>
      <c r="AD65" s="284"/>
      <c r="AE65" s="284"/>
      <c r="AF65" s="284"/>
      <c r="AG65" s="284"/>
      <c r="AH65" s="284"/>
      <c r="AI65" s="284"/>
      <c r="AJ65" s="284"/>
      <c r="AK65" s="284"/>
      <c r="AL65" s="284"/>
      <c r="AM65" s="284"/>
      <c r="AN65" s="5150"/>
      <c r="AO65" s="5137"/>
      <c r="AQ65" s="5167"/>
      <c r="AR65" s="5166"/>
      <c r="AS65" s="5166"/>
      <c r="AT65" s="5166"/>
      <c r="AU65" s="5166"/>
      <c r="AV65" s="5166"/>
      <c r="AW65" s="5166"/>
      <c r="AX65" s="5166"/>
      <c r="AY65" s="5177"/>
      <c r="AZ65" s="5177"/>
      <c r="BA65" s="5143"/>
      <c r="BB65" s="5143"/>
      <c r="BC65" s="5143"/>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137"/>
      <c r="AO66" s="5137"/>
      <c r="AQ66" s="5167"/>
      <c r="AR66" s="5166"/>
      <c r="AS66" s="5166"/>
      <c r="AT66" s="5166"/>
      <c r="AU66" s="5166"/>
      <c r="AV66" s="5166"/>
      <c r="AW66" s="5166"/>
      <c r="AX66" s="5166"/>
      <c r="AY66" s="5177"/>
      <c r="AZ66" s="5177"/>
      <c r="BA66" s="5143"/>
      <c r="BB66" s="5143"/>
      <c r="BC66" s="5143"/>
      <c r="BD66" s="192"/>
      <c r="BE66" s="192"/>
      <c r="BF66" s="192"/>
      <c r="BG66" s="192"/>
      <c r="BH66" s="192"/>
      <c r="BI66" s="192"/>
      <c r="BJ66" s="192"/>
    </row>
    <row r="185" spans="20:22" ht="12" customHeight="1" x14ac:dyDescent="0.2">
      <c r="T185" s="48">
        <f>IF(Principal!Y13="Si",IF(Tablas!I2253&gt;0,Tablas!I2253,VLOOKUP(Tamaño,Tablas!B123:F130,5)),IF(J185=0,0,TRUNC((K185/J185),0))+IF(L185=0,0,TRUNC((M185/L185),0))+IF(N185=0,0,TRUNC((O185/N185),0))+IF(P185=0,0,TRUNC((Q185/P185),0))+IF(R185=0,0,TRUNC((S185/R185),0)))</f>
        <v>0</v>
      </c>
      <c r="V185" s="48">
        <f>((IF($U$5=0,0,VLOOKUP($U$5,Tabla_Categorías,3,FALSE))+10*Tablas!$F$564+20*Tablas!$F$565+30*Tablas!$F$566)*PDs!$X$5+(IF(PDs!$U$7=0,0,VLOOKUP(PDs!$U$7,Tabla_Categorías,3,FALSE))+10*Tablas!$F$564+20*Tablas!$F$565+30*Tablas!$F$566)*PDs!$X$7+(IF(PDs!$U$9=0,0,VLOOKUP(PDs!$U$9,Tabla_Categorías,3,FALSE))+10*Tablas!$F$564+20*Tablas!$F$565+30*Tablas!$F$566)*PDs!$X$9+(IF(PDs!$U$11=0,0,VLOOKUP(PDs!$U$11,Tabla_Categorías,3,FALSE))+10*Tablas!$F$564+20*Tablas!$F$565+30*Tablas!$F$566)*PDs!$X$11+(IF(PDs!$U$13=0,0,VLOOKUP(PDs!$U$13,Tabla_Categorías,3,FALSE))+10*Tablas!$F$564+20*Tablas!$F$565+30*Tablas!$F$566)*PDs!$X$13)*IF(Principal!Y13="Si",VLOOKUP(Tamaño,Tablas!B123:F130,5),1)</f>
        <v>0</v>
      </c>
    </row>
    <row r="1075" spans="8:8" ht="12" customHeight="1" x14ac:dyDescent="0.2">
      <c r="H1075" s="48" t="str">
        <f>IF(OR(HA_final&lt;200,NOT(Extensióndelauraalarma)),"NO","-")</f>
        <v>NO</v>
      </c>
    </row>
    <row r="1095" spans="8:8" ht="12" customHeight="1" x14ac:dyDescent="0.2">
      <c r="H1095" s="48" t="str">
        <f>IF(OR(NOT(OR(Ki!$P$63="-",Ki!$H$63="-",Tablas!$G$1609&gt;0)),NOT(Ki!$P$10="-"),HA_final&lt;200,NOT(Extensióndelauraalarma),DES&lt;11,G1094=0),"NO","-")</f>
        <v>NO</v>
      </c>
    </row>
    <row r="1097" spans="8:8" ht="12" customHeight="1" x14ac:dyDescent="0.2">
      <c r="H1097" s="48" t="str">
        <f>IF(OR(NOT(OR(Ki!$P$63="-",Ki!$H$63="-",Tablas!$G$1609&gt;0)),NOT(Ki!$P$10="-"),HA_final&lt;140,NOT(Extensióndelauraalarma),Música_final&lt;100,Música_final="-"),"NO","-")</f>
        <v>NO</v>
      </c>
    </row>
    <row r="1098" spans="8:8" ht="12" customHeight="1" x14ac:dyDescent="0.2">
      <c r="H1098" s="48" t="str">
        <f>IF(OR(NOT(OR(Ki!$P$63="-",Ki!$H$63="-",Tablas!$G$1609&gt;0)),NOT(Ki!$P$10="-"),HA_final&lt;160,MAX(HP_final,HE_final)&lt;160,NOT(Extensióndelauraalarma)),"NO","-")</f>
        <v>NO</v>
      </c>
    </row>
    <row r="1099" spans="8:8" ht="12" customHeight="1" x14ac:dyDescent="0.2">
      <c r="H1099" s="48" t="str">
        <f>IF(OR(NOT(OR(Ki!$P$63="-",Ki!$H$63="-",Tablas!$G$1609&gt;0)),NOT(Ki!$P$10="-"),HA_final&lt;140,NOT(Extensióndelauraalarma)),"NO","-")</f>
        <v>NO</v>
      </c>
    </row>
    <row r="1100" spans="8:8" ht="12" customHeight="1" x14ac:dyDescent="0.2">
      <c r="H1100" s="48" t="str">
        <f>IF(OR(NOT(OR(Ki!$P$63="-",Ki!$H$63="-",Tablas!$G$1609&gt;0)),NOT(Ki!$P$10="-"),NOT(Extensióndelauraalarma),T.Manos_final&lt;60,DES&lt;9,HA_final&lt;140,NOT(OR(PDs!$Y$40="Lanzamiento",PDs!$Y$41="Lanzamiento",PDs!$Y$42="Lanzamiento",PDs!$Y$43="Lanzamiento",PDs!$Y$44="Lanzamiento"))),"NO","-")</f>
        <v>NO</v>
      </c>
    </row>
    <row r="1103" spans="8:8" ht="12" customHeight="1" x14ac:dyDescent="0.2">
      <c r="H1103" s="48" t="str">
        <f>IF(OR(NOT(OR(Ki!$P$63="-",Ki!$H$63="-",Tablas!$G$1609&gt;0)),NOT(Ki!$P$10="-"),HA_final&lt;150,MAX(HP_final,HE_final)&lt;150,NOT(Extensióndelauraalarma)),"NO","-")</f>
        <v>NO</v>
      </c>
    </row>
    <row r="1105" spans="8:8" ht="12" customHeight="1" x14ac:dyDescent="0.2">
      <c r="H1105" s="48" t="str">
        <f>IF(OR(NOT(OR(Ki!$P$63="-",Ki!$H$63="-",Tablas!$G$1609&gt;0)),NOT(Ki!$P$10="-"),HA_final&lt;250,NOT(Extensióndelauraalarma),NOT(OR(Ki!$P$64="-",Ki!$H$64="-",Tablas!$G$1610&gt;0))),"NO","-")</f>
        <v>NO</v>
      </c>
    </row>
    <row r="3236" spans="2:2" ht="12" customHeight="1" x14ac:dyDescent="0.2">
      <c r="B3236" s="48" t="str">
        <f>IF(Extensióndelauraalarma,", "&amp;Ki!$L$36,"")</f>
        <v/>
      </c>
    </row>
    <row r="3238" spans="2:2" ht="12" customHeight="1" x14ac:dyDescent="0.2">
      <c r="B3238" s="48"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K18" sqref="K18:L19"/>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03"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62"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10"/>
    <col min="50" max="50" width="2" style="1910" customWidth="1"/>
    <col min="51" max="51" width="6.5703125" style="1910" bestFit="1" customWidth="1"/>
    <col min="52" max="52" width="5.85546875" style="1910" customWidth="1"/>
    <col min="53" max="64" width="5.7109375" style="1910"/>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75"/>
      <c r="U1" s="212"/>
      <c r="V1" s="212"/>
      <c r="W1" s="212"/>
      <c r="X1" s="212"/>
      <c r="Y1" s="212"/>
      <c r="Z1" s="212"/>
      <c r="AA1" s="212"/>
      <c r="AB1" s="212"/>
      <c r="AC1" s="212"/>
      <c r="AD1" s="212"/>
      <c r="AE1" s="212"/>
      <c r="AF1" s="212"/>
      <c r="AG1" s="212"/>
      <c r="AH1" s="212"/>
      <c r="AI1" s="212"/>
      <c r="AJ1" s="212"/>
      <c r="AK1" s="212"/>
      <c r="AL1" s="212"/>
      <c r="AM1" s="212"/>
      <c r="AN1" s="2257"/>
      <c r="AO1" s="212"/>
      <c r="AP1" s="212"/>
      <c r="AQ1" s="212"/>
      <c r="AR1" s="212"/>
      <c r="AS1" s="212"/>
      <c r="AT1" s="212"/>
      <c r="AU1" s="212"/>
      <c r="AV1" s="212"/>
      <c r="AW1" s="1909"/>
      <c r="AX1" s="1909"/>
    </row>
    <row r="2" spans="1:51" ht="12" customHeight="1" thickBot="1" x14ac:dyDescent="0.25">
      <c r="A2" s="212"/>
      <c r="B2" s="2115"/>
      <c r="C2" s="2116"/>
      <c r="D2" s="2116"/>
      <c r="E2" s="2116"/>
      <c r="F2" s="2116"/>
      <c r="G2" s="2116"/>
      <c r="H2" s="2116"/>
      <c r="I2" s="2116"/>
      <c r="J2" s="2116"/>
      <c r="K2" s="2116"/>
      <c r="L2" s="2116"/>
      <c r="M2" s="2116"/>
      <c r="N2" s="2116"/>
      <c r="O2" s="2116"/>
      <c r="P2" s="2116"/>
      <c r="Q2" s="2116"/>
      <c r="R2" s="2116"/>
      <c r="S2" s="2117"/>
      <c r="T2" s="1675"/>
      <c r="U2" s="212"/>
      <c r="V2" s="2115"/>
      <c r="W2" s="2116"/>
      <c r="X2" s="2116"/>
      <c r="Y2" s="2116"/>
      <c r="Z2" s="2116"/>
      <c r="AA2" s="2116"/>
      <c r="AB2" s="2116"/>
      <c r="AC2" s="2116"/>
      <c r="AD2" s="2116"/>
      <c r="AE2" s="2116"/>
      <c r="AF2" s="2116"/>
      <c r="AG2" s="2116"/>
      <c r="AH2" s="2116"/>
      <c r="AI2" s="2116"/>
      <c r="AJ2" s="2116"/>
      <c r="AK2" s="2116"/>
      <c r="AL2" s="2117"/>
      <c r="AM2" s="212"/>
      <c r="AN2" s="2258"/>
      <c r="AO2" s="2116"/>
      <c r="AP2" s="2116"/>
      <c r="AQ2" s="2116"/>
      <c r="AR2" s="2116"/>
      <c r="AS2" s="2116"/>
      <c r="AT2" s="2116"/>
      <c r="AU2" s="2116"/>
      <c r="AV2" s="2116"/>
      <c r="AW2" s="2275"/>
      <c r="AX2" s="1909"/>
    </row>
    <row r="3" spans="1:51" ht="12" customHeight="1" thickBot="1" x14ac:dyDescent="0.25">
      <c r="A3" s="212"/>
      <c r="B3" s="1906"/>
      <c r="C3" s="3046"/>
      <c r="D3" s="3046"/>
      <c r="E3" s="3046"/>
      <c r="F3" s="3046"/>
      <c r="G3" s="3046"/>
      <c r="H3" s="3046"/>
      <c r="I3" s="13"/>
      <c r="J3" s="13"/>
      <c r="K3" s="13"/>
      <c r="L3" s="13"/>
      <c r="M3" s="13"/>
      <c r="N3" s="13"/>
      <c r="O3" s="13"/>
      <c r="P3" s="13"/>
      <c r="Q3" s="14"/>
      <c r="R3" s="73"/>
      <c r="S3" s="1917"/>
      <c r="T3" s="1675"/>
      <c r="U3" s="212"/>
      <c r="V3" s="1906"/>
      <c r="W3" s="3046"/>
      <c r="X3" s="3046"/>
      <c r="Y3" s="3046"/>
      <c r="Z3" s="3046"/>
      <c r="AA3" s="3046"/>
      <c r="AB3" s="3046"/>
      <c r="AC3" s="13"/>
      <c r="AD3" s="13"/>
      <c r="AE3" s="13"/>
      <c r="AF3" s="13"/>
      <c r="AG3" s="13"/>
      <c r="AH3" s="13"/>
      <c r="AI3" s="13"/>
      <c r="AJ3" s="13"/>
      <c r="AK3" s="14"/>
      <c r="AL3" s="1917"/>
      <c r="AM3" s="212"/>
      <c r="AN3" s="2259"/>
      <c r="AO3" s="2216"/>
      <c r="AP3" s="1774"/>
      <c r="AQ3" s="1774"/>
      <c r="AR3" s="1774"/>
      <c r="AS3" s="1774"/>
      <c r="AT3" s="1774"/>
      <c r="AU3" s="1774"/>
      <c r="AV3" s="1776"/>
      <c r="AW3" s="2276"/>
      <c r="AX3" s="1909"/>
    </row>
    <row r="4" spans="1:51" ht="12" customHeight="1" thickBot="1" x14ac:dyDescent="0.25">
      <c r="A4" s="212"/>
      <c r="B4" s="1906"/>
      <c r="C4" s="3046"/>
      <c r="D4" s="3046"/>
      <c r="E4" s="3046"/>
      <c r="F4" s="3046"/>
      <c r="G4" s="3046"/>
      <c r="H4" s="3046"/>
      <c r="I4" s="16"/>
      <c r="J4" s="2963" t="s">
        <v>2169</v>
      </c>
      <c r="K4" s="2963"/>
      <c r="L4" s="2964" t="str">
        <f>IF(OR(General!$G$22="",General!$G$22=0),"",General!$G$22)</f>
        <v/>
      </c>
      <c r="M4" s="2964"/>
      <c r="N4" s="2964"/>
      <c r="O4" s="2964"/>
      <c r="P4" s="2964"/>
      <c r="Q4" s="17"/>
      <c r="R4" s="73"/>
      <c r="S4" s="1917"/>
      <c r="T4" s="1675"/>
      <c r="U4" s="212"/>
      <c r="V4" s="1906"/>
      <c r="W4" s="3046"/>
      <c r="X4" s="3046"/>
      <c r="Y4" s="3046"/>
      <c r="Z4" s="3046"/>
      <c r="AA4" s="3046"/>
      <c r="AB4" s="3046"/>
      <c r="AC4" s="16"/>
      <c r="AD4" s="2963" t="s">
        <v>2169</v>
      </c>
      <c r="AE4" s="2963"/>
      <c r="AF4" s="2964" t="str">
        <f>IF(OR(General!$G$22="",General!$G$22=0),"",General!$G$22)</f>
        <v/>
      </c>
      <c r="AG4" s="2964"/>
      <c r="AH4" s="2964"/>
      <c r="AI4" s="2964"/>
      <c r="AJ4" s="2964"/>
      <c r="AK4" s="17"/>
      <c r="AL4" s="1917"/>
      <c r="AM4" s="212"/>
      <c r="AN4" s="2259"/>
      <c r="AO4" s="2224"/>
      <c r="AP4" s="2136"/>
      <c r="AQ4" s="440"/>
      <c r="AR4" s="440"/>
      <c r="AS4" s="440"/>
      <c r="AT4" s="440"/>
      <c r="AU4" s="440"/>
      <c r="AV4" s="2217"/>
      <c r="AW4" s="2276"/>
      <c r="AX4" s="1909"/>
    </row>
    <row r="5" spans="1:51" ht="12" customHeight="1" thickBot="1" x14ac:dyDescent="0.25">
      <c r="A5" s="212"/>
      <c r="B5" s="1906"/>
      <c r="C5" s="3046"/>
      <c r="D5" s="3046"/>
      <c r="E5" s="3046"/>
      <c r="F5" s="3046"/>
      <c r="G5" s="3046"/>
      <c r="H5" s="3046"/>
      <c r="I5" s="16"/>
      <c r="J5" s="3042" t="s">
        <v>2170</v>
      </c>
      <c r="K5" s="3042"/>
      <c r="L5" s="3043" t="str">
        <f>Principal!$L$5</f>
        <v>Hechicero</v>
      </c>
      <c r="M5" s="3043"/>
      <c r="N5" s="3043"/>
      <c r="O5" s="18" t="s">
        <v>2171</v>
      </c>
      <c r="P5" s="19" t="str">
        <f>Principal!$P$5</f>
        <v>1 + 2</v>
      </c>
      <c r="Q5" s="20"/>
      <c r="R5" s="73"/>
      <c r="S5" s="1917"/>
      <c r="T5" s="1675"/>
      <c r="U5" s="212"/>
      <c r="V5" s="1906"/>
      <c r="W5" s="3046"/>
      <c r="X5" s="3046"/>
      <c r="Y5" s="3046"/>
      <c r="Z5" s="3046"/>
      <c r="AA5" s="3046"/>
      <c r="AB5" s="3046"/>
      <c r="AC5" s="16"/>
      <c r="AD5" s="3042" t="s">
        <v>2170</v>
      </c>
      <c r="AE5" s="3042"/>
      <c r="AF5" s="3043" t="str">
        <f>Principal!$L$5</f>
        <v>Hechicero</v>
      </c>
      <c r="AG5" s="3043"/>
      <c r="AH5" s="3043"/>
      <c r="AI5" s="18" t="s">
        <v>2171</v>
      </c>
      <c r="AJ5" s="19" t="str">
        <f>Principal!$P$5</f>
        <v>1 + 2</v>
      </c>
      <c r="AK5" s="20"/>
      <c r="AL5" s="1917"/>
      <c r="AM5" s="212"/>
      <c r="AN5" s="2259"/>
      <c r="AO5" s="2223"/>
      <c r="AP5" s="2137"/>
      <c r="AQ5" s="1773"/>
      <c r="AR5" s="3044" t="s">
        <v>9458</v>
      </c>
      <c r="AS5" s="3044"/>
      <c r="AT5" s="3044"/>
      <c r="AU5" s="3044"/>
      <c r="AV5" s="2218"/>
      <c r="AW5" s="2276"/>
      <c r="AX5" s="1909"/>
    </row>
    <row r="6" spans="1:51" ht="12" customHeight="1" thickBot="1" x14ac:dyDescent="0.25">
      <c r="A6" s="212"/>
      <c r="B6" s="1906"/>
      <c r="C6" s="3046"/>
      <c r="D6" s="3046"/>
      <c r="E6" s="3046"/>
      <c r="F6" s="3046"/>
      <c r="G6" s="3046"/>
      <c r="H6" s="3046"/>
      <c r="I6" s="16"/>
      <c r="J6" s="3044" t="s">
        <v>2554</v>
      </c>
      <c r="K6" s="3044"/>
      <c r="L6" s="3044"/>
      <c r="M6" s="3044"/>
      <c r="N6" s="3044"/>
      <c r="O6" s="3044"/>
      <c r="P6" s="3044"/>
      <c r="Q6" s="20"/>
      <c r="R6" s="73"/>
      <c r="S6" s="1917"/>
      <c r="T6" s="1675"/>
      <c r="U6" s="212"/>
      <c r="V6" s="1906"/>
      <c r="W6" s="3046"/>
      <c r="X6" s="3046"/>
      <c r="Y6" s="3046"/>
      <c r="Z6" s="3046"/>
      <c r="AA6" s="3046"/>
      <c r="AB6" s="3046"/>
      <c r="AC6" s="16"/>
      <c r="AD6" s="3044" t="s">
        <v>2555</v>
      </c>
      <c r="AE6" s="3044"/>
      <c r="AF6" s="3044"/>
      <c r="AG6" s="3044"/>
      <c r="AH6" s="3044"/>
      <c r="AI6" s="3044"/>
      <c r="AJ6" s="3044"/>
      <c r="AK6" s="20"/>
      <c r="AL6" s="1917"/>
      <c r="AM6" s="212"/>
      <c r="AN6" s="2259"/>
      <c r="AO6" s="2219"/>
      <c r="AQ6" s="2193"/>
      <c r="AR6" s="3044"/>
      <c r="AS6" s="3044"/>
      <c r="AT6" s="3044"/>
      <c r="AU6" s="3044"/>
      <c r="AV6" s="2218"/>
      <c r="AW6" s="2276"/>
      <c r="AX6" s="1909"/>
    </row>
    <row r="7" spans="1:51" ht="12" customHeight="1" thickBot="1" x14ac:dyDescent="0.25">
      <c r="A7" s="212"/>
      <c r="B7" s="1906"/>
      <c r="C7" s="3046"/>
      <c r="D7" s="3046"/>
      <c r="E7" s="3046"/>
      <c r="F7" s="3046"/>
      <c r="G7" s="3046"/>
      <c r="H7" s="3046"/>
      <c r="I7" s="16"/>
      <c r="J7" s="3044"/>
      <c r="K7" s="3044"/>
      <c r="L7" s="3044"/>
      <c r="M7" s="3044"/>
      <c r="N7" s="3044"/>
      <c r="O7" s="3044"/>
      <c r="P7" s="3044"/>
      <c r="Q7" s="20"/>
      <c r="R7" s="73"/>
      <c r="S7" s="1917"/>
      <c r="T7" s="1675"/>
      <c r="U7" s="212"/>
      <c r="V7" s="1906"/>
      <c r="W7" s="3046"/>
      <c r="X7" s="3046"/>
      <c r="Y7" s="3046"/>
      <c r="Z7" s="3046"/>
      <c r="AA7" s="3046"/>
      <c r="AB7" s="3046"/>
      <c r="AC7" s="16"/>
      <c r="AD7" s="3044"/>
      <c r="AE7" s="3044"/>
      <c r="AF7" s="3044"/>
      <c r="AG7" s="3044"/>
      <c r="AH7" s="3044"/>
      <c r="AI7" s="3044"/>
      <c r="AJ7" s="3044"/>
      <c r="AK7" s="20"/>
      <c r="AL7" s="1917"/>
      <c r="AM7" s="212"/>
      <c r="AN7" s="2259"/>
      <c r="AO7" s="2219"/>
      <c r="AP7" s="2193"/>
      <c r="AQ7" s="2193"/>
      <c r="AR7" s="2193"/>
      <c r="AS7" s="2193"/>
      <c r="AT7" s="2193"/>
      <c r="AU7" s="2193"/>
      <c r="AV7" s="2218"/>
      <c r="AW7" s="2276"/>
      <c r="AX7" s="1909"/>
    </row>
    <row r="8" spans="1:51" ht="12" customHeight="1" thickBot="1" x14ac:dyDescent="0.25">
      <c r="A8" s="212"/>
      <c r="B8" s="1906"/>
      <c r="C8" s="3046"/>
      <c r="D8" s="3046"/>
      <c r="E8" s="3046"/>
      <c r="F8" s="3046"/>
      <c r="G8" s="3046"/>
      <c r="H8" s="3046"/>
      <c r="I8" s="21"/>
      <c r="J8" s="21"/>
      <c r="K8" s="21"/>
      <c r="L8" s="21"/>
      <c r="M8" s="21"/>
      <c r="N8" s="21"/>
      <c r="O8" s="21"/>
      <c r="P8" s="21"/>
      <c r="Q8" s="22"/>
      <c r="R8" s="73"/>
      <c r="S8" s="1917"/>
      <c r="T8" s="1675"/>
      <c r="U8" s="212"/>
      <c r="V8" s="1906"/>
      <c r="W8" s="3046"/>
      <c r="X8" s="3046"/>
      <c r="Y8" s="3046"/>
      <c r="Z8" s="3046"/>
      <c r="AA8" s="3046"/>
      <c r="AB8" s="3046"/>
      <c r="AC8" s="21"/>
      <c r="AD8" s="21"/>
      <c r="AE8" s="21"/>
      <c r="AF8" s="21"/>
      <c r="AG8" s="21"/>
      <c r="AH8" s="21"/>
      <c r="AI8" s="21"/>
      <c r="AJ8" s="21"/>
      <c r="AK8" s="22"/>
      <c r="AL8" s="1917"/>
      <c r="AM8" s="212"/>
      <c r="AN8" s="2259"/>
      <c r="AO8" s="2220"/>
      <c r="AP8" s="2221"/>
      <c r="AQ8" s="2221"/>
      <c r="AR8" s="2221"/>
      <c r="AS8" s="2221"/>
      <c r="AT8" s="2221"/>
      <c r="AU8" s="2221"/>
      <c r="AV8" s="2222"/>
      <c r="AW8" s="2276"/>
      <c r="AX8" s="1909"/>
    </row>
    <row r="9" spans="1:51" ht="12" customHeight="1" thickBot="1" x14ac:dyDescent="0.25">
      <c r="A9" s="212"/>
      <c r="B9" s="1906"/>
      <c r="C9" s="73"/>
      <c r="D9" s="73"/>
      <c r="E9" s="73"/>
      <c r="F9" s="73"/>
      <c r="G9" s="73"/>
      <c r="H9" s="73"/>
      <c r="I9" s="73"/>
      <c r="J9" s="73"/>
      <c r="K9" s="73"/>
      <c r="L9" s="73"/>
      <c r="M9" s="73"/>
      <c r="N9" s="73"/>
      <c r="O9" s="73"/>
      <c r="P9" s="73"/>
      <c r="Q9" s="73"/>
      <c r="R9" s="73"/>
      <c r="S9" s="1917"/>
      <c r="T9" s="1675"/>
      <c r="U9" s="212"/>
      <c r="V9" s="1906"/>
      <c r="W9" s="73"/>
      <c r="X9" s="73"/>
      <c r="Y9" s="73"/>
      <c r="Z9" s="73"/>
      <c r="AA9" s="73"/>
      <c r="AB9" s="73"/>
      <c r="AC9" s="73"/>
      <c r="AD9" s="73"/>
      <c r="AE9" s="73"/>
      <c r="AF9" s="73"/>
      <c r="AG9" s="73"/>
      <c r="AH9" s="73"/>
      <c r="AI9" s="73"/>
      <c r="AJ9" s="73"/>
      <c r="AK9" s="73"/>
      <c r="AL9" s="1917"/>
      <c r="AM9" s="212"/>
      <c r="AN9" s="2259"/>
      <c r="AW9" s="2276"/>
      <c r="AX9" s="1909"/>
    </row>
    <row r="10" spans="1:51" ht="12" customHeight="1" thickBot="1" x14ac:dyDescent="0.25">
      <c r="A10" s="212"/>
      <c r="B10" s="1906"/>
      <c r="C10" s="2994" t="s">
        <v>2369</v>
      </c>
      <c r="D10" s="2995"/>
      <c r="E10" s="2995"/>
      <c r="F10" s="2995"/>
      <c r="G10" s="2995"/>
      <c r="H10" s="2996"/>
      <c r="I10" s="73"/>
      <c r="R10" s="73"/>
      <c r="S10" s="1917"/>
      <c r="T10" s="1675"/>
      <c r="U10" s="212"/>
      <c r="V10" s="1906"/>
      <c r="W10" s="3150" t="s">
        <v>2557</v>
      </c>
      <c r="X10" s="3151"/>
      <c r="Y10" s="3151"/>
      <c r="Z10" s="3151"/>
      <c r="AA10" s="3151"/>
      <c r="AB10" s="3151"/>
      <c r="AC10" s="3152"/>
      <c r="AD10" s="2851"/>
      <c r="AE10" s="3827" t="s">
        <v>2558</v>
      </c>
      <c r="AF10" s="3828"/>
      <c r="AG10" s="3828"/>
      <c r="AH10" s="3828"/>
      <c r="AI10" s="3828"/>
      <c r="AJ10" s="3828"/>
      <c r="AK10" s="2596">
        <f>IF(Tablas!F758&gt;0,0,SUM(I15:I25))-COUNTA(Místicos!AG12:AJ50)</f>
        <v>0</v>
      </c>
      <c r="AL10" s="1917"/>
      <c r="AM10" s="212"/>
      <c r="AN10" s="2259"/>
      <c r="AP10" s="3927" t="s">
        <v>9463</v>
      </c>
      <c r="AQ10" s="3928"/>
      <c r="AR10" s="3929"/>
      <c r="AS10" s="3930" t="s">
        <v>9464</v>
      </c>
      <c r="AT10" s="3931"/>
      <c r="AU10" s="3932"/>
      <c r="AW10" s="2276"/>
      <c r="AX10" s="1909"/>
    </row>
    <row r="11" spans="1:51" ht="12" customHeight="1" thickBot="1" x14ac:dyDescent="0.25">
      <c r="A11" s="212"/>
      <c r="B11" s="1906"/>
      <c r="C11" s="3855" t="s">
        <v>2559</v>
      </c>
      <c r="D11" s="3856"/>
      <c r="E11" s="3833" t="s">
        <v>2560</v>
      </c>
      <c r="F11" s="3834"/>
      <c r="G11" s="3084" t="s">
        <v>2561</v>
      </c>
      <c r="H11" s="3824"/>
      <c r="I11" s="73"/>
      <c r="J11" s="3826" t="s">
        <v>2556</v>
      </c>
      <c r="K11" s="3826"/>
      <c r="L11" s="3826"/>
      <c r="M11" s="3826"/>
      <c r="N11" s="73"/>
      <c r="O11" s="3028" t="s">
        <v>2368</v>
      </c>
      <c r="P11" s="3028"/>
      <c r="Q11" s="3028"/>
      <c r="R11" s="73"/>
      <c r="S11" s="1917"/>
      <c r="T11" s="1675"/>
      <c r="U11" s="212"/>
      <c r="V11" s="1906"/>
      <c r="W11" s="3050" t="s">
        <v>2565</v>
      </c>
      <c r="X11" s="3051"/>
      <c r="Y11" s="3051" t="s">
        <v>2564</v>
      </c>
      <c r="Z11" s="3051"/>
      <c r="AA11" s="3051"/>
      <c r="AB11" s="3051"/>
      <c r="AC11" s="2595" t="s">
        <v>2256</v>
      </c>
      <c r="AD11" s="2020" t="s">
        <v>9719</v>
      </c>
      <c r="AE11" s="3050" t="s">
        <v>2566</v>
      </c>
      <c r="AF11" s="3051"/>
      <c r="AG11" s="3051" t="s">
        <v>2564</v>
      </c>
      <c r="AH11" s="3051"/>
      <c r="AI11" s="3051"/>
      <c r="AJ11" s="3051"/>
      <c r="AK11" s="2595" t="s">
        <v>2256</v>
      </c>
      <c r="AL11" s="1917"/>
      <c r="AM11" s="212"/>
      <c r="AN11" s="2259"/>
      <c r="AW11" s="2276"/>
      <c r="AX11" s="1909"/>
      <c r="AY11" s="2020"/>
    </row>
    <row r="12" spans="1:51" ht="12" customHeight="1" thickBot="1" x14ac:dyDescent="0.25">
      <c r="A12" s="212"/>
      <c r="B12" s="1906"/>
      <c r="C12" s="3836">
        <f>NiveldeMagia_final</f>
        <v>20</v>
      </c>
      <c r="D12" s="3837"/>
      <c r="E12" s="3829">
        <f>SUM(G15:G26)+G12</f>
        <v>0</v>
      </c>
      <c r="F12" s="3830"/>
      <c r="G12" s="3840">
        <f>Metamagia!$T$37</f>
        <v>0</v>
      </c>
      <c r="H12" s="3841"/>
      <c r="I12" s="73"/>
      <c r="J12" s="3825" t="s">
        <v>2562</v>
      </c>
      <c r="K12" s="3825"/>
      <c r="L12" s="3818" t="s">
        <v>2366</v>
      </c>
      <c r="M12" s="3818"/>
      <c r="N12" s="73"/>
      <c r="O12" s="2065" t="s">
        <v>2246</v>
      </c>
      <c r="P12" s="295" t="s">
        <v>2430</v>
      </c>
      <c r="Q12" s="2066" t="s">
        <v>2563</v>
      </c>
      <c r="R12" s="73"/>
      <c r="S12" s="1917"/>
      <c r="T12" s="1675" t="str">
        <f>"Conjuros"&amp;IF(W12="","","_"&amp;W12)</f>
        <v>Conjuros</v>
      </c>
      <c r="U12" s="212"/>
      <c r="V12" s="2120">
        <f>IF(AC12="",0,VLOOKUP(AC12,Tablas!$B$1207:$C$1216,2))</f>
        <v>0</v>
      </c>
      <c r="W12" s="3799"/>
      <c r="X12" s="3587"/>
      <c r="Y12" s="3811"/>
      <c r="Z12" s="3811"/>
      <c r="AA12" s="3811"/>
      <c r="AB12" s="3811"/>
      <c r="AC12" s="2569" t="str">
        <f>IF(Místicos!Y12=0,"",VLOOKUP(Místicos!Y12,Tablas!$D$2533:$F$3207,2,FALSE))</f>
        <v/>
      </c>
      <c r="AD12" s="2131" t="str">
        <f t="shared" ref="AD12:AD50" si="0">AE12&amp;AK12</f>
        <v/>
      </c>
      <c r="AE12" s="3799"/>
      <c r="AF12" s="3587"/>
      <c r="AG12" s="3811"/>
      <c r="AH12" s="3811"/>
      <c r="AI12" s="3811"/>
      <c r="AJ12" s="3811"/>
      <c r="AK12" s="2567"/>
      <c r="AL12" s="2121">
        <f>IF(Místicos!AG12=0,0,VLOOKUP(Místicos!AG12,Tablas!D2924:E3053,2,FALSE)-10)</f>
        <v>0</v>
      </c>
      <c r="AM12" s="212"/>
      <c r="AN12" s="2259"/>
      <c r="AO12" s="3924" t="s">
        <v>9504</v>
      </c>
      <c r="AP12" s="3925"/>
      <c r="AQ12" s="3925"/>
      <c r="AR12" s="3925"/>
      <c r="AS12" s="3925"/>
      <c r="AT12" s="3925"/>
      <c r="AU12" s="3925"/>
      <c r="AV12" s="3926"/>
      <c r="AW12" s="2277">
        <f>IF(AP12=0,0,VLOOKUP(AP12,Tablas!O2924:P3053,2,FALSE)-10)</f>
        <v>0</v>
      </c>
      <c r="AX12" s="1909"/>
      <c r="AY12" s="2131">
        <f>IF(AC12="",0,VLOOKUP(AC12,Tablas!$B$1207:$C$1216,2)*VLOOKUP(W12,Tabla_CosteConjuros,3))</f>
        <v>0</v>
      </c>
    </row>
    <row r="13" spans="1:51" ht="12" customHeight="1" thickBot="1" x14ac:dyDescent="0.25">
      <c r="A13" s="212"/>
      <c r="B13" s="1906"/>
      <c r="C13" s="3838"/>
      <c r="D13" s="3839"/>
      <c r="E13" s="3831"/>
      <c r="F13" s="3832"/>
      <c r="G13" s="3840"/>
      <c r="H13" s="3841"/>
      <c r="I13" s="73"/>
      <c r="J13" s="3842">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10</v>
      </c>
      <c r="K13" s="3842"/>
      <c r="L13" s="3843">
        <f>ACT_final+L21</f>
        <v>10</v>
      </c>
      <c r="M13" s="3843"/>
      <c r="N13" s="73"/>
      <c r="O13" s="3844">
        <f>Principal!D28</f>
        <v>6</v>
      </c>
      <c r="P13" s="3845">
        <f>IF(OR(PDs!E99="Proyección Mágica como ataque",PDs!E100="Proyección Mágica como ataque"),PDs!V22+ProyecciónMágica_final-PDs!V93,ProyecciónMágica_final+Q15)</f>
        <v>10</v>
      </c>
      <c r="Q13" s="3854">
        <f>IF(OR(PDs!E99="Proyección Mágica como defensa",PDs!E100="Proyección Mágica como defensa"),MAX(PDs!V23,PDs!V24)+ProyecciónMágica_final-PDs!V93,ProyecciónMágica_final-Q15)</f>
        <v>10</v>
      </c>
      <c r="R13" s="73"/>
      <c r="S13" s="1917"/>
      <c r="T13" s="1675" t="str">
        <f t="shared" ref="T13:T50" si="1">"Conjuros"&amp;IF(W13="","","_"&amp;W13)</f>
        <v>Conjuros</v>
      </c>
      <c r="U13" s="212"/>
      <c r="V13" s="2120">
        <f>IF(AC13="",0,VLOOKUP(AC13,Tablas!$B$1207:$C$1216,2))</f>
        <v>0</v>
      </c>
      <c r="W13" s="3792"/>
      <c r="X13" s="3590"/>
      <c r="Y13" s="3812"/>
      <c r="Z13" s="3812"/>
      <c r="AA13" s="3812"/>
      <c r="AB13" s="3812"/>
      <c r="AC13" s="1816" t="str">
        <f>IF(Místicos!Y13=0,"",VLOOKUP(Místicos!Y13,Tablas!$D$2533:$F$3207,2,FALSE))</f>
        <v/>
      </c>
      <c r="AD13" s="2131" t="str">
        <f t="shared" si="0"/>
        <v/>
      </c>
      <c r="AE13" s="3792"/>
      <c r="AF13" s="3590"/>
      <c r="AG13" s="3812"/>
      <c r="AH13" s="3812"/>
      <c r="AI13" s="3812"/>
      <c r="AJ13" s="3812"/>
      <c r="AK13" s="2597"/>
      <c r="AL13" s="2121">
        <f>IF(Místicos!AG13=0,0,VLOOKUP(Místicos!AG13,Tablas!D2925:E3054,2,FALSE)-10)</f>
        <v>0</v>
      </c>
      <c r="AM13" s="212"/>
      <c r="AN13" s="2259"/>
      <c r="AW13" s="2277"/>
      <c r="AX13" s="1909"/>
      <c r="AY13" s="2131">
        <f>IF(AC13="",0,VLOOKUP(AC13,Tablas!$B$1207:$C$1216,2)*VLOOKUP(W13,Tabla_CosteConjuros,3))</f>
        <v>0</v>
      </c>
    </row>
    <row r="14" spans="1:51" ht="12" customHeight="1" x14ac:dyDescent="0.2">
      <c r="A14" s="212"/>
      <c r="B14" s="1906"/>
      <c r="C14" s="3850" t="s">
        <v>2565</v>
      </c>
      <c r="D14" s="3851"/>
      <c r="E14" s="3852" t="s">
        <v>2567</v>
      </c>
      <c r="F14" s="3853"/>
      <c r="G14" s="2133" t="s">
        <v>2568</v>
      </c>
      <c r="H14" s="2109" t="s">
        <v>2256</v>
      </c>
      <c r="I14" s="73"/>
      <c r="J14" s="3842"/>
      <c r="K14" s="3842"/>
      <c r="L14" s="3843"/>
      <c r="M14" s="3843"/>
      <c r="N14" s="73"/>
      <c r="O14" s="3844"/>
      <c r="P14" s="3845"/>
      <c r="Q14" s="3854"/>
      <c r="R14" s="73"/>
      <c r="S14" s="1917"/>
      <c r="T14" s="1675" t="str">
        <f t="shared" si="1"/>
        <v>Conjuros</v>
      </c>
      <c r="U14" s="212"/>
      <c r="V14" s="2120">
        <f>IF(AC14="",0,VLOOKUP(AC14,Tablas!$B$1207:$C$1216,2))</f>
        <v>0</v>
      </c>
      <c r="W14" s="3799"/>
      <c r="X14" s="3587"/>
      <c r="Y14" s="3811"/>
      <c r="Z14" s="3811"/>
      <c r="AA14" s="3811"/>
      <c r="AB14" s="3811"/>
      <c r="AC14" s="2569" t="str">
        <f>IF(Místicos!Y14=0,"",VLOOKUP(Místicos!Y14,Tablas!$D$2533:$F$3207,2,FALSE))</f>
        <v/>
      </c>
      <c r="AD14" s="2131" t="str">
        <f t="shared" si="0"/>
        <v/>
      </c>
      <c r="AE14" s="3799"/>
      <c r="AF14" s="3587"/>
      <c r="AG14" s="3811"/>
      <c r="AH14" s="3811"/>
      <c r="AI14" s="3811"/>
      <c r="AJ14" s="3811"/>
      <c r="AK14" s="2567"/>
      <c r="AL14" s="2121">
        <f>IF(Místicos!AG14=0,0,VLOOKUP(Místicos!AG14,Tablas!D2926:E3055,2,FALSE)-10)</f>
        <v>0</v>
      </c>
      <c r="AM14" s="212"/>
      <c r="AN14" s="2259"/>
      <c r="AO14" s="3945" t="s">
        <v>9496</v>
      </c>
      <c r="AP14" s="3800"/>
      <c r="AQ14" s="3800"/>
      <c r="AR14" s="3940" t="s">
        <v>9521</v>
      </c>
      <c r="AS14" s="3800"/>
      <c r="AT14" s="3800"/>
      <c r="AU14" s="3800"/>
      <c r="AV14" s="3941"/>
      <c r="AW14" s="2277"/>
      <c r="AX14" s="1909"/>
      <c r="AY14" s="2131">
        <f>IF(AC14="",0,VLOOKUP(AC14,Tablas!$B$1207:$C$1216,2)*VLOOKUP(W14,Tabla_CosteConjuros,3))</f>
        <v>0</v>
      </c>
    </row>
    <row r="15" spans="1:51" ht="12" customHeight="1" thickBot="1" x14ac:dyDescent="0.25">
      <c r="A15" s="212"/>
      <c r="B15" s="2118">
        <f>IF(E15=0,0,IF(OR(VLOOKUP(E15,Tablas!$B$2308:$I$2321,2,FALSE)=C15,VLOOKUP(E15,Tablas!$B$2308:$I$2321,3,FALSE)=C15,VLOOKUP(E15,Tablas!$B$2308:$I$2321,4,FALSE)=C15,VLOOKUP(E15,Tablas!$B$2308:$I$2321,5,FALSE)=C15,VLOOKUP(E15,Tablas!$B$2308:$I$2321,6,FALSE)=C15,VLOOKUP(E15,Tablas!$B$2308:$I$2321,7,FALSE)=C15,VLOOKUP(E15,Tablas!$B$2308:$I$2321,8,FALSE)=C15),1,0))</f>
        <v>0</v>
      </c>
      <c r="C15" s="3846" t="s">
        <v>2570</v>
      </c>
      <c r="D15" s="3847"/>
      <c r="E15" s="3848"/>
      <c r="F15" s="3849"/>
      <c r="G15" s="299"/>
      <c r="H15" s="2110">
        <f>ROUNDUP(G15/Tablas!E1462,0)+40*Tablas!F618+20*Tablas!G1626+40*Tablas!G1627+60*Tablas!G1628+80*Tablas!G1629+90*Tablas!G1630</f>
        <v>0</v>
      </c>
      <c r="I15" s="296">
        <f>IF(H15&gt;3,VLOOKUP(H15,Tabla_ConjurosLA,2)-IF(Místicos!E15=0,0,VLOOKUP(H15,Tabla_ConjurosLA,2)),0)</f>
        <v>0</v>
      </c>
      <c r="J15" s="3819"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3819"/>
      <c r="L15" s="3819"/>
      <c r="M15" s="3819"/>
      <c r="N15" s="73"/>
      <c r="O15" s="3820" t="s">
        <v>2569</v>
      </c>
      <c r="P15" s="3820"/>
      <c r="Q15" s="292"/>
      <c r="R15" s="73"/>
      <c r="S15" s="1917"/>
      <c r="T15" s="1675" t="str">
        <f t="shared" si="1"/>
        <v>Conjuros</v>
      </c>
      <c r="U15" s="212"/>
      <c r="V15" s="2120">
        <f>IF(AC15="",0,VLOOKUP(AC15,Tablas!$B$1207:$C$1216,2))</f>
        <v>0</v>
      </c>
      <c r="W15" s="3792"/>
      <c r="X15" s="3590"/>
      <c r="Y15" s="3812"/>
      <c r="Z15" s="3812"/>
      <c r="AA15" s="3812"/>
      <c r="AB15" s="3812"/>
      <c r="AC15" s="1816" t="str">
        <f>IF(Místicos!Y15=0,"",VLOOKUP(Místicos!Y15,Tablas!$D$2533:$F$3207,2,FALSE))</f>
        <v/>
      </c>
      <c r="AD15" s="2131" t="str">
        <f t="shared" si="0"/>
        <v/>
      </c>
      <c r="AE15" s="3792"/>
      <c r="AF15" s="3590"/>
      <c r="AG15" s="3812"/>
      <c r="AH15" s="3812"/>
      <c r="AI15" s="3812"/>
      <c r="AJ15" s="3812"/>
      <c r="AK15" s="2597"/>
      <c r="AL15" s="2121">
        <f>IF(Místicos!AG15=0,0,VLOOKUP(Místicos!AG15,Tablas!D2927:E3056,2,FALSE)-10)</f>
        <v>0</v>
      </c>
      <c r="AM15" s="212"/>
      <c r="AN15" s="2259"/>
      <c r="AO15" s="2231" t="s">
        <v>2256</v>
      </c>
      <c r="AP15" s="3778" t="s">
        <v>9467</v>
      </c>
      <c r="AQ15" s="3778"/>
      <c r="AR15" s="2236" t="s">
        <v>2432</v>
      </c>
      <c r="AS15" s="2140" t="s">
        <v>313</v>
      </c>
      <c r="AT15" s="2140" t="s">
        <v>3187</v>
      </c>
      <c r="AU15" s="2140" t="s">
        <v>2319</v>
      </c>
      <c r="AV15" s="2230" t="s">
        <v>9494</v>
      </c>
      <c r="AW15" s="2277"/>
      <c r="AX15" s="1909"/>
      <c r="AY15" s="2131">
        <f>IF(AC15="",0,VLOOKUP(AC15,Tablas!$B$1207:$C$1216,2)*VLOOKUP(W15,Tabla_CosteConjuros,3))</f>
        <v>0</v>
      </c>
    </row>
    <row r="16" spans="1:51" ht="12" customHeight="1" thickBot="1" x14ac:dyDescent="0.25">
      <c r="A16" s="212"/>
      <c r="B16" s="2118">
        <f>IF(E16=0,0,IF(OR(VLOOKUP(E16,Tablas!$B$2308:$I$2321,2,FALSE)=C16,VLOOKUP(E16,Tablas!$B$2308:$I$2321,3,FALSE)=C16,VLOOKUP(E16,Tablas!$B$2308:$I$2321,4,FALSE)=C16,VLOOKUP(E16,Tablas!$B$2308:$I$2321,5,FALSE)=C16,VLOOKUP(E16,Tablas!$B$2308:$I$2321,6,FALSE)=C16,VLOOKUP(E16,Tablas!$B$2308:$I$2321,7,FALSE)=C16,VLOOKUP(E16,Tablas!$B$2308:$I$2321,8,FALSE)=C16),1,0))</f>
        <v>0</v>
      </c>
      <c r="C16" s="3784" t="s">
        <v>2571</v>
      </c>
      <c r="D16" s="3785"/>
      <c r="E16" s="3786"/>
      <c r="F16" s="3787"/>
      <c r="G16" s="2111"/>
      <c r="H16" s="2112">
        <f>ROUNDUP(G16/Tablas!E1464,0)+40*Tablas!F619+20*Tablas!G1631+40*Tablas!G1632+60*Tablas!G1633+80*Tablas!G1634+90*Tablas!G1635</f>
        <v>0</v>
      </c>
      <c r="I16" s="296">
        <f>IF(H16&gt;3,VLOOKUP(H16,Tabla_ConjurosLA,2)-IF(Místicos!E16=0,0,VLOOKUP(H16,Tabla_ConjurosLA,2)),0)</f>
        <v>0</v>
      </c>
      <c r="J16" s="73"/>
      <c r="K16" s="73"/>
      <c r="L16" s="73"/>
      <c r="M16" s="73"/>
      <c r="N16" s="73"/>
      <c r="O16" s="73"/>
      <c r="P16" s="73"/>
      <c r="Q16" s="73"/>
      <c r="R16" s="73"/>
      <c r="S16" s="1917"/>
      <c r="T16" s="1675" t="str">
        <f t="shared" si="1"/>
        <v>Conjuros</v>
      </c>
      <c r="U16" s="212"/>
      <c r="V16" s="2120">
        <f>IF(AC16="",0,VLOOKUP(AC16,Tablas!$B$1207:$C$1216,2))</f>
        <v>0</v>
      </c>
      <c r="W16" s="3799"/>
      <c r="X16" s="3587"/>
      <c r="Y16" s="3811"/>
      <c r="Z16" s="3811"/>
      <c r="AA16" s="3811"/>
      <c r="AB16" s="3811"/>
      <c r="AC16" s="2569" t="str">
        <f>IF(Místicos!Y16=0,"",VLOOKUP(Místicos!Y16,Tablas!$D$2533:$F$3207,2,FALSE))</f>
        <v/>
      </c>
      <c r="AD16" s="2131" t="str">
        <f t="shared" si="0"/>
        <v/>
      </c>
      <c r="AE16" s="3799"/>
      <c r="AF16" s="3587"/>
      <c r="AG16" s="3811"/>
      <c r="AH16" s="3811"/>
      <c r="AI16" s="3811"/>
      <c r="AJ16" s="3811"/>
      <c r="AK16" s="2567"/>
      <c r="AL16" s="2121">
        <f>IF(Místicos!AG16=0,0,VLOOKUP(Místicos!AG16,Tablas!D2928:E3057,2,FALSE)-10)</f>
        <v>0</v>
      </c>
      <c r="AM16" s="212"/>
      <c r="AN16" s="2259"/>
      <c r="AO16" s="2246">
        <v>1</v>
      </c>
      <c r="AP16" s="3946">
        <f>VLOOKUP(AO16,Tabla_MagiaNatural_DifBase,2,FALSE)+IF(NOT($AS$10="Magia Natural"),4,0)+IF($AR$32="",0,IF(ISNUMBER(SEARCH("(",$AR$32)),-4,-2))</f>
        <v>18</v>
      </c>
      <c r="AQ16" s="3946"/>
      <c r="AR16" s="2244">
        <v>20</v>
      </c>
      <c r="AS16" s="2245" t="s">
        <v>2234</v>
      </c>
      <c r="AT16" s="2245">
        <v>40</v>
      </c>
      <c r="AU16" s="2245">
        <v>80</v>
      </c>
      <c r="AV16" s="2247">
        <v>4</v>
      </c>
      <c r="AW16" s="2277"/>
      <c r="AX16" s="1909"/>
      <c r="AY16" s="2131">
        <f>IF(AC16="",0,VLOOKUP(AC16,Tablas!$B$1207:$C$1216,2)*VLOOKUP(W16,Tabla_CosteConjuros,3))</f>
        <v>0</v>
      </c>
    </row>
    <row r="17" spans="1:51" ht="12" customHeight="1" thickBot="1" x14ac:dyDescent="0.25">
      <c r="A17" s="212"/>
      <c r="B17" s="2118">
        <f>IF(E17=0,0,IF(OR(VLOOKUP(E17,Tablas!$B$2308:$I$2321,2,FALSE)=C17,VLOOKUP(E17,Tablas!$B$2308:$I$2321,3,FALSE)=C17,VLOOKUP(E17,Tablas!$B$2308:$I$2321,4,FALSE)=C17,VLOOKUP(E17,Tablas!$B$2308:$I$2321,5,FALSE)=C17,VLOOKUP(E17,Tablas!$B$2308:$I$2321,6,FALSE)=C17,VLOOKUP(E17,Tablas!$B$2308:$I$2321,7,FALSE)=C17,VLOOKUP(E17,Tablas!$B$2308:$I$2321,8,FALSE)=C17),1,0))</f>
        <v>0</v>
      </c>
      <c r="C17" s="3805" t="s">
        <v>2479</v>
      </c>
      <c r="D17" s="3806"/>
      <c r="E17" s="3807"/>
      <c r="F17" s="3808"/>
      <c r="G17" s="2113"/>
      <c r="H17" s="2110">
        <f>ROUNDUP(G17/Tablas!E1460,0)+40*Tablas!F620+20*Tablas!G1636+40*Tablas!G1637+60*Tablas!G1638+80*Tablas!G1639+90*Tablas!G1640</f>
        <v>0</v>
      </c>
      <c r="I17" s="296">
        <f>IF(H17&gt;3,VLOOKUP(H17,Tabla_ConjurosLA,3)-IF(Místicos!E17=0,0,VLOOKUP(H17,Tabla_ConjurosLA,2)),0)</f>
        <v>0</v>
      </c>
      <c r="J17" s="3826" t="s">
        <v>2365</v>
      </c>
      <c r="K17" s="3826"/>
      <c r="L17" s="3826"/>
      <c r="M17" s="3826"/>
      <c r="N17" s="3835" t="s">
        <v>2572</v>
      </c>
      <c r="O17" s="3835"/>
      <c r="P17" s="3835"/>
      <c r="Q17" s="300">
        <f>VLOOKUP($L$13,Tabla_MagiaInnata,2)</f>
        <v>10</v>
      </c>
      <c r="R17" s="73"/>
      <c r="S17" s="1917"/>
      <c r="T17" s="1675" t="str">
        <f t="shared" si="1"/>
        <v>Conjuros</v>
      </c>
      <c r="U17" s="212"/>
      <c r="V17" s="2120">
        <f>IF(AC17="",0,VLOOKUP(AC17,Tablas!$B$1207:$C$1216,2))</f>
        <v>0</v>
      </c>
      <c r="W17" s="3792"/>
      <c r="X17" s="3590"/>
      <c r="Y17" s="3812"/>
      <c r="Z17" s="3812"/>
      <c r="AA17" s="3812"/>
      <c r="AB17" s="3812"/>
      <c r="AC17" s="1816" t="str">
        <f>IF(Místicos!Y17=0,"",VLOOKUP(Místicos!Y17,Tablas!$D$2533:$F$3207,2,FALSE))</f>
        <v/>
      </c>
      <c r="AD17" s="2131" t="str">
        <f t="shared" si="0"/>
        <v/>
      </c>
      <c r="AE17" s="3792"/>
      <c r="AF17" s="3590"/>
      <c r="AG17" s="3812"/>
      <c r="AH17" s="3812"/>
      <c r="AI17" s="3812"/>
      <c r="AJ17" s="3812"/>
      <c r="AK17" s="2597"/>
      <c r="AL17" s="2121">
        <f>IF(Místicos!AG17=0,0,VLOOKUP(Místicos!AG17,Tablas!D2929:E3058,2,FALSE)-10)</f>
        <v>0</v>
      </c>
      <c r="AM17" s="212"/>
      <c r="AN17" s="2259"/>
      <c r="AO17" s="2246">
        <v>2</v>
      </c>
      <c r="AP17" s="3946">
        <f>VLOOKUP(AO17,Tabla_MagiaNatural_DifBase,2,FALSE)+IF(NOT($AS$10="Magia Natural"),4,0)+IF($AR$32="",0,IF(ISNUMBER(SEARCH("(",$AR$32)),-4,-2))</f>
        <v>22</v>
      </c>
      <c r="AQ17" s="3946"/>
      <c r="AR17" s="2244">
        <v>50</v>
      </c>
      <c r="AS17" s="2245" t="s">
        <v>8031</v>
      </c>
      <c r="AT17" s="2245">
        <v>150</v>
      </c>
      <c r="AU17" s="2245">
        <v>100</v>
      </c>
      <c r="AV17" s="2247">
        <v>6</v>
      </c>
      <c r="AW17" s="2277"/>
      <c r="AX17" s="1909"/>
      <c r="AY17" s="2131">
        <f>IF(AC17="",0,VLOOKUP(AC17,Tablas!$B$1207:$C$1216,2)*VLOOKUP(W17,Tabla_CosteConjuros,3))</f>
        <v>0</v>
      </c>
    </row>
    <row r="18" spans="1:51" ht="12" customHeight="1" thickBot="1" x14ac:dyDescent="0.25">
      <c r="A18" s="212"/>
      <c r="B18" s="2118">
        <f>IF(E18=0,0,IF(OR(VLOOKUP(E18,Tablas!$B$2308:$I$2321,2,FALSE)=C18,VLOOKUP(E18,Tablas!$B$2308:$I$2321,3,FALSE)=C18,VLOOKUP(E18,Tablas!$B$2308:$I$2321,4,FALSE)=C18,VLOOKUP(E18,Tablas!$B$2308:$I$2321,5,FALSE)=C18,VLOOKUP(E18,Tablas!$B$2308:$I$2321,6,FALSE)=C18,VLOOKUP(E18,Tablas!$B$2308:$I$2321,7,FALSE)=C18,VLOOKUP(E18,Tablas!$B$2308:$I$2321,8,FALSE)=C18),1,0))</f>
        <v>0</v>
      </c>
      <c r="C18" s="3784" t="s">
        <v>2475</v>
      </c>
      <c r="D18" s="3785"/>
      <c r="E18" s="3786"/>
      <c r="F18" s="3787"/>
      <c r="G18" s="2111"/>
      <c r="H18" s="2112">
        <f>ROUNDUP(G18/Tablas!E1455,0)+40*Tablas!F621+20*Tablas!G1641+40*Tablas!G1642+60*Tablas!G1643+80*Tablas!G1644+90*Tablas!G1645</f>
        <v>0</v>
      </c>
      <c r="I18" s="296">
        <f>IF(H18&gt;3,VLOOKUP(H18,Tabla_ConjurosLA,3)-IF(Místicos!E18=0,0,VLOOKUP(H18,Tabla_ConjurosLA,2)),0)</f>
        <v>0</v>
      </c>
      <c r="J18" s="3822" t="s">
        <v>2573</v>
      </c>
      <c r="K18" s="3823">
        <f>Zeón_final+L20-IF(AS10="Onmyodo",AV62*AU62+AU63*AV63+AU64*AV64+AU65*AV65+AU66*AV66+AU67*AV67+AU68*AV68+AU69*AV69+AU70*AV70+AU71*AV71+AU72*AV72,0)</f>
        <v>210</v>
      </c>
      <c r="L18" s="3823"/>
      <c r="M18" s="3164"/>
      <c r="N18" s="3164"/>
      <c r="O18" s="3164"/>
      <c r="P18" s="3164"/>
      <c r="Q18" s="3164"/>
      <c r="R18" s="73"/>
      <c r="S18" s="1917"/>
      <c r="T18" s="1675" t="str">
        <f t="shared" si="1"/>
        <v>Conjuros</v>
      </c>
      <c r="U18" s="212"/>
      <c r="V18" s="2120">
        <f>IF(AC18="",0,VLOOKUP(AC18,Tablas!$B$1207:$C$1216,2))</f>
        <v>0</v>
      </c>
      <c r="W18" s="3799"/>
      <c r="X18" s="3587"/>
      <c r="Y18" s="3811"/>
      <c r="Z18" s="3811"/>
      <c r="AA18" s="3811"/>
      <c r="AB18" s="3811"/>
      <c r="AC18" s="2569" t="str">
        <f>IF(Místicos!Y18=0,"",VLOOKUP(Místicos!Y18,Tablas!$D$2533:$F$3207,2,FALSE))</f>
        <v/>
      </c>
      <c r="AD18" s="2131" t="str">
        <f t="shared" si="0"/>
        <v/>
      </c>
      <c r="AE18" s="3799"/>
      <c r="AF18" s="3587"/>
      <c r="AG18" s="3811"/>
      <c r="AH18" s="3811"/>
      <c r="AI18" s="3811"/>
      <c r="AJ18" s="3811"/>
      <c r="AK18" s="2567"/>
      <c r="AL18" s="2121">
        <f>IF(Místicos!AG18=0,0,VLOOKUP(Místicos!AG18,Tablas!D2930:E3059,2,FALSE)-10)</f>
        <v>0</v>
      </c>
      <c r="AM18" s="212"/>
      <c r="AN18" s="2259"/>
      <c r="AO18" s="2246">
        <v>3</v>
      </c>
      <c r="AP18" s="3946">
        <f>VLOOKUP(AO18,Tabla_MagiaNatural_DifBase,2,FALSE)+IF(NOT($AS$10="Magia Natural"),4,0)+IF($AR$32="",0,IF(ISNUMBER(SEARCH("(",$AR$32)),-4,-2))</f>
        <v>28</v>
      </c>
      <c r="AQ18" s="3946"/>
      <c r="AR18" s="2244">
        <v>100</v>
      </c>
      <c r="AS18" s="2245" t="s">
        <v>9510</v>
      </c>
      <c r="AT18" s="2245">
        <v>500</v>
      </c>
      <c r="AU18" s="2245">
        <v>120</v>
      </c>
      <c r="AV18" s="2247">
        <v>9</v>
      </c>
      <c r="AW18" s="2277"/>
      <c r="AX18" s="1909"/>
      <c r="AY18" s="2131">
        <f>IF(AC18="",0,VLOOKUP(AC18,Tablas!$B$1207:$C$1216,2)*VLOOKUP(W18,Tabla_CosteConjuros,3))</f>
        <v>0</v>
      </c>
    </row>
    <row r="19" spans="1:51" ht="12" customHeight="1" thickBot="1" x14ac:dyDescent="0.25">
      <c r="A19" s="212"/>
      <c r="B19" s="2118">
        <f>IF(E19=0,0,IF(OR(VLOOKUP(E19,Tablas!$B$2308:$I$2321,2,FALSE)=C19,VLOOKUP(E19,Tablas!$B$2308:$I$2321,3,FALSE)=C19,VLOOKUP(E19,Tablas!$B$2308:$I$2321,4,FALSE)=C19,VLOOKUP(E19,Tablas!$B$2308:$I$2321,5,FALSE)=C19,VLOOKUP(E19,Tablas!$B$2308:$I$2321,6,FALSE)=C19,VLOOKUP(E19,Tablas!$B$2308:$I$2321,7,FALSE)=C19,VLOOKUP(E19,Tablas!$B$2308:$I$2321,8,FALSE)=C19),1,0))</f>
        <v>0</v>
      </c>
      <c r="C19" s="3805" t="s">
        <v>2472</v>
      </c>
      <c r="D19" s="3806"/>
      <c r="E19" s="3807"/>
      <c r="F19" s="3808"/>
      <c r="G19" s="2113"/>
      <c r="H19" s="2110">
        <f>ROUNDUP(G19/Tablas!E1456,0)+40*Tablas!F622+20*Tablas!G1646+40*Tablas!G1647+60*Tablas!G1648+80*Tablas!G1649+90*Tablas!G1650</f>
        <v>0</v>
      </c>
      <c r="I19" s="296">
        <f>IF(H19&gt;3,VLOOKUP(H19,Tabla_ConjurosLA,3)-IF(Místicos!E19=0,0,VLOOKUP(H19,Tabla_ConjurosLA,2)),0)</f>
        <v>0</v>
      </c>
      <c r="J19" s="3822"/>
      <c r="K19" s="3823"/>
      <c r="L19" s="3823"/>
      <c r="M19" s="3164"/>
      <c r="N19" s="3164"/>
      <c r="O19" s="3164"/>
      <c r="P19" s="3164"/>
      <c r="Q19" s="3164"/>
      <c r="R19" s="73"/>
      <c r="S19" s="1917"/>
      <c r="T19" s="1675" t="str">
        <f t="shared" si="1"/>
        <v>Conjuros</v>
      </c>
      <c r="U19" s="212"/>
      <c r="V19" s="2120">
        <f>IF(AC19="",0,VLOOKUP(AC19,Tablas!$B$1207:$C$1216,2))</f>
        <v>0</v>
      </c>
      <c r="W19" s="3792"/>
      <c r="X19" s="3590"/>
      <c r="Y19" s="3812"/>
      <c r="Z19" s="3812"/>
      <c r="AA19" s="3812"/>
      <c r="AB19" s="3812"/>
      <c r="AC19" s="1816" t="str">
        <f>IF(Místicos!Y19=0,"",VLOOKUP(Místicos!Y19,Tablas!$D$2533:$F$3207,2,FALSE))</f>
        <v/>
      </c>
      <c r="AD19" s="2131" t="str">
        <f t="shared" si="0"/>
        <v/>
      </c>
      <c r="AE19" s="3792"/>
      <c r="AF19" s="3590"/>
      <c r="AG19" s="3812"/>
      <c r="AH19" s="3812"/>
      <c r="AI19" s="3812"/>
      <c r="AJ19" s="3812"/>
      <c r="AK19" s="2597"/>
      <c r="AL19" s="2121">
        <f>IF(Místicos!AG19=0,0,VLOOKUP(Místicos!AG19,Tablas!D2931:E3060,2,FALSE)-10)</f>
        <v>0</v>
      </c>
      <c r="AM19" s="212"/>
      <c r="AN19" s="2259"/>
      <c r="AO19" s="2246">
        <v>4</v>
      </c>
      <c r="AP19" s="3946">
        <f>VLOOKUP(AO19,Tabla_MagiaNatural_DifBase,2,FALSE)+IF(NOT($AS$10="Magia Natural"),4,0)+IF($AR$32="",0,IF(ISNUMBER(SEARCH("(",$AR$32)),-4,-2))</f>
        <v>34</v>
      </c>
      <c r="AQ19" s="3946"/>
      <c r="AR19" s="2244">
        <v>150</v>
      </c>
      <c r="AS19" s="2245" t="s">
        <v>8034</v>
      </c>
      <c r="AT19" s="2245">
        <v>1000</v>
      </c>
      <c r="AU19" s="2245">
        <v>160</v>
      </c>
      <c r="AV19" s="2247">
        <v>12</v>
      </c>
      <c r="AW19" s="2277"/>
      <c r="AX19" s="1909"/>
      <c r="AY19" s="2131">
        <f>IF(AC19="",0,VLOOKUP(AC19,Tablas!$B$1207:$C$1216,2)*VLOOKUP(W19,Tabla_CosteConjuros,3))</f>
        <v>0</v>
      </c>
    </row>
    <row r="20" spans="1:51" ht="12" customHeight="1" thickBot="1" x14ac:dyDescent="0.25">
      <c r="A20" s="212"/>
      <c r="B20" s="2118">
        <f>IF(E20=0,0,IF(OR(VLOOKUP(E20,Tablas!$B$2308:$I$2321,2,FALSE)=C20,VLOOKUP(E20,Tablas!$B$2308:$I$2321,3,FALSE)=C20,VLOOKUP(E20,Tablas!$B$2308:$I$2321,4,FALSE)=C20,VLOOKUP(E20,Tablas!$B$2308:$I$2321,5,FALSE)=C20,VLOOKUP(E20,Tablas!$B$2308:$I$2321,6,FALSE)=C20,VLOOKUP(E20,Tablas!$B$2308:$I$2321,7,FALSE)=C20,VLOOKUP(E20,Tablas!$B$2308:$I$2321,8,FALSE)=C20),1,0))</f>
        <v>0</v>
      </c>
      <c r="C20" s="3784" t="s">
        <v>2575</v>
      </c>
      <c r="D20" s="3785"/>
      <c r="E20" s="3786"/>
      <c r="F20" s="3787"/>
      <c r="G20" s="2111"/>
      <c r="H20" s="2112">
        <f>ROUNDUP(G20/Tablas!E1465,0)+40*Tablas!F623+20*Tablas!G1651+40*Tablas!G1652+60*Tablas!G1653+80*Tablas!G1654+90*Tablas!G1655</f>
        <v>0</v>
      </c>
      <c r="I20" s="296">
        <f>IF(H20&gt;3,VLOOKUP(H20,Tabla_ConjurosLA,3)-IF(Místicos!E20=0,0,VLOOKUP(H20,Tabla_ConjurosLA,2)),0)</f>
        <v>0</v>
      </c>
      <c r="J20" s="3809" t="s">
        <v>2574</v>
      </c>
      <c r="K20" s="3809"/>
      <c r="L20" s="301"/>
      <c r="M20" s="3164"/>
      <c r="N20" s="3164"/>
      <c r="O20" s="3164"/>
      <c r="P20" s="3164"/>
      <c r="Q20" s="3164"/>
      <c r="R20" s="73"/>
      <c r="S20" s="1917"/>
      <c r="T20" s="1675" t="str">
        <f t="shared" si="1"/>
        <v>Conjuros</v>
      </c>
      <c r="U20" s="212"/>
      <c r="V20" s="2120">
        <f>IF(AC20="",0,VLOOKUP(AC20,Tablas!$B$1207:$C$1216,2))</f>
        <v>0</v>
      </c>
      <c r="W20" s="3799"/>
      <c r="X20" s="3587"/>
      <c r="Y20" s="3811"/>
      <c r="Z20" s="3811"/>
      <c r="AA20" s="3811"/>
      <c r="AB20" s="3811"/>
      <c r="AC20" s="2569" t="str">
        <f>IF(Místicos!Y20=0,"",VLOOKUP(Místicos!Y20,Tablas!$D$2533:$F$3207,2,FALSE))</f>
        <v/>
      </c>
      <c r="AD20" s="2131" t="str">
        <f t="shared" si="0"/>
        <v/>
      </c>
      <c r="AE20" s="3799"/>
      <c r="AF20" s="3587"/>
      <c r="AG20" s="3811"/>
      <c r="AH20" s="3811"/>
      <c r="AI20" s="3811"/>
      <c r="AJ20" s="3811"/>
      <c r="AK20" s="2567"/>
      <c r="AL20" s="2121">
        <f>IF(Místicos!AG20=0,0,VLOOKUP(Místicos!AG20,Tablas!D2932:E3061,2,FALSE)-10)</f>
        <v>0</v>
      </c>
      <c r="AM20" s="212"/>
      <c r="AN20" s="2259"/>
      <c r="AO20" s="2248">
        <v>5</v>
      </c>
      <c r="AP20" s="3982">
        <f>VLOOKUP(AO20,Tabla_MagiaNatural_DifBase,2,FALSE)+IF(NOT($AS$10="Magia Natural"),4,0)+IF($AR$32="",0,IF(ISNUMBER(SEARCH("(",$AR$32)),-4,-2))</f>
        <v>40</v>
      </c>
      <c r="AQ20" s="3982"/>
      <c r="AR20" s="2249">
        <v>250</v>
      </c>
      <c r="AS20" s="2250" t="s">
        <v>9509</v>
      </c>
      <c r="AT20" s="2250">
        <v>2500</v>
      </c>
      <c r="AU20" s="2250">
        <v>180</v>
      </c>
      <c r="AV20" s="2251">
        <v>16</v>
      </c>
      <c r="AW20" s="2277"/>
      <c r="AX20" s="1909"/>
      <c r="AY20" s="2131">
        <f>IF(AC20="",0,VLOOKUP(AC20,Tablas!$B$1207:$C$1216,2)*VLOOKUP(W20,Tabla_CosteConjuros,3))</f>
        <v>0</v>
      </c>
    </row>
    <row r="21" spans="1:51" ht="12" customHeight="1" thickBot="1" x14ac:dyDescent="0.25">
      <c r="A21" s="212"/>
      <c r="B21" s="2118">
        <f>IF(E21=0,0,IF(OR(VLOOKUP(E21,Tablas!$B$2308:$I$2321,2,FALSE)=C21,VLOOKUP(E21,Tablas!$B$2308:$I$2321,3,FALSE)=C21,VLOOKUP(E21,Tablas!$B$2308:$I$2321,4,FALSE)=C21,VLOOKUP(E21,Tablas!$B$2308:$I$2321,5,FALSE)=C21,VLOOKUP(E21,Tablas!$B$2308:$I$2321,6,FALSE)=C21,VLOOKUP(E21,Tablas!$B$2308:$I$2321,7,FALSE)=C21,VLOOKUP(E21,Tablas!$B$2308:$I$2321,8,FALSE)=C21),1,0))</f>
        <v>0</v>
      </c>
      <c r="C21" s="3805" t="s">
        <v>2577</v>
      </c>
      <c r="D21" s="3806"/>
      <c r="E21" s="3807"/>
      <c r="F21" s="3808"/>
      <c r="G21" s="2113"/>
      <c r="H21" s="2110">
        <f>ROUNDUP(G21/Tablas!E1457,0)+40*Tablas!F624+20*Tablas!G1656+40*Tablas!G1657+60*Tablas!G1658+80*Tablas!G1659+90*Tablas!G1660</f>
        <v>0</v>
      </c>
      <c r="I21" s="296">
        <f>IF(H21&gt;3,VLOOKUP(H21,Tabla_ConjurosLA,2)-IF(Místicos!E21=0,0,VLOOKUP(H21,Tabla_ConjurosLA,2)),0)</f>
        <v>0</v>
      </c>
      <c r="J21" s="3810" t="s">
        <v>2576</v>
      </c>
      <c r="K21" s="3810"/>
      <c r="L21" s="302"/>
      <c r="M21" s="3164"/>
      <c r="N21" s="3164"/>
      <c r="O21" s="3164"/>
      <c r="P21" s="3164"/>
      <c r="Q21" s="3164"/>
      <c r="R21" s="73"/>
      <c r="S21" s="1917"/>
      <c r="T21" s="1675" t="str">
        <f t="shared" si="1"/>
        <v>Conjuros</v>
      </c>
      <c r="U21" s="212"/>
      <c r="V21" s="2120">
        <f>IF(AC21="",0,VLOOKUP(AC21,Tablas!$B$1207:$C$1216,2))</f>
        <v>0</v>
      </c>
      <c r="W21" s="3792"/>
      <c r="X21" s="3590"/>
      <c r="Y21" s="3812"/>
      <c r="Z21" s="3812"/>
      <c r="AA21" s="3812"/>
      <c r="AB21" s="3812"/>
      <c r="AC21" s="1816" t="str">
        <f>IF(Místicos!Y21=0,"",VLOOKUP(Místicos!Y21,Tablas!$D$2533:$F$3207,2,FALSE))</f>
        <v/>
      </c>
      <c r="AD21" s="2131" t="str">
        <f t="shared" si="0"/>
        <v/>
      </c>
      <c r="AE21" s="3792"/>
      <c r="AF21" s="3590"/>
      <c r="AG21" s="3812"/>
      <c r="AH21" s="3812"/>
      <c r="AI21" s="3812"/>
      <c r="AJ21" s="3812"/>
      <c r="AK21" s="2597"/>
      <c r="AL21" s="2121">
        <f>IF(Místicos!AG21=0,0,VLOOKUP(Místicos!AG21,Tablas!D2933:E3062,2,FALSE)-10)</f>
        <v>0</v>
      </c>
      <c r="AM21" s="212"/>
      <c r="AN21" s="2259"/>
      <c r="AW21" s="2277"/>
      <c r="AX21" s="1909"/>
      <c r="AY21" s="2131">
        <f>IF(AC21="",0,VLOOKUP(AC21,Tablas!$B$1207:$C$1216,2)*VLOOKUP(W21,Tabla_CosteConjuros,3))</f>
        <v>0</v>
      </c>
    </row>
    <row r="22" spans="1:51" ht="12" customHeight="1" thickBot="1" x14ac:dyDescent="0.25">
      <c r="A22" s="212"/>
      <c r="B22" s="2118">
        <f>IF(E22=0,0,IF(OR(VLOOKUP(E22,Tablas!$B$2308:$I$2321,2,FALSE)=C22,VLOOKUP(E22,Tablas!$B$2308:$I$2321,3,FALSE)=C22,VLOOKUP(E22,Tablas!$B$2308:$I$2321,4,FALSE)=C22,VLOOKUP(E22,Tablas!$B$2308:$I$2321,5,FALSE)=C22,VLOOKUP(E22,Tablas!$B$2308:$I$2321,6,FALSE)=C22,VLOOKUP(E22,Tablas!$B$2308:$I$2321,7,FALSE)=C22,VLOOKUP(E22,Tablas!$B$2308:$I$2321,8,FALSE)=C22),1,0))</f>
        <v>0</v>
      </c>
      <c r="C22" s="3784" t="s">
        <v>2578</v>
      </c>
      <c r="D22" s="3785"/>
      <c r="E22" s="3786"/>
      <c r="F22" s="3787"/>
      <c r="G22" s="2111"/>
      <c r="H22" s="2112">
        <f>ROUNDUP(G22/Tablas!E1458,0)+40*Tablas!F625+20*Tablas!G1661+40*Tablas!G1662+60*Tablas!G1663+80*Tablas!G1664+90*Tablas!G1665</f>
        <v>0</v>
      </c>
      <c r="I22" s="296">
        <f>IF(H22&gt;3,VLOOKUP(H22,Tabla_ConjurosLA,2)-IF(Místicos!E22=0,0,VLOOKUP(H22,Tabla_ConjurosLA,2)),0)</f>
        <v>0</v>
      </c>
      <c r="J22" s="73"/>
      <c r="K22" s="73"/>
      <c r="L22" s="73"/>
      <c r="M22" s="73"/>
      <c r="N22" s="111"/>
      <c r="O22" s="73"/>
      <c r="P22" s="73"/>
      <c r="Q22" s="73"/>
      <c r="R22" s="73"/>
      <c r="S22" s="1917"/>
      <c r="T22" s="1675" t="str">
        <f t="shared" si="1"/>
        <v>Conjuros</v>
      </c>
      <c r="U22" s="212"/>
      <c r="V22" s="2120">
        <f>IF(AC22="",0,VLOOKUP(AC22,Tablas!$B$1207:$C$1216,2))</f>
        <v>0</v>
      </c>
      <c r="W22" s="3799"/>
      <c r="X22" s="3587"/>
      <c r="Y22" s="3811"/>
      <c r="Z22" s="3811"/>
      <c r="AA22" s="3811"/>
      <c r="AB22" s="3811"/>
      <c r="AC22" s="2569" t="str">
        <f>IF(Místicos!Y22=0,"",VLOOKUP(Místicos!Y22,Tablas!$D$2533:$F$3207,2,FALSE))</f>
        <v/>
      </c>
      <c r="AD22" s="2131" t="str">
        <f t="shared" si="0"/>
        <v/>
      </c>
      <c r="AE22" s="3799"/>
      <c r="AF22" s="3587"/>
      <c r="AG22" s="3811"/>
      <c r="AH22" s="3811"/>
      <c r="AI22" s="3811"/>
      <c r="AJ22" s="3811"/>
      <c r="AK22" s="2567"/>
      <c r="AL22" s="2121">
        <f>IF(Místicos!AG22=0,0,VLOOKUP(Místicos!AG22,Tablas!D2934:E3063,2,FALSE)-10)</f>
        <v>0</v>
      </c>
      <c r="AM22" s="212"/>
      <c r="AN22" s="2259"/>
      <c r="AO22" s="3942" t="s">
        <v>9517</v>
      </c>
      <c r="AP22" s="3943"/>
      <c r="AQ22" s="3943"/>
      <c r="AR22" s="3943"/>
      <c r="AS22" s="3943"/>
      <c r="AT22" s="3943"/>
      <c r="AU22" s="3943"/>
      <c r="AV22" s="3944"/>
      <c r="AW22" s="2277"/>
      <c r="AX22" s="1909"/>
      <c r="AY22" s="2131">
        <f>IF(AC22="",0,VLOOKUP(AC22,Tablas!$B$1207:$C$1216,2)*VLOOKUP(W22,Tabla_CosteConjuros,3))</f>
        <v>0</v>
      </c>
    </row>
    <row r="23" spans="1:51" ht="12" customHeight="1" thickBot="1" x14ac:dyDescent="0.25">
      <c r="A23" s="212"/>
      <c r="B23" s="2118">
        <f>IF(E23=0,0,IF(OR(VLOOKUP(E23,Tablas!$B$2308:$I$2321,2,FALSE)=C23,VLOOKUP(E23,Tablas!$B$2308:$I$2321,3,FALSE)=C23,VLOOKUP(E23,Tablas!$B$2308:$I$2321,4,FALSE)=C23,VLOOKUP(E23,Tablas!$B$2308:$I$2321,5,FALSE)=C23,VLOOKUP(E23,Tablas!$B$2308:$I$2321,6,FALSE)=C23,VLOOKUP(E23,Tablas!$B$2308:$I$2321,7,FALSE)=C23,VLOOKUP(E23,Tablas!$B$2308:$I$2321,8,FALSE)=C23),1,0))</f>
        <v>0</v>
      </c>
      <c r="C23" s="3805" t="s">
        <v>2580</v>
      </c>
      <c r="D23" s="3806"/>
      <c r="E23" s="3807"/>
      <c r="F23" s="3808"/>
      <c r="G23" s="2113"/>
      <c r="H23" s="2110">
        <f>ROUNDUP(G23/Tablas!E1459,0)+40*Tablas!F626+20*Tablas!G1666+40*Tablas!G1667+60*Tablas!G1668+80*Tablas!G1669+90*Tablas!G1670</f>
        <v>0</v>
      </c>
      <c r="I23" s="296">
        <f>IF(H23&gt;3,VLOOKUP(H23,Tabla_ConjurosLA,3)-IF(Místicos!E23=0,0,VLOOKUP(H23,Tabla_ConjurosLA,2)),0)</f>
        <v>0</v>
      </c>
      <c r="J23" s="3028" t="s">
        <v>2579</v>
      </c>
      <c r="K23" s="3028"/>
      <c r="L23" s="3028"/>
      <c r="M23" s="3028"/>
      <c r="N23" s="3028"/>
      <c r="O23" s="3028"/>
      <c r="P23" s="3028"/>
      <c r="Q23" s="3028"/>
      <c r="R23" s="73"/>
      <c r="S23" s="1917"/>
      <c r="T23" s="1675" t="str">
        <f t="shared" si="1"/>
        <v>Conjuros</v>
      </c>
      <c r="U23" s="212"/>
      <c r="V23" s="2120">
        <f>IF(AC23="",0,VLOOKUP(AC23,Tablas!$B$1207:$C$1216,2))</f>
        <v>0</v>
      </c>
      <c r="W23" s="3792"/>
      <c r="X23" s="3590"/>
      <c r="Y23" s="3812"/>
      <c r="Z23" s="3812"/>
      <c r="AA23" s="3812"/>
      <c r="AB23" s="3812"/>
      <c r="AC23" s="1816" t="str">
        <f>IF(Místicos!Y23=0,"",VLOOKUP(Místicos!Y23,Tablas!$D$2533:$F$3207,2,FALSE))</f>
        <v/>
      </c>
      <c r="AD23" s="2131" t="str">
        <f t="shared" si="0"/>
        <v/>
      </c>
      <c r="AE23" s="3792"/>
      <c r="AF23" s="3590"/>
      <c r="AG23" s="3812"/>
      <c r="AH23" s="3812"/>
      <c r="AI23" s="3812"/>
      <c r="AJ23" s="3812"/>
      <c r="AK23" s="2597"/>
      <c r="AL23" s="2121">
        <f>IF(Místicos!AG23=0,0,VLOOKUP(Místicos!AG23,Tablas!D2935:E3064,2,FALSE)-10)</f>
        <v>0</v>
      </c>
      <c r="AM23" s="212"/>
      <c r="AN23" s="2259"/>
      <c r="AO23" s="3937" t="s">
        <v>9468</v>
      </c>
      <c r="AP23" s="3778"/>
      <c r="AQ23" s="2140" t="s">
        <v>9518</v>
      </c>
      <c r="AR23" s="3778" t="s">
        <v>9470</v>
      </c>
      <c r="AS23" s="3778"/>
      <c r="AT23" s="2140" t="s">
        <v>9518</v>
      </c>
      <c r="AU23" s="2140" t="s">
        <v>3787</v>
      </c>
      <c r="AV23" s="2237" t="s">
        <v>9518</v>
      </c>
      <c r="AW23" s="2277"/>
      <c r="AX23" s="1909"/>
      <c r="AY23" s="2131">
        <f>IF(AC23="",0,VLOOKUP(AC23,Tablas!$B$1207:$C$1216,2)*VLOOKUP(W23,Tabla_CosteConjuros,3))</f>
        <v>0</v>
      </c>
    </row>
    <row r="24" spans="1:51" ht="12" customHeight="1" x14ac:dyDescent="0.2">
      <c r="A24" s="212"/>
      <c r="B24" s="2118">
        <f>IF(E24=0,0,IF(OR(VLOOKUP(E24,Tablas!$B$2308:$I$2321,2,FALSE)=C24,VLOOKUP(E24,Tablas!$B$2308:$I$2321,3,FALSE)=C24,VLOOKUP(E24,Tablas!$B$2308:$I$2321,4,FALSE)=C24,VLOOKUP(E24,Tablas!$B$2308:$I$2321,5,FALSE)=C24,VLOOKUP(E24,Tablas!$B$2308:$I$2321,6,FALSE)=C24,VLOOKUP(E24,Tablas!$B$2308:$I$2321,7,FALSE)=C24,VLOOKUP(E24,Tablas!$B$2308:$I$2321,8,FALSE)=C24),1,0))</f>
        <v>0</v>
      </c>
      <c r="C24" s="3784" t="s">
        <v>2582</v>
      </c>
      <c r="D24" s="3785"/>
      <c r="E24" s="3786"/>
      <c r="F24" s="3787"/>
      <c r="G24" s="2111"/>
      <c r="H24" s="2112">
        <f>ROUNDUP(G24/Tablas!E1461,0)+40*Tablas!F627+20*Tablas!G1671+40*Tablas!G1672+60*Tablas!G1673+80*Tablas!G1674+90*Tablas!G1675</f>
        <v>0</v>
      </c>
      <c r="I24" s="296">
        <f>IF(H24&gt;3,VLOOKUP(H24,Tabla_ConjurosLA,3)-IF(Místicos!E24=0,0,VLOOKUP(H24,Tabla_ConjurosLA,2)),0)</f>
        <v>0</v>
      </c>
      <c r="J24" s="3814" t="s">
        <v>2228</v>
      </c>
      <c r="K24" s="3814"/>
      <c r="L24" s="2119" t="s">
        <v>2272</v>
      </c>
      <c r="M24" s="304" t="s">
        <v>2202</v>
      </c>
      <c r="N24" s="3815" t="s">
        <v>2581</v>
      </c>
      <c r="O24" s="3815"/>
      <c r="P24" s="3815"/>
      <c r="Q24" s="305" t="str">
        <f>IF(P25="Invocador","No","Nv. "&amp;PDs!X15+Tablas!F603+2*Tablas!F604+3*Tablas!F605)</f>
        <v>Nv. 1</v>
      </c>
      <c r="R24" s="73"/>
      <c r="S24" s="1917"/>
      <c r="T24" s="1675" t="str">
        <f t="shared" si="1"/>
        <v>Conjuros</v>
      </c>
      <c r="U24" s="212"/>
      <c r="V24" s="2120">
        <f>IF(AC24="",0,VLOOKUP(AC24,Tablas!$B$1207:$C$1216,2))</f>
        <v>0</v>
      </c>
      <c r="W24" s="3799"/>
      <c r="X24" s="3587"/>
      <c r="Y24" s="3811"/>
      <c r="Z24" s="3811"/>
      <c r="AA24" s="3811"/>
      <c r="AB24" s="3811"/>
      <c r="AC24" s="2569" t="str">
        <f>IF(Místicos!Y24=0,"",VLOOKUP(Místicos!Y24,Tablas!$D$2533:$F$3207,2,FALSE))</f>
        <v/>
      </c>
      <c r="AD24" s="2131" t="str">
        <f t="shared" si="0"/>
        <v/>
      </c>
      <c r="AE24" s="3799"/>
      <c r="AF24" s="3587"/>
      <c r="AG24" s="3811"/>
      <c r="AH24" s="3811"/>
      <c r="AI24" s="3811"/>
      <c r="AJ24" s="3811"/>
      <c r="AK24" s="2567"/>
      <c r="AL24" s="2121">
        <f>IF(Místicos!AG24=0,0,VLOOKUP(Místicos!AG24,Tablas!D2936:E3065,2,FALSE)-10)</f>
        <v>0</v>
      </c>
      <c r="AM24" s="212"/>
      <c r="AN24" s="2259"/>
      <c r="AO24" s="3938" t="s">
        <v>9469</v>
      </c>
      <c r="AP24" s="3939"/>
      <c r="AQ24" s="2243" t="s">
        <v>9487</v>
      </c>
      <c r="AR24" s="3938" t="s">
        <v>9471</v>
      </c>
      <c r="AS24" s="3939"/>
      <c r="AT24" s="2240" t="s">
        <v>9487</v>
      </c>
      <c r="AU24" s="2232" t="s">
        <v>9476</v>
      </c>
      <c r="AV24" s="2267" t="s">
        <v>9503</v>
      </c>
      <c r="AW24" s="2277"/>
      <c r="AX24" s="1909"/>
      <c r="AY24" s="2131">
        <f>IF(AC24="",0,VLOOKUP(AC24,Tablas!$B$1207:$C$1216,2)*VLOOKUP(W24,Tabla_CosteConjuros,3))</f>
        <v>0</v>
      </c>
    </row>
    <row r="25" spans="1:51" ht="12" customHeight="1" x14ac:dyDescent="0.2">
      <c r="A25" s="212"/>
      <c r="B25" s="2118">
        <f>IF(E25=0,0,IF(OR(VLOOKUP(E25,Tablas!$B$2308:$I$2321,2,FALSE)=C25,VLOOKUP(E25,Tablas!$B$2308:$I$2321,3,FALSE)=C25,VLOOKUP(E25,Tablas!$B$2308:$I$2321,4,FALSE)=C25,VLOOKUP(E25,Tablas!$B$2308:$I$2321,5,FALSE)=C25,VLOOKUP(E25,Tablas!$B$2308:$I$2321,6,FALSE)=C25,VLOOKUP(E25,Tablas!$B$2308:$I$2321,7,FALSE)=C25,VLOOKUP(E25,Tablas!$B$2308:$I$2321,8,FALSE)=C25),1,0))</f>
        <v>0</v>
      </c>
      <c r="C25" s="3788" t="s">
        <v>2584</v>
      </c>
      <c r="D25" s="3789"/>
      <c r="E25" s="3790"/>
      <c r="F25" s="3791"/>
      <c r="G25" s="307"/>
      <c r="H25" s="2114">
        <f>ROUNDUP(G25/Tablas!E1463,0)+40*Tablas!F628+20*Tablas!G1676+40*Tablas!G1677+60*Tablas!G1678+80*Tablas!G1679+90*Tablas!G1680</f>
        <v>0</v>
      </c>
      <c r="I25" s="296">
        <f>IF(H25&gt;3,VLOOKUP(H25,Tabla_ConjurosLA,2)-IF(Místicos!E25=0,0,VLOOKUP(H25,Tabla_ConjurosLA,2)),0)</f>
        <v>0</v>
      </c>
      <c r="J25" s="3813" t="s">
        <v>2371</v>
      </c>
      <c r="K25" s="3813"/>
      <c r="L25" s="232"/>
      <c r="M25" s="306">
        <f>Convocar_final+L25</f>
        <v>10</v>
      </c>
      <c r="N25" s="3400" t="s">
        <v>2583</v>
      </c>
      <c r="O25" s="3400"/>
      <c r="P25" s="3261"/>
      <c r="Q25" s="3261"/>
      <c r="R25" s="73"/>
      <c r="S25" s="1917"/>
      <c r="T25" s="1675" t="str">
        <f t="shared" si="1"/>
        <v>Conjuros</v>
      </c>
      <c r="U25" s="212"/>
      <c r="V25" s="2120">
        <f>IF(AC25="",0,VLOOKUP(AC25,Tablas!$B$1207:$C$1216,2))</f>
        <v>0</v>
      </c>
      <c r="W25" s="3792"/>
      <c r="X25" s="3590"/>
      <c r="Y25" s="3812"/>
      <c r="Z25" s="3812"/>
      <c r="AA25" s="3812"/>
      <c r="AB25" s="3812"/>
      <c r="AC25" s="1816" t="str">
        <f>IF(Místicos!Y25=0,"",VLOOKUP(Místicos!Y25,Tablas!$D$2533:$F$3207,2,FALSE))</f>
        <v/>
      </c>
      <c r="AD25" s="2131" t="str">
        <f t="shared" si="0"/>
        <v/>
      </c>
      <c r="AE25" s="3792"/>
      <c r="AF25" s="3590"/>
      <c r="AG25" s="3812"/>
      <c r="AH25" s="3812"/>
      <c r="AI25" s="3812"/>
      <c r="AJ25" s="3812"/>
      <c r="AK25" s="2597"/>
      <c r="AL25" s="2121">
        <f>IF(Místicos!AG25=0,0,VLOOKUP(Místicos!AG25,Tablas!D2937:E3066,2,FALSE)-10)</f>
        <v>0</v>
      </c>
      <c r="AM25" s="212"/>
      <c r="AN25" s="2259"/>
      <c r="AO25" s="3933" t="s">
        <v>9465</v>
      </c>
      <c r="AP25" s="3934"/>
      <c r="AQ25" s="2238" t="s">
        <v>4128</v>
      </c>
      <c r="AR25" s="3933" t="s">
        <v>2608</v>
      </c>
      <c r="AS25" s="3934"/>
      <c r="AT25" s="2241" t="s">
        <v>4128</v>
      </c>
      <c r="AU25" s="2233" t="s">
        <v>9477</v>
      </c>
      <c r="AV25" s="2268" t="s">
        <v>4772</v>
      </c>
      <c r="AW25" s="2277"/>
      <c r="AX25" s="1909"/>
      <c r="AY25" s="2131">
        <f>IF(AC25="",0,VLOOKUP(AC25,Tablas!$B$1207:$C$1216,2)*VLOOKUP(W25,Tabla_CosteConjuros,3))</f>
        <v>0</v>
      </c>
    </row>
    <row r="26" spans="1:51" ht="12" customHeight="1" thickBot="1" x14ac:dyDescent="0.25">
      <c r="A26" s="212"/>
      <c r="B26" s="1906"/>
      <c r="C26" s="3793" t="s">
        <v>2557</v>
      </c>
      <c r="D26" s="3794"/>
      <c r="E26" s="3794"/>
      <c r="F26" s="3795"/>
      <c r="G26" s="2212"/>
      <c r="H26" s="2213">
        <f>SUM(V12:V50)</f>
        <v>0</v>
      </c>
      <c r="I26" s="73"/>
      <c r="J26" s="3821" t="s">
        <v>2372</v>
      </c>
      <c r="K26" s="3821"/>
      <c r="L26" s="128"/>
      <c r="M26" s="308">
        <f>Controlar_final+L26</f>
        <v>10</v>
      </c>
      <c r="N26" s="3773" t="str">
        <f>IF(P25=0,"",IF(P25="Invocador","Invocador: No puede convocar criaturas","Elementalismo: +30 sobre seres afines, -30 sobre el resto, -60 sobre opuestos"))</f>
        <v/>
      </c>
      <c r="O26" s="3773"/>
      <c r="P26" s="3773"/>
      <c r="Q26" s="3773"/>
      <c r="R26" s="73"/>
      <c r="S26" s="1917"/>
      <c r="T26" s="1675" t="str">
        <f t="shared" si="1"/>
        <v>Conjuros</v>
      </c>
      <c r="U26" s="212"/>
      <c r="V26" s="2120">
        <f>IF(AC26="",0,VLOOKUP(AC26,Tablas!$B$1207:$C$1216,2))</f>
        <v>0</v>
      </c>
      <c r="W26" s="3799"/>
      <c r="X26" s="3587"/>
      <c r="Y26" s="3811"/>
      <c r="Z26" s="3811"/>
      <c r="AA26" s="3811"/>
      <c r="AB26" s="3811"/>
      <c r="AC26" s="2569" t="str">
        <f>IF(Místicos!Y26=0,"",VLOOKUP(Místicos!Y26,Tablas!$D$2533:$F$3207,2,FALSE))</f>
        <v/>
      </c>
      <c r="AD26" s="2131" t="str">
        <f t="shared" si="0"/>
        <v/>
      </c>
      <c r="AE26" s="3799"/>
      <c r="AF26" s="3587"/>
      <c r="AG26" s="3811"/>
      <c r="AH26" s="3811"/>
      <c r="AI26" s="3811"/>
      <c r="AJ26" s="3811"/>
      <c r="AK26" s="2567"/>
      <c r="AL26" s="2121">
        <f>IF(Místicos!AG26=0,0,VLOOKUP(Místicos!AG26,Tablas!D2938:E3067,2,FALSE)-10)</f>
        <v>0</v>
      </c>
      <c r="AM26" s="212"/>
      <c r="AN26" s="2259"/>
      <c r="AO26" s="3933" t="s">
        <v>9473</v>
      </c>
      <c r="AP26" s="3934"/>
      <c r="AQ26" s="2238" t="s">
        <v>4128</v>
      </c>
      <c r="AR26" s="3933" t="s">
        <v>2610</v>
      </c>
      <c r="AS26" s="3934"/>
      <c r="AT26" s="2241" t="s">
        <v>4037</v>
      </c>
      <c r="AU26" s="2233" t="s">
        <v>9478</v>
      </c>
      <c r="AV26" s="2269" t="s">
        <v>9487</v>
      </c>
      <c r="AW26" s="2277"/>
      <c r="AX26" s="1909"/>
      <c r="AY26" s="2131">
        <f>IF(AC26="",0,VLOOKUP(AC26,Tablas!$B$1207:$C$1216,2)*VLOOKUP(W26,Tabla_CosteConjuros,3))</f>
        <v>0</v>
      </c>
    </row>
    <row r="27" spans="1:51" ht="12" customHeight="1" thickBot="1" x14ac:dyDescent="0.25">
      <c r="A27" s="212"/>
      <c r="B27" s="1906"/>
      <c r="C27" s="3863" t="s">
        <v>9457</v>
      </c>
      <c r="D27" s="3865"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866"/>
      <c r="F27" s="3866"/>
      <c r="G27" s="3866"/>
      <c r="H27" s="3867"/>
      <c r="I27" s="111"/>
      <c r="J27" s="3821" t="s">
        <v>2373</v>
      </c>
      <c r="K27" s="3821"/>
      <c r="L27" s="128"/>
      <c r="M27" s="308">
        <f>Atar_final+L27</f>
        <v>10</v>
      </c>
      <c r="N27" s="3773"/>
      <c r="O27" s="3773"/>
      <c r="P27" s="3773"/>
      <c r="Q27" s="3773"/>
      <c r="R27" s="73"/>
      <c r="S27" s="1917"/>
      <c r="T27" s="1675" t="str">
        <f t="shared" si="1"/>
        <v>Conjuros</v>
      </c>
      <c r="U27" s="212"/>
      <c r="V27" s="2120">
        <f>IF(AC27="",0,VLOOKUP(AC27,Tablas!$B$1207:$C$1216,2))</f>
        <v>0</v>
      </c>
      <c r="W27" s="3792"/>
      <c r="X27" s="3590"/>
      <c r="Y27" s="3812"/>
      <c r="Z27" s="3812"/>
      <c r="AA27" s="3812"/>
      <c r="AB27" s="3812"/>
      <c r="AC27" s="1816" t="str">
        <f>IF(Místicos!Y27=0,"",VLOOKUP(Místicos!Y27,Tablas!$D$2533:$F$3207,2,FALSE))</f>
        <v/>
      </c>
      <c r="AD27" s="2131" t="str">
        <f t="shared" si="0"/>
        <v/>
      </c>
      <c r="AE27" s="3792"/>
      <c r="AF27" s="3590"/>
      <c r="AG27" s="3812"/>
      <c r="AH27" s="3812"/>
      <c r="AI27" s="3812"/>
      <c r="AJ27" s="3812"/>
      <c r="AK27" s="2597"/>
      <c r="AL27" s="2121">
        <f>IF(Místicos!AG27=0,0,VLOOKUP(Místicos!AG27,Tablas!D2939:E3068,2,FALSE)-10)</f>
        <v>0</v>
      </c>
      <c r="AM27" s="212"/>
      <c r="AN27" s="2259"/>
      <c r="AO27" s="3933" t="s">
        <v>9474</v>
      </c>
      <c r="AP27" s="3934"/>
      <c r="AQ27" s="2238" t="s">
        <v>4037</v>
      </c>
      <c r="AR27" s="3933" t="s">
        <v>9472</v>
      </c>
      <c r="AS27" s="3934"/>
      <c r="AT27" s="2241" t="s">
        <v>4038</v>
      </c>
      <c r="AU27" s="2233" t="s">
        <v>9479</v>
      </c>
      <c r="AV27" s="2269">
        <v>-2</v>
      </c>
      <c r="AW27" s="2277"/>
      <c r="AX27" s="1909"/>
      <c r="AY27" s="2131">
        <f>IF(AC27="",0,VLOOKUP(AC27,Tablas!$B$1207:$C$1216,2)*VLOOKUP(W27,Tabla_CosteConjuros,3))</f>
        <v>0</v>
      </c>
    </row>
    <row r="28" spans="1:51" ht="12" customHeight="1" thickBot="1" x14ac:dyDescent="0.25">
      <c r="A28" s="212"/>
      <c r="B28" s="1906"/>
      <c r="C28" s="3864"/>
      <c r="D28" s="3868"/>
      <c r="E28" s="3104"/>
      <c r="F28" s="3104"/>
      <c r="G28" s="3104"/>
      <c r="H28" s="3869"/>
      <c r="I28" s="111"/>
      <c r="J28" s="3861" t="s">
        <v>2374</v>
      </c>
      <c r="K28" s="3861"/>
      <c r="L28" s="97"/>
      <c r="M28" s="309">
        <f>Desconvocar_final+L28</f>
        <v>10</v>
      </c>
      <c r="N28" s="3773"/>
      <c r="O28" s="3773"/>
      <c r="P28" s="3773"/>
      <c r="Q28" s="3773"/>
      <c r="R28" s="73"/>
      <c r="S28" s="1917"/>
      <c r="T28" s="1675" t="str">
        <f t="shared" si="1"/>
        <v>Conjuros</v>
      </c>
      <c r="U28" s="212"/>
      <c r="V28" s="2120">
        <f>IF(AC28="",0,VLOOKUP(AC28,Tablas!$B$1207:$C$1216,2))</f>
        <v>0</v>
      </c>
      <c r="W28" s="3799"/>
      <c r="X28" s="3587"/>
      <c r="Y28" s="3811"/>
      <c r="Z28" s="3811"/>
      <c r="AA28" s="3811"/>
      <c r="AB28" s="3811"/>
      <c r="AC28" s="2569" t="str">
        <f>IF(Místicos!Y28=0,"",VLOOKUP(Místicos!Y28,Tablas!$D$2533:$F$3207,2,FALSE))</f>
        <v/>
      </c>
      <c r="AD28" s="2131" t="str">
        <f t="shared" si="0"/>
        <v/>
      </c>
      <c r="AE28" s="3799"/>
      <c r="AF28" s="3587"/>
      <c r="AG28" s="3811"/>
      <c r="AH28" s="3811"/>
      <c r="AI28" s="3811"/>
      <c r="AJ28" s="3811"/>
      <c r="AK28" s="2567"/>
      <c r="AL28" s="2121">
        <f>IF(Místicos!AG28=0,0,VLOOKUP(Místicos!AG28,Tablas!D2940:E3069,2,FALSE)-10)</f>
        <v>0</v>
      </c>
      <c r="AM28" s="212"/>
      <c r="AN28" s="2259"/>
      <c r="AO28" s="3933" t="s">
        <v>9475</v>
      </c>
      <c r="AP28" s="3934"/>
      <c r="AQ28" s="2238" t="s">
        <v>4038</v>
      </c>
      <c r="AR28" s="3933" t="s">
        <v>2613</v>
      </c>
      <c r="AS28" s="3934"/>
      <c r="AT28" s="2241" t="s">
        <v>4772</v>
      </c>
      <c r="AU28" s="2233" t="s">
        <v>9480</v>
      </c>
      <c r="AV28" s="2269">
        <v>-4</v>
      </c>
      <c r="AW28" s="2277"/>
      <c r="AX28" s="1909"/>
      <c r="AY28" s="2131">
        <f>IF(AC28="",0,VLOOKUP(AC28,Tablas!$B$1207:$C$1216,2)*VLOOKUP(W28,Tabla_CosteConjuros,3))</f>
        <v>0</v>
      </c>
    </row>
    <row r="29" spans="1:51" ht="12" customHeight="1" thickBot="1" x14ac:dyDescent="0.25">
      <c r="A29" s="212"/>
      <c r="B29" s="1906"/>
      <c r="C29" s="3857"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858"/>
      <c r="E29" s="3858"/>
      <c r="F29" s="3858"/>
      <c r="G29" s="3858"/>
      <c r="H29" s="3859"/>
      <c r="I29" s="111"/>
      <c r="R29" s="73"/>
      <c r="S29" s="1917"/>
      <c r="T29" s="1675" t="str">
        <f t="shared" si="1"/>
        <v>Conjuros</v>
      </c>
      <c r="U29" s="212"/>
      <c r="V29" s="2120">
        <f>IF(AC29="",0,VLOOKUP(AC29,Tablas!$B$1207:$C$1216,2))</f>
        <v>0</v>
      </c>
      <c r="W29" s="3792"/>
      <c r="X29" s="3590"/>
      <c r="Y29" s="3812"/>
      <c r="Z29" s="3812"/>
      <c r="AA29" s="3812"/>
      <c r="AB29" s="3812"/>
      <c r="AC29" s="1816" t="str">
        <f>IF(Místicos!Y29=0,"",VLOOKUP(Místicos!Y29,Tablas!$D$2533:$F$3207,2,FALSE))</f>
        <v/>
      </c>
      <c r="AD29" s="2131" t="str">
        <f t="shared" si="0"/>
        <v/>
      </c>
      <c r="AE29" s="3792"/>
      <c r="AF29" s="3590"/>
      <c r="AG29" s="3812"/>
      <c r="AH29" s="3812"/>
      <c r="AI29" s="3812"/>
      <c r="AJ29" s="3812"/>
      <c r="AK29" s="2597"/>
      <c r="AL29" s="2121">
        <f>IF(Místicos!AG29=0,0,VLOOKUP(Místicos!AG29,Tablas!D2941:E3070,2,FALSE)-10)</f>
        <v>0</v>
      </c>
      <c r="AM29" s="212"/>
      <c r="AN29" s="2259"/>
      <c r="AO29" s="3935" t="s">
        <v>9511</v>
      </c>
      <c r="AP29" s="3936"/>
      <c r="AQ29" s="2239" t="s">
        <v>4772</v>
      </c>
      <c r="AR29" s="3935" t="s">
        <v>2618</v>
      </c>
      <c r="AS29" s="3936"/>
      <c r="AT29" s="2242" t="s">
        <v>9488</v>
      </c>
      <c r="AU29" s="2233" t="s">
        <v>9481</v>
      </c>
      <c r="AV29" s="2269">
        <v>-6</v>
      </c>
      <c r="AW29" s="2277"/>
      <c r="AX29" s="1909"/>
      <c r="AY29" s="2131">
        <f>IF(AC29="",0,VLOOKUP(AC29,Tablas!$B$1207:$C$1216,2)*VLOOKUP(W29,Tabla_CosteConjuros,3))</f>
        <v>0</v>
      </c>
    </row>
    <row r="30" spans="1:51" ht="12" customHeight="1" thickBot="1" x14ac:dyDescent="0.25">
      <c r="A30" s="212"/>
      <c r="B30" s="1906"/>
      <c r="C30" s="73"/>
      <c r="D30" s="73"/>
      <c r="E30" s="73"/>
      <c r="F30" s="73"/>
      <c r="G30" s="73"/>
      <c r="H30" s="73"/>
      <c r="I30" s="111"/>
      <c r="R30" s="73"/>
      <c r="S30" s="1917"/>
      <c r="T30" s="1675" t="str">
        <f t="shared" si="1"/>
        <v>Conjuros</v>
      </c>
      <c r="U30" s="212"/>
      <c r="V30" s="2120">
        <f>IF(AC30="",0,VLOOKUP(AC30,Tablas!$B$1207:$C$1216,2))</f>
        <v>0</v>
      </c>
      <c r="W30" s="3799"/>
      <c r="X30" s="3587"/>
      <c r="Y30" s="3811"/>
      <c r="Z30" s="3811"/>
      <c r="AA30" s="3811"/>
      <c r="AB30" s="3811"/>
      <c r="AC30" s="2569" t="str">
        <f>IF(Místicos!Y30=0,"",VLOOKUP(Místicos!Y30,Tablas!$D$2533:$F$3207,2,FALSE))</f>
        <v/>
      </c>
      <c r="AD30" s="2131" t="str">
        <f t="shared" si="0"/>
        <v/>
      </c>
      <c r="AE30" s="3799"/>
      <c r="AF30" s="3587"/>
      <c r="AG30" s="3811"/>
      <c r="AH30" s="3811"/>
      <c r="AI30" s="3811"/>
      <c r="AJ30" s="3811"/>
      <c r="AK30" s="2567"/>
      <c r="AL30" s="2121">
        <f>IF(Místicos!AG30=0,0,VLOOKUP(Místicos!AG30,Tablas!D2942:E3071,2,FALSE)-10)</f>
        <v>0</v>
      </c>
      <c r="AM30" s="212"/>
      <c r="AN30" s="2259"/>
      <c r="AO30" s="2235"/>
      <c r="AP30" s="2099"/>
      <c r="AQ30" s="2235"/>
      <c r="AR30" s="2099"/>
      <c r="AS30" s="2010"/>
      <c r="AT30" s="2010"/>
      <c r="AU30" s="2233" t="s">
        <v>9482</v>
      </c>
      <c r="AV30" s="2269">
        <v>-8</v>
      </c>
      <c r="AW30" s="2277"/>
      <c r="AX30" s="1909"/>
      <c r="AY30" s="2131">
        <f>IF(AC30="",0,VLOOKUP(AC30,Tablas!$B$1207:$C$1216,2)*VLOOKUP(W30,Tabla_CosteConjuros,3))</f>
        <v>0</v>
      </c>
    </row>
    <row r="31" spans="1:51" ht="12" customHeight="1" thickBot="1" x14ac:dyDescent="0.25">
      <c r="A31" s="212"/>
      <c r="B31" s="1906"/>
      <c r="C31" s="3067" t="s">
        <v>2585</v>
      </c>
      <c r="D31" s="3067"/>
      <c r="E31" s="3067"/>
      <c r="F31" s="3067"/>
      <c r="G31" s="3067"/>
      <c r="H31" s="3680" t="s">
        <v>2586</v>
      </c>
      <c r="I31" s="111"/>
      <c r="J31" s="3136" t="s">
        <v>2587</v>
      </c>
      <c r="K31" s="3137"/>
      <c r="L31" s="3137"/>
      <c r="M31" s="3137"/>
      <c r="N31" s="3137"/>
      <c r="O31" s="3137"/>
      <c r="P31" s="3137"/>
      <c r="Q31" s="3138"/>
      <c r="R31" s="73"/>
      <c r="S31" s="1917"/>
      <c r="T31" s="1675" t="str">
        <f t="shared" si="1"/>
        <v>Conjuros</v>
      </c>
      <c r="U31" s="212"/>
      <c r="V31" s="2120">
        <f>IF(AC31="",0,VLOOKUP(AC31,Tablas!$B$1207:$C$1216,2))</f>
        <v>0</v>
      </c>
      <c r="W31" s="3792"/>
      <c r="X31" s="3590"/>
      <c r="Y31" s="3812"/>
      <c r="Z31" s="3812"/>
      <c r="AA31" s="3812"/>
      <c r="AB31" s="3812"/>
      <c r="AC31" s="1816" t="str">
        <f>IF(Místicos!Y31=0,"",VLOOKUP(Místicos!Y31,Tablas!$D$2533:$F$3207,2,FALSE))</f>
        <v/>
      </c>
      <c r="AD31" s="2131" t="str">
        <f t="shared" si="0"/>
        <v/>
      </c>
      <c r="AE31" s="3792"/>
      <c r="AF31" s="3590"/>
      <c r="AG31" s="3812"/>
      <c r="AH31" s="3812"/>
      <c r="AI31" s="3812"/>
      <c r="AJ31" s="3812"/>
      <c r="AK31" s="2597"/>
      <c r="AL31" s="2121">
        <f>IF(Místicos!AG31=0,0,VLOOKUP(Místicos!AG31,Tablas!D2943:E3072,2,FALSE)-10)</f>
        <v>0</v>
      </c>
      <c r="AM31" s="212"/>
      <c r="AN31" s="2259"/>
      <c r="AO31" s="2235"/>
      <c r="AP31" s="3801" t="s">
        <v>3788</v>
      </c>
      <c r="AQ31" s="3802"/>
      <c r="AR31" s="3802" t="s">
        <v>8787</v>
      </c>
      <c r="AS31" s="3962"/>
      <c r="AT31" s="2010"/>
      <c r="AU31" s="2233" t="s">
        <v>9483</v>
      </c>
      <c r="AV31" s="2269">
        <v>-10</v>
      </c>
      <c r="AW31" s="2277"/>
      <c r="AX31" s="1909"/>
      <c r="AY31" s="2131">
        <f>IF(AC31="",0,VLOOKUP(AC31,Tablas!$B$1207:$C$1216,2)*VLOOKUP(W31,Tabla_CosteConjuros,3))</f>
        <v>0</v>
      </c>
    </row>
    <row r="32" spans="1:51" ht="12" customHeight="1" thickBot="1" x14ac:dyDescent="0.25">
      <c r="A32" s="212"/>
      <c r="B32" s="1906"/>
      <c r="C32" s="3860" t="s">
        <v>2588</v>
      </c>
      <c r="D32" s="3860"/>
      <c r="E32" s="3860"/>
      <c r="F32" s="3860"/>
      <c r="G32" s="3860"/>
      <c r="H32" s="3680"/>
      <c r="I32" s="111"/>
      <c r="J32" s="3862" t="s">
        <v>2295</v>
      </c>
      <c r="K32" s="3307"/>
      <c r="L32" s="3307"/>
      <c r="M32" s="3307"/>
      <c r="N32" s="3307"/>
      <c r="O32" s="3307"/>
      <c r="P32" s="2132" t="s">
        <v>2589</v>
      </c>
      <c r="Q32" s="2106" t="s">
        <v>2365</v>
      </c>
      <c r="R32" s="73"/>
      <c r="S32" s="1917"/>
      <c r="T32" s="1675" t="str">
        <f t="shared" si="1"/>
        <v>Conjuros</v>
      </c>
      <c r="U32" s="212"/>
      <c r="V32" s="2120">
        <f>IF(AC32="",0,VLOOKUP(AC32,Tablas!$B$1207:$C$1216,2))</f>
        <v>0</v>
      </c>
      <c r="W32" s="3799"/>
      <c r="X32" s="3587"/>
      <c r="Y32" s="3811"/>
      <c r="Z32" s="3811"/>
      <c r="AA32" s="3811"/>
      <c r="AB32" s="3811"/>
      <c r="AC32" s="2569" t="str">
        <f>IF(Místicos!Y32=0,"",VLOOKUP(Místicos!Y32,Tablas!$D$2533:$F$3207,2,FALSE))</f>
        <v/>
      </c>
      <c r="AD32" s="2131" t="str">
        <f t="shared" si="0"/>
        <v/>
      </c>
      <c r="AE32" s="3799"/>
      <c r="AF32" s="3587"/>
      <c r="AG32" s="3811"/>
      <c r="AH32" s="3811"/>
      <c r="AI32" s="3811"/>
      <c r="AJ32" s="3811"/>
      <c r="AK32" s="2567"/>
      <c r="AL32" s="2121">
        <f>IF(Místicos!AG32=0,0,VLOOKUP(Místicos!AG32,Tablas!D2944:E3073,2,FALSE)-10)</f>
        <v>0</v>
      </c>
      <c r="AM32" s="212"/>
      <c r="AN32" s="2259"/>
      <c r="AO32" s="2235"/>
      <c r="AP32" s="3958">
        <f>Presencia_final*2+Bono_Des</f>
        <v>70</v>
      </c>
      <c r="AQ32" s="3959"/>
      <c r="AR32" s="3954"/>
      <c r="AS32" s="3955"/>
      <c r="AT32" s="2010"/>
      <c r="AU32" s="2233" t="s">
        <v>9484</v>
      </c>
      <c r="AV32" s="2269">
        <v>-12</v>
      </c>
      <c r="AW32" s="2277"/>
      <c r="AX32" s="1909"/>
      <c r="AY32" s="2131">
        <f>IF(AC32="",0,VLOOKUP(AC32,Tablas!$B$1207:$C$1216,2)*VLOOKUP(W32,Tabla_CosteConjuros,3))</f>
        <v>0</v>
      </c>
    </row>
    <row r="33" spans="1:60" ht="12" customHeight="1" thickBot="1" x14ac:dyDescent="0.25">
      <c r="A33" s="212"/>
      <c r="B33" s="1906"/>
      <c r="C33" s="3056"/>
      <c r="D33" s="3871"/>
      <c r="E33" s="3871"/>
      <c r="F33" s="3871"/>
      <c r="G33" s="3872"/>
      <c r="H33" s="26"/>
      <c r="I33" s="73"/>
      <c r="J33" s="3919"/>
      <c r="K33" s="3920"/>
      <c r="L33" s="3920"/>
      <c r="M33" s="3920"/>
      <c r="N33" s="3920"/>
      <c r="O33" s="3920"/>
      <c r="P33" s="2134" t="str">
        <f>IF(J33=0,"",VLOOKUP(J33,Tablas!$D$3413:$F$3582,2,FALSE))</f>
        <v/>
      </c>
      <c r="Q33" s="2107" t="str">
        <f>IF(J33=0,"",VLOOKUP(J33,Tablas!$D$3413:$F$3582,3,FALSE)*IF($P$25="Invocador",0.5,1))</f>
        <v/>
      </c>
      <c r="R33" s="73"/>
      <c r="S33" s="1917"/>
      <c r="T33" s="1675" t="str">
        <f t="shared" si="1"/>
        <v>Conjuros</v>
      </c>
      <c r="U33" s="212"/>
      <c r="V33" s="2120">
        <f>IF(AC33="",0,VLOOKUP(AC33,Tablas!$B$1207:$C$1216,2))</f>
        <v>0</v>
      </c>
      <c r="W33" s="3792"/>
      <c r="X33" s="3590"/>
      <c r="Y33" s="3812"/>
      <c r="Z33" s="3812"/>
      <c r="AA33" s="3812"/>
      <c r="AB33" s="3812"/>
      <c r="AC33" s="1816" t="str">
        <f>IF(Místicos!Y33=0,"",VLOOKUP(Místicos!Y33,Tablas!$D$2533:$F$3207,2,FALSE))</f>
        <v/>
      </c>
      <c r="AD33" s="2131" t="str">
        <f t="shared" si="0"/>
        <v/>
      </c>
      <c r="AE33" s="3792"/>
      <c r="AF33" s="3590"/>
      <c r="AG33" s="3812"/>
      <c r="AH33" s="3812"/>
      <c r="AI33" s="3812"/>
      <c r="AJ33" s="3812"/>
      <c r="AK33" s="2597"/>
      <c r="AL33" s="2121">
        <f>IF(Místicos!AG33=0,0,VLOOKUP(Místicos!AG33,Tablas!D2945:E3074,2,FALSE)-10)</f>
        <v>0</v>
      </c>
      <c r="AM33" s="212"/>
      <c r="AN33" s="2259"/>
      <c r="AO33" s="2235"/>
      <c r="AP33" s="3960"/>
      <c r="AQ33" s="3961"/>
      <c r="AR33" s="3956"/>
      <c r="AS33" s="3957"/>
      <c r="AT33" s="2010"/>
      <c r="AU33" s="2233" t="s">
        <v>9485</v>
      </c>
      <c r="AV33" s="2269">
        <v>-14</v>
      </c>
      <c r="AW33" s="2277"/>
      <c r="AX33" s="1909"/>
      <c r="AY33" s="2131">
        <f>IF(AC33="",0,VLOOKUP(AC33,Tablas!$B$1207:$C$1216,2)*VLOOKUP(W33,Tabla_CosteConjuros,3))</f>
        <v>0</v>
      </c>
    </row>
    <row r="34" spans="1:60" ht="12" customHeight="1" x14ac:dyDescent="0.2">
      <c r="A34" s="212"/>
      <c r="B34" s="1906"/>
      <c r="C34" s="3870"/>
      <c r="D34" s="3870"/>
      <c r="E34" s="3870"/>
      <c r="F34" s="3870"/>
      <c r="G34" s="3870"/>
      <c r="H34" s="310"/>
      <c r="I34" s="73"/>
      <c r="J34" s="3876"/>
      <c r="K34" s="3877"/>
      <c r="L34" s="3877"/>
      <c r="M34" s="3877"/>
      <c r="N34" s="3877"/>
      <c r="O34" s="3877"/>
      <c r="P34" s="2135" t="str">
        <f>IF(J34=0,"",VLOOKUP(J34,Tablas!$D$3413:$F$3582,2,FALSE))</f>
        <v/>
      </c>
      <c r="Q34" s="2108" t="str">
        <f>IF(J34=0,"",VLOOKUP(J34,Tablas!$D$3413:$F$3582,3,FALSE)*IF($P$25="Invocador",0.5,1))</f>
        <v/>
      </c>
      <c r="R34" s="73"/>
      <c r="S34" s="1917"/>
      <c r="T34" s="1675" t="str">
        <f t="shared" si="1"/>
        <v>Conjuros</v>
      </c>
      <c r="U34" s="212"/>
      <c r="V34" s="2120">
        <f>IF(AC34="",0,VLOOKUP(AC34,Tablas!$B$1207:$C$1216,2))</f>
        <v>0</v>
      </c>
      <c r="W34" s="3799"/>
      <c r="X34" s="3587"/>
      <c r="Y34" s="3811"/>
      <c r="Z34" s="3811"/>
      <c r="AA34" s="3811"/>
      <c r="AB34" s="3811"/>
      <c r="AC34" s="2569" t="str">
        <f>IF(Místicos!Y34=0,"",VLOOKUP(Místicos!Y34,Tablas!$D$2533:$F$3207,2,FALSE))</f>
        <v/>
      </c>
      <c r="AD34" s="2131" t="str">
        <f t="shared" si="0"/>
        <v/>
      </c>
      <c r="AE34" s="3799"/>
      <c r="AF34" s="3587"/>
      <c r="AG34" s="3811"/>
      <c r="AH34" s="3811"/>
      <c r="AI34" s="3811"/>
      <c r="AJ34" s="3811"/>
      <c r="AK34" s="2567"/>
      <c r="AL34" s="2121">
        <f>IF(Místicos!AG34=0,0,VLOOKUP(Místicos!AG34,Tablas!D2946:E3075,2,FALSE)-10)</f>
        <v>0</v>
      </c>
      <c r="AM34" s="212"/>
      <c r="AN34" s="2259"/>
      <c r="AO34" s="2235"/>
      <c r="AP34" s="2099"/>
      <c r="AQ34" s="2235"/>
      <c r="AR34" s="2099"/>
      <c r="AS34" s="2010"/>
      <c r="AT34" s="2010"/>
      <c r="AU34" s="2234" t="s">
        <v>9486</v>
      </c>
      <c r="AV34" s="2270">
        <v>-16</v>
      </c>
      <c r="AW34" s="2277"/>
      <c r="AX34" s="1909"/>
      <c r="AY34" s="2131">
        <f>IF(AC34="",0,VLOOKUP(AC34,Tablas!$B$1207:$C$1216,2)*VLOOKUP(W34,Tabla_CosteConjuros,3))</f>
        <v>0</v>
      </c>
    </row>
    <row r="35" spans="1:60" ht="12" customHeight="1" thickBot="1" x14ac:dyDescent="0.25">
      <c r="A35" s="212"/>
      <c r="B35" s="1906"/>
      <c r="C35" s="3052"/>
      <c r="D35" s="3052"/>
      <c r="E35" s="3052"/>
      <c r="F35" s="3052"/>
      <c r="G35" s="3052"/>
      <c r="H35" s="26"/>
      <c r="I35" s="73"/>
      <c r="J35" s="3878"/>
      <c r="K35" s="3879"/>
      <c r="L35" s="3879"/>
      <c r="M35" s="3879"/>
      <c r="N35" s="3879"/>
      <c r="O35" s="3879"/>
      <c r="P35" s="2134" t="str">
        <f>IF(J35=0,"",VLOOKUP(J35,Tablas!$D$3413:$F$3582,2,FALSE))</f>
        <v/>
      </c>
      <c r="Q35" s="2107" t="str">
        <f>IF(J35=0,"",VLOOKUP(J35,Tablas!$D$3413:$F$3582,3,FALSE)*IF($P$25="Invocador",0.5,1))</f>
        <v/>
      </c>
      <c r="R35" s="73"/>
      <c r="S35" s="1917"/>
      <c r="T35" s="1675" t="str">
        <f t="shared" si="1"/>
        <v>Conjuros</v>
      </c>
      <c r="U35" s="212"/>
      <c r="V35" s="2120">
        <f>IF(AC35="",0,VLOOKUP(AC35,Tablas!$B$1207:$C$1216,2))</f>
        <v>0</v>
      </c>
      <c r="W35" s="3792"/>
      <c r="X35" s="3590"/>
      <c r="Y35" s="3812"/>
      <c r="Z35" s="3812"/>
      <c r="AA35" s="3812"/>
      <c r="AB35" s="3812"/>
      <c r="AC35" s="1816" t="str">
        <f>IF(Místicos!Y35=0,"",VLOOKUP(Místicos!Y35,Tablas!$D$2533:$F$3207,2,FALSE))</f>
        <v/>
      </c>
      <c r="AD35" s="2131" t="str">
        <f t="shared" si="0"/>
        <v/>
      </c>
      <c r="AE35" s="3792"/>
      <c r="AF35" s="3590"/>
      <c r="AG35" s="3812"/>
      <c r="AH35" s="3812"/>
      <c r="AI35" s="3812"/>
      <c r="AJ35" s="3812"/>
      <c r="AK35" s="2597"/>
      <c r="AL35" s="2121">
        <f>IF(Místicos!AG35=0,0,VLOOKUP(Místicos!AG35,Tablas!D2947:E3076,2,FALSE)-10)</f>
        <v>0</v>
      </c>
      <c r="AM35" s="212"/>
      <c r="AN35" s="2259"/>
      <c r="AW35" s="2277"/>
      <c r="AX35" s="1909"/>
      <c r="AY35" s="2131">
        <f>IF(AC35="",0,VLOOKUP(AC35,Tablas!$B$1207:$C$1216,2)*VLOOKUP(W35,Tabla_CosteConjuros,3))</f>
        <v>0</v>
      </c>
    </row>
    <row r="36" spans="1:60" ht="12" customHeight="1" x14ac:dyDescent="0.2">
      <c r="A36" s="212"/>
      <c r="B36" s="1906"/>
      <c r="C36" s="3870"/>
      <c r="D36" s="3870"/>
      <c r="E36" s="3870"/>
      <c r="F36" s="3870"/>
      <c r="G36" s="3870"/>
      <c r="H36" s="310"/>
      <c r="I36" s="73"/>
      <c r="J36" s="3876"/>
      <c r="K36" s="3877"/>
      <c r="L36" s="3877"/>
      <c r="M36" s="3877"/>
      <c r="N36" s="3877"/>
      <c r="O36" s="3877"/>
      <c r="P36" s="2135" t="str">
        <f>IF(J36=0,"",VLOOKUP(J36,Tablas!$D$3413:$F$3582,2,FALSE))</f>
        <v/>
      </c>
      <c r="Q36" s="2108" t="str">
        <f>IF(J36=0,"",VLOOKUP(J36,Tablas!$D$3413:$F$3582,3,FALSE)*IF($P$25="Invocador",0.5,1))</f>
        <v/>
      </c>
      <c r="R36" s="73"/>
      <c r="S36" s="1917"/>
      <c r="T36" s="1675" t="str">
        <f t="shared" si="1"/>
        <v>Conjuros</v>
      </c>
      <c r="U36" s="212"/>
      <c r="V36" s="2120">
        <f>IF(AC36="",0,VLOOKUP(AC36,Tablas!$B$1207:$C$1216,2))</f>
        <v>0</v>
      </c>
      <c r="W36" s="3799"/>
      <c r="X36" s="3587"/>
      <c r="Y36" s="3811"/>
      <c r="Z36" s="3811"/>
      <c r="AA36" s="3811"/>
      <c r="AB36" s="3811"/>
      <c r="AC36" s="2569" t="str">
        <f>IF(Místicos!Y36=0,"",VLOOKUP(Místicos!Y36,Tablas!$D$2533:$F$3207,2,FALSE))</f>
        <v/>
      </c>
      <c r="AD36" s="2131" t="str">
        <f t="shared" si="0"/>
        <v/>
      </c>
      <c r="AE36" s="3799"/>
      <c r="AF36" s="3587"/>
      <c r="AG36" s="3811"/>
      <c r="AH36" s="3811"/>
      <c r="AI36" s="3811"/>
      <c r="AJ36" s="3811"/>
      <c r="AK36" s="2567"/>
      <c r="AL36" s="2121">
        <f>IF(Místicos!AG36=0,0,VLOOKUP(Místicos!AG36,Tablas!D2948:E3077,2,FALSE)-10)</f>
        <v>0</v>
      </c>
      <c r="AM36" s="212"/>
      <c r="AN36" s="2259"/>
      <c r="AO36" s="3945" t="s">
        <v>9495</v>
      </c>
      <c r="AP36" s="3800"/>
      <c r="AQ36" s="3800"/>
      <c r="AR36" s="3800"/>
      <c r="AS36" s="3800"/>
      <c r="AT36" s="3800"/>
      <c r="AU36" s="3800"/>
      <c r="AV36" s="3941"/>
      <c r="AW36" s="2277"/>
      <c r="AX36" s="1909"/>
      <c r="AY36" s="2131">
        <f>IF(AC36="",0,VLOOKUP(AC36,Tablas!$B$1207:$C$1216,2)*VLOOKUP(W36,Tabla_CosteConjuros,3))</f>
        <v>0</v>
      </c>
    </row>
    <row r="37" spans="1:60" ht="12" customHeight="1" x14ac:dyDescent="0.2">
      <c r="A37" s="212"/>
      <c r="B37" s="1906"/>
      <c r="C37" s="3052"/>
      <c r="D37" s="3052"/>
      <c r="E37" s="3052"/>
      <c r="F37" s="3052"/>
      <c r="G37" s="3052"/>
      <c r="H37" s="26"/>
      <c r="I37" s="73"/>
      <c r="J37" s="3878"/>
      <c r="K37" s="3879"/>
      <c r="L37" s="3879"/>
      <c r="M37" s="3879"/>
      <c r="N37" s="3879"/>
      <c r="O37" s="3879"/>
      <c r="P37" s="2134" t="str">
        <f>IF(J37=0,"",VLOOKUP(J37,Tablas!$D$3413:$F$3582,2,FALSE))</f>
        <v/>
      </c>
      <c r="Q37" s="2107" t="str">
        <f>IF(J37=0,"",VLOOKUP(J37,Tablas!$D$3413:$F$3582,3,FALSE)*IF($P$25="Invocador",0.5,1))</f>
        <v/>
      </c>
      <c r="R37" s="73"/>
      <c r="S37" s="1917"/>
      <c r="T37" s="1675" t="str">
        <f t="shared" si="1"/>
        <v>Conjuros</v>
      </c>
      <c r="U37" s="212"/>
      <c r="V37" s="2120">
        <f>IF(AC37="",0,VLOOKUP(AC37,Tablas!$B$1207:$C$1216,2))</f>
        <v>0</v>
      </c>
      <c r="W37" s="3792"/>
      <c r="X37" s="3590"/>
      <c r="Y37" s="3812"/>
      <c r="Z37" s="3812"/>
      <c r="AA37" s="3812"/>
      <c r="AB37" s="3812"/>
      <c r="AC37" s="1816" t="str">
        <f>IF(Místicos!Y37=0,"",VLOOKUP(Místicos!Y37,Tablas!$D$2533:$F$3207,2,FALSE))</f>
        <v/>
      </c>
      <c r="AD37" s="2131" t="str">
        <f t="shared" si="0"/>
        <v/>
      </c>
      <c r="AE37" s="3792"/>
      <c r="AF37" s="3590"/>
      <c r="AG37" s="3812"/>
      <c r="AH37" s="3812"/>
      <c r="AI37" s="3812"/>
      <c r="AJ37" s="3812"/>
      <c r="AK37" s="2597"/>
      <c r="AL37" s="2121">
        <f>IF(Místicos!AG37=0,0,VLOOKUP(Místicos!AG37,Tablas!D2949:E3078,2,FALSE)-10)</f>
        <v>0</v>
      </c>
      <c r="AM37" s="212"/>
      <c r="AN37" s="2260"/>
      <c r="AO37" s="2264" t="s">
        <v>9489</v>
      </c>
      <c r="AP37" s="3873" t="s">
        <v>9516</v>
      </c>
      <c r="AQ37" s="3874"/>
      <c r="AR37" s="3874"/>
      <c r="AS37" s="3874"/>
      <c r="AT37" s="3874"/>
      <c r="AU37" s="3874"/>
      <c r="AV37" s="3875"/>
      <c r="AW37" s="2277"/>
      <c r="AX37" s="1909"/>
      <c r="AY37" s="2131">
        <f>IF(AC37="",0,VLOOKUP(AC37,Tablas!$B$1207:$C$1216,2)*VLOOKUP(W37,Tabla_CosteConjuros,3))</f>
        <v>0</v>
      </c>
      <c r="BB37" s="2130"/>
    </row>
    <row r="38" spans="1:60" ht="12" customHeight="1" x14ac:dyDescent="0.2">
      <c r="A38" s="212"/>
      <c r="B38" s="1906"/>
      <c r="C38" s="3870"/>
      <c r="D38" s="3870"/>
      <c r="E38" s="3870"/>
      <c r="F38" s="3870"/>
      <c r="G38" s="3870"/>
      <c r="H38" s="310"/>
      <c r="I38" s="73"/>
      <c r="J38" s="3876"/>
      <c r="K38" s="3877"/>
      <c r="L38" s="3877"/>
      <c r="M38" s="3877"/>
      <c r="N38" s="3877"/>
      <c r="O38" s="3877"/>
      <c r="P38" s="2135" t="str">
        <f>IF(J38=0,"",VLOOKUP(J38,Tablas!$D$3413:$F$3582,2,FALSE))</f>
        <v/>
      </c>
      <c r="Q38" s="2108" t="str">
        <f>IF(J38=0,"",VLOOKUP(J38,Tablas!$D$3413:$F$3582,3,FALSE)*IF($P$25="Invocador",0.5,1))</f>
        <v/>
      </c>
      <c r="R38" s="73"/>
      <c r="S38" s="1917"/>
      <c r="T38" s="1675" t="str">
        <f t="shared" si="1"/>
        <v>Conjuros</v>
      </c>
      <c r="U38" s="212"/>
      <c r="V38" s="2120">
        <f>IF(AC38="",0,VLOOKUP(AC38,Tablas!$B$1207:$C$1216,2))</f>
        <v>0</v>
      </c>
      <c r="W38" s="3799"/>
      <c r="X38" s="3587"/>
      <c r="Y38" s="3811"/>
      <c r="Z38" s="3811"/>
      <c r="AA38" s="3811"/>
      <c r="AB38" s="3811"/>
      <c r="AC38" s="2569" t="str">
        <f>IF(Místicos!Y38=0,"",VLOOKUP(Místicos!Y38,Tablas!$D$2533:$F$3207,2,FALSE))</f>
        <v/>
      </c>
      <c r="AD38" s="2131" t="str">
        <f t="shared" si="0"/>
        <v/>
      </c>
      <c r="AE38" s="3799"/>
      <c r="AF38" s="3587"/>
      <c r="AG38" s="3811"/>
      <c r="AH38" s="3811"/>
      <c r="AI38" s="3811"/>
      <c r="AJ38" s="3811"/>
      <c r="AK38" s="2567"/>
      <c r="AL38" s="2121">
        <f>IF(Místicos!AG38=0,0,VLOOKUP(Místicos!AG38,Tablas!D2950:E3079,2,FALSE)-10)</f>
        <v>0</v>
      </c>
      <c r="AM38" s="212"/>
      <c r="AN38" s="2260"/>
      <c r="AO38" s="2265" t="s">
        <v>9490</v>
      </c>
      <c r="AP38" s="3950" t="s">
        <v>9515</v>
      </c>
      <c r="AQ38" s="3951"/>
      <c r="AR38" s="3951"/>
      <c r="AS38" s="3951"/>
      <c r="AT38" s="3951"/>
      <c r="AU38" s="3951"/>
      <c r="AV38" s="3951"/>
      <c r="AW38" s="2277"/>
      <c r="AX38" s="1909"/>
      <c r="AY38" s="2131">
        <f>IF(AC38="",0,VLOOKUP(AC38,Tablas!$B$1207:$C$1216,2)*VLOOKUP(W38,Tabla_CosteConjuros,3))</f>
        <v>0</v>
      </c>
    </row>
    <row r="39" spans="1:60" ht="12" customHeight="1" x14ac:dyDescent="0.2">
      <c r="A39" s="212"/>
      <c r="B39" s="1906"/>
      <c r="C39" s="3052"/>
      <c r="D39" s="3052"/>
      <c r="E39" s="3052"/>
      <c r="F39" s="3052"/>
      <c r="G39" s="3052"/>
      <c r="H39" s="26"/>
      <c r="I39" s="73"/>
      <c r="J39" s="3878"/>
      <c r="K39" s="3879"/>
      <c r="L39" s="3879"/>
      <c r="M39" s="3879"/>
      <c r="N39" s="3879"/>
      <c r="O39" s="3879"/>
      <c r="P39" s="2134" t="str">
        <f>IF(J39=0,"",VLOOKUP(J39,Tablas!$D$3413:$F$3582,2,FALSE))</f>
        <v/>
      </c>
      <c r="Q39" s="2107" t="str">
        <f>IF(J39=0,"",VLOOKUP(J39,Tablas!$D$3413:$F$3582,3,FALSE)*IF($P$25="Invocador",0.5,1))</f>
        <v/>
      </c>
      <c r="R39" s="73"/>
      <c r="S39" s="1917"/>
      <c r="T39" s="1675" t="str">
        <f t="shared" si="1"/>
        <v>Conjuros</v>
      </c>
      <c r="U39" s="212"/>
      <c r="V39" s="2120">
        <f>IF(AC39="",0,VLOOKUP(AC39,Tablas!$B$1207:$C$1216,2))</f>
        <v>0</v>
      </c>
      <c r="W39" s="3792"/>
      <c r="X39" s="3590"/>
      <c r="Y39" s="3812"/>
      <c r="Z39" s="3812"/>
      <c r="AA39" s="3812"/>
      <c r="AB39" s="3812"/>
      <c r="AC39" s="1816" t="str">
        <f>IF(Místicos!Y39=0,"",VLOOKUP(Místicos!Y39,Tablas!$D$2533:$F$3207,2,FALSE))</f>
        <v/>
      </c>
      <c r="AD39" s="2131" t="str">
        <f t="shared" si="0"/>
        <v/>
      </c>
      <c r="AE39" s="3792"/>
      <c r="AF39" s="3590"/>
      <c r="AG39" s="3812"/>
      <c r="AH39" s="3812"/>
      <c r="AI39" s="3812"/>
      <c r="AJ39" s="3812"/>
      <c r="AK39" s="2597"/>
      <c r="AL39" s="2121">
        <f>IF(Místicos!AG39=0,0,VLOOKUP(Místicos!AG39,Tablas!D2951:E3080,2,FALSE)-10)</f>
        <v>0</v>
      </c>
      <c r="AM39" s="212"/>
      <c r="AN39" s="2260"/>
      <c r="AO39" s="2265" t="s">
        <v>9491</v>
      </c>
      <c r="AP39" s="3950" t="s">
        <v>9514</v>
      </c>
      <c r="AQ39" s="3951"/>
      <c r="AR39" s="3951"/>
      <c r="AS39" s="3951"/>
      <c r="AT39" s="3951"/>
      <c r="AU39" s="3951"/>
      <c r="AV39" s="3951"/>
      <c r="AW39" s="2277"/>
      <c r="AX39" s="1909"/>
      <c r="AY39" s="2131">
        <f>IF(AC39="",0,VLOOKUP(AC39,Tablas!$B$1207:$C$1216,2)*VLOOKUP(W39,Tabla_CosteConjuros,3))</f>
        <v>0</v>
      </c>
    </row>
    <row r="40" spans="1:60" ht="12" customHeight="1" x14ac:dyDescent="0.2">
      <c r="A40" s="212"/>
      <c r="B40" s="1906"/>
      <c r="C40" s="3870"/>
      <c r="D40" s="3870"/>
      <c r="E40" s="3870"/>
      <c r="F40" s="3870"/>
      <c r="G40" s="3870"/>
      <c r="H40" s="310"/>
      <c r="I40" s="73"/>
      <c r="J40" s="3876"/>
      <c r="K40" s="3877"/>
      <c r="L40" s="3877"/>
      <c r="M40" s="3877"/>
      <c r="N40" s="3877"/>
      <c r="O40" s="3877"/>
      <c r="P40" s="2135" t="str">
        <f>IF(J40=0,"",VLOOKUP(J40,Tablas!$D$3413:$F$3582,2,FALSE))</f>
        <v/>
      </c>
      <c r="Q40" s="2108" t="str">
        <f>IF(J40=0,"",VLOOKUP(J40,Tablas!$D$3413:$F$3582,3,FALSE)*IF($P$25="Invocador",0.5,1))</f>
        <v/>
      </c>
      <c r="R40" s="73"/>
      <c r="S40" s="1917"/>
      <c r="T40" s="1675" t="str">
        <f t="shared" si="1"/>
        <v>Conjuros</v>
      </c>
      <c r="U40" s="212"/>
      <c r="V40" s="2120">
        <f>IF(AC40="",0,VLOOKUP(AC40,Tablas!$B$1207:$C$1216,2))</f>
        <v>0</v>
      </c>
      <c r="W40" s="3799"/>
      <c r="X40" s="3587"/>
      <c r="Y40" s="3811"/>
      <c r="Z40" s="3811"/>
      <c r="AA40" s="3811"/>
      <c r="AB40" s="3811"/>
      <c r="AC40" s="2569" t="str">
        <f>IF(Místicos!Y40=0,"",VLOOKUP(Místicos!Y40,Tablas!$D$2533:$F$3207,2,FALSE))</f>
        <v/>
      </c>
      <c r="AD40" s="2131" t="str">
        <f t="shared" si="0"/>
        <v/>
      </c>
      <c r="AE40" s="3799"/>
      <c r="AF40" s="3587"/>
      <c r="AG40" s="3811"/>
      <c r="AH40" s="3811"/>
      <c r="AI40" s="3811"/>
      <c r="AJ40" s="3811"/>
      <c r="AK40" s="2567"/>
      <c r="AL40" s="2121">
        <f>IF(Místicos!AG40=0,0,VLOOKUP(Místicos!AG40,Tablas!D2952:E3081,2,FALSE)-10)</f>
        <v>0</v>
      </c>
      <c r="AM40" s="212"/>
      <c r="AN40" s="2260"/>
      <c r="AO40" s="2265" t="s">
        <v>9492</v>
      </c>
      <c r="AP40" s="3950" t="s">
        <v>9523</v>
      </c>
      <c r="AQ40" s="3951"/>
      <c r="AR40" s="3951"/>
      <c r="AS40" s="3951"/>
      <c r="AT40" s="3951"/>
      <c r="AU40" s="3951"/>
      <c r="AV40" s="3951"/>
      <c r="AW40" s="2277"/>
      <c r="AX40" s="1909"/>
      <c r="AY40" s="2131">
        <f>IF(AC40="",0,VLOOKUP(AC40,Tablas!$B$1207:$C$1216,2)*VLOOKUP(W40,Tabla_CosteConjuros,3))</f>
        <v>0</v>
      </c>
    </row>
    <row r="41" spans="1:60" ht="12" customHeight="1" x14ac:dyDescent="0.2">
      <c r="A41" s="212"/>
      <c r="B41" s="1906"/>
      <c r="C41" s="3052"/>
      <c r="D41" s="3052"/>
      <c r="E41" s="3052"/>
      <c r="F41" s="3052"/>
      <c r="G41" s="3052"/>
      <c r="H41" s="26"/>
      <c r="I41" s="73"/>
      <c r="J41" s="3878"/>
      <c r="K41" s="3879"/>
      <c r="L41" s="3879"/>
      <c r="M41" s="3879"/>
      <c r="N41" s="3879"/>
      <c r="O41" s="3879"/>
      <c r="P41" s="2134" t="str">
        <f>IF(J41=0,"",VLOOKUP(J41,Tablas!$D$3413:$F$3582,2,FALSE))</f>
        <v/>
      </c>
      <c r="Q41" s="2107" t="str">
        <f>IF(J41=0,"",VLOOKUP(J41,Tablas!$D$3413:$F$3582,3,FALSE)*IF($P$25="Invocador",0.5,1))</f>
        <v/>
      </c>
      <c r="R41" s="73"/>
      <c r="S41" s="1917"/>
      <c r="T41" s="1675" t="str">
        <f t="shared" si="1"/>
        <v>Conjuros</v>
      </c>
      <c r="U41" s="212"/>
      <c r="V41" s="2120">
        <f>IF(AC41="",0,VLOOKUP(AC41,Tablas!$B$1207:$C$1216,2))</f>
        <v>0</v>
      </c>
      <c r="W41" s="3792"/>
      <c r="X41" s="3590"/>
      <c r="Y41" s="3812"/>
      <c r="Z41" s="3812"/>
      <c r="AA41" s="3812"/>
      <c r="AB41" s="3812"/>
      <c r="AC41" s="1816" t="str">
        <f>IF(Místicos!Y41=0,"",VLOOKUP(Místicos!Y41,Tablas!$D$2533:$F$3207,2,FALSE))</f>
        <v/>
      </c>
      <c r="AD41" s="2131" t="str">
        <f t="shared" si="0"/>
        <v/>
      </c>
      <c r="AE41" s="3792"/>
      <c r="AF41" s="3590"/>
      <c r="AG41" s="3812"/>
      <c r="AH41" s="3812"/>
      <c r="AI41" s="3812"/>
      <c r="AJ41" s="3812"/>
      <c r="AK41" s="2597"/>
      <c r="AL41" s="2121">
        <f>IF(Místicos!AG41=0,0,VLOOKUP(Místicos!AG41,Tablas!D2953:E3082,2,FALSE)-10)</f>
        <v>0</v>
      </c>
      <c r="AM41" s="212"/>
      <c r="AN41" s="2260"/>
      <c r="AO41" s="2265" t="s">
        <v>9493</v>
      </c>
      <c r="AP41" s="3950" t="s">
        <v>9513</v>
      </c>
      <c r="AQ41" s="3951"/>
      <c r="AR41" s="3951"/>
      <c r="AS41" s="3951"/>
      <c r="AT41" s="3951"/>
      <c r="AU41" s="3951"/>
      <c r="AV41" s="3951"/>
      <c r="AW41" s="2277"/>
      <c r="AX41" s="1909"/>
      <c r="AY41" s="2131">
        <f>IF(AC41="",0,VLOOKUP(AC41,Tablas!$B$1207:$C$1216,2)*VLOOKUP(W41,Tabla_CosteConjuros,3))</f>
        <v>0</v>
      </c>
    </row>
    <row r="42" spans="1:60" ht="12" customHeight="1" thickBot="1" x14ac:dyDescent="0.25">
      <c r="A42" s="212"/>
      <c r="B42" s="1906"/>
      <c r="C42" s="3870"/>
      <c r="D42" s="3870"/>
      <c r="E42" s="3870"/>
      <c r="F42" s="3870"/>
      <c r="G42" s="3870"/>
      <c r="H42" s="310"/>
      <c r="I42" s="73"/>
      <c r="J42" s="3876"/>
      <c r="K42" s="3877"/>
      <c r="L42" s="3877"/>
      <c r="M42" s="3877"/>
      <c r="N42" s="3877"/>
      <c r="O42" s="3877"/>
      <c r="P42" s="2135" t="str">
        <f>IF(J42=0,"",VLOOKUP(J42,Tablas!$D$3413:$F$3582,2,FALSE))</f>
        <v/>
      </c>
      <c r="Q42" s="2108" t="str">
        <f>IF(J42=0,"",VLOOKUP(J42,Tablas!$D$3413:$F$3582,3,FALSE)*IF($P$25="Invocador",0.5,1))</f>
        <v/>
      </c>
      <c r="R42" s="73"/>
      <c r="S42" s="1917"/>
      <c r="T42" s="1675" t="str">
        <f t="shared" si="1"/>
        <v>Conjuros</v>
      </c>
      <c r="U42" s="212"/>
      <c r="V42" s="2120">
        <f>IF(AC42="",0,VLOOKUP(AC42,Tablas!$B$1207:$C$1216,2))</f>
        <v>0</v>
      </c>
      <c r="W42" s="3799"/>
      <c r="X42" s="3587"/>
      <c r="Y42" s="3811"/>
      <c r="Z42" s="3811"/>
      <c r="AA42" s="3811"/>
      <c r="AB42" s="3811"/>
      <c r="AC42" s="2569" t="str">
        <f>IF(Místicos!Y42=0,"",VLOOKUP(Místicos!Y42,Tablas!$D$2533:$F$3207,2,FALSE))</f>
        <v/>
      </c>
      <c r="AD42" s="2131" t="str">
        <f t="shared" si="0"/>
        <v/>
      </c>
      <c r="AE42" s="3799"/>
      <c r="AF42" s="3587"/>
      <c r="AG42" s="3811"/>
      <c r="AH42" s="3811"/>
      <c r="AI42" s="3811"/>
      <c r="AJ42" s="3811"/>
      <c r="AK42" s="2567"/>
      <c r="AL42" s="2121">
        <f>IF(Místicos!AG42=0,0,VLOOKUP(Místicos!AG42,Tablas!D2954:E3083,2,FALSE)-10)</f>
        <v>0</v>
      </c>
      <c r="AM42" s="212"/>
      <c r="AN42" s="2260"/>
      <c r="AO42" s="2266">
        <v>-9</v>
      </c>
      <c r="AP42" s="3952" t="s">
        <v>9512</v>
      </c>
      <c r="AQ42" s="3953"/>
      <c r="AR42" s="3953"/>
      <c r="AS42" s="3953"/>
      <c r="AT42" s="3953"/>
      <c r="AU42" s="3953"/>
      <c r="AV42" s="3953"/>
      <c r="AW42" s="2277"/>
      <c r="AX42" s="1909"/>
      <c r="AY42" s="2131">
        <f>IF(AC42="",0,VLOOKUP(AC42,Tablas!$B$1207:$C$1216,2)*VLOOKUP(W42,Tabla_CosteConjuros,3))</f>
        <v>0</v>
      </c>
    </row>
    <row r="43" spans="1:60" ht="12" customHeight="1" thickBot="1" x14ac:dyDescent="0.25">
      <c r="A43" s="212"/>
      <c r="B43" s="1906"/>
      <c r="C43" s="3052"/>
      <c r="D43" s="3052"/>
      <c r="E43" s="3052"/>
      <c r="F43" s="3052"/>
      <c r="G43" s="3052"/>
      <c r="H43" s="26"/>
      <c r="I43" s="73"/>
      <c r="J43" s="3878"/>
      <c r="K43" s="3879"/>
      <c r="L43" s="3879"/>
      <c r="M43" s="3879"/>
      <c r="N43" s="3879"/>
      <c r="O43" s="3879"/>
      <c r="P43" s="2134" t="str">
        <f>IF(J43=0,"",VLOOKUP(J43,Tablas!$D$3413:$F$3582,2,FALSE))</f>
        <v/>
      </c>
      <c r="Q43" s="2107" t="str">
        <f>IF(J43=0,"",VLOOKUP(J43,Tablas!$D$3413:$F$3582,3,FALSE)*IF($P$25="Invocador",0.5,1))</f>
        <v/>
      </c>
      <c r="R43" s="73"/>
      <c r="S43" s="1917"/>
      <c r="T43" s="1675" t="str">
        <f t="shared" si="1"/>
        <v>Conjuros</v>
      </c>
      <c r="U43" s="212"/>
      <c r="V43" s="2120">
        <f>IF(AC43="",0,VLOOKUP(AC43,Tablas!$B$1207:$C$1216,2))</f>
        <v>0</v>
      </c>
      <c r="W43" s="3792"/>
      <c r="X43" s="3590"/>
      <c r="Y43" s="3812"/>
      <c r="Z43" s="3812"/>
      <c r="AA43" s="3812"/>
      <c r="AB43" s="3812"/>
      <c r="AC43" s="1816" t="str">
        <f>IF(Místicos!Y43=0,"",VLOOKUP(Místicos!Y43,Tablas!$D$2533:$F$3207,2,FALSE))</f>
        <v/>
      </c>
      <c r="AD43" s="2131" t="str">
        <f t="shared" si="0"/>
        <v/>
      </c>
      <c r="AE43" s="3792"/>
      <c r="AF43" s="3590"/>
      <c r="AG43" s="3812"/>
      <c r="AH43" s="3812"/>
      <c r="AI43" s="3812"/>
      <c r="AJ43" s="3812"/>
      <c r="AK43" s="2597"/>
      <c r="AL43" s="2121">
        <f>IF(Místicos!AG43=0,0,VLOOKUP(Místicos!AG43,Tablas!D2955:E3084,2,FALSE)-10)</f>
        <v>0</v>
      </c>
      <c r="AM43" s="212"/>
      <c r="AN43" s="2263"/>
      <c r="AO43" s="2262"/>
      <c r="AP43" s="2262"/>
      <c r="AQ43" s="2262"/>
      <c r="AR43" s="2262"/>
      <c r="AS43" s="2262"/>
      <c r="AT43" s="2262"/>
      <c r="AU43" s="2262"/>
      <c r="AV43" s="2262"/>
      <c r="AW43" s="2278"/>
      <c r="AX43" s="1909"/>
      <c r="AY43" s="2131">
        <f>IF(AC43="",0,VLOOKUP(AC43,Tablas!$B$1207:$C$1216,2)*VLOOKUP(W43,Tabla_CosteConjuros,3))</f>
        <v>0</v>
      </c>
    </row>
    <row r="44" spans="1:60" ht="12" customHeight="1" thickBot="1" x14ac:dyDescent="0.25">
      <c r="A44" s="212"/>
      <c r="B44" s="1906"/>
      <c r="C44" s="3870"/>
      <c r="D44" s="3870"/>
      <c r="E44" s="3870"/>
      <c r="F44" s="3870"/>
      <c r="G44" s="3870"/>
      <c r="H44" s="310"/>
      <c r="I44" s="73"/>
      <c r="J44" s="3876"/>
      <c r="K44" s="3877"/>
      <c r="L44" s="3877"/>
      <c r="M44" s="3877"/>
      <c r="N44" s="3877"/>
      <c r="O44" s="3877"/>
      <c r="P44" s="2135" t="str">
        <f>IF(J44=0,"",VLOOKUP(J44,Tablas!$D$3413:$F$3582,2,FALSE))</f>
        <v/>
      </c>
      <c r="Q44" s="2108" t="str">
        <f>IF(J44=0,"",VLOOKUP(J44,Tablas!$D$3413:$F$3582,3,FALSE)*IF($P$25="Invocador",0.5,1))</f>
        <v/>
      </c>
      <c r="R44" s="73"/>
      <c r="S44" s="1917"/>
      <c r="T44" s="1675" t="str">
        <f t="shared" si="1"/>
        <v>Conjuros</v>
      </c>
      <c r="U44" s="212"/>
      <c r="V44" s="2120">
        <f>IF(AC44="",0,VLOOKUP(AC44,Tablas!$B$1207:$C$1216,2))</f>
        <v>0</v>
      </c>
      <c r="W44" s="3799"/>
      <c r="X44" s="3587"/>
      <c r="Y44" s="3811"/>
      <c r="Z44" s="3811"/>
      <c r="AA44" s="3811"/>
      <c r="AB44" s="3811"/>
      <c r="AC44" s="2569" t="str">
        <f>IF(Místicos!Y44=0,"",VLOOKUP(Místicos!Y44,Tablas!$D$2533:$F$3207,2,FALSE))</f>
        <v/>
      </c>
      <c r="AD44" s="2131" t="str">
        <f t="shared" si="0"/>
        <v/>
      </c>
      <c r="AE44" s="3799"/>
      <c r="AF44" s="3587"/>
      <c r="AG44" s="3811"/>
      <c r="AH44" s="3811"/>
      <c r="AI44" s="3811"/>
      <c r="AJ44" s="3811"/>
      <c r="AK44" s="2567"/>
      <c r="AL44" s="2121">
        <f>IF(Místicos!AG44=0,0,VLOOKUP(Místicos!AG44,Tablas!D2956:E3085,2,FALSE)-10)</f>
        <v>0</v>
      </c>
      <c r="AM44" s="212"/>
      <c r="AN44" s="2260"/>
      <c r="AO44" s="3924" t="str">
        <f>IF(OR(AS10="General",AS10="Magia Natural"),"",AS10)</f>
        <v/>
      </c>
      <c r="AP44" s="3925"/>
      <c r="AQ44" s="3925"/>
      <c r="AR44" s="3925"/>
      <c r="AS44" s="3925"/>
      <c r="AT44" s="3925"/>
      <c r="AU44" s="3925"/>
      <c r="AV44" s="3926"/>
      <c r="AW44" s="2277"/>
      <c r="AX44" s="1909"/>
      <c r="AY44" s="2131">
        <f>IF(AC44="",0,VLOOKUP(AC44,Tablas!$B$1207:$C$1216,2)*VLOOKUP(W44,Tabla_CosteConjuros,3))</f>
        <v>0</v>
      </c>
      <c r="AZ44" s="1911" t="s">
        <v>9537</v>
      </c>
      <c r="BA44" s="1911" t="s">
        <v>9538</v>
      </c>
      <c r="BB44" s="1911" t="s">
        <v>9539</v>
      </c>
    </row>
    <row r="45" spans="1:60" ht="12" customHeight="1" thickBot="1" x14ac:dyDescent="0.25">
      <c r="A45" s="212"/>
      <c r="B45" s="1906"/>
      <c r="C45" s="3052"/>
      <c r="D45" s="3052"/>
      <c r="E45" s="3052"/>
      <c r="F45" s="3052"/>
      <c r="G45" s="3052"/>
      <c r="H45" s="26"/>
      <c r="I45" s="73"/>
      <c r="J45" s="3878"/>
      <c r="K45" s="3879"/>
      <c r="L45" s="3879"/>
      <c r="M45" s="3879"/>
      <c r="N45" s="3879"/>
      <c r="O45" s="3879"/>
      <c r="P45" s="2134" t="str">
        <f>IF(J45=0,"",VLOOKUP(J45,Tablas!$D$3413:$F$3582,2,FALSE))</f>
        <v/>
      </c>
      <c r="Q45" s="2107" t="str">
        <f>IF(J45=0,"",VLOOKUP(J45,Tablas!$D$3413:$F$3582,3,FALSE)*IF($P$25="Invocador",0.5,1))</f>
        <v/>
      </c>
      <c r="R45" s="73"/>
      <c r="S45" s="1917"/>
      <c r="T45" s="1675" t="str">
        <f t="shared" si="1"/>
        <v>Conjuros</v>
      </c>
      <c r="U45" s="212"/>
      <c r="V45" s="2120">
        <f>IF(AC45="",0,VLOOKUP(AC45,Tablas!$B$1207:$C$1216,2))</f>
        <v>0</v>
      </c>
      <c r="W45" s="3792"/>
      <c r="X45" s="3590"/>
      <c r="Y45" s="3812"/>
      <c r="Z45" s="3812"/>
      <c r="AA45" s="3812"/>
      <c r="AB45" s="3812"/>
      <c r="AC45" s="1816" t="str">
        <f>IF(Místicos!Y45=0,"",VLOOKUP(Místicos!Y45,Tablas!$D$2533:$F$3207,2,FALSE))</f>
        <v/>
      </c>
      <c r="AD45" s="2131" t="str">
        <f t="shared" si="0"/>
        <v/>
      </c>
      <c r="AE45" s="3792"/>
      <c r="AF45" s="3590"/>
      <c r="AG45" s="3812"/>
      <c r="AH45" s="3812"/>
      <c r="AI45" s="3812"/>
      <c r="AJ45" s="3812"/>
      <c r="AK45" s="2597"/>
      <c r="AL45" s="2121">
        <f>IF(Místicos!AG45=0,0,VLOOKUP(Místicos!AG45,Tablas!D2957:E3086,2,FALSE)-10)</f>
        <v>0</v>
      </c>
      <c r="AM45" s="212"/>
      <c r="AN45" s="2260"/>
      <c r="AW45" s="2277"/>
      <c r="AX45" s="1909"/>
      <c r="AY45" s="2131">
        <f>IF(AC45="",0,VLOOKUP(AC45,Tablas!$B$1207:$C$1216,2)*VLOOKUP(W45,Tabla_CosteConjuros,3))</f>
        <v>0</v>
      </c>
      <c r="AZ45" s="2279" t="b">
        <f>$AO$44="Onmyodo"</f>
        <v>0</v>
      </c>
      <c r="BA45" s="2279" t="b">
        <f>$AO$44="Vodoun"</f>
        <v>0</v>
      </c>
      <c r="BB45" s="2279" t="b">
        <f>$AO$44="Shamanica"</f>
        <v>0</v>
      </c>
    </row>
    <row r="46" spans="1:60" ht="12" customHeight="1" x14ac:dyDescent="0.2">
      <c r="A46" s="212"/>
      <c r="B46" s="1906"/>
      <c r="C46" s="3870"/>
      <c r="D46" s="3870"/>
      <c r="E46" s="3870"/>
      <c r="F46" s="3870"/>
      <c r="G46" s="3870"/>
      <c r="H46" s="310"/>
      <c r="I46" s="73"/>
      <c r="J46" s="3876"/>
      <c r="K46" s="3877"/>
      <c r="L46" s="3877"/>
      <c r="M46" s="3877"/>
      <c r="N46" s="3877"/>
      <c r="O46" s="3877"/>
      <c r="P46" s="2135" t="str">
        <f>IF(J46=0,"",VLOOKUP(J46,Tablas!$D$3413:$F$3582,2,FALSE))</f>
        <v/>
      </c>
      <c r="Q46" s="2108" t="str">
        <f>IF(J46=0,"",VLOOKUP(J46,Tablas!$D$3413:$F$3582,3,FALSE)*IF($P$25="Invocador",0.5,1))</f>
        <v/>
      </c>
      <c r="R46" s="73"/>
      <c r="S46" s="1917"/>
      <c r="T46" s="1675" t="str">
        <f t="shared" si="1"/>
        <v>Conjuros</v>
      </c>
      <c r="U46" s="212"/>
      <c r="V46" s="2120">
        <f>IF(AC46="",0,VLOOKUP(AC46,Tablas!$B$1207:$C$1216,2))</f>
        <v>0</v>
      </c>
      <c r="W46" s="3799"/>
      <c r="X46" s="3587"/>
      <c r="Y46" s="3811"/>
      <c r="Z46" s="3811"/>
      <c r="AA46" s="3811"/>
      <c r="AB46" s="3811"/>
      <c r="AC46" s="2569" t="str">
        <f>IF(Místicos!Y46=0,"",VLOOKUP(Místicos!Y46,Tablas!$D$2533:$F$3207,2,FALSE))</f>
        <v/>
      </c>
      <c r="AD46" s="2131" t="str">
        <f t="shared" si="0"/>
        <v/>
      </c>
      <c r="AE46" s="3799"/>
      <c r="AF46" s="3587"/>
      <c r="AG46" s="3811"/>
      <c r="AH46" s="3811"/>
      <c r="AI46" s="3811"/>
      <c r="AJ46" s="3811"/>
      <c r="AK46" s="2567"/>
      <c r="AL46" s="2121">
        <f>IF(Místicos!AG46=0,0,VLOOKUP(Místicos!AG46,Tablas!D2958:E3087,2,FALSE)-10)</f>
        <v>0</v>
      </c>
      <c r="AM46" s="212"/>
      <c r="AN46" s="2260"/>
      <c r="AO46" s="3801"/>
      <c r="AP46" s="3802"/>
      <c r="AQ46" s="3800" t="str">
        <f>IF($AZ$45,"Caligrafía ritual",IF($BA$45,"Vínculos Físicos",IF($BB$45,"Zonas Espirituales","""")))</f>
        <v>"</v>
      </c>
      <c r="AR46" s="3800"/>
      <c r="AS46" s="3800"/>
      <c r="AT46" s="3800"/>
      <c r="AU46" s="3965"/>
      <c r="AV46" s="3966"/>
      <c r="AW46" s="2277"/>
      <c r="AX46" s="1909"/>
      <c r="AY46" s="2131">
        <f>IF(AC46="",0,VLOOKUP(AC46,Tablas!$B$1207:$C$1216,2)*VLOOKUP(W46,Tabla_CosteConjuros,3))</f>
        <v>0</v>
      </c>
    </row>
    <row r="47" spans="1:60" ht="12" customHeight="1" x14ac:dyDescent="0.2">
      <c r="A47" s="212"/>
      <c r="B47" s="1906"/>
      <c r="C47" s="3052"/>
      <c r="D47" s="3052"/>
      <c r="E47" s="3052"/>
      <c r="F47" s="3052"/>
      <c r="G47" s="3052"/>
      <c r="H47" s="26"/>
      <c r="I47" s="73"/>
      <c r="J47" s="3878"/>
      <c r="K47" s="3879"/>
      <c r="L47" s="3879"/>
      <c r="M47" s="3879"/>
      <c r="N47" s="3879"/>
      <c r="O47" s="3879"/>
      <c r="P47" s="2134" t="str">
        <f>IF(J47=0,"",VLOOKUP(J47,Tablas!$D$3413:$F$3582,2,FALSE))</f>
        <v/>
      </c>
      <c r="Q47" s="2107" t="str">
        <f>IF(J47=0,"",VLOOKUP(J47,Tablas!$D$3413:$F$3582,3,FALSE)*IF($P$25="Invocador",0.5,1))</f>
        <v/>
      </c>
      <c r="R47" s="73"/>
      <c r="S47" s="1917"/>
      <c r="T47" s="1675" t="str">
        <f t="shared" si="1"/>
        <v>Conjuros</v>
      </c>
      <c r="U47" s="212"/>
      <c r="V47" s="2120">
        <f>IF(AC47="",0,VLOOKUP(AC47,Tablas!$B$1207:$C$1216,2))</f>
        <v>0</v>
      </c>
      <c r="W47" s="3792"/>
      <c r="X47" s="3590"/>
      <c r="Y47" s="3812"/>
      <c r="Z47" s="3812"/>
      <c r="AA47" s="3812"/>
      <c r="AB47" s="3812"/>
      <c r="AC47" s="1816" t="str">
        <f>IF(Místicos!Y47=0,"",VLOOKUP(Místicos!Y47,Tablas!$D$2533:$F$3207,2,FALSE))</f>
        <v/>
      </c>
      <c r="AD47" s="2131" t="str">
        <f t="shared" si="0"/>
        <v/>
      </c>
      <c r="AE47" s="3792"/>
      <c r="AF47" s="3590"/>
      <c r="AG47" s="3812"/>
      <c r="AH47" s="3812"/>
      <c r="AI47" s="3812"/>
      <c r="AJ47" s="3812"/>
      <c r="AK47" s="2597"/>
      <c r="AL47" s="2121">
        <f>IF(Místicos!AG47=0,0,VLOOKUP(Místicos!AG47,Tablas!D2959:E3088,2,FALSE)-10)</f>
        <v>0</v>
      </c>
      <c r="AM47" s="212"/>
      <c r="AN47" s="2260"/>
      <c r="AO47" s="3777" t="str">
        <f>IF($AZ$45,"Nv. Conjuro  Dif.",IF($BA$45,"",IF($BB$45,"Tipo de zona","""")))</f>
        <v>"</v>
      </c>
      <c r="AP47" s="3778"/>
      <c r="AQ47" s="3817" t="str">
        <f>IF($AZ$45,"Tiempo empleado en la preparación",IF($BA$45,"Objeto a consumir - Bono a RM",IF($BB$45,"Descripción","")))</f>
        <v/>
      </c>
      <c r="AR47" s="3817"/>
      <c r="AS47" s="3817"/>
      <c r="AT47" s="3817"/>
      <c r="AU47" s="3817" t="str">
        <f>IF($AZ$45,"Bono",IF($BA$45,"",IF($BB$45,"Llamar espíritus","")))</f>
        <v/>
      </c>
      <c r="AV47" s="3983"/>
      <c r="AW47" s="2277"/>
      <c r="AX47" s="1909"/>
      <c r="AY47" s="2131">
        <f>IF(AC47="",0,VLOOKUP(AC47,Tablas!$B$1207:$C$1216,2)*VLOOKUP(W47,Tabla_CosteConjuros,3))</f>
        <v>0</v>
      </c>
      <c r="AZ47" s="3816" t="s">
        <v>9536</v>
      </c>
      <c r="BA47" s="3816"/>
      <c r="BB47" s="3816"/>
      <c r="BC47" s="3816" t="s">
        <v>9548</v>
      </c>
      <c r="BD47" s="3816"/>
      <c r="BE47" s="3816"/>
      <c r="BF47" s="3816" t="s">
        <v>9549</v>
      </c>
      <c r="BG47" s="3816"/>
      <c r="BH47" s="3816"/>
    </row>
    <row r="48" spans="1:60" ht="12" customHeight="1" x14ac:dyDescent="0.2">
      <c r="A48" s="212"/>
      <c r="B48" s="1906"/>
      <c r="C48" s="3870"/>
      <c r="D48" s="3870"/>
      <c r="E48" s="3870"/>
      <c r="F48" s="3870"/>
      <c r="G48" s="3870"/>
      <c r="H48" s="310"/>
      <c r="I48" s="73"/>
      <c r="J48" s="3876"/>
      <c r="K48" s="3877"/>
      <c r="L48" s="3877"/>
      <c r="M48" s="3877"/>
      <c r="N48" s="3877"/>
      <c r="O48" s="3877"/>
      <c r="P48" s="2135" t="str">
        <f>IF(J48=0,"",VLOOKUP(J48,Tablas!$D$3413:$F$3582,2,FALSE))</f>
        <v/>
      </c>
      <c r="Q48" s="2108" t="str">
        <f>IF(J48=0,"",VLOOKUP(J48,Tablas!$D$3413:$F$3582,3,FALSE)*IF($P$25="Invocador",0.5,1))</f>
        <v/>
      </c>
      <c r="R48" s="73"/>
      <c r="S48" s="1917"/>
      <c r="T48" s="1675" t="str">
        <f t="shared" si="1"/>
        <v>Conjuros</v>
      </c>
      <c r="U48" s="212"/>
      <c r="V48" s="2120">
        <f>IF(AC48="",0,VLOOKUP(AC48,Tablas!$B$1207:$C$1216,2))</f>
        <v>0</v>
      </c>
      <c r="W48" s="3799"/>
      <c r="X48" s="3587"/>
      <c r="Y48" s="3811"/>
      <c r="Z48" s="3811"/>
      <c r="AA48" s="3811"/>
      <c r="AB48" s="3811"/>
      <c r="AC48" s="2569" t="str">
        <f>IF(Místicos!Y48=0,"",VLOOKUP(Místicos!Y48,Tablas!$D$2533:$F$3207,2,FALSE))</f>
        <v/>
      </c>
      <c r="AD48" s="2131" t="str">
        <f t="shared" si="0"/>
        <v/>
      </c>
      <c r="AE48" s="3799"/>
      <c r="AF48" s="3587"/>
      <c r="AG48" s="3811"/>
      <c r="AH48" s="3811"/>
      <c r="AI48" s="3811"/>
      <c r="AJ48" s="3811"/>
      <c r="AK48" s="2567"/>
      <c r="AL48" s="2121">
        <f>IF(Místicos!AG48=0,0,VLOOKUP(Místicos!AG48,Tablas!D2960:E3089,2,FALSE)-10)</f>
        <v>0</v>
      </c>
      <c r="AM48" s="212"/>
      <c r="AN48" s="2260"/>
      <c r="AO48" s="3803" t="str">
        <f>IF($AZ$45,AZ48,IF($BA$45,BA48,IF($BB$45,BB48,"")))</f>
        <v/>
      </c>
      <c r="AP48" s="3804"/>
      <c r="AQ48" s="3779" t="str">
        <f>IF($AZ$45,BC48,IF($BA$45,BD48,IF($BB$45,BE48,"")))</f>
        <v/>
      </c>
      <c r="AR48" s="3779"/>
      <c r="AS48" s="3779"/>
      <c r="AT48" s="3779"/>
      <c r="AU48" s="3779" t="str">
        <f t="shared" ref="AU48:AU55" si="2">IF($AZ$45,BF48,IF($BA$45,BG48,IF($BB$45,BH48,"")))</f>
        <v/>
      </c>
      <c r="AV48" s="3783"/>
      <c r="AW48" s="2277"/>
      <c r="AX48" s="1909"/>
      <c r="AY48" s="2131">
        <f>IF(AC48="",0,VLOOKUP(AC48,Tablas!$B$1207:$C$1216,2)*VLOOKUP(W48,Tabla_CosteConjuros,3))</f>
        <v>0</v>
      </c>
      <c r="AZ48" s="2690" t="s">
        <v>9859</v>
      </c>
      <c r="BA48" s="2690" t="s">
        <v>9535</v>
      </c>
      <c r="BB48" s="2690" t="s">
        <v>9531</v>
      </c>
      <c r="BC48" s="2690" t="s">
        <v>9540</v>
      </c>
      <c r="BD48" s="2690" t="s">
        <v>9563</v>
      </c>
      <c r="BE48" s="2690" t="s">
        <v>9543</v>
      </c>
      <c r="BF48" s="2690">
        <v>-40</v>
      </c>
      <c r="BG48" s="2690" t="s">
        <v>9535</v>
      </c>
      <c r="BH48" s="2690" t="s">
        <v>2310</v>
      </c>
    </row>
    <row r="49" spans="1:62" ht="12" customHeight="1" x14ac:dyDescent="0.2">
      <c r="A49" s="212"/>
      <c r="B49" s="1906"/>
      <c r="C49" s="3052"/>
      <c r="D49" s="3052"/>
      <c r="E49" s="3052"/>
      <c r="F49" s="3052"/>
      <c r="G49" s="3052"/>
      <c r="H49" s="26"/>
      <c r="I49" s="73"/>
      <c r="J49" s="3878"/>
      <c r="K49" s="3879"/>
      <c r="L49" s="3879"/>
      <c r="M49" s="3879"/>
      <c r="N49" s="3879"/>
      <c r="O49" s="3879"/>
      <c r="P49" s="2134" t="str">
        <f>IF(J49=0,"",VLOOKUP(J49,Tablas!$D$3413:$F$3582,2,FALSE))</f>
        <v/>
      </c>
      <c r="Q49" s="2107" t="str">
        <f>IF(J49=0,"",VLOOKUP(J49,Tablas!$D$3413:$F$3582,3,FALSE)*IF($P$25="Invocador",0.5,1))</f>
        <v/>
      </c>
      <c r="R49" s="73"/>
      <c r="S49" s="1917"/>
      <c r="T49" s="1675" t="str">
        <f t="shared" si="1"/>
        <v>Conjuros</v>
      </c>
      <c r="U49" s="212"/>
      <c r="V49" s="2120">
        <f>IF(AC49="",0,VLOOKUP(AC49,Tablas!$B$1207:$C$1216,2))</f>
        <v>0</v>
      </c>
      <c r="W49" s="3792"/>
      <c r="X49" s="3590"/>
      <c r="Y49" s="3812"/>
      <c r="Z49" s="3812"/>
      <c r="AA49" s="3812"/>
      <c r="AB49" s="3812"/>
      <c r="AC49" s="1816" t="str">
        <f>IF(Místicos!Y49=0,"",VLOOKUP(Místicos!Y49,Tablas!$D$2533:$F$3207,2,FALSE))</f>
        <v/>
      </c>
      <c r="AD49" s="2131" t="str">
        <f t="shared" si="0"/>
        <v/>
      </c>
      <c r="AE49" s="3792"/>
      <c r="AF49" s="3590"/>
      <c r="AG49" s="3812"/>
      <c r="AH49" s="3812"/>
      <c r="AI49" s="3812"/>
      <c r="AJ49" s="3812"/>
      <c r="AK49" s="2597"/>
      <c r="AL49" s="2121">
        <f>IF(Místicos!AG49=0,0,VLOOKUP(Místicos!AG49,Tablas!D2961:E3090,2,FALSE)-10)</f>
        <v>0</v>
      </c>
      <c r="AM49" s="212"/>
      <c r="AN49" s="2260"/>
      <c r="AO49" s="3803" t="str">
        <f t="shared" ref="AO49:AO52" si="3">IF($AZ$45,AZ49,IF($BA$45,BA49,IF($BB$45,BB49,"")))</f>
        <v/>
      </c>
      <c r="AP49" s="3804"/>
      <c r="AQ49" s="3779" t="str">
        <f t="shared" ref="AQ49:AQ52" si="4">IF($AZ$45,BC49,IF($BA$45,BD49,IF($BB$45,BE49,"")))</f>
        <v/>
      </c>
      <c r="AR49" s="3779"/>
      <c r="AS49" s="3779"/>
      <c r="AT49" s="3779"/>
      <c r="AU49" s="3779" t="str">
        <f t="shared" si="2"/>
        <v/>
      </c>
      <c r="AV49" s="3783"/>
      <c r="AW49" s="2277"/>
      <c r="AX49" s="1909"/>
      <c r="AY49" s="2131">
        <f>IF(AC49="",0,VLOOKUP(AC49,Tablas!$B$1207:$C$1216,2)*VLOOKUP(W49,Tabla_CosteConjuros,3))</f>
        <v>0</v>
      </c>
      <c r="AZ49" s="2690" t="s">
        <v>9860</v>
      </c>
      <c r="BA49" s="2690" t="s">
        <v>9535</v>
      </c>
      <c r="BB49" s="2690" t="s">
        <v>9532</v>
      </c>
      <c r="BC49" s="2690" t="s">
        <v>9541</v>
      </c>
      <c r="BD49" s="2690" t="s">
        <v>9564</v>
      </c>
      <c r="BE49" s="2690" t="s">
        <v>9544</v>
      </c>
      <c r="BF49" s="2690">
        <v>-20</v>
      </c>
      <c r="BG49" s="2690" t="s">
        <v>9535</v>
      </c>
      <c r="BH49" s="2690" t="s">
        <v>9550</v>
      </c>
    </row>
    <row r="50" spans="1:62" ht="12" customHeight="1" thickBot="1" x14ac:dyDescent="0.25">
      <c r="A50" s="212"/>
      <c r="B50" s="1906"/>
      <c r="C50" s="3870"/>
      <c r="D50" s="3870"/>
      <c r="E50" s="3870"/>
      <c r="F50" s="3870"/>
      <c r="G50" s="3870"/>
      <c r="H50" s="310"/>
      <c r="I50" s="73"/>
      <c r="J50" s="3876"/>
      <c r="K50" s="3877"/>
      <c r="L50" s="3877"/>
      <c r="M50" s="3877"/>
      <c r="N50" s="3877"/>
      <c r="O50" s="3877"/>
      <c r="P50" s="2135" t="str">
        <f>IF(J50=0,"",VLOOKUP(J50,Tablas!$D$3413:$F$3582,2,FALSE))</f>
        <v/>
      </c>
      <c r="Q50" s="2108" t="str">
        <f>IF(J50=0,"",VLOOKUP(J50,Tablas!$D$3413:$F$3582,3,FALSE)*IF($P$25="Invocador",0.5,1))</f>
        <v/>
      </c>
      <c r="R50" s="73"/>
      <c r="S50" s="1917"/>
      <c r="T50" s="1675" t="str">
        <f t="shared" si="1"/>
        <v>Conjuros</v>
      </c>
      <c r="U50" s="212"/>
      <c r="V50" s="2120">
        <f>IF(AC50="",0,VLOOKUP(AC50,Tablas!$B$1207:$C$1216,2))</f>
        <v>0</v>
      </c>
      <c r="W50" s="3881"/>
      <c r="X50" s="3882"/>
      <c r="Y50" s="3880"/>
      <c r="Z50" s="3880"/>
      <c r="AA50" s="3880"/>
      <c r="AB50" s="3880"/>
      <c r="AC50" s="2570" t="str">
        <f>IF(Místicos!Y50=0,"",VLOOKUP(Místicos!Y50,Tablas!$D$2533:$F$3207,2,FALSE))</f>
        <v/>
      </c>
      <c r="AD50" s="2131" t="str">
        <f t="shared" si="0"/>
        <v/>
      </c>
      <c r="AE50" s="3881"/>
      <c r="AF50" s="3882"/>
      <c r="AG50" s="3880"/>
      <c r="AH50" s="3880"/>
      <c r="AI50" s="3880"/>
      <c r="AJ50" s="3880"/>
      <c r="AK50" s="2568"/>
      <c r="AL50" s="2121">
        <f>IF(Místicos!AG50=0,0,VLOOKUP(Místicos!AG50,Tablas!D2962:E3091,2,FALSE)-10)</f>
        <v>0</v>
      </c>
      <c r="AM50" s="212"/>
      <c r="AN50" s="2260"/>
      <c r="AO50" s="3803" t="str">
        <f t="shared" si="3"/>
        <v/>
      </c>
      <c r="AP50" s="3804"/>
      <c r="AQ50" s="3779" t="str">
        <f t="shared" si="4"/>
        <v/>
      </c>
      <c r="AR50" s="3779"/>
      <c r="AS50" s="3779"/>
      <c r="AT50" s="3779"/>
      <c r="AU50" s="3779" t="str">
        <f t="shared" si="2"/>
        <v/>
      </c>
      <c r="AV50" s="3783"/>
      <c r="AW50" s="2277"/>
      <c r="AX50" s="1909"/>
      <c r="AY50" s="2131">
        <f>IF(AC50="",0,VLOOKUP(AC50,Tablas!$B$1207:$C$1216,2)*VLOOKUP(W50,Tabla_CosteConjuros,3))</f>
        <v>0</v>
      </c>
      <c r="AZ50" s="2690" t="s">
        <v>9861</v>
      </c>
      <c r="BA50" s="2690" t="s">
        <v>9535</v>
      </c>
      <c r="BB50" s="2690" t="s">
        <v>2443</v>
      </c>
      <c r="BC50" s="2690" t="s">
        <v>9542</v>
      </c>
      <c r="BD50" s="2690" t="s">
        <v>9565</v>
      </c>
      <c r="BE50" s="2690" t="s">
        <v>9545</v>
      </c>
      <c r="BF50" s="2690">
        <v>0</v>
      </c>
      <c r="BG50" s="2690" t="s">
        <v>9535</v>
      </c>
      <c r="BH50" s="2690" t="s">
        <v>9551</v>
      </c>
    </row>
    <row r="51" spans="1:62" ht="12" customHeight="1" thickBot="1" x14ac:dyDescent="0.25">
      <c r="A51" s="212"/>
      <c r="B51" s="1906"/>
      <c r="C51" s="3052"/>
      <c r="D51" s="3052"/>
      <c r="E51" s="3052"/>
      <c r="F51" s="3052"/>
      <c r="G51" s="3052"/>
      <c r="H51" s="26"/>
      <c r="I51" s="73"/>
      <c r="J51" s="3878"/>
      <c r="K51" s="3879"/>
      <c r="L51" s="3879"/>
      <c r="M51" s="3879"/>
      <c r="N51" s="3879"/>
      <c r="O51" s="3879"/>
      <c r="P51" s="2063" t="str">
        <f>IF(J51=0,"",VLOOKUP(J51,Tablas!$D$3413:$F$3582,2,FALSE))</f>
        <v/>
      </c>
      <c r="Q51" s="2107" t="str">
        <f>IF(J51=0,"",VLOOKUP(J51,Tablas!$D$3413:$F$3582,3,FALSE)*IF($P$25="Invocador",0.5,1))</f>
        <v/>
      </c>
      <c r="R51" s="73"/>
      <c r="S51" s="1917"/>
      <c r="T51" s="1675"/>
      <c r="U51" s="212"/>
      <c r="V51" s="2122"/>
      <c r="W51" s="73"/>
      <c r="X51" s="73"/>
      <c r="Y51" s="73"/>
      <c r="Z51" s="73"/>
      <c r="AA51" s="73"/>
      <c r="AB51" s="73"/>
      <c r="AC51" s="73"/>
      <c r="AD51" s="73"/>
      <c r="AE51" s="73"/>
      <c r="AF51" s="73"/>
      <c r="AG51" s="73"/>
      <c r="AH51" s="73"/>
      <c r="AI51" s="73"/>
      <c r="AJ51" s="73"/>
      <c r="AK51" s="73"/>
      <c r="AL51" s="2123"/>
      <c r="AM51" s="212"/>
      <c r="AN51" s="2260"/>
      <c r="AO51" s="3803" t="str">
        <f t="shared" si="3"/>
        <v/>
      </c>
      <c r="AP51" s="3804"/>
      <c r="AQ51" s="3779" t="str">
        <f t="shared" si="4"/>
        <v/>
      </c>
      <c r="AR51" s="3779"/>
      <c r="AS51" s="3779"/>
      <c r="AT51" s="3779"/>
      <c r="AU51" s="3779" t="str">
        <f t="shared" si="2"/>
        <v/>
      </c>
      <c r="AV51" s="3783"/>
      <c r="AW51" s="2277"/>
      <c r="AX51" s="1909"/>
      <c r="AY51" s="2131">
        <f>IF(AC51="",0,VLOOKUP(AC51,Tablas!$B$1207:$C$1216,2)*VLOOKUP(AA51,Tabla_CosteConjuros,3))</f>
        <v>0</v>
      </c>
      <c r="AZ51" s="2690" t="s">
        <v>9862</v>
      </c>
      <c r="BA51" s="2690" t="s">
        <v>9535</v>
      </c>
      <c r="BB51" s="2690" t="s">
        <v>9533</v>
      </c>
      <c r="BC51" s="2690" t="s">
        <v>8538</v>
      </c>
      <c r="BD51" s="2690" t="s">
        <v>9566</v>
      </c>
      <c r="BE51" s="2690" t="s">
        <v>9546</v>
      </c>
      <c r="BF51" s="2690">
        <v>20</v>
      </c>
      <c r="BG51" s="2690" t="s">
        <v>9535</v>
      </c>
      <c r="BH51" s="2690" t="s">
        <v>9551</v>
      </c>
    </row>
    <row r="52" spans="1:62" ht="12" customHeight="1" thickBot="1" x14ac:dyDescent="0.25">
      <c r="A52" s="212"/>
      <c r="B52" s="1906"/>
      <c r="C52" s="3870"/>
      <c r="D52" s="3870"/>
      <c r="E52" s="3870"/>
      <c r="F52" s="3870"/>
      <c r="G52" s="3870"/>
      <c r="H52" s="310"/>
      <c r="I52" s="73"/>
      <c r="J52" s="3876"/>
      <c r="K52" s="3877"/>
      <c r="L52" s="3877"/>
      <c r="M52" s="3877"/>
      <c r="N52" s="3877"/>
      <c r="O52" s="3877"/>
      <c r="P52" s="2064" t="str">
        <f>IF(J52=0,"",VLOOKUP(J52,Tablas!$D$3413:$F$3582,2,FALSE))</f>
        <v/>
      </c>
      <c r="Q52" s="2108" t="str">
        <f>IF(J52=0,"",VLOOKUP(J52,Tablas!$D$3413:$F$3582,3,FALSE)*IF($P$25="Invocador",0.5,1))</f>
        <v/>
      </c>
      <c r="R52" s="73"/>
      <c r="S52" s="1917"/>
      <c r="T52" s="1675"/>
      <c r="U52" s="212"/>
      <c r="V52" s="2122"/>
      <c r="W52" s="3136" t="s">
        <v>2593</v>
      </c>
      <c r="X52" s="3137"/>
      <c r="Y52" s="3137"/>
      <c r="Z52" s="3137"/>
      <c r="AA52" s="3137"/>
      <c r="AB52" s="3885" t="s">
        <v>2407</v>
      </c>
      <c r="AC52" s="3885"/>
      <c r="AD52" s="3885"/>
      <c r="AE52" s="3885"/>
      <c r="AF52" s="3885"/>
      <c r="AG52" s="3885"/>
      <c r="AH52" s="3885"/>
      <c r="AI52" s="3885"/>
      <c r="AJ52" s="3885"/>
      <c r="AK52" s="3886"/>
      <c r="AL52" s="2123"/>
      <c r="AM52" s="212"/>
      <c r="AN52" s="2260"/>
      <c r="AO52" s="3803" t="str">
        <f t="shared" si="3"/>
        <v/>
      </c>
      <c r="AP52" s="3804"/>
      <c r="AQ52" s="3779" t="str">
        <f t="shared" si="4"/>
        <v/>
      </c>
      <c r="AR52" s="3779"/>
      <c r="AS52" s="3779"/>
      <c r="AT52" s="3779"/>
      <c r="AU52" s="3779" t="str">
        <f t="shared" si="2"/>
        <v/>
      </c>
      <c r="AV52" s="3783"/>
      <c r="AW52" s="2277"/>
      <c r="AX52" s="1909"/>
      <c r="AY52" s="2131">
        <f>IF(AC52="",0,VLOOKUP(AC52,Tablas!$B$1207:$C$1216,2)*VLOOKUP(AA52,Tabla_CosteConjuros,3))</f>
        <v>0</v>
      </c>
      <c r="AZ52" s="2690" t="s">
        <v>9863</v>
      </c>
      <c r="BA52" s="2690" t="s">
        <v>9535</v>
      </c>
      <c r="BB52" s="2690" t="s">
        <v>9534</v>
      </c>
      <c r="BC52" s="2690" t="s">
        <v>5454</v>
      </c>
      <c r="BD52" s="2690" t="s">
        <v>9567</v>
      </c>
      <c r="BE52" s="2690" t="s">
        <v>9547</v>
      </c>
      <c r="BF52" s="2690">
        <v>40</v>
      </c>
      <c r="BG52" s="2690" t="s">
        <v>9535</v>
      </c>
      <c r="BH52" s="2690" t="s">
        <v>9552</v>
      </c>
    </row>
    <row r="53" spans="1:62" ht="12" customHeight="1" x14ac:dyDescent="0.2">
      <c r="A53" s="212"/>
      <c r="B53" s="1906"/>
      <c r="C53" s="3052"/>
      <c r="D53" s="3052"/>
      <c r="E53" s="3052"/>
      <c r="F53" s="3052"/>
      <c r="G53" s="3052"/>
      <c r="H53" s="26"/>
      <c r="I53" s="73"/>
      <c r="J53" s="3878"/>
      <c r="K53" s="3879"/>
      <c r="L53" s="3879"/>
      <c r="M53" s="3879"/>
      <c r="N53" s="3879"/>
      <c r="O53" s="3879"/>
      <c r="P53" s="2063" t="str">
        <f>IF(J53=0,"",VLOOKUP(J53,Tablas!$D$3413:$F$3582,2,FALSE))</f>
        <v/>
      </c>
      <c r="Q53" s="2107" t="str">
        <f>IF(J53=0,"",VLOOKUP(J53,Tablas!$D$3413:$F$3582,3,FALSE)*IF($P$25="Invocador",0.5,1))</f>
        <v/>
      </c>
      <c r="R53" s="73"/>
      <c r="S53" s="1917"/>
      <c r="T53" s="1675"/>
      <c r="U53" s="212"/>
      <c r="V53" s="2122"/>
      <c r="W53" s="3890" t="str">
        <f>IF(SUM(Tablas!B2328:E2369)=0,"",IF(Tablas!A1&gt;MAX(Tablas!$B$2328:$B$2369),"",VLOOKUP(Tablas!A1,Tablas!$B$2328:$F$2369,2,FALSE)))</f>
        <v/>
      </c>
      <c r="X53" s="3684"/>
      <c r="Y53" s="3684"/>
      <c r="Z53" s="3684"/>
      <c r="AA53" s="3684"/>
      <c r="AB53" s="3672" t="str">
        <f>IF(SUM(Tablas!$B$2328:$B$2369)=0,"",IF(Tablas!A1&gt;MAX(Tablas!$B$2328:$B$2369),"",VLOOKUP(Tablas!A1,Tablas!$B$2328:$F$2369,4,FALSE)))</f>
        <v/>
      </c>
      <c r="AC53" s="3891"/>
      <c r="AD53" s="3891"/>
      <c r="AE53" s="3891"/>
      <c r="AF53" s="3891"/>
      <c r="AG53" s="3891"/>
      <c r="AH53" s="3891"/>
      <c r="AI53" s="3891"/>
      <c r="AJ53" s="3891"/>
      <c r="AK53" s="3892"/>
      <c r="AL53" s="2123"/>
      <c r="AM53" s="212"/>
      <c r="AN53" s="2260"/>
      <c r="AO53" s="3803" t="str">
        <f>IF($AZ$45,AZ53,IF($BA$45,BA53,IF($BB$45,BB53,"")))</f>
        <v/>
      </c>
      <c r="AP53" s="3804"/>
      <c r="AQ53" s="3779" t="str">
        <f>IF($AZ$45,BC53,IF($BA$45,BD53,IF($BB$45,BE53,"")))</f>
        <v/>
      </c>
      <c r="AR53" s="3779"/>
      <c r="AS53" s="3779"/>
      <c r="AT53" s="3779"/>
      <c r="AU53" s="3779" t="str">
        <f t="shared" si="2"/>
        <v/>
      </c>
      <c r="AV53" s="3783"/>
      <c r="AW53" s="2277"/>
      <c r="AX53" s="1909"/>
      <c r="AY53" s="2131">
        <f>IF(AC53="",0,VLOOKUP(AC53,Tablas!$B$1207:$C$1216,2)*VLOOKUP(AA53,Tabla_CosteConjuros,3))</f>
        <v>0</v>
      </c>
      <c r="AZ53" s="2690" t="s">
        <v>9864</v>
      </c>
      <c r="BA53" s="2690" t="s">
        <v>9535</v>
      </c>
      <c r="BB53" s="2690" t="s">
        <v>9535</v>
      </c>
      <c r="BC53" s="2690" t="s">
        <v>5455</v>
      </c>
      <c r="BD53" s="2690" t="s">
        <v>9568</v>
      </c>
      <c r="BE53" s="2690" t="s">
        <v>9535</v>
      </c>
      <c r="BF53" s="2690">
        <v>80</v>
      </c>
      <c r="BG53" s="2690" t="s">
        <v>9535</v>
      </c>
      <c r="BH53" s="2690" t="s">
        <v>9535</v>
      </c>
    </row>
    <row r="54" spans="1:62" ht="12" customHeight="1" thickBot="1" x14ac:dyDescent="0.25">
      <c r="A54" s="212"/>
      <c r="B54" s="1906"/>
      <c r="C54" s="3870"/>
      <c r="D54" s="3870"/>
      <c r="E54" s="3870"/>
      <c r="F54" s="3870"/>
      <c r="G54" s="3870"/>
      <c r="H54" s="310"/>
      <c r="I54" s="73"/>
      <c r="J54" s="3876"/>
      <c r="K54" s="3877"/>
      <c r="L54" s="3877"/>
      <c r="M54" s="3877"/>
      <c r="N54" s="3877"/>
      <c r="O54" s="3877"/>
      <c r="P54" s="2064" t="str">
        <f>IF(J54=0,"",VLOOKUP(J54,Tablas!$D$3413:$F$3582,2,FALSE))</f>
        <v/>
      </c>
      <c r="Q54" s="2108" t="str">
        <f>IF(J54=0,"",VLOOKUP(J54,Tablas!$D$3413:$F$3582,3,FALSE)*IF($P$25="Invocador",0.5,1))</f>
        <v/>
      </c>
      <c r="R54" s="73"/>
      <c r="S54" s="1917"/>
      <c r="T54" s="1675"/>
      <c r="U54" s="212"/>
      <c r="V54" s="2122"/>
      <c r="W54" s="3883" t="str">
        <f>IF(SUM(Tablas!$B$2328:$B$2369)=0,"",IF(Tablas!A2&gt;MAX(Tablas!$B$2328:$B$2369),"",VLOOKUP(Tablas!A2,Tablas!$B$2328:$F$2369,2,FALSE)))</f>
        <v/>
      </c>
      <c r="X54" s="3687"/>
      <c r="Y54" s="3687"/>
      <c r="Z54" s="3687"/>
      <c r="AA54" s="3687"/>
      <c r="AB54" s="3228" t="str">
        <f>IF(SUM(Tablas!$B$2328:$B$2369)=0,"",IF(Tablas!A2&gt;MAX(Tablas!$B$2328:$B$2369),"",VLOOKUP(Tablas!A2,Tablas!$B$2328:$F$2369,4,FALSE)))</f>
        <v/>
      </c>
      <c r="AC54" s="3226"/>
      <c r="AD54" s="3226"/>
      <c r="AE54" s="3226"/>
      <c r="AF54" s="3226"/>
      <c r="AG54" s="3226"/>
      <c r="AH54" s="3226"/>
      <c r="AI54" s="3226"/>
      <c r="AJ54" s="3226"/>
      <c r="AK54" s="3884"/>
      <c r="AL54" s="2123"/>
      <c r="AM54" s="212"/>
      <c r="AN54" s="2260"/>
      <c r="AO54" s="3796" t="str">
        <f>IF($AZ$45,AZ54,IF($BA$45,BA54,IF($BB$45,BB54,"")))</f>
        <v/>
      </c>
      <c r="AP54" s="3797"/>
      <c r="AQ54" s="3798" t="str">
        <f>IF($AZ$45,BC54,IF($BA$45,BD54,IF($BB$45,BE54,"")))</f>
        <v/>
      </c>
      <c r="AR54" s="3798"/>
      <c r="AS54" s="3798"/>
      <c r="AT54" s="3798"/>
      <c r="AU54" s="3798" t="str">
        <f t="shared" si="2"/>
        <v/>
      </c>
      <c r="AV54" s="3964"/>
      <c r="AW54" s="2277"/>
      <c r="AX54" s="1909"/>
      <c r="AY54" s="2131">
        <f>IF(AC54="",0,VLOOKUP(AC54,Tablas!$B$1207:$C$1216,2)*VLOOKUP(AA54,Tabla_CosteConjuros,3))</f>
        <v>0</v>
      </c>
      <c r="AZ54" s="2690" t="s">
        <v>9865</v>
      </c>
      <c r="BA54" s="2690" t="s">
        <v>9535</v>
      </c>
      <c r="BB54" s="2690" t="s">
        <v>9535</v>
      </c>
      <c r="BC54" s="2690" t="s">
        <v>5456</v>
      </c>
      <c r="BD54" s="2690" t="s">
        <v>9569</v>
      </c>
      <c r="BE54" s="2690"/>
      <c r="BF54" s="2690">
        <v>120</v>
      </c>
      <c r="BG54" s="2690" t="s">
        <v>9535</v>
      </c>
      <c r="BH54" s="2690" t="s">
        <v>9535</v>
      </c>
    </row>
    <row r="55" spans="1:62" ht="12" customHeight="1" x14ac:dyDescent="0.2">
      <c r="A55" s="212"/>
      <c r="B55" s="1906"/>
      <c r="C55" s="3052"/>
      <c r="D55" s="3052"/>
      <c r="E55" s="3052"/>
      <c r="F55" s="3052"/>
      <c r="G55" s="3052"/>
      <c r="H55" s="26"/>
      <c r="J55" s="3878"/>
      <c r="K55" s="3879"/>
      <c r="L55" s="3879"/>
      <c r="M55" s="3879"/>
      <c r="N55" s="3879"/>
      <c r="O55" s="3879"/>
      <c r="P55" s="2063" t="str">
        <f>IF(J55=0,"",VLOOKUP(J55,Tablas!$D$3413:$F$3582,2,FALSE))</f>
        <v/>
      </c>
      <c r="Q55" s="2107" t="str">
        <f>IF(J55=0,"",VLOOKUP(J55,Tablas!$D$3413:$F$3582,3,FALSE)*IF($P$25="Invocador",0.5,1))</f>
        <v/>
      </c>
      <c r="R55" s="73"/>
      <c r="S55" s="1917"/>
      <c r="T55" s="1675"/>
      <c r="U55" s="212"/>
      <c r="V55" s="2122"/>
      <c r="W55" s="3887" t="str">
        <f>IF(SUM(Tablas!$B$2328:$B$2369)=0,"",IF(Tablas!A3&gt;MAX(Tablas!$B$2328:$B$2369),"",VLOOKUP(Tablas!A3,Tablas!$B$2328:$F$2369,2,FALSE)))</f>
        <v/>
      </c>
      <c r="X55" s="3888"/>
      <c r="Y55" s="3888"/>
      <c r="Z55" s="3888"/>
      <c r="AA55" s="3889"/>
      <c r="AB55" s="3228" t="str">
        <f>IF(SUM(Tablas!$B$2328:$B$2369)=0,"",IF(Tablas!A3&gt;MAX(Tablas!$B$2328:$B$2369),"",VLOOKUP(Tablas!A3,Tablas!$B$2328:$F$2369,4,FALSE)))</f>
        <v/>
      </c>
      <c r="AC55" s="3226"/>
      <c r="AD55" s="3226"/>
      <c r="AE55" s="3226"/>
      <c r="AF55" s="3226"/>
      <c r="AG55" s="3226"/>
      <c r="AH55" s="3226"/>
      <c r="AI55" s="3226"/>
      <c r="AJ55" s="3226"/>
      <c r="AK55" s="3884"/>
      <c r="AL55" s="2123"/>
      <c r="AM55" s="212"/>
      <c r="AN55" s="2260"/>
      <c r="AO55" s="3980" t="str">
        <f>IF($AZ$45,AZ55,IF($BA$45,BA55,IF($BB$45,BB55,"")))</f>
        <v/>
      </c>
      <c r="AP55" s="3981"/>
      <c r="AQ55" s="3780" t="str">
        <f>IF($AZ$45,BC55,IF($BA$45,BD55,IF($BB$45,BE55,"")))</f>
        <v/>
      </c>
      <c r="AR55" s="3781"/>
      <c r="AS55" s="3781"/>
      <c r="AT55" s="3782"/>
      <c r="AU55" s="3780" t="str">
        <f t="shared" si="2"/>
        <v/>
      </c>
      <c r="AV55" s="3963"/>
      <c r="AW55" s="2277"/>
      <c r="AX55" s="1909"/>
      <c r="AY55" s="2131">
        <f>IF(AC55="",0,VLOOKUP(AC55,Tablas!$B$1207:$C$1216,2)*VLOOKUP(AA55,Tabla_CosteConjuros,3))</f>
        <v>0</v>
      </c>
      <c r="AZ55" s="2690" t="s">
        <v>3914</v>
      </c>
      <c r="BA55" s="2690" t="s">
        <v>9535</v>
      </c>
      <c r="BB55" s="2690" t="s">
        <v>9535</v>
      </c>
      <c r="BC55" s="2690" t="s">
        <v>9535</v>
      </c>
      <c r="BD55" s="2690" t="s">
        <v>9535</v>
      </c>
      <c r="BE55" s="2690" t="s">
        <v>9553</v>
      </c>
      <c r="BF55" s="2690" t="s">
        <v>9535</v>
      </c>
      <c r="BG55" s="2690" t="s">
        <v>9535</v>
      </c>
      <c r="BH55" s="2690" t="s">
        <v>9535</v>
      </c>
      <c r="BI55" s="2690" t="s">
        <v>9535</v>
      </c>
    </row>
    <row r="56" spans="1:62" ht="12" customHeight="1" x14ac:dyDescent="0.2">
      <c r="A56" s="212"/>
      <c r="B56" s="1906"/>
      <c r="C56" s="3870"/>
      <c r="D56" s="3870"/>
      <c r="E56" s="3870"/>
      <c r="F56" s="3870"/>
      <c r="G56" s="3870"/>
      <c r="H56" s="310"/>
      <c r="J56" s="3876"/>
      <c r="K56" s="3877"/>
      <c r="L56" s="3877"/>
      <c r="M56" s="3877"/>
      <c r="N56" s="3877"/>
      <c r="O56" s="3877"/>
      <c r="P56" s="2135" t="str">
        <f>IF(J56=0,"",VLOOKUP(J56,Tablas!$D$3413:$F$3582,2,FALSE))</f>
        <v/>
      </c>
      <c r="Q56" s="2108" t="str">
        <f>IF(J56=0,"",VLOOKUP(J56,Tablas!$D$3413:$F$3582,3,FALSE)*IF($P$25="Invocador",0.5,1))</f>
        <v/>
      </c>
      <c r="R56" s="73"/>
      <c r="S56" s="1917"/>
      <c r="T56" s="1675"/>
      <c r="U56" s="212"/>
      <c r="V56" s="2122"/>
      <c r="W56" s="3887" t="str">
        <f>IF(SUM(Tablas!$B$2328:$B$2369)=0,"",IF(Tablas!A4&gt;MAX(Tablas!$B$2328:$B$2369),"",VLOOKUP(Tablas!A4,Tablas!$B$2328:$F$2369,2,FALSE)))</f>
        <v/>
      </c>
      <c r="X56" s="3888"/>
      <c r="Y56" s="3888"/>
      <c r="Z56" s="3888"/>
      <c r="AA56" s="3889"/>
      <c r="AB56" s="3228" t="str">
        <f>IF(SUM(Tablas!$B$2328:$B$2369)=0,"",IF(Tablas!A4&gt;MAX(Tablas!$B$2328:$B$2369),"",VLOOKUP(Tablas!A4,Tablas!$B$2328:$F$2369,4,FALSE)))</f>
        <v/>
      </c>
      <c r="AC56" s="3226"/>
      <c r="AD56" s="3226"/>
      <c r="AE56" s="3226"/>
      <c r="AF56" s="3226"/>
      <c r="AG56" s="3226"/>
      <c r="AH56" s="3226"/>
      <c r="AI56" s="3226"/>
      <c r="AJ56" s="3226"/>
      <c r="AK56" s="3884"/>
      <c r="AL56" s="2123"/>
      <c r="AM56" s="212"/>
      <c r="AN56" s="2260"/>
      <c r="AO56" s="3775" t="str">
        <f t="shared" ref="AO56" si="5">IF($AZ$45,AZ56,IF($BA$45,BA56,IF($BB$45,BB56,"")))</f>
        <v/>
      </c>
      <c r="AP56" s="3776"/>
      <c r="AQ56" s="3971" t="str">
        <f>IF($AZ$45,BC56,IF($BA$45,BD56,IF($BB$45,BE56,"")))</f>
        <v/>
      </c>
      <c r="AR56" s="3972"/>
      <c r="AS56" s="3972"/>
      <c r="AT56" s="3972"/>
      <c r="AU56" s="3972"/>
      <c r="AV56" s="3973"/>
      <c r="AW56" s="2277"/>
      <c r="AX56" s="1909"/>
      <c r="AZ56" s="2690" t="s">
        <v>9535</v>
      </c>
      <c r="BA56" s="2690" t="s">
        <v>9535</v>
      </c>
      <c r="BB56" s="2690" t="s">
        <v>9554</v>
      </c>
      <c r="BC56" s="2690" t="s">
        <v>9535</v>
      </c>
      <c r="BD56" s="2690" t="s">
        <v>9561</v>
      </c>
      <c r="BE56" s="2690" t="s">
        <v>9557</v>
      </c>
      <c r="BF56" s="2690" t="s">
        <v>9535</v>
      </c>
      <c r="BG56" s="2690" t="s">
        <v>9535</v>
      </c>
      <c r="BH56" s="2690" t="s">
        <v>9535</v>
      </c>
      <c r="BI56" s="2690" t="s">
        <v>9535</v>
      </c>
      <c r="BJ56" s="2690" t="s">
        <v>9535</v>
      </c>
    </row>
    <row r="57" spans="1:62" ht="12" customHeight="1" x14ac:dyDescent="0.2">
      <c r="A57" s="212"/>
      <c r="B57" s="1906"/>
      <c r="C57" s="3052"/>
      <c r="D57" s="3052"/>
      <c r="E57" s="3052"/>
      <c r="F57" s="3052"/>
      <c r="G57" s="3052"/>
      <c r="H57" s="26"/>
      <c r="J57" s="3878"/>
      <c r="K57" s="3879"/>
      <c r="L57" s="3879"/>
      <c r="M57" s="3879"/>
      <c r="N57" s="3879"/>
      <c r="O57" s="3879"/>
      <c r="P57" s="2063" t="str">
        <f>IF(J57=0,"",VLOOKUP(J57,Tablas!$D$3413:$F$3582,2,FALSE))</f>
        <v/>
      </c>
      <c r="Q57" s="2107" t="str">
        <f>IF(J57=0,"",VLOOKUP(J57,Tablas!$D$3413:$F$3582,3,FALSE)*IF($P$25="Invocador",0.5,1))</f>
        <v/>
      </c>
      <c r="R57" s="73"/>
      <c r="S57" s="1917"/>
      <c r="T57" s="1675"/>
      <c r="U57" s="212"/>
      <c r="V57" s="2122"/>
      <c r="W57" s="3887" t="str">
        <f>IF(SUM(Tablas!$B$2328:$B$2369)=0,"",IF(Tablas!A5&gt;MAX(Tablas!$B$2328:$B$2369),"",VLOOKUP(Tablas!A5,Tablas!$B$2328:$F$2369,2,FALSE)))</f>
        <v/>
      </c>
      <c r="X57" s="3888"/>
      <c r="Y57" s="3888"/>
      <c r="Z57" s="3888"/>
      <c r="AA57" s="3889"/>
      <c r="AB57" s="3228" t="str">
        <f>IF(SUM(Tablas!$B$2328:$B$2369)=0,"",IF(Tablas!A5&gt;MAX(Tablas!$B$2328:$B$2369),"",VLOOKUP(Tablas!A5,Tablas!$B$2328:$F$2369,4,FALSE)))</f>
        <v/>
      </c>
      <c r="AC57" s="3226"/>
      <c r="AD57" s="3226"/>
      <c r="AE57" s="3226"/>
      <c r="AF57" s="3226"/>
      <c r="AG57" s="3226"/>
      <c r="AH57" s="3226"/>
      <c r="AI57" s="3226"/>
      <c r="AJ57" s="3226"/>
      <c r="AK57" s="3884"/>
      <c r="AL57" s="2123"/>
      <c r="AM57" s="212"/>
      <c r="AN57" s="2260"/>
      <c r="AO57" s="3967" t="str">
        <f>IF($AZ$45,AZ57,IF($BA$45,BA57,IF($BB$45,BB57,"")))</f>
        <v/>
      </c>
      <c r="AP57" s="3968"/>
      <c r="AQ57" s="3974" t="str">
        <f t="shared" ref="AQ57:AQ58" si="6">IF($AZ$45,BC57,IF($BA$45,BD57,IF($BB$45,BE57,"")))</f>
        <v/>
      </c>
      <c r="AR57" s="3975"/>
      <c r="AS57" s="3975"/>
      <c r="AT57" s="3975"/>
      <c r="AU57" s="3975"/>
      <c r="AV57" s="3976"/>
      <c r="AW57" s="2277"/>
      <c r="AX57" s="1909"/>
      <c r="AZ57" s="2690" t="s">
        <v>9535</v>
      </c>
      <c r="BA57" s="2690" t="s">
        <v>9535</v>
      </c>
      <c r="BB57" s="1910" t="s">
        <v>9555</v>
      </c>
      <c r="BC57" s="2690" t="s">
        <v>9535</v>
      </c>
      <c r="BD57" s="2690" t="s">
        <v>9559</v>
      </c>
      <c r="BE57" s="1910" t="s">
        <v>2310</v>
      </c>
      <c r="BF57" s="2690" t="s">
        <v>9535</v>
      </c>
      <c r="BG57" s="2690" t="s">
        <v>9535</v>
      </c>
      <c r="BI57" s="2690" t="s">
        <v>9535</v>
      </c>
      <c r="BJ57" s="2690" t="s">
        <v>9535</v>
      </c>
    </row>
    <row r="58" spans="1:62" ht="12" customHeight="1" thickBot="1" x14ac:dyDescent="0.25">
      <c r="A58" s="212"/>
      <c r="B58" s="1906"/>
      <c r="C58" s="3870"/>
      <c r="D58" s="3870"/>
      <c r="E58" s="3870"/>
      <c r="F58" s="3870"/>
      <c r="G58" s="3870"/>
      <c r="H58" s="310"/>
      <c r="J58" s="3876"/>
      <c r="K58" s="3877"/>
      <c r="L58" s="3877"/>
      <c r="M58" s="3877"/>
      <c r="N58" s="3877"/>
      <c r="O58" s="3877"/>
      <c r="P58" s="2064" t="str">
        <f>IF(J58=0,"",VLOOKUP(J58,Tablas!$D$3413:$F$3582,2,FALSE))</f>
        <v/>
      </c>
      <c r="Q58" s="2108" t="str">
        <f>IF(J58=0,"",VLOOKUP(J58,Tablas!$D$3413:$F$3582,3,FALSE)*IF($P$25="Invocador",0.5,1))</f>
        <v/>
      </c>
      <c r="R58" s="73"/>
      <c r="S58" s="1917"/>
      <c r="T58" s="1675"/>
      <c r="U58" s="212"/>
      <c r="V58" s="2122"/>
      <c r="W58" s="3887" t="str">
        <f>IF(SUM(Tablas!$B$2328:$B$2369)=0,"",IF(Tablas!A6&gt;MAX(Tablas!$B$2328:$B$2369),"",VLOOKUP(Tablas!A6,Tablas!$B$2328:$F$2369,2,FALSE)))</f>
        <v/>
      </c>
      <c r="X58" s="3888"/>
      <c r="Y58" s="3888"/>
      <c r="Z58" s="3888"/>
      <c r="AA58" s="3889"/>
      <c r="AB58" s="3228" t="str">
        <f>IF(SUM(Tablas!$B$2328:$B$2369)=0,"",IF(Tablas!A6&gt;MAX(Tablas!$B$2328:$B$2369),"",VLOOKUP(Tablas!A6,Tablas!$B$2328:$F$2369,4,FALSE)))</f>
        <v/>
      </c>
      <c r="AC58" s="3226"/>
      <c r="AD58" s="3226"/>
      <c r="AE58" s="3226"/>
      <c r="AF58" s="3226"/>
      <c r="AG58" s="3226"/>
      <c r="AH58" s="3226"/>
      <c r="AI58" s="3226"/>
      <c r="AJ58" s="3226"/>
      <c r="AK58" s="3884"/>
      <c r="AL58" s="2123"/>
      <c r="AM58" s="212"/>
      <c r="AN58" s="2260"/>
      <c r="AO58" s="3969" t="str">
        <f t="shared" ref="AO58" si="7">IF($AZ$45,AZ58,IF($BA$45,BA58,IF($BB$45,BB58,"")))</f>
        <v/>
      </c>
      <c r="AP58" s="3970"/>
      <c r="AQ58" s="3977" t="str">
        <f t="shared" si="6"/>
        <v/>
      </c>
      <c r="AR58" s="3978"/>
      <c r="AS58" s="3978"/>
      <c r="AT58" s="3978"/>
      <c r="AU58" s="3978"/>
      <c r="AV58" s="3979"/>
      <c r="AW58" s="2277"/>
      <c r="AX58" s="1909"/>
      <c r="BB58" s="1910" t="s">
        <v>9556</v>
      </c>
      <c r="BC58" s="2690" t="s">
        <v>9535</v>
      </c>
      <c r="BD58" s="2690" t="s">
        <v>9560</v>
      </c>
      <c r="BE58" s="1910" t="s">
        <v>9558</v>
      </c>
      <c r="BF58" s="2690" t="s">
        <v>9535</v>
      </c>
      <c r="BG58" s="2690" t="s">
        <v>9535</v>
      </c>
    </row>
    <row r="59" spans="1:62" ht="12" customHeight="1" thickBot="1" x14ac:dyDescent="0.25">
      <c r="A59" s="212"/>
      <c r="B59" s="1906"/>
      <c r="C59" s="3102" t="s">
        <v>2590</v>
      </c>
      <c r="D59" s="3102"/>
      <c r="E59" s="3102"/>
      <c r="F59" s="3102"/>
      <c r="G59" s="3102"/>
      <c r="H59" s="311">
        <f>SUM(H33:H58)+IF(Sheele!$F$5="No",0,Sheele!$U$5)</f>
        <v>0</v>
      </c>
      <c r="J59" s="3921" t="str">
        <f>IF(Tablas!Q110,IF(AND(22-COUNTBLANK(P33:P58)&gt;VLOOKUP(Nivel_Sobrenatural,Tablas!$L$98:$Q$101,6,FALSE)),"Número inicial de invocaciones excesivo. ","")&amp;IF(P25="Invocador","Costes de las invocaciones ya reducidos",""),"")</f>
        <v/>
      </c>
      <c r="K59" s="3922"/>
      <c r="L59" s="3922"/>
      <c r="M59" s="3922"/>
      <c r="N59" s="3922"/>
      <c r="O59" s="3922"/>
      <c r="P59" s="3922"/>
      <c r="Q59" s="3923"/>
      <c r="R59" s="73"/>
      <c r="S59" s="1917"/>
      <c r="T59" s="1675"/>
      <c r="U59" s="212"/>
      <c r="V59" s="2122"/>
      <c r="W59" s="3887" t="str">
        <f>IF(SUM(Tablas!$B$2328:$B$2369)=0,"",IF(Tablas!A7&gt;MAX(Tablas!$B$2328:$B$2369),"",VLOOKUP(Tablas!A7,Tablas!$B$2328:$F$2369,2,FALSE)))</f>
        <v/>
      </c>
      <c r="X59" s="3888"/>
      <c r="Y59" s="3888"/>
      <c r="Z59" s="3888"/>
      <c r="AA59" s="3889"/>
      <c r="AB59" s="3228" t="str">
        <f>IF(SUM(Tablas!$B$2328:$B$2369)=0,"",IF(Tablas!A7&gt;MAX(Tablas!$B$2328:$B$2369),"",VLOOKUP(Tablas!A7,Tablas!$B$2328:$F$2369,4,FALSE)))</f>
        <v/>
      </c>
      <c r="AC59" s="3226"/>
      <c r="AD59" s="3226"/>
      <c r="AE59" s="3226"/>
      <c r="AF59" s="3226"/>
      <c r="AG59" s="3226"/>
      <c r="AH59" s="3226"/>
      <c r="AI59" s="3226"/>
      <c r="AJ59" s="3226"/>
      <c r="AK59" s="3884"/>
      <c r="AL59" s="2123"/>
      <c r="AM59" s="212"/>
      <c r="AN59" s="2260"/>
      <c r="AW59" s="2277"/>
      <c r="AX59" s="1909"/>
    </row>
    <row r="60" spans="1:62" ht="12" customHeight="1" thickBot="1" x14ac:dyDescent="0.25">
      <c r="A60" s="212"/>
      <c r="B60" s="1906"/>
      <c r="R60" s="73"/>
      <c r="S60" s="1917"/>
      <c r="T60" s="1675"/>
      <c r="U60" s="212"/>
      <c r="V60" s="2122"/>
      <c r="W60" s="3887" t="str">
        <f>IF(SUM(Tablas!$B$2328:$B$2369)=0,"",IF(Tablas!A8&gt;MAX(Tablas!$B$2328:$B$2369),"",VLOOKUP(Tablas!A8,Tablas!$B$2328:$F$2369,2,FALSE)))</f>
        <v/>
      </c>
      <c r="X60" s="3888"/>
      <c r="Y60" s="3888"/>
      <c r="Z60" s="3888"/>
      <c r="AA60" s="3889"/>
      <c r="AB60" s="3228" t="str">
        <f>IF(SUM(Tablas!$B$2328:$B$2369)=0,"",IF(Tablas!A8&gt;MAX(Tablas!$B$2328:$B$2369),"",VLOOKUP(Tablas!A8,Tablas!$B$2328:$F$2369,4,FALSE)))</f>
        <v/>
      </c>
      <c r="AC60" s="3226"/>
      <c r="AD60" s="3226"/>
      <c r="AE60" s="3226"/>
      <c r="AF60" s="3226"/>
      <c r="AG60" s="3226"/>
      <c r="AH60" s="3226"/>
      <c r="AI60" s="3226"/>
      <c r="AJ60" s="3226"/>
      <c r="AK60" s="3884"/>
      <c r="AL60" s="2123"/>
      <c r="AM60" s="212"/>
      <c r="AN60" s="2260"/>
      <c r="AO60" s="3947" t="s">
        <v>9519</v>
      </c>
      <c r="AP60" s="3948"/>
      <c r="AQ60" s="3948"/>
      <c r="AR60" s="3948"/>
      <c r="AS60" s="3948"/>
      <c r="AT60" s="3948"/>
      <c r="AU60" s="3948"/>
      <c r="AV60" s="3949"/>
      <c r="AW60" s="2277"/>
      <c r="AX60" s="1909"/>
      <c r="AZ60" s="1910" t="s">
        <v>9562</v>
      </c>
      <c r="BA60" s="1910" t="s">
        <v>9562</v>
      </c>
      <c r="BB60" s="1910" t="s">
        <v>9562</v>
      </c>
      <c r="BC60" s="1910" t="s">
        <v>9562</v>
      </c>
      <c r="BD60" s="1910" t="s">
        <v>9562</v>
      </c>
      <c r="BE60" s="1910" t="s">
        <v>9562</v>
      </c>
      <c r="BF60" s="1910" t="s">
        <v>9562</v>
      </c>
      <c r="BG60" s="1910" t="s">
        <v>9562</v>
      </c>
      <c r="BH60" s="1910" t="s">
        <v>9562</v>
      </c>
      <c r="BI60" s="1910" t="s">
        <v>9562</v>
      </c>
      <c r="BJ60" s="1910" t="s">
        <v>9562</v>
      </c>
    </row>
    <row r="61" spans="1:62" ht="12" customHeight="1" thickBot="1" x14ac:dyDescent="0.25">
      <c r="A61" s="212"/>
      <c r="B61" s="1906"/>
      <c r="C61" s="3028" t="s">
        <v>2591</v>
      </c>
      <c r="D61" s="3028"/>
      <c r="E61" s="3028"/>
      <c r="F61" s="3028"/>
      <c r="G61" s="3028"/>
      <c r="H61" s="3028"/>
      <c r="I61" s="73"/>
      <c r="J61" s="3826" t="s">
        <v>2592</v>
      </c>
      <c r="K61" s="3826"/>
      <c r="L61" s="3826"/>
      <c r="M61" s="3905" t="s">
        <v>2368</v>
      </c>
      <c r="N61" s="3905"/>
      <c r="O61" s="3905"/>
      <c r="P61" s="3905"/>
      <c r="Q61" s="3905"/>
      <c r="R61" s="73"/>
      <c r="S61" s="1917"/>
      <c r="T61" s="1675"/>
      <c r="U61" s="212"/>
      <c r="V61" s="2122"/>
      <c r="W61" s="3887" t="str">
        <f>IF(SUM(Tablas!$B$2328:$B$2369)=0,"",IF(Tablas!A9&gt;MAX(Tablas!$B$2328:$B$2369),"",VLOOKUP(Tablas!A9,Tablas!$B$2328:$F$2369,2,FALSE)))</f>
        <v/>
      </c>
      <c r="X61" s="3888"/>
      <c r="Y61" s="3888"/>
      <c r="Z61" s="3888"/>
      <c r="AA61" s="3889"/>
      <c r="AB61" s="3902" t="str">
        <f>IF(SUM(Tablas!$B$2328:$B$2369)=0,"",IF(Tablas!A9&gt;MAX(Tablas!$B$2328:$B$2369),"",VLOOKUP(Tablas!A9,Tablas!$B$2328:$F$2369,4,FALSE)))</f>
        <v/>
      </c>
      <c r="AC61" s="3903"/>
      <c r="AD61" s="3903"/>
      <c r="AE61" s="3903"/>
      <c r="AF61" s="3903"/>
      <c r="AG61" s="3903"/>
      <c r="AH61" s="3903"/>
      <c r="AI61" s="3903"/>
      <c r="AJ61" s="3903"/>
      <c r="AK61" s="3904"/>
      <c r="AL61" s="2123"/>
      <c r="AM61" s="212"/>
      <c r="AN61" s="2260"/>
      <c r="AO61" s="3987" t="s">
        <v>2565</v>
      </c>
      <c r="AP61" s="3988"/>
      <c r="AQ61" s="3988" t="s">
        <v>2564</v>
      </c>
      <c r="AR61" s="3988"/>
      <c r="AS61" s="3988"/>
      <c r="AT61" s="2697"/>
      <c r="AU61" s="2253" t="s">
        <v>9520</v>
      </c>
      <c r="AV61" s="2252" t="s">
        <v>3787</v>
      </c>
      <c r="AW61" s="2277"/>
      <c r="AX61" s="1909"/>
    </row>
    <row r="62" spans="1:62" ht="12" customHeight="1" x14ac:dyDescent="0.2">
      <c r="A62" s="212"/>
      <c r="B62" s="1906"/>
      <c r="C62" s="3899" t="s">
        <v>2594</v>
      </c>
      <c r="D62" s="3899"/>
      <c r="E62" s="313" t="s">
        <v>2220</v>
      </c>
      <c r="F62" s="3900" t="s">
        <v>2595</v>
      </c>
      <c r="G62" s="3900"/>
      <c r="H62" s="3900"/>
      <c r="I62" s="73"/>
      <c r="J62" s="314">
        <v>20</v>
      </c>
      <c r="K62" s="3895" t="s">
        <v>2596</v>
      </c>
      <c r="L62" s="3895"/>
      <c r="M62" s="3901" t="s">
        <v>2597</v>
      </c>
      <c r="N62" s="3901"/>
      <c r="O62" s="3901"/>
      <c r="P62" s="3901"/>
      <c r="Q62" s="3901"/>
      <c r="R62" s="73"/>
      <c r="S62" s="1917"/>
      <c r="T62" s="1675"/>
      <c r="U62" s="212"/>
      <c r="V62" s="2122"/>
      <c r="W62" s="3887" t="str">
        <f>IF(SUM(Tablas!$B$2328:$B$2369)=0,"",IF(Tablas!A10&gt;MAX(Tablas!$B$2328:$B$2369),"",VLOOKUP(Tablas!A10,Tablas!$B$2328:$F$2369,2,FALSE)))</f>
        <v/>
      </c>
      <c r="X62" s="3888"/>
      <c r="Y62" s="3888"/>
      <c r="Z62" s="3888"/>
      <c r="AA62" s="3889"/>
      <c r="AB62" s="3902" t="str">
        <f>IF(SUM(Tablas!$B$2328:$B$2369)=0,"",IF(Tablas!A10&gt;MAX(Tablas!$B$2328:$B$2369),"",VLOOKUP(Tablas!A10,Tablas!$B$2328:$F$2369,4,FALSE)))</f>
        <v/>
      </c>
      <c r="AC62" s="3903"/>
      <c r="AD62" s="3903"/>
      <c r="AE62" s="3903"/>
      <c r="AF62" s="3903"/>
      <c r="AG62" s="3903"/>
      <c r="AH62" s="3903"/>
      <c r="AI62" s="3903"/>
      <c r="AJ62" s="3903"/>
      <c r="AK62" s="3904"/>
      <c r="AL62" s="2123"/>
      <c r="AM62" s="212"/>
      <c r="AN62" s="2696" t="str">
        <f>"Conjuros"&amp;IF(AO62="","","_"&amp;AO62)</f>
        <v>Conjuros</v>
      </c>
      <c r="AO62" s="3996"/>
      <c r="AP62" s="3997"/>
      <c r="AQ62" s="3998"/>
      <c r="AR62" s="3998"/>
      <c r="AS62" s="3998"/>
      <c r="AT62" s="3999"/>
      <c r="AU62" s="2202"/>
      <c r="AV62" s="2255">
        <f>IF(AQ62="",0,VLOOKUP(AQ62,'Tablas Magia'!$D$6:$Z$680,11,FALSE)/2)</f>
        <v>0</v>
      </c>
      <c r="AW62" s="2277"/>
      <c r="AX62" s="1909"/>
      <c r="BD62" s="2690"/>
    </row>
    <row r="63" spans="1:62" ht="12" customHeight="1" x14ac:dyDescent="0.2">
      <c r="A63" s="212"/>
      <c r="B63" s="1906"/>
      <c r="C63" s="3896" t="s">
        <v>2598</v>
      </c>
      <c r="D63" s="3896"/>
      <c r="E63" s="315">
        <v>-100</v>
      </c>
      <c r="F63" s="3897" t="s">
        <v>2599</v>
      </c>
      <c r="G63" s="3897"/>
      <c r="H63" s="3898">
        <v>20</v>
      </c>
      <c r="I63" s="73"/>
      <c r="J63" s="314">
        <v>40</v>
      </c>
      <c r="K63" s="3895" t="s">
        <v>2600</v>
      </c>
      <c r="L63" s="3895"/>
      <c r="M63" s="3893" t="s">
        <v>2601</v>
      </c>
      <c r="N63" s="3893"/>
      <c r="O63" s="3893"/>
      <c r="P63" s="3893"/>
      <c r="Q63" s="3893"/>
      <c r="R63" s="73"/>
      <c r="S63" s="1917"/>
      <c r="T63" s="1675"/>
      <c r="U63" s="212"/>
      <c r="V63" s="2122"/>
      <c r="W63" s="3887" t="str">
        <f>IF(SUM(Tablas!$B$2328:$B$2369)=0,"",IF(Tablas!A11&gt;MAX(Tablas!$B$2328:$B$2369),"",VLOOKUP(Tablas!A11,Tablas!$B$2328:$F$2369,2,FALSE)))</f>
        <v/>
      </c>
      <c r="X63" s="3888"/>
      <c r="Y63" s="3888"/>
      <c r="Z63" s="3888"/>
      <c r="AA63" s="3889"/>
      <c r="AB63" s="3902" t="str">
        <f>IF(SUM(Tablas!$B$2328:$B$2369)=0,"",IF(Tablas!A11&gt;MAX(Tablas!$B$2328:$B$2369),"",VLOOKUP(Tablas!A11,Tablas!$B$2328:$F$2369,4,FALSE)))</f>
        <v/>
      </c>
      <c r="AC63" s="3903"/>
      <c r="AD63" s="3903"/>
      <c r="AE63" s="3903"/>
      <c r="AF63" s="3903"/>
      <c r="AG63" s="3903"/>
      <c r="AH63" s="3903"/>
      <c r="AI63" s="3903"/>
      <c r="AJ63" s="3903"/>
      <c r="AK63" s="3904"/>
      <c r="AL63" s="2123"/>
      <c r="AM63" s="212"/>
      <c r="AN63" s="2696" t="str">
        <f t="shared" ref="AN63:AN72" si="8">"Conjuros"&amp;IF(AO63="","","_"&amp;AO63)</f>
        <v>Conjuros</v>
      </c>
      <c r="AO63" s="3989"/>
      <c r="AP63" s="3990"/>
      <c r="AQ63" s="3991"/>
      <c r="AR63" s="3991"/>
      <c r="AS63" s="3991"/>
      <c r="AT63" s="3992"/>
      <c r="AU63" s="2254"/>
      <c r="AV63" s="2256">
        <f>IF(AQ63="",0,VLOOKUP(AQ63,'Tablas Magia'!$D$6:$Z$680,11,FALSE)/2)</f>
        <v>0</v>
      </c>
      <c r="AW63" s="2277"/>
      <c r="AX63" s="1909"/>
      <c r="BD63" s="2690"/>
    </row>
    <row r="64" spans="1:62" ht="12" customHeight="1" x14ac:dyDescent="0.2">
      <c r="A64" s="212"/>
      <c r="B64" s="1906"/>
      <c r="C64" s="3894" t="s">
        <v>2602</v>
      </c>
      <c r="D64" s="3894"/>
      <c r="E64" s="315">
        <v>-50</v>
      </c>
      <c r="F64" s="3897"/>
      <c r="G64" s="3897"/>
      <c r="H64" s="3898"/>
      <c r="I64" s="73"/>
      <c r="J64" s="314">
        <v>80</v>
      </c>
      <c r="K64" s="3895" t="s">
        <v>2603</v>
      </c>
      <c r="L64" s="3895"/>
      <c r="M64" s="3893" t="s">
        <v>2604</v>
      </c>
      <c r="N64" s="3893"/>
      <c r="O64" s="3893"/>
      <c r="P64" s="3893"/>
      <c r="Q64" s="3893"/>
      <c r="R64" s="73"/>
      <c r="S64" s="1917"/>
      <c r="T64" s="1675"/>
      <c r="U64" s="212"/>
      <c r="V64" s="2122"/>
      <c r="W64" s="3887" t="str">
        <f>IF(SUM(Tablas!$B$2328:$B$2369)=0,"",IF(Tablas!A12&gt;MAX(Tablas!$B$2328:$B$2369),"",VLOOKUP(Tablas!A12,Tablas!$B$2328:$F$2369,2,FALSE)))</f>
        <v/>
      </c>
      <c r="X64" s="3888"/>
      <c r="Y64" s="3888"/>
      <c r="Z64" s="3888"/>
      <c r="AA64" s="3889"/>
      <c r="AB64" s="3902" t="str">
        <f>IF(SUM(Tablas!$B$2328:$B$2369)=0,"",IF(Tablas!A12&gt;MAX(Tablas!$B$2328:$B$2369),"",VLOOKUP(Tablas!A12,Tablas!$B$2328:$F$2369,4,FALSE)))</f>
        <v/>
      </c>
      <c r="AC64" s="3903"/>
      <c r="AD64" s="3903"/>
      <c r="AE64" s="3903"/>
      <c r="AF64" s="3903"/>
      <c r="AG64" s="3903"/>
      <c r="AH64" s="3903"/>
      <c r="AI64" s="3903"/>
      <c r="AJ64" s="3903"/>
      <c r="AK64" s="3904"/>
      <c r="AL64" s="2123"/>
      <c r="AM64" s="212"/>
      <c r="AN64" s="2696" t="str">
        <f t="shared" si="8"/>
        <v>Conjuros</v>
      </c>
      <c r="AO64" s="3993"/>
      <c r="AP64" s="3994"/>
      <c r="AQ64" s="3587"/>
      <c r="AR64" s="3587"/>
      <c r="AS64" s="3587"/>
      <c r="AT64" s="3995"/>
      <c r="AU64" s="2203"/>
      <c r="AV64" s="2188">
        <f>IF(AQ64="",0,VLOOKUP(AQ64,'Tablas Magia'!$D$6:$Z$680,11,FALSE)/2)</f>
        <v>0</v>
      </c>
      <c r="AW64" s="2277"/>
      <c r="AX64" s="1909"/>
    </row>
    <row r="65" spans="1:50" ht="12" customHeight="1" x14ac:dyDescent="0.2">
      <c r="A65" s="212"/>
      <c r="B65" s="1906"/>
      <c r="C65" s="3894" t="s">
        <v>2605</v>
      </c>
      <c r="D65" s="3894"/>
      <c r="E65" s="315">
        <v>-20</v>
      </c>
      <c r="F65" s="3897" t="s">
        <v>2606</v>
      </c>
      <c r="G65" s="3897"/>
      <c r="H65" s="3898">
        <v>10</v>
      </c>
      <c r="I65" s="73"/>
      <c r="J65" s="314">
        <v>120</v>
      </c>
      <c r="K65" s="3895" t="s">
        <v>2607</v>
      </c>
      <c r="L65" s="3895"/>
      <c r="M65" s="3893" t="str">
        <f>IF(Metamagia!$R$54+Metamagia!$U$54+Metamagia!$AA$54+Metamagia!$AA$59+Metamagia!$AA$64+Metamagia!$AD$48+Metamagia!$AG$46&gt;0,"Blancos hasta 100m. Zeón 10","Blancos hasta 100m")</f>
        <v>Blancos hasta 100m</v>
      </c>
      <c r="N65" s="3893"/>
      <c r="O65" s="3893"/>
      <c r="P65" s="3893"/>
      <c r="Q65" s="3893"/>
      <c r="R65" s="73"/>
      <c r="S65" s="1917"/>
      <c r="T65" s="1675"/>
      <c r="U65" s="212"/>
      <c r="V65" s="2122"/>
      <c r="W65" s="3887" t="str">
        <f>IF(SUM(Tablas!$B$2328:$B$2369)=0,"",IF(Tablas!A13&gt;MAX(Tablas!$B$2328:$B$2369),"",VLOOKUP(Tablas!A13,Tablas!$B$2328:$F$2369,2,FALSE)))</f>
        <v/>
      </c>
      <c r="X65" s="3888"/>
      <c r="Y65" s="3888"/>
      <c r="Z65" s="3888"/>
      <c r="AA65" s="3889"/>
      <c r="AB65" s="3902" t="str">
        <f>IF(SUM(Tablas!$B$2328:$B$2369)=0,"",IF(Tablas!A13&gt;MAX(Tablas!$B$2328:$B$2369),"",VLOOKUP(Tablas!A13,Tablas!$B$2328:$F$2369,4,FALSE)))</f>
        <v/>
      </c>
      <c r="AC65" s="3903"/>
      <c r="AD65" s="3903"/>
      <c r="AE65" s="3903"/>
      <c r="AF65" s="3903"/>
      <c r="AG65" s="3903"/>
      <c r="AH65" s="3903"/>
      <c r="AI65" s="3903"/>
      <c r="AJ65" s="3903"/>
      <c r="AK65" s="3904"/>
      <c r="AL65" s="1917"/>
      <c r="AM65" s="212"/>
      <c r="AN65" s="2696" t="str">
        <f t="shared" si="8"/>
        <v>Conjuros</v>
      </c>
      <c r="AO65" s="3989"/>
      <c r="AP65" s="3990"/>
      <c r="AQ65" s="3991"/>
      <c r="AR65" s="3991"/>
      <c r="AS65" s="3991"/>
      <c r="AT65" s="3992"/>
      <c r="AU65" s="2254"/>
      <c r="AV65" s="2256">
        <f>IF(AQ65="",0,VLOOKUP(AQ65,'Tablas Magia'!$D$6:$Z$680,11,FALSE)/2)</f>
        <v>0</v>
      </c>
      <c r="AW65" s="2276"/>
      <c r="AX65" s="1909"/>
    </row>
    <row r="66" spans="1:50" ht="12" customHeight="1" x14ac:dyDescent="0.2">
      <c r="A66" s="212"/>
      <c r="B66" s="1906"/>
      <c r="C66" s="3894" t="s">
        <v>2608</v>
      </c>
      <c r="D66" s="3894"/>
      <c r="E66" s="315">
        <v>0</v>
      </c>
      <c r="F66" s="3897"/>
      <c r="G66" s="3897"/>
      <c r="H66" s="3898"/>
      <c r="I66" s="73"/>
      <c r="J66" s="314">
        <v>140</v>
      </c>
      <c r="K66" s="3895" t="s">
        <v>2609</v>
      </c>
      <c r="L66" s="3895"/>
      <c r="M66" s="3893" t="str">
        <f>IF(Metamagia!$R$54+Metamagia!$U$54+Metamagia!$AA$54+Metamagia!$AA$59+Metamagia!$AA$64+Metamagia!$AD$48+Metamagia!$AG$46&gt;1,"Blancos hasta 250m. Zeón 20","Blancos hasta 250m")</f>
        <v>Blancos hasta 250m</v>
      </c>
      <c r="N66" s="3893"/>
      <c r="O66" s="3893"/>
      <c r="P66" s="3893"/>
      <c r="Q66" s="3893"/>
      <c r="R66" s="73"/>
      <c r="S66" s="1917"/>
      <c r="T66" s="1675"/>
      <c r="U66" s="212"/>
      <c r="V66" s="2122"/>
      <c r="W66" s="3887" t="str">
        <f>IF(SUM(Tablas!$B$2328:$B$2369)=0,"",IF(Tablas!A14&gt;MAX(Tablas!$B$2328:$B$2369),"",VLOOKUP(Tablas!A14,Tablas!$B$2328:$F$2369,2,FALSE)))</f>
        <v/>
      </c>
      <c r="X66" s="3888"/>
      <c r="Y66" s="3888"/>
      <c r="Z66" s="3888"/>
      <c r="AA66" s="3889"/>
      <c r="AB66" s="3902" t="str">
        <f>IF(SUM(Tablas!$B$2328:$B$2369)=0,"",IF(Tablas!A14&gt;MAX(Tablas!$B$2328:$B$2369),"",VLOOKUP(Tablas!A14,Tablas!$B$2328:$F$2369,4,FALSE)))</f>
        <v/>
      </c>
      <c r="AC66" s="3903"/>
      <c r="AD66" s="3903"/>
      <c r="AE66" s="3903"/>
      <c r="AF66" s="3903"/>
      <c r="AG66" s="3903"/>
      <c r="AH66" s="3903"/>
      <c r="AI66" s="3903"/>
      <c r="AJ66" s="3903"/>
      <c r="AK66" s="3904"/>
      <c r="AL66" s="1917"/>
      <c r="AM66" s="212"/>
      <c r="AN66" s="2696" t="str">
        <f t="shared" si="8"/>
        <v>Conjuros</v>
      </c>
      <c r="AO66" s="3993"/>
      <c r="AP66" s="3994"/>
      <c r="AQ66" s="3587"/>
      <c r="AR66" s="3587"/>
      <c r="AS66" s="3587"/>
      <c r="AT66" s="3995"/>
      <c r="AU66" s="2203"/>
      <c r="AV66" s="2188">
        <f>IF(AQ66="",0,VLOOKUP(AQ66,'Tablas Magia'!$D$6:$Z$680,11,FALSE)/2)</f>
        <v>0</v>
      </c>
      <c r="AW66" s="2276"/>
      <c r="AX66" s="1909"/>
    </row>
    <row r="67" spans="1:50" ht="12" customHeight="1" x14ac:dyDescent="0.2">
      <c r="A67" s="212"/>
      <c r="B67" s="1906"/>
      <c r="C67" s="3894" t="s">
        <v>2610</v>
      </c>
      <c r="D67" s="3894"/>
      <c r="E67" s="315">
        <v>10</v>
      </c>
      <c r="F67" s="3897" t="s">
        <v>2611</v>
      </c>
      <c r="G67" s="3897"/>
      <c r="H67" s="3898">
        <v>20</v>
      </c>
      <c r="I67" s="73"/>
      <c r="J67" s="314">
        <v>180</v>
      </c>
      <c r="K67" s="3895" t="s">
        <v>2612</v>
      </c>
      <c r="L67" s="3895"/>
      <c r="M67" s="3893" t="str">
        <f>IF(Metamagia!$R$54+Metamagia!$U$54+Metamagia!$AA$54+Metamagia!$AA$59+Metamagia!$AA$64+Metamagia!$AD$48+Metamagia!$AG$46&gt;2,"Blancos hasta 500m. Zeón 40","Blancos hasta 500m")</f>
        <v>Blancos hasta 500m</v>
      </c>
      <c r="N67" s="3893"/>
      <c r="O67" s="3893"/>
      <c r="P67" s="3893"/>
      <c r="Q67" s="3893"/>
      <c r="R67" s="73"/>
      <c r="S67" s="1917"/>
      <c r="T67" s="1675"/>
      <c r="U67" s="212"/>
      <c r="V67" s="2122"/>
      <c r="W67" s="3887" t="str">
        <f>IF(SUM(Tablas!$B$2328:$B$2369)=0,"",IF(Tablas!A15&gt;MAX(Tablas!$B$2328:$B$2369),"",VLOOKUP(Tablas!A15,Tablas!$B$2328:$F$2369,2,FALSE)))</f>
        <v/>
      </c>
      <c r="X67" s="3888"/>
      <c r="Y67" s="3888"/>
      <c r="Z67" s="3888"/>
      <c r="AA67" s="3889"/>
      <c r="AB67" s="3902" t="str">
        <f>IF(SUM(Tablas!$B$2328:$B$2369)=0,"",IF(Tablas!A15&gt;MAX(Tablas!$B$2328:$B$2369),"",VLOOKUP(Tablas!A15,Tablas!$B$2328:$F$2369,4,FALSE)))</f>
        <v/>
      </c>
      <c r="AC67" s="3903"/>
      <c r="AD67" s="3903"/>
      <c r="AE67" s="3903"/>
      <c r="AF67" s="3903"/>
      <c r="AG67" s="3903"/>
      <c r="AH67" s="3903"/>
      <c r="AI67" s="3903"/>
      <c r="AJ67" s="3903"/>
      <c r="AK67" s="3904"/>
      <c r="AL67" s="1917"/>
      <c r="AM67" s="212"/>
      <c r="AN67" s="2696" t="str">
        <f t="shared" si="8"/>
        <v>Conjuros</v>
      </c>
      <c r="AO67" s="3989"/>
      <c r="AP67" s="3990"/>
      <c r="AQ67" s="3991"/>
      <c r="AR67" s="3991"/>
      <c r="AS67" s="3991"/>
      <c r="AT67" s="3992"/>
      <c r="AU67" s="2254"/>
      <c r="AV67" s="2256">
        <f>IF(AQ67="",0,VLOOKUP(AQ67,'Tablas Magia'!$D$6:$Z$680,11,FALSE)/2)</f>
        <v>0</v>
      </c>
      <c r="AW67" s="2276"/>
      <c r="AX67" s="1909"/>
    </row>
    <row r="68" spans="1:50" ht="12" customHeight="1" x14ac:dyDescent="0.2">
      <c r="A68" s="212"/>
      <c r="B68" s="1906"/>
      <c r="C68" s="3894" t="s">
        <v>2613</v>
      </c>
      <c r="D68" s="3894"/>
      <c r="E68" s="315">
        <v>20</v>
      </c>
      <c r="F68" s="3897"/>
      <c r="G68" s="3897"/>
      <c r="H68" s="3898"/>
      <c r="I68" s="73"/>
      <c r="J68" s="314">
        <v>240</v>
      </c>
      <c r="K68" s="3895" t="s">
        <v>2614</v>
      </c>
      <c r="L68" s="3895"/>
      <c r="M68" s="3893" t="str">
        <f>IF(Metamagia!$R$54+Metamagia!$U$54+Metamagia!$AA$54+Metamagia!$AA$59+Metamagia!$AA$64+Metamagia!$AD$48+Metamagia!$AG$46&gt;3,"Hasta 1 km. Blanco localizado. Zeón 60","Hasta 1 km. Blanco localizado")</f>
        <v>Hasta 1 km. Blanco localizado</v>
      </c>
      <c r="N68" s="3893"/>
      <c r="O68" s="3893"/>
      <c r="P68" s="3893"/>
      <c r="Q68" s="3893"/>
      <c r="R68" s="73"/>
      <c r="S68" s="1917"/>
      <c r="T68" s="1675"/>
      <c r="U68" s="212"/>
      <c r="V68" s="2122"/>
      <c r="W68" s="3887" t="str">
        <f>IF(SUM(Tablas!$B$2328:$B$2369)=0,"",IF(Tablas!A16&gt;MAX(Tablas!$B$2328:$B$2369),"",VLOOKUP(Tablas!A16,Tablas!$B$2328:$F$2369,2,FALSE)))</f>
        <v/>
      </c>
      <c r="X68" s="3888"/>
      <c r="Y68" s="3888"/>
      <c r="Z68" s="3888"/>
      <c r="AA68" s="3889"/>
      <c r="AB68" s="3902" t="str">
        <f>IF(SUM(Tablas!$B$2328:$B$2369)=0,"",IF(Tablas!A16&gt;MAX(Tablas!$B$2328:$B$2369),"",VLOOKUP(Tablas!A16,Tablas!$B$2328:$F$2369,4,FALSE)))</f>
        <v/>
      </c>
      <c r="AC68" s="3903"/>
      <c r="AD68" s="3903"/>
      <c r="AE68" s="3903"/>
      <c r="AF68" s="3903"/>
      <c r="AG68" s="3903"/>
      <c r="AH68" s="3903"/>
      <c r="AI68" s="3903"/>
      <c r="AJ68" s="3903"/>
      <c r="AK68" s="3904"/>
      <c r="AL68" s="1917"/>
      <c r="AM68" s="212"/>
      <c r="AN68" s="2696" t="str">
        <f t="shared" si="8"/>
        <v>Conjuros</v>
      </c>
      <c r="AO68" s="3993"/>
      <c r="AP68" s="3994"/>
      <c r="AQ68" s="3587"/>
      <c r="AR68" s="3587"/>
      <c r="AS68" s="3587"/>
      <c r="AT68" s="3995"/>
      <c r="AU68" s="2203"/>
      <c r="AV68" s="2188">
        <f>IF(AQ68="",0,VLOOKUP(AQ68,'Tablas Magia'!$D$6:$Z$680,11,FALSE)/2)</f>
        <v>0</v>
      </c>
      <c r="AW68" s="2276"/>
      <c r="AX68" s="1909"/>
    </row>
    <row r="69" spans="1:50" ht="12" customHeight="1" x14ac:dyDescent="0.2">
      <c r="A69" s="212"/>
      <c r="B69" s="1906"/>
      <c r="C69" s="3894" t="s">
        <v>2615</v>
      </c>
      <c r="D69" s="3894"/>
      <c r="E69" s="315">
        <v>30</v>
      </c>
      <c r="F69" s="3906" t="s">
        <v>2616</v>
      </c>
      <c r="G69" s="3906"/>
      <c r="H69" s="3907">
        <v>-50</v>
      </c>
      <c r="I69" s="73"/>
      <c r="J69" s="314">
        <v>280</v>
      </c>
      <c r="K69" s="3895" t="s">
        <v>2617</v>
      </c>
      <c r="L69" s="3895"/>
      <c r="M69" s="3893" t="str">
        <f>IF(Metamagia!$R$54+Metamagia!$U$54+Metamagia!$AA$54+Metamagia!$AA$59+Metamagia!$AA$64+Metamagia!$AD$48+Metamagia!$AG$46&gt;4,"Hasta 10 km. Blanco aprox. Zeón 80","Hasta 10 km. Blanco aproximado")</f>
        <v>Hasta 10 km. Blanco aproximado</v>
      </c>
      <c r="N69" s="3893"/>
      <c r="O69" s="3893"/>
      <c r="P69" s="3893"/>
      <c r="Q69" s="3893"/>
      <c r="R69" s="73"/>
      <c r="S69" s="1917"/>
      <c r="T69" s="1675"/>
      <c r="U69" s="212"/>
      <c r="V69" s="2122"/>
      <c r="W69" s="3887" t="str">
        <f>IF(SUM(Tablas!$B$2328:$B$2369)=0,"",IF(Tablas!A17&gt;MAX(Tablas!$B$2328:$B$2369),"",VLOOKUP(Tablas!A17,Tablas!$B$2328:$F$2369,2,FALSE)))</f>
        <v/>
      </c>
      <c r="X69" s="3888"/>
      <c r="Y69" s="3888"/>
      <c r="Z69" s="3888"/>
      <c r="AA69" s="3889"/>
      <c r="AB69" s="3902" t="str">
        <f>IF(SUM(Tablas!$B$2328:$B$2369)=0,"",IF(Tablas!A17&gt;MAX(Tablas!$B$2328:$B$2369),"",VLOOKUP(Tablas!A17,Tablas!$B$2328:$F$2369,4,FALSE)))</f>
        <v/>
      </c>
      <c r="AC69" s="3903"/>
      <c r="AD69" s="3903"/>
      <c r="AE69" s="3903"/>
      <c r="AF69" s="3903"/>
      <c r="AG69" s="3903"/>
      <c r="AH69" s="3903"/>
      <c r="AI69" s="3903"/>
      <c r="AJ69" s="3903"/>
      <c r="AK69" s="3904"/>
      <c r="AL69" s="1917"/>
      <c r="AM69" s="212"/>
      <c r="AN69" s="2696" t="str">
        <f t="shared" si="8"/>
        <v>Conjuros</v>
      </c>
      <c r="AO69" s="3989"/>
      <c r="AP69" s="3990"/>
      <c r="AQ69" s="3991"/>
      <c r="AR69" s="3991"/>
      <c r="AS69" s="3991"/>
      <c r="AT69" s="3992"/>
      <c r="AU69" s="2254"/>
      <c r="AV69" s="2256">
        <f>IF(AQ69="",0,VLOOKUP(AQ69,'Tablas Magia'!$D$6:$Z$680,11,FALSE)/2)</f>
        <v>0</v>
      </c>
      <c r="AW69" s="2276"/>
      <c r="AX69" s="1909"/>
    </row>
    <row r="70" spans="1:50" ht="12" customHeight="1" x14ac:dyDescent="0.2">
      <c r="A70" s="212"/>
      <c r="B70" s="1906"/>
      <c r="C70" s="3894" t="s">
        <v>2618</v>
      </c>
      <c r="D70" s="3894"/>
      <c r="E70" s="315">
        <v>40</v>
      </c>
      <c r="F70" s="3906"/>
      <c r="G70" s="3906"/>
      <c r="H70" s="3907"/>
      <c r="I70" s="73"/>
      <c r="J70" s="314">
        <v>320</v>
      </c>
      <c r="K70" s="3895" t="s">
        <v>2619</v>
      </c>
      <c r="L70" s="3895"/>
      <c r="M70" s="3893" t="str">
        <f>IF(Metamagia!$R$54+Metamagia!$U$54+Metamagia!$AA$54+Metamagia!$AA$59+Metamagia!$AA$64+Metamagia!$AD$48+Metamagia!$AG$46&gt;5,"Zeón 100","-")</f>
        <v>-</v>
      </c>
      <c r="N70" s="3893"/>
      <c r="O70" s="3893"/>
      <c r="P70" s="3893"/>
      <c r="Q70" s="3893"/>
      <c r="R70" s="73"/>
      <c r="S70" s="1917"/>
      <c r="T70" s="1675"/>
      <c r="U70" s="212"/>
      <c r="V70" s="2122"/>
      <c r="W70" s="3887" t="str">
        <f>IF(SUM(Tablas!$B$2328:$B$2369)=0,"",IF(Tablas!A18&gt;MAX(Tablas!$B$2328:$B$2369),"",VLOOKUP(Tablas!A18,Tablas!$B$2328:$F$2369,2,FALSE)))</f>
        <v/>
      </c>
      <c r="X70" s="3888"/>
      <c r="Y70" s="3888"/>
      <c r="Z70" s="3888"/>
      <c r="AA70" s="3889"/>
      <c r="AB70" s="3902" t="str">
        <f>IF(SUM(Tablas!$B$2328:$B$2369)=0,"",IF(Tablas!A18&gt;MAX(Tablas!$B$2328:$B$2369),"",VLOOKUP(Tablas!A18,Tablas!$B$2328:$F$2369,4,FALSE)))</f>
        <v/>
      </c>
      <c r="AC70" s="3903"/>
      <c r="AD70" s="3903"/>
      <c r="AE70" s="3903"/>
      <c r="AF70" s="3903"/>
      <c r="AG70" s="3903"/>
      <c r="AH70" s="3903"/>
      <c r="AI70" s="3903"/>
      <c r="AJ70" s="3903"/>
      <c r="AK70" s="3904"/>
      <c r="AL70" s="1917"/>
      <c r="AM70" s="212"/>
      <c r="AN70" s="2696" t="str">
        <f t="shared" si="8"/>
        <v>Conjuros</v>
      </c>
      <c r="AO70" s="3993"/>
      <c r="AP70" s="3994"/>
      <c r="AQ70" s="3587"/>
      <c r="AR70" s="3587"/>
      <c r="AS70" s="3587"/>
      <c r="AT70" s="3995"/>
      <c r="AU70" s="2203"/>
      <c r="AV70" s="2188">
        <f>IF(AQ70="",0,VLOOKUP(AQ70,'Tablas Magia'!$D$6:$Z$680,11,FALSE)/2)</f>
        <v>0</v>
      </c>
      <c r="AW70" s="2276"/>
      <c r="AX70" s="1909"/>
    </row>
    <row r="71" spans="1:50" ht="12" customHeight="1" thickBot="1" x14ac:dyDescent="0.25">
      <c r="A71" s="212"/>
      <c r="B71" s="1906"/>
      <c r="C71" s="3894" t="s">
        <v>2620</v>
      </c>
      <c r="D71" s="3894"/>
      <c r="E71" s="315">
        <v>50</v>
      </c>
      <c r="F71" s="3918"/>
      <c r="G71" s="3918"/>
      <c r="H71" s="3918"/>
      <c r="I71" s="73"/>
      <c r="J71" s="317">
        <v>440</v>
      </c>
      <c r="K71" s="3908" t="s">
        <v>2553</v>
      </c>
      <c r="L71" s="3908"/>
      <c r="M71" s="3909" t="str">
        <f>IF(Metamagia!$R$54+Metamagia!$U$54+Metamagia!$AA$54+Metamagia!$AA$59+Metamagia!$AA$64+Metamagia!$AD$48+Metamagia!$AG$46&gt;6,"Zeón 200","-")</f>
        <v>-</v>
      </c>
      <c r="N71" s="3909"/>
      <c r="O71" s="3909"/>
      <c r="P71" s="3909"/>
      <c r="Q71" s="3909"/>
      <c r="R71" s="73"/>
      <c r="S71" s="1917"/>
      <c r="T71" s="1675"/>
      <c r="U71" s="212"/>
      <c r="V71" s="2122"/>
      <c r="W71" s="3887" t="str">
        <f>IF(SUM(Tablas!$B$2328:$B$2369)=0,"",IF(Tablas!A19&gt;MAX(Tablas!$B$2328:$B$2369),"",VLOOKUP(Tablas!A19,Tablas!$B$2328:$F$2369,2,FALSE)))</f>
        <v/>
      </c>
      <c r="X71" s="3888"/>
      <c r="Y71" s="3888"/>
      <c r="Z71" s="3888"/>
      <c r="AA71" s="3889"/>
      <c r="AB71" s="3902" t="str">
        <f>IF(SUM(Tablas!$B$2328:$B$2369)=0,"",IF(Tablas!A19&gt;MAX(Tablas!$B$2328:$B$2369),"",VLOOKUP(Tablas!A19,Tablas!$B$2328:$F$2369,4,FALSE)))</f>
        <v/>
      </c>
      <c r="AC71" s="3903"/>
      <c r="AD71" s="3903"/>
      <c r="AE71" s="3903"/>
      <c r="AF71" s="3903"/>
      <c r="AG71" s="3903"/>
      <c r="AH71" s="3903"/>
      <c r="AI71" s="3903"/>
      <c r="AJ71" s="3903"/>
      <c r="AK71" s="3904"/>
      <c r="AL71" s="1917"/>
      <c r="AM71" s="212"/>
      <c r="AN71" s="2696" t="str">
        <f t="shared" si="8"/>
        <v>Conjuros</v>
      </c>
      <c r="AO71" s="3989"/>
      <c r="AP71" s="3990"/>
      <c r="AQ71" s="3991"/>
      <c r="AR71" s="3991"/>
      <c r="AS71" s="3991"/>
      <c r="AT71" s="3992"/>
      <c r="AU71" s="2254"/>
      <c r="AV71" s="2256">
        <f>IF(AQ71="",0,VLOOKUP(AQ71,'Tablas Magia'!$D$6:$Z$680,11,FALSE)/2)</f>
        <v>0</v>
      </c>
      <c r="AW71" s="2276"/>
      <c r="AX71" s="1909"/>
    </row>
    <row r="72" spans="1:50" ht="12" customHeight="1" thickBot="1" x14ac:dyDescent="0.25">
      <c r="A72" s="212"/>
      <c r="B72" s="1906"/>
      <c r="C72" s="3894" t="s">
        <v>2621</v>
      </c>
      <c r="D72" s="3894"/>
      <c r="E72" s="315">
        <v>60</v>
      </c>
      <c r="F72" s="3918"/>
      <c r="G72" s="3918"/>
      <c r="H72" s="3918"/>
      <c r="I72" s="73"/>
      <c r="J72" s="3910"/>
      <c r="K72" s="3910"/>
      <c r="L72" s="3910"/>
      <c r="M72" s="3910"/>
      <c r="N72" s="3910"/>
      <c r="O72" s="3910"/>
      <c r="P72" s="3910"/>
      <c r="Q72" s="3910"/>
      <c r="R72" s="73"/>
      <c r="S72" s="1917"/>
      <c r="T72" s="1675"/>
      <c r="U72" s="212"/>
      <c r="V72" s="2122"/>
      <c r="W72" s="3887" t="str">
        <f>IF(SUM(Tablas!$B$2328:$B$2369)=0,"",IF(Tablas!A20&gt;MAX(Tablas!$B$2328:$B$2369),"",VLOOKUP(Tablas!A20,Tablas!$B$2328:$F$2369,2,FALSE)))</f>
        <v/>
      </c>
      <c r="X72" s="3888"/>
      <c r="Y72" s="3888"/>
      <c r="Z72" s="3888"/>
      <c r="AA72" s="3889"/>
      <c r="AB72" s="3902" t="str">
        <f>IF(SUM(Tablas!$B$2328:$B$2369)=0,"",IF(Tablas!A20&gt;MAX(Tablas!$B$2328:$B$2369),"",VLOOKUP(Tablas!A20,Tablas!$B$2328:$F$2369,4,FALSE)))</f>
        <v/>
      </c>
      <c r="AC72" s="3903"/>
      <c r="AD72" s="3903"/>
      <c r="AE72" s="3903"/>
      <c r="AF72" s="3903"/>
      <c r="AG72" s="3903"/>
      <c r="AH72" s="3903"/>
      <c r="AI72" s="3903"/>
      <c r="AJ72" s="3903"/>
      <c r="AK72" s="3904"/>
      <c r="AL72" s="1917"/>
      <c r="AM72" s="212"/>
      <c r="AN72" s="2696" t="str">
        <f t="shared" si="8"/>
        <v>Conjuros</v>
      </c>
      <c r="AO72" s="3984"/>
      <c r="AP72" s="3985"/>
      <c r="AQ72" s="3882"/>
      <c r="AR72" s="3882"/>
      <c r="AS72" s="3882"/>
      <c r="AT72" s="3986"/>
      <c r="AU72" s="2204"/>
      <c r="AV72" s="2141">
        <f>IF(AQ72="",0,VLOOKUP(AQ72,'Tablas Magia'!$D$6:$Z$680,11,FALSE)/2)</f>
        <v>0</v>
      </c>
      <c r="AW72" s="2276"/>
      <c r="AX72" s="1909"/>
    </row>
    <row r="73" spans="1:50" ht="12" customHeight="1" thickBot="1" x14ac:dyDescent="0.25">
      <c r="A73" s="212"/>
      <c r="B73" s="1906"/>
      <c r="C73" s="3917" t="s">
        <v>2622</v>
      </c>
      <c r="D73" s="3917"/>
      <c r="E73" s="318">
        <v>70</v>
      </c>
      <c r="F73" s="3918"/>
      <c r="G73" s="3918"/>
      <c r="H73" s="3918"/>
      <c r="I73" s="73"/>
      <c r="J73" s="3910"/>
      <c r="K73" s="3910"/>
      <c r="L73" s="3910"/>
      <c r="M73" s="3910"/>
      <c r="N73" s="3910"/>
      <c r="O73" s="3910"/>
      <c r="P73" s="3910"/>
      <c r="Q73" s="3910"/>
      <c r="R73" s="73"/>
      <c r="S73" s="1917"/>
      <c r="T73" s="1675"/>
      <c r="U73" s="212"/>
      <c r="V73" s="2122"/>
      <c r="W73" s="3911" t="str">
        <f>IF(SUM(Tablas!$B$2328:$B$2369)=0,"",IF(Tablas!A21&gt;MAX(Tablas!$B$2328:$B$2369),"",VLOOKUP(Tablas!A21,Tablas!$B$2328:$F$2369,2,FALSE)))</f>
        <v/>
      </c>
      <c r="X73" s="3912"/>
      <c r="Y73" s="3912"/>
      <c r="Z73" s="3912"/>
      <c r="AA73" s="3913"/>
      <c r="AB73" s="3914" t="str">
        <f>IF(SUM(Tablas!$B$2328:$B$2369)=0,"",IF(Tablas!A21&gt;MAX(Tablas!$B$2328:$B$2369),"",VLOOKUP(Tablas!A21,Tablas!$B$2328:$F$2369,4,FALSE)))</f>
        <v/>
      </c>
      <c r="AC73" s="3915"/>
      <c r="AD73" s="3915"/>
      <c r="AE73" s="3915"/>
      <c r="AF73" s="3915"/>
      <c r="AG73" s="3915"/>
      <c r="AH73" s="3915"/>
      <c r="AI73" s="3915"/>
      <c r="AJ73" s="3915"/>
      <c r="AK73" s="3916"/>
      <c r="AL73" s="1917"/>
      <c r="AM73" s="212"/>
      <c r="AN73" s="2260"/>
      <c r="AW73" s="2276"/>
      <c r="AX73" s="1909"/>
    </row>
    <row r="74" spans="1:50" ht="12" customHeight="1" thickBot="1" x14ac:dyDescent="0.25">
      <c r="A74" s="212"/>
      <c r="B74" s="1907"/>
      <c r="C74" s="1908"/>
      <c r="D74" s="1908"/>
      <c r="E74" s="1908"/>
      <c r="F74" s="1908"/>
      <c r="G74" s="1908"/>
      <c r="H74" s="1908"/>
      <c r="I74" s="1908"/>
      <c r="J74" s="1908"/>
      <c r="K74" s="1908"/>
      <c r="L74" s="1908"/>
      <c r="M74" s="1908"/>
      <c r="N74" s="1908"/>
      <c r="O74" s="1908"/>
      <c r="P74" s="1908"/>
      <c r="Q74" s="1908"/>
      <c r="R74" s="1908"/>
      <c r="S74" s="1918"/>
      <c r="T74" s="1675"/>
      <c r="U74" s="212"/>
      <c r="V74" s="2124"/>
      <c r="W74" s="1908"/>
      <c r="X74" s="1908"/>
      <c r="Y74" s="1908"/>
      <c r="Z74" s="1908"/>
      <c r="AA74" s="1908"/>
      <c r="AB74" s="1908"/>
      <c r="AC74" s="1908"/>
      <c r="AD74" s="1908"/>
      <c r="AE74" s="1908"/>
      <c r="AF74" s="1908"/>
      <c r="AG74" s="1908"/>
      <c r="AH74" s="1908"/>
      <c r="AI74" s="1908"/>
      <c r="AJ74" s="1908"/>
      <c r="AK74" s="1908"/>
      <c r="AL74" s="1918"/>
      <c r="AM74" s="212"/>
      <c r="AN74" s="2261"/>
      <c r="AO74" s="1908"/>
      <c r="AP74" s="1908"/>
      <c r="AQ74" s="1908"/>
      <c r="AR74" s="1908"/>
      <c r="AS74" s="1908"/>
      <c r="AT74" s="1908"/>
      <c r="AU74" s="1908"/>
      <c r="AV74" s="1908"/>
      <c r="AW74" s="2280"/>
      <c r="AX74" s="1909"/>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75"/>
      <c r="U75" s="212"/>
      <c r="V75" s="212"/>
      <c r="W75" s="212"/>
      <c r="X75" s="212"/>
      <c r="Y75" s="212"/>
      <c r="Z75" s="212"/>
      <c r="AA75" s="212"/>
      <c r="AB75" s="212"/>
      <c r="AC75" s="212"/>
      <c r="AD75" s="212"/>
      <c r="AE75" s="212"/>
      <c r="AF75" s="212"/>
      <c r="AG75" s="212"/>
      <c r="AH75" s="212"/>
      <c r="AI75" s="212"/>
      <c r="AJ75" s="212"/>
      <c r="AK75" s="212"/>
      <c r="AL75" s="212"/>
      <c r="AM75" s="212"/>
      <c r="AN75" s="2257"/>
      <c r="AO75" s="212"/>
      <c r="AP75" s="212"/>
      <c r="AQ75" s="212"/>
      <c r="AR75" s="212"/>
      <c r="AS75" s="212"/>
      <c r="AT75" s="212"/>
      <c r="AU75" s="212"/>
      <c r="AV75" s="212"/>
      <c r="AW75" s="1909"/>
      <c r="AX75" s="1909"/>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37" customWidth="1"/>
    <col min="2" max="2" width="6.7109375" style="319" customWidth="1"/>
    <col min="3" max="34" width="5.7109375" style="319"/>
    <col min="35" max="35" width="6.7109375" style="319" customWidth="1"/>
    <col min="36" max="36" width="1.7109375" style="319" customWidth="1"/>
    <col min="37" max="16384" width="5.7109375" style="319"/>
  </cols>
  <sheetData>
    <row r="1" spans="1:36" ht="12" customHeight="1" x14ac:dyDescent="0.2">
      <c r="A1" s="1675">
        <v>5</v>
      </c>
      <c r="B1" s="320"/>
      <c r="C1" s="320"/>
      <c r="D1" s="320"/>
      <c r="E1" s="320"/>
      <c r="F1" s="320"/>
      <c r="G1" s="320"/>
      <c r="H1" s="320"/>
      <c r="I1" s="320"/>
      <c r="J1" s="320"/>
      <c r="K1" s="320"/>
      <c r="L1" s="320"/>
      <c r="M1" s="320"/>
      <c r="N1" s="320"/>
      <c r="O1" s="320"/>
      <c r="P1" s="320"/>
      <c r="Q1" s="320"/>
      <c r="R1" s="320"/>
      <c r="S1" s="320"/>
      <c r="T1" s="320"/>
      <c r="U1" s="320"/>
      <c r="V1" s="212"/>
      <c r="W1" s="212"/>
      <c r="X1" s="212"/>
      <c r="Y1" s="212"/>
      <c r="Z1" s="212"/>
      <c r="AA1" s="212"/>
      <c r="AB1" s="212"/>
      <c r="AC1" s="212"/>
      <c r="AD1" s="212"/>
      <c r="AE1" s="212"/>
      <c r="AF1" s="212"/>
      <c r="AG1" s="212"/>
      <c r="AH1" s="212"/>
      <c r="AI1" s="212"/>
      <c r="AJ1" s="212"/>
    </row>
    <row r="2" spans="1:36" ht="12" customHeight="1" x14ac:dyDescent="0.2">
      <c r="A2" s="1675">
        <v>10</v>
      </c>
      <c r="B2" s="321"/>
      <c r="C2" s="322"/>
      <c r="D2" s="322"/>
      <c r="E2" s="322"/>
      <c r="F2" s="322"/>
      <c r="G2" s="322"/>
      <c r="H2" s="322"/>
      <c r="I2" s="322"/>
      <c r="J2" s="322"/>
      <c r="K2" s="322"/>
      <c r="L2" s="322"/>
      <c r="M2" s="322"/>
      <c r="N2" s="322"/>
      <c r="O2" s="322"/>
      <c r="P2" s="322"/>
      <c r="Q2" s="322"/>
      <c r="R2" s="322"/>
      <c r="S2" s="322"/>
      <c r="T2" s="322"/>
      <c r="U2" s="322"/>
      <c r="V2" s="146"/>
      <c r="W2" s="146"/>
      <c r="X2" s="146"/>
      <c r="Y2" s="146"/>
      <c r="Z2" s="146"/>
      <c r="AA2" s="146"/>
      <c r="AB2" s="146"/>
      <c r="AC2" s="146"/>
      <c r="AD2" s="146"/>
      <c r="AE2" s="146"/>
      <c r="AF2" s="146"/>
      <c r="AG2" s="146"/>
      <c r="AH2" s="146"/>
      <c r="AI2" s="286"/>
      <c r="AJ2" s="212"/>
    </row>
    <row r="3" spans="1:36" ht="12" customHeight="1" x14ac:dyDescent="0.2">
      <c r="A3" s="1675">
        <v>15</v>
      </c>
      <c r="B3" s="323"/>
      <c r="C3" s="3046"/>
      <c r="D3" s="3046"/>
      <c r="E3" s="3046"/>
      <c r="F3" s="3046"/>
      <c r="G3" s="3046"/>
      <c r="H3" s="3046"/>
      <c r="I3" s="13"/>
      <c r="J3" s="324"/>
      <c r="K3" s="324"/>
      <c r="L3" s="324"/>
      <c r="M3" s="324"/>
      <c r="N3" s="324"/>
      <c r="O3" s="324"/>
      <c r="P3" s="324"/>
      <c r="Q3" s="324"/>
      <c r="R3" s="324"/>
      <c r="S3" s="324"/>
      <c r="T3" s="324"/>
      <c r="U3" s="324"/>
      <c r="V3" s="151"/>
      <c r="W3" s="151"/>
      <c r="X3" s="151"/>
      <c r="Y3" s="151"/>
      <c r="Z3" s="151"/>
      <c r="AA3" s="13"/>
      <c r="AB3" s="13"/>
      <c r="AC3" s="13"/>
      <c r="AD3" s="13"/>
      <c r="AE3" s="13"/>
      <c r="AF3" s="13"/>
      <c r="AG3" s="13"/>
      <c r="AH3" s="14"/>
      <c r="AI3" s="75"/>
      <c r="AJ3" s="212"/>
    </row>
    <row r="4" spans="1:36" ht="12" customHeight="1" x14ac:dyDescent="0.2">
      <c r="A4" s="1675">
        <v>20</v>
      </c>
      <c r="B4" s="323"/>
      <c r="C4" s="3046"/>
      <c r="D4" s="3046"/>
      <c r="E4" s="3046"/>
      <c r="F4" s="3046"/>
      <c r="G4" s="3046"/>
      <c r="H4" s="3046"/>
      <c r="I4" s="16"/>
      <c r="J4" s="325"/>
      <c r="K4" s="325"/>
      <c r="L4" s="325"/>
      <c r="M4" s="325"/>
      <c r="N4" s="325"/>
      <c r="O4" s="325"/>
      <c r="P4" s="325"/>
      <c r="Q4" s="325"/>
      <c r="R4" s="325"/>
      <c r="S4" s="325"/>
      <c r="T4" s="325"/>
      <c r="U4" s="325"/>
      <c r="V4" s="61"/>
      <c r="W4" s="61"/>
      <c r="X4" s="61"/>
      <c r="Y4" s="61"/>
      <c r="Z4" s="61"/>
      <c r="AA4" s="2963" t="s">
        <v>2169</v>
      </c>
      <c r="AB4" s="2963"/>
      <c r="AC4" s="2964" t="str">
        <f>IF(OR(General!$G$22="",General!$G$22=0),"",General!$G$22)</f>
        <v/>
      </c>
      <c r="AD4" s="2964"/>
      <c r="AE4" s="2964"/>
      <c r="AF4" s="2964"/>
      <c r="AG4" s="2964"/>
      <c r="AH4" s="17"/>
      <c r="AI4" s="75"/>
      <c r="AJ4" s="212"/>
    </row>
    <row r="5" spans="1:36" ht="12" customHeight="1" x14ac:dyDescent="0.2">
      <c r="A5" s="1675">
        <v>25</v>
      </c>
      <c r="B5" s="323"/>
      <c r="C5" s="3046"/>
      <c r="D5" s="3046"/>
      <c r="E5" s="3046"/>
      <c r="F5" s="3046"/>
      <c r="G5" s="3046"/>
      <c r="H5" s="3046"/>
      <c r="I5" s="16"/>
      <c r="J5" s="325"/>
      <c r="K5" s="325"/>
      <c r="L5" s="325"/>
      <c r="M5" s="325"/>
      <c r="N5" s="325"/>
      <c r="O5" s="325"/>
      <c r="P5" s="325"/>
      <c r="Q5" s="325"/>
      <c r="R5" s="325"/>
      <c r="S5" s="325"/>
      <c r="T5" s="325"/>
      <c r="U5" s="325"/>
      <c r="V5" s="61"/>
      <c r="W5" s="61"/>
      <c r="X5" s="61"/>
      <c r="Y5" s="61"/>
      <c r="Z5" s="61"/>
      <c r="AA5" s="3042" t="s">
        <v>2170</v>
      </c>
      <c r="AB5" s="3042"/>
      <c r="AC5" s="3043" t="str">
        <f>Principal!$L$5</f>
        <v>Hechicero</v>
      </c>
      <c r="AD5" s="3043"/>
      <c r="AE5" s="3043"/>
      <c r="AF5" s="18" t="s">
        <v>2171</v>
      </c>
      <c r="AG5" s="19" t="str">
        <f>Principal!$P$5</f>
        <v>1 + 2</v>
      </c>
      <c r="AH5" s="20"/>
      <c r="AI5" s="75"/>
      <c r="AJ5" s="212"/>
    </row>
    <row r="6" spans="1:36" ht="12" customHeight="1" x14ac:dyDescent="0.2">
      <c r="A6" s="1831"/>
      <c r="B6" s="326"/>
      <c r="C6" s="3046"/>
      <c r="D6" s="3046"/>
      <c r="E6" s="3046"/>
      <c r="F6" s="3046"/>
      <c r="G6" s="3046"/>
      <c r="H6" s="3046"/>
      <c r="I6" s="16"/>
      <c r="J6" s="325"/>
      <c r="K6" s="325"/>
      <c r="L6" s="325"/>
      <c r="M6" s="325"/>
      <c r="N6" s="325"/>
      <c r="O6" s="325"/>
      <c r="P6" s="325"/>
      <c r="Q6" s="325"/>
      <c r="R6" s="325"/>
      <c r="S6" s="325"/>
      <c r="T6" s="325"/>
      <c r="U6" s="325"/>
      <c r="V6" s="61"/>
      <c r="W6" s="61"/>
      <c r="X6" s="61"/>
      <c r="Y6" s="61"/>
      <c r="Z6" s="61"/>
      <c r="AA6" s="3044" t="s">
        <v>2623</v>
      </c>
      <c r="AB6" s="3044"/>
      <c r="AC6" s="3044"/>
      <c r="AD6" s="3044"/>
      <c r="AE6" s="3044"/>
      <c r="AF6" s="3044"/>
      <c r="AG6" s="3044"/>
      <c r="AH6" s="20"/>
      <c r="AI6" s="75"/>
      <c r="AJ6" s="212"/>
    </row>
    <row r="7" spans="1:36" ht="12" customHeight="1" x14ac:dyDescent="0.2">
      <c r="A7" s="1832"/>
      <c r="B7" s="327"/>
      <c r="C7" s="3046"/>
      <c r="D7" s="3046"/>
      <c r="E7" s="3046"/>
      <c r="F7" s="3046"/>
      <c r="G7" s="3046"/>
      <c r="H7" s="3046"/>
      <c r="I7" s="16"/>
      <c r="J7" s="325"/>
      <c r="K7" s="325"/>
      <c r="L7" s="325"/>
      <c r="M7" s="325"/>
      <c r="N7" s="325"/>
      <c r="O7" s="325"/>
      <c r="P7" s="325"/>
      <c r="Q7" s="325"/>
      <c r="R7" s="325"/>
      <c r="S7" s="325"/>
      <c r="T7" s="325"/>
      <c r="U7" s="325"/>
      <c r="V7" s="61"/>
      <c r="W7" s="61"/>
      <c r="X7" s="61"/>
      <c r="Y7" s="61"/>
      <c r="Z7" s="61"/>
      <c r="AA7" s="3044"/>
      <c r="AB7" s="3044"/>
      <c r="AC7" s="3044"/>
      <c r="AD7" s="3044"/>
      <c r="AE7" s="3044"/>
      <c r="AF7" s="3044"/>
      <c r="AG7" s="3044"/>
      <c r="AH7" s="20"/>
      <c r="AI7" s="75"/>
      <c r="AJ7" s="212"/>
    </row>
    <row r="8" spans="1:36" ht="12" customHeight="1" x14ac:dyDescent="0.2">
      <c r="A8" s="1832"/>
      <c r="B8" s="327"/>
      <c r="C8" s="3046"/>
      <c r="D8" s="3046"/>
      <c r="E8" s="3046"/>
      <c r="F8" s="3046"/>
      <c r="G8" s="3046"/>
      <c r="H8" s="3046"/>
      <c r="I8" s="21"/>
      <c r="J8" s="328"/>
      <c r="K8" s="328"/>
      <c r="L8" s="328"/>
      <c r="M8" s="328"/>
      <c r="N8" s="328"/>
      <c r="O8" s="328"/>
      <c r="P8" s="328"/>
      <c r="Q8" s="328"/>
      <c r="R8" s="328"/>
      <c r="S8" s="328"/>
      <c r="T8" s="328"/>
      <c r="U8" s="328"/>
      <c r="V8" s="156"/>
      <c r="W8" s="156"/>
      <c r="X8" s="156"/>
      <c r="Y8" s="156"/>
      <c r="Z8" s="156"/>
      <c r="AA8" s="21"/>
      <c r="AB8" s="21"/>
      <c r="AC8" s="21"/>
      <c r="AD8" s="21"/>
      <c r="AE8" s="21"/>
      <c r="AF8" s="21"/>
      <c r="AG8" s="21"/>
      <c r="AH8" s="22"/>
      <c r="AI8" s="75"/>
      <c r="AJ8" s="212"/>
    </row>
    <row r="9" spans="1:36" ht="12" customHeight="1" x14ac:dyDescent="0.2">
      <c r="A9" s="1833"/>
      <c r="B9" s="329"/>
      <c r="C9" s="330"/>
      <c r="D9" s="330"/>
      <c r="E9" s="330"/>
      <c r="F9" s="331"/>
      <c r="G9" s="331"/>
      <c r="H9" s="331"/>
      <c r="I9" s="331"/>
      <c r="J9" s="331"/>
      <c r="K9" s="331"/>
      <c r="L9" s="331"/>
      <c r="M9" s="331"/>
      <c r="N9" s="331"/>
      <c r="O9" s="331"/>
      <c r="P9" s="331"/>
      <c r="Q9" s="331"/>
      <c r="R9" s="331"/>
      <c r="S9" s="331"/>
      <c r="T9" s="331"/>
      <c r="U9" s="331"/>
      <c r="V9" s="331"/>
      <c r="W9" s="331"/>
      <c r="X9" s="331"/>
      <c r="Y9" s="331"/>
      <c r="Z9" s="331"/>
      <c r="AA9" s="331"/>
      <c r="AB9" s="331"/>
      <c r="AC9" s="331"/>
      <c r="AD9" s="331"/>
      <c r="AE9" s="331"/>
      <c r="AF9" s="331"/>
      <c r="AG9" s="73"/>
      <c r="AH9" s="73"/>
      <c r="AI9" s="75"/>
      <c r="AJ9" s="212"/>
    </row>
    <row r="10" spans="1:36" ht="12" customHeight="1" x14ac:dyDescent="0.2">
      <c r="A10" s="1834"/>
      <c r="B10" s="323"/>
      <c r="C10" s="330"/>
      <c r="D10" s="330"/>
      <c r="E10" s="330"/>
      <c r="F10" s="330"/>
      <c r="G10" s="330"/>
      <c r="H10" s="332"/>
      <c r="I10" s="4000" t="s">
        <v>2624</v>
      </c>
      <c r="J10" s="4000"/>
      <c r="K10" s="333"/>
      <c r="L10" s="330"/>
      <c r="M10" s="330"/>
      <c r="N10" s="330"/>
      <c r="O10" s="331"/>
      <c r="P10" s="331"/>
      <c r="Q10" s="331"/>
      <c r="R10" s="331"/>
      <c r="S10" s="331"/>
      <c r="T10" s="331"/>
      <c r="U10" s="331"/>
      <c r="V10" s="331"/>
      <c r="W10" s="331"/>
      <c r="X10" s="330"/>
      <c r="Y10" s="330"/>
      <c r="Z10" s="332"/>
      <c r="AA10" s="4000" t="s">
        <v>2625</v>
      </c>
      <c r="AB10" s="4000"/>
      <c r="AC10" s="333"/>
      <c r="AD10" s="330"/>
      <c r="AE10" s="330"/>
      <c r="AF10" s="73"/>
      <c r="AG10" s="73"/>
      <c r="AH10" s="73"/>
      <c r="AI10" s="75"/>
      <c r="AJ10" s="212"/>
    </row>
    <row r="11" spans="1:36" ht="12" customHeight="1" x14ac:dyDescent="0.2">
      <c r="A11" s="1834"/>
      <c r="B11" s="323"/>
      <c r="C11" s="330"/>
      <c r="D11" s="330"/>
      <c r="E11" s="330"/>
      <c r="F11" s="4000" t="s">
        <v>2626</v>
      </c>
      <c r="G11" s="4000"/>
      <c r="H11" s="334"/>
      <c r="I11" s="4000"/>
      <c r="J11" s="4000"/>
      <c r="K11" s="335"/>
      <c r="L11" s="4000" t="s">
        <v>2627</v>
      </c>
      <c r="M11" s="4000"/>
      <c r="N11" s="332"/>
      <c r="O11" s="331"/>
      <c r="P11" s="331"/>
      <c r="Q11" s="331"/>
      <c r="R11" s="331"/>
      <c r="S11" s="331"/>
      <c r="T11" s="331"/>
      <c r="U11" s="331"/>
      <c r="V11" s="331"/>
      <c r="W11" s="331"/>
      <c r="X11" s="4000" t="s">
        <v>2628</v>
      </c>
      <c r="Y11" s="4000"/>
      <c r="Z11" s="334"/>
      <c r="AA11" s="4000"/>
      <c r="AB11" s="4000"/>
      <c r="AC11" s="336"/>
      <c r="AD11" s="4000" t="s">
        <v>2628</v>
      </c>
      <c r="AE11" s="4000"/>
      <c r="AF11" s="333"/>
      <c r="AG11" s="73"/>
      <c r="AH11" s="73"/>
      <c r="AI11" s="75"/>
      <c r="AJ11" s="212"/>
    </row>
    <row r="12" spans="1:36" ht="12" customHeight="1" x14ac:dyDescent="0.2">
      <c r="A12" s="1675"/>
      <c r="B12" s="323"/>
      <c r="C12" s="330"/>
      <c r="D12" s="330"/>
      <c r="E12" s="332"/>
      <c r="F12" s="4000"/>
      <c r="G12" s="4000"/>
      <c r="H12" s="337"/>
      <c r="I12" s="4000"/>
      <c r="J12" s="4000"/>
      <c r="K12" s="337"/>
      <c r="L12" s="4000"/>
      <c r="M12" s="4000"/>
      <c r="N12" s="332"/>
      <c r="O12" s="331"/>
      <c r="P12" s="331"/>
      <c r="Q12" s="331"/>
      <c r="R12" s="331"/>
      <c r="S12" s="331"/>
      <c r="T12" s="331"/>
      <c r="U12" s="331"/>
      <c r="V12" s="331"/>
      <c r="W12" s="331"/>
      <c r="X12" s="4000"/>
      <c r="Y12" s="4000"/>
      <c r="Z12" s="337"/>
      <c r="AA12" s="4000"/>
      <c r="AB12" s="4000"/>
      <c r="AC12" s="337"/>
      <c r="AD12" s="4000"/>
      <c r="AE12" s="4000"/>
      <c r="AF12" s="337"/>
      <c r="AG12" s="73"/>
      <c r="AH12" s="73"/>
      <c r="AI12" s="75"/>
      <c r="AJ12" s="212"/>
    </row>
    <row r="13" spans="1:36" ht="12" customHeight="1" x14ac:dyDescent="0.2">
      <c r="A13" s="1675"/>
      <c r="B13" s="323"/>
      <c r="C13" s="330"/>
      <c r="D13" s="330"/>
      <c r="E13" s="332"/>
      <c r="F13" s="4000"/>
      <c r="G13" s="4000"/>
      <c r="H13" s="337"/>
      <c r="I13" s="338" t="str">
        <f>IF(PDs!$X$15&lt;Metamagia!K10,"Nv "&amp;Metamagia!K10,"")</f>
        <v/>
      </c>
      <c r="J13" s="339"/>
      <c r="K13" s="337">
        <v>10</v>
      </c>
      <c r="L13" s="4000"/>
      <c r="M13" s="4000"/>
      <c r="N13" s="337"/>
      <c r="O13" s="331"/>
      <c r="P13" s="331"/>
      <c r="Q13" s="331"/>
      <c r="R13" s="331"/>
      <c r="S13" s="331"/>
      <c r="T13" s="331"/>
      <c r="U13" s="331"/>
      <c r="V13" s="331"/>
      <c r="W13" s="331"/>
      <c r="X13" s="4000"/>
      <c r="Y13" s="4000"/>
      <c r="Z13" s="337"/>
      <c r="AA13" s="338" t="str">
        <f>IF(PDs!$X$15&lt;Metamagia!AC10,"Nv "&amp;Metamagia!AC10,"")</f>
        <v/>
      </c>
      <c r="AB13" s="339"/>
      <c r="AC13" s="337">
        <v>5</v>
      </c>
      <c r="AD13" s="4000"/>
      <c r="AE13" s="4000"/>
      <c r="AF13" s="337"/>
      <c r="AG13" s="73"/>
      <c r="AH13" s="73"/>
      <c r="AI13" s="75"/>
      <c r="AJ13" s="212"/>
    </row>
    <row r="14" spans="1:36" ht="12" customHeight="1" x14ac:dyDescent="0.2">
      <c r="A14" s="1675"/>
      <c r="B14" s="323"/>
      <c r="C14" s="331"/>
      <c r="D14" s="331"/>
      <c r="E14" s="331"/>
      <c r="F14" s="338" t="str">
        <f>IF(PDs!$X$15&lt;Metamagia!H11,"Nv "&amp;Metamagia!H11,"")</f>
        <v/>
      </c>
      <c r="G14" s="339"/>
      <c r="H14" s="337">
        <v>5</v>
      </c>
      <c r="I14" s="296">
        <f>IF(J13&gt;0,1,0)</f>
        <v>0</v>
      </c>
      <c r="J14" s="340"/>
      <c r="K14" s="337"/>
      <c r="L14" s="338" t="str">
        <f>IF(PDs!$X$15&lt;Metamagia!N11,"Nv "&amp;Metamagia!N11,"")</f>
        <v/>
      </c>
      <c r="M14" s="339"/>
      <c r="N14" s="337">
        <v>5</v>
      </c>
      <c r="O14" s="331"/>
      <c r="P14" s="331"/>
      <c r="Q14" s="331"/>
      <c r="R14" s="331"/>
      <c r="S14" s="331"/>
      <c r="T14" s="331"/>
      <c r="U14" s="331"/>
      <c r="V14" s="331"/>
      <c r="W14" s="331"/>
      <c r="X14" s="338" t="str">
        <f>IF(PDs!$X$15&lt;Metamagia!Z11,"Nv "&amp;Metamagia!Z11,"")</f>
        <v/>
      </c>
      <c r="Y14" s="339"/>
      <c r="Z14" s="337">
        <v>5</v>
      </c>
      <c r="AA14" s="296">
        <f>IF(AB13&gt;0,1,0)</f>
        <v>0</v>
      </c>
      <c r="AB14" s="340"/>
      <c r="AC14" s="337"/>
      <c r="AD14" s="338" t="str">
        <f>IF(PDs!$X$15&lt;Metamagia!AF11,"Nv "&amp;Metamagia!AF11,"")</f>
        <v/>
      </c>
      <c r="AE14" s="339"/>
      <c r="AF14" s="337">
        <v>5</v>
      </c>
      <c r="AG14" s="331"/>
      <c r="AH14" s="331"/>
      <c r="AI14" s="341"/>
      <c r="AJ14" s="212"/>
    </row>
    <row r="15" spans="1:36" ht="12" customHeight="1" x14ac:dyDescent="0.2">
      <c r="A15" s="1675"/>
      <c r="B15" s="323"/>
      <c r="C15" s="331"/>
      <c r="D15" s="331"/>
      <c r="E15" s="331"/>
      <c r="F15" s="296">
        <f>IF(G14&gt;0,1,0)</f>
        <v>0</v>
      </c>
      <c r="G15" s="321"/>
      <c r="H15" s="337"/>
      <c r="I15" s="4000" t="s">
        <v>2629</v>
      </c>
      <c r="J15" s="4000"/>
      <c r="K15" s="337"/>
      <c r="L15" s="342">
        <f>IF(M14&gt;0,1,0)</f>
        <v>0</v>
      </c>
      <c r="M15" s="330"/>
      <c r="N15" s="337"/>
      <c r="O15" s="330"/>
      <c r="P15" s="330"/>
      <c r="Q15" s="332"/>
      <c r="R15" s="4000" t="s">
        <v>2627</v>
      </c>
      <c r="S15" s="4000"/>
      <c r="T15" s="330"/>
      <c r="U15" s="73"/>
      <c r="V15" s="73"/>
      <c r="W15" s="333"/>
      <c r="X15" s="296">
        <f>IF(Y14&gt;0,1,0)</f>
        <v>0</v>
      </c>
      <c r="Y15" s="321"/>
      <c r="Z15" s="337"/>
      <c r="AA15" s="4000" t="s">
        <v>2630</v>
      </c>
      <c r="AB15" s="4000"/>
      <c r="AC15" s="337"/>
      <c r="AD15" s="342">
        <f>IF(AE14&gt;0,1,0)</f>
        <v>0</v>
      </c>
      <c r="AE15" s="330"/>
      <c r="AF15" s="337"/>
      <c r="AG15" s="331"/>
      <c r="AH15" s="331"/>
      <c r="AI15" s="341"/>
      <c r="AJ15" s="212"/>
    </row>
    <row r="16" spans="1:36" ht="12" customHeight="1" x14ac:dyDescent="0.2">
      <c r="A16" s="1675"/>
      <c r="B16" s="323"/>
      <c r="C16" s="331"/>
      <c r="D16" s="331"/>
      <c r="E16" s="331"/>
      <c r="F16" s="330"/>
      <c r="G16" s="343"/>
      <c r="H16" s="335"/>
      <c r="I16" s="4000"/>
      <c r="J16" s="4000"/>
      <c r="K16" s="344"/>
      <c r="L16" s="345"/>
      <c r="M16" s="330"/>
      <c r="N16" s="337"/>
      <c r="O16" s="330"/>
      <c r="P16" s="346"/>
      <c r="Q16" s="347"/>
      <c r="R16" s="4000"/>
      <c r="S16" s="4000"/>
      <c r="T16" s="332"/>
      <c r="U16" s="73"/>
      <c r="V16" s="73"/>
      <c r="W16" s="333"/>
      <c r="X16" s="330"/>
      <c r="Y16" s="343"/>
      <c r="Z16" s="335"/>
      <c r="AA16" s="4000"/>
      <c r="AB16" s="4000"/>
      <c r="AC16" s="344"/>
      <c r="AD16" s="345"/>
      <c r="AE16" s="330"/>
      <c r="AF16" s="337"/>
      <c r="AG16" s="331"/>
      <c r="AH16" s="331"/>
      <c r="AI16" s="341"/>
      <c r="AJ16" s="212"/>
    </row>
    <row r="17" spans="1:36" ht="12" customHeight="1" x14ac:dyDescent="0.2">
      <c r="A17" s="1675"/>
      <c r="B17" s="323"/>
      <c r="C17" s="331"/>
      <c r="D17" s="331"/>
      <c r="E17" s="331"/>
      <c r="F17" s="330"/>
      <c r="G17" s="323"/>
      <c r="H17" s="337"/>
      <c r="I17" s="4000"/>
      <c r="J17" s="4000"/>
      <c r="K17" s="337"/>
      <c r="L17" s="348"/>
      <c r="M17" s="330"/>
      <c r="N17" s="337"/>
      <c r="O17" s="348"/>
      <c r="P17" s="330"/>
      <c r="Q17" s="332"/>
      <c r="R17" s="4000"/>
      <c r="S17" s="4000"/>
      <c r="T17" s="337"/>
      <c r="U17" s="73"/>
      <c r="V17" s="73"/>
      <c r="W17" s="333"/>
      <c r="X17" s="330"/>
      <c r="Y17" s="323"/>
      <c r="Z17" s="337"/>
      <c r="AA17" s="4000"/>
      <c r="AB17" s="4000"/>
      <c r="AC17" s="337"/>
      <c r="AD17" s="348"/>
      <c r="AE17" s="330"/>
      <c r="AF17" s="337"/>
      <c r="AG17" s="331"/>
      <c r="AH17" s="331"/>
      <c r="AI17" s="341"/>
      <c r="AJ17" s="212"/>
    </row>
    <row r="18" spans="1:36" ht="12" customHeight="1" x14ac:dyDescent="0.2">
      <c r="A18" s="1675"/>
      <c r="B18" s="323"/>
      <c r="C18" s="331"/>
      <c r="D18" s="331"/>
      <c r="E18" s="331"/>
      <c r="F18" s="330"/>
      <c r="G18" s="323"/>
      <c r="H18" s="337"/>
      <c r="I18" s="338" t="str">
        <f>IF(PDs!$X$15&lt;Metamagia!K15,"Nv "&amp;Metamagia!K15,"")</f>
        <v/>
      </c>
      <c r="J18" s="339"/>
      <c r="K18" s="337">
        <v>10</v>
      </c>
      <c r="L18" s="348"/>
      <c r="M18" s="330"/>
      <c r="N18" s="337"/>
      <c r="O18" s="348"/>
      <c r="P18" s="330"/>
      <c r="Q18" s="332"/>
      <c r="R18" s="338" t="str">
        <f>IF(PDs!$X$15&lt;Metamagia!T15,"Nv "&amp;Metamagia!T15,"")</f>
        <v/>
      </c>
      <c r="S18" s="339"/>
      <c r="T18" s="337">
        <v>5</v>
      </c>
      <c r="U18" s="73"/>
      <c r="V18" s="73"/>
      <c r="W18" s="333"/>
      <c r="X18" s="330"/>
      <c r="Y18" s="323"/>
      <c r="Z18" s="337"/>
      <c r="AA18" s="338" t="str">
        <f>IF(PDs!$X$15&lt;Metamagia!AC15,"Nv "&amp;Metamagia!AC15,"")</f>
        <v/>
      </c>
      <c r="AB18" s="339"/>
      <c r="AC18" s="337">
        <v>5</v>
      </c>
      <c r="AD18" s="348"/>
      <c r="AE18" s="330"/>
      <c r="AF18" s="337"/>
      <c r="AG18" s="331"/>
      <c r="AH18" s="331"/>
      <c r="AI18" s="341"/>
      <c r="AJ18" s="212"/>
    </row>
    <row r="19" spans="1:36" ht="12" customHeight="1" x14ac:dyDescent="0.2">
      <c r="A19" s="1675"/>
      <c r="B19" s="323"/>
      <c r="C19" s="330"/>
      <c r="D19" s="346"/>
      <c r="E19" s="337"/>
      <c r="F19" s="330"/>
      <c r="G19" s="343"/>
      <c r="H19" s="337"/>
      <c r="I19" s="296">
        <f>IF(J18&gt;0,1,0)</f>
        <v>0</v>
      </c>
      <c r="J19" s="330"/>
      <c r="K19" s="337"/>
      <c r="L19" s="345"/>
      <c r="M19" s="330"/>
      <c r="N19" s="337"/>
      <c r="O19" s="345"/>
      <c r="P19" s="330"/>
      <c r="Q19" s="332"/>
      <c r="R19" s="349">
        <f>IF(S18&gt;0,1,0)</f>
        <v>0</v>
      </c>
      <c r="S19" s="330"/>
      <c r="T19" s="337"/>
      <c r="U19" s="73"/>
      <c r="V19" s="73"/>
      <c r="W19" s="333"/>
      <c r="X19" s="330"/>
      <c r="Y19" s="343"/>
      <c r="Z19" s="337"/>
      <c r="AA19" s="296">
        <f>IF(AB18&gt;0,1,0)</f>
        <v>0</v>
      </c>
      <c r="AB19" s="330"/>
      <c r="AC19" s="337"/>
      <c r="AD19" s="345"/>
      <c r="AE19" s="330"/>
      <c r="AF19" s="337"/>
      <c r="AG19" s="331"/>
      <c r="AH19" s="331"/>
      <c r="AI19" s="341"/>
      <c r="AJ19" s="212"/>
    </row>
    <row r="20" spans="1:36" ht="12" customHeight="1" x14ac:dyDescent="0.2">
      <c r="A20" s="1675"/>
      <c r="B20" s="323"/>
      <c r="C20" s="4000" t="s">
        <v>2627</v>
      </c>
      <c r="D20" s="4000"/>
      <c r="E20" s="337"/>
      <c r="F20" s="4000" t="s">
        <v>2631</v>
      </c>
      <c r="G20" s="4000"/>
      <c r="H20" s="337">
        <v>3</v>
      </c>
      <c r="I20" s="4000" t="s">
        <v>2632</v>
      </c>
      <c r="J20" s="4000"/>
      <c r="K20" s="337">
        <v>4</v>
      </c>
      <c r="L20" s="4000" t="s">
        <v>2633</v>
      </c>
      <c r="M20" s="4000"/>
      <c r="N20" s="337">
        <v>2</v>
      </c>
      <c r="O20" s="4000" t="s">
        <v>2624</v>
      </c>
      <c r="P20" s="4000"/>
      <c r="Q20" s="337">
        <v>4</v>
      </c>
      <c r="R20" s="4000" t="s">
        <v>2632</v>
      </c>
      <c r="S20" s="4000"/>
      <c r="T20" s="337">
        <v>5</v>
      </c>
      <c r="U20" s="4000" t="s">
        <v>2630</v>
      </c>
      <c r="V20" s="4000"/>
      <c r="W20" s="333"/>
      <c r="X20" s="4000" t="s">
        <v>2634</v>
      </c>
      <c r="Y20" s="4000"/>
      <c r="Z20" s="337">
        <v>3</v>
      </c>
      <c r="AA20" s="4000" t="s">
        <v>2635</v>
      </c>
      <c r="AB20" s="4000"/>
      <c r="AC20" s="337">
        <v>5</v>
      </c>
      <c r="AD20" s="4000" t="s">
        <v>2636</v>
      </c>
      <c r="AE20" s="4000"/>
      <c r="AF20" s="337">
        <v>2</v>
      </c>
      <c r="AG20" s="4000" t="s">
        <v>2634</v>
      </c>
      <c r="AH20" s="4000"/>
      <c r="AI20" s="350">
        <v>3</v>
      </c>
      <c r="AJ20" s="212"/>
    </row>
    <row r="21" spans="1:36" ht="12" customHeight="1" x14ac:dyDescent="0.2">
      <c r="A21" s="1675"/>
      <c r="B21" s="323"/>
      <c r="C21" s="4000"/>
      <c r="D21" s="4000"/>
      <c r="E21" s="334"/>
      <c r="F21" s="4000"/>
      <c r="G21" s="4000"/>
      <c r="H21" s="334"/>
      <c r="I21" s="4000"/>
      <c r="J21" s="4000"/>
      <c r="K21" s="334"/>
      <c r="L21" s="4000"/>
      <c r="M21" s="4000"/>
      <c r="N21" s="334"/>
      <c r="O21" s="4000"/>
      <c r="P21" s="4000"/>
      <c r="Q21" s="337"/>
      <c r="R21" s="4000"/>
      <c r="S21" s="4000"/>
      <c r="T21" s="337"/>
      <c r="U21" s="4000"/>
      <c r="V21" s="4000"/>
      <c r="W21" s="336"/>
      <c r="X21" s="4000"/>
      <c r="Y21" s="4000"/>
      <c r="Z21" s="334"/>
      <c r="AA21" s="4000"/>
      <c r="AB21" s="4000"/>
      <c r="AC21" s="334"/>
      <c r="AD21" s="4000"/>
      <c r="AE21" s="4000"/>
      <c r="AF21" s="334"/>
      <c r="AG21" s="4000"/>
      <c r="AH21" s="4000"/>
      <c r="AI21" s="350"/>
      <c r="AJ21" s="212"/>
    </row>
    <row r="22" spans="1:36" ht="12" customHeight="1" x14ac:dyDescent="0.2">
      <c r="A22" s="1675"/>
      <c r="B22" s="323"/>
      <c r="C22" s="4000"/>
      <c r="D22" s="4000"/>
      <c r="E22" s="337"/>
      <c r="F22" s="4000"/>
      <c r="G22" s="4000"/>
      <c r="H22" s="337"/>
      <c r="I22" s="4000"/>
      <c r="J22" s="4000"/>
      <c r="K22" s="337"/>
      <c r="L22" s="4000"/>
      <c r="M22" s="4000"/>
      <c r="N22" s="337"/>
      <c r="O22" s="4000"/>
      <c r="P22" s="4000"/>
      <c r="Q22" s="337"/>
      <c r="R22" s="4000"/>
      <c r="S22" s="4000"/>
      <c r="T22" s="337"/>
      <c r="U22" s="4000"/>
      <c r="V22" s="4000"/>
      <c r="W22" s="333"/>
      <c r="X22" s="4000"/>
      <c r="Y22" s="4000"/>
      <c r="Z22" s="337"/>
      <c r="AA22" s="4000"/>
      <c r="AB22" s="4000"/>
      <c r="AC22" s="337"/>
      <c r="AD22" s="4000"/>
      <c r="AE22" s="4000"/>
      <c r="AF22" s="337"/>
      <c r="AG22" s="4000"/>
      <c r="AH22" s="4000"/>
      <c r="AI22" s="350"/>
      <c r="AJ22" s="212"/>
    </row>
    <row r="23" spans="1:36" ht="12" customHeight="1" x14ac:dyDescent="0.2">
      <c r="A23" s="1675"/>
      <c r="B23" s="323"/>
      <c r="C23" s="338" t="str">
        <f>IF(PDs!$X$15&lt;Metamagia!E20,"Nv "&amp;Metamagia!E20,"")</f>
        <v/>
      </c>
      <c r="D23" s="339"/>
      <c r="E23" s="337">
        <v>5</v>
      </c>
      <c r="F23" s="338" t="str">
        <f>IF(PDs!$X$15&lt;Metamagia!H20,"Nv "&amp;Metamagia!H20,"")</f>
        <v>Nv 3</v>
      </c>
      <c r="G23" s="339"/>
      <c r="H23" s="337">
        <v>10</v>
      </c>
      <c r="I23" s="338" t="str">
        <f>IF(PDs!$X$15&lt;Metamagia!K20,"Nv "&amp;Metamagia!K20,"")</f>
        <v>Nv 4</v>
      </c>
      <c r="J23" s="339"/>
      <c r="K23" s="337">
        <v>10</v>
      </c>
      <c r="L23" s="338" t="str">
        <f>IF(PDs!$X$15&lt;Metamagia!N20,"Nv "&amp;Metamagia!N20,"")</f>
        <v>Nv 2</v>
      </c>
      <c r="M23" s="339"/>
      <c r="N23" s="337">
        <v>5</v>
      </c>
      <c r="O23" s="338" t="str">
        <f>IF(PDs!$X$15&lt;Metamagia!Q20,"Nv "&amp;Metamagia!Q20,"")</f>
        <v>Nv 4</v>
      </c>
      <c r="P23" s="339"/>
      <c r="Q23" s="337">
        <v>10</v>
      </c>
      <c r="R23" s="338" t="str">
        <f>IF(PDs!$X$15&lt;Metamagia!T20,"Nv "&amp;Metamagia!T20,"")</f>
        <v>Nv 5</v>
      </c>
      <c r="S23" s="339"/>
      <c r="T23" s="337">
        <v>10</v>
      </c>
      <c r="U23" s="338" t="str">
        <f>IF(PDs!$X$15&lt;Metamagia!W20,"Nv "&amp;Metamagia!W20,"")</f>
        <v/>
      </c>
      <c r="V23" s="339"/>
      <c r="W23" s="337">
        <v>5</v>
      </c>
      <c r="X23" s="338" t="str">
        <f>IF(PDs!$X$15&lt;Metamagia!Z20,"Nv "&amp;Metamagia!Z20,"")</f>
        <v>Nv 3</v>
      </c>
      <c r="Y23" s="339"/>
      <c r="Z23" s="337">
        <v>5</v>
      </c>
      <c r="AA23" s="338" t="str">
        <f>IF(PDs!$X$15&lt;Metamagia!AC20,"Nv "&amp;Metamagia!AC20,"")</f>
        <v>Nv 5</v>
      </c>
      <c r="AB23" s="339"/>
      <c r="AC23" s="337">
        <v>10</v>
      </c>
      <c r="AD23" s="338" t="str">
        <f>IF(PDs!$X$15&lt;Metamagia!AF20,"Nv "&amp;Metamagia!AF20,"")</f>
        <v>Nv 2</v>
      </c>
      <c r="AE23" s="339"/>
      <c r="AF23" s="337">
        <v>5</v>
      </c>
      <c r="AG23" s="338" t="str">
        <f>IF(PDs!$X$15&lt;Metamagia!AI20,"Nv "&amp;Metamagia!AI20,"")</f>
        <v>Nv 3</v>
      </c>
      <c r="AH23" s="339"/>
      <c r="AI23" s="350">
        <v>5</v>
      </c>
      <c r="AJ23" s="212"/>
    </row>
    <row r="24" spans="1:36" ht="12" customHeight="1" x14ac:dyDescent="0.2">
      <c r="A24" s="1675"/>
      <c r="B24" s="323"/>
      <c r="C24" s="351">
        <f>IF(D23&gt;0,1,0)</f>
        <v>0</v>
      </c>
      <c r="D24" s="321"/>
      <c r="E24" s="337"/>
      <c r="F24" s="342">
        <f>IF(G23&gt;0,1,0)</f>
        <v>0</v>
      </c>
      <c r="G24" s="330"/>
      <c r="H24" s="337"/>
      <c r="I24" s="349">
        <f>IF(J23&gt;0,1,0)</f>
        <v>0</v>
      </c>
      <c r="J24" s="330"/>
      <c r="K24" s="337"/>
      <c r="L24" s="342">
        <f>IF(M23&gt;0,1,0)</f>
        <v>0</v>
      </c>
      <c r="M24" s="330"/>
      <c r="N24" s="337"/>
      <c r="O24" s="296">
        <f>IF(P23&gt;0,1,0)</f>
        <v>0</v>
      </c>
      <c r="P24" s="330"/>
      <c r="Q24" s="337"/>
      <c r="R24" s="349">
        <f>IF(S23&gt;0,1,0)</f>
        <v>0</v>
      </c>
      <c r="S24" s="330"/>
      <c r="T24" s="337"/>
      <c r="U24" s="342">
        <f>IF(V23&gt;0,1,0)</f>
        <v>0</v>
      </c>
      <c r="V24" s="73"/>
      <c r="W24" s="333"/>
      <c r="X24" s="342">
        <f>IF(Y23&gt;0,1,0)</f>
        <v>0</v>
      </c>
      <c r="Y24" s="330"/>
      <c r="Z24" s="337"/>
      <c r="AA24" s="349">
        <f>IF(AB23&gt;0,1,0)</f>
        <v>0</v>
      </c>
      <c r="AB24" s="330"/>
      <c r="AC24" s="337"/>
      <c r="AD24" s="342">
        <f>IF(AE23&gt;0,1,0)</f>
        <v>0</v>
      </c>
      <c r="AE24" s="330"/>
      <c r="AF24" s="337"/>
      <c r="AG24" s="296">
        <f>IF(AH23&gt;0,1,0)</f>
        <v>0</v>
      </c>
      <c r="AH24" s="321"/>
      <c r="AI24" s="350"/>
      <c r="AJ24" s="212"/>
    </row>
    <row r="25" spans="1:36" ht="12" customHeight="1" x14ac:dyDescent="0.2">
      <c r="A25" s="1675"/>
      <c r="B25" s="323"/>
      <c r="C25" s="331"/>
      <c r="D25" s="352"/>
      <c r="E25" s="353"/>
      <c r="F25" s="345"/>
      <c r="G25" s="330"/>
      <c r="H25" s="337"/>
      <c r="I25" s="4000" t="s">
        <v>2633</v>
      </c>
      <c r="J25" s="4000"/>
      <c r="K25" s="337">
        <v>6</v>
      </c>
      <c r="L25" s="345"/>
      <c r="M25" s="330"/>
      <c r="N25" s="337"/>
      <c r="O25" s="330"/>
      <c r="P25" s="330"/>
      <c r="Q25" s="337"/>
      <c r="R25" s="4000" t="s">
        <v>2637</v>
      </c>
      <c r="S25" s="4000"/>
      <c r="T25" s="337">
        <v>2</v>
      </c>
      <c r="U25" s="75"/>
      <c r="V25" s="73"/>
      <c r="W25" s="333"/>
      <c r="X25" s="345"/>
      <c r="Y25" s="330"/>
      <c r="Z25" s="337"/>
      <c r="AA25" s="4000" t="s">
        <v>2638</v>
      </c>
      <c r="AB25" s="4000"/>
      <c r="AC25" s="337">
        <v>8</v>
      </c>
      <c r="AD25" s="345"/>
      <c r="AE25" s="330"/>
      <c r="AF25" s="337"/>
      <c r="AG25" s="73"/>
      <c r="AH25" s="323"/>
      <c r="AI25" s="350"/>
      <c r="AJ25" s="212"/>
    </row>
    <row r="26" spans="1:36" ht="12" customHeight="1" x14ac:dyDescent="0.2">
      <c r="A26" s="1675"/>
      <c r="B26" s="323"/>
      <c r="C26" s="331"/>
      <c r="D26" s="352"/>
      <c r="E26" s="353"/>
      <c r="F26" s="4000" t="s">
        <v>2629</v>
      </c>
      <c r="G26" s="4000"/>
      <c r="H26" s="337">
        <v>6</v>
      </c>
      <c r="I26" s="4000"/>
      <c r="J26" s="4000"/>
      <c r="K26" s="337"/>
      <c r="L26" s="4000" t="s">
        <v>2631</v>
      </c>
      <c r="M26" s="4000"/>
      <c r="N26" s="337">
        <v>6</v>
      </c>
      <c r="O26" s="330"/>
      <c r="P26" s="330"/>
      <c r="Q26" s="337"/>
      <c r="R26" s="4000"/>
      <c r="S26" s="4000"/>
      <c r="T26" s="344"/>
      <c r="U26" s="223"/>
      <c r="V26" s="73"/>
      <c r="W26" s="333"/>
      <c r="X26" s="4000" t="s">
        <v>2639</v>
      </c>
      <c r="Y26" s="4000"/>
      <c r="Z26" s="337">
        <v>7</v>
      </c>
      <c r="AA26" s="4000"/>
      <c r="AB26" s="4000"/>
      <c r="AC26" s="337"/>
      <c r="AD26" s="4000" t="s">
        <v>2640</v>
      </c>
      <c r="AE26" s="4000"/>
      <c r="AF26" s="337">
        <v>8</v>
      </c>
      <c r="AG26" s="331"/>
      <c r="AH26" s="352"/>
      <c r="AI26" s="354"/>
      <c r="AJ26" s="212"/>
    </row>
    <row r="27" spans="1:36" ht="12" customHeight="1" x14ac:dyDescent="0.2">
      <c r="A27" s="1675"/>
      <c r="B27" s="323"/>
      <c r="C27" s="331"/>
      <c r="D27" s="355"/>
      <c r="E27" s="353"/>
      <c r="F27" s="4000"/>
      <c r="G27" s="4000"/>
      <c r="H27" s="337"/>
      <c r="I27" s="4000"/>
      <c r="J27" s="4000"/>
      <c r="K27" s="337"/>
      <c r="L27" s="4000"/>
      <c r="M27" s="4000"/>
      <c r="N27" s="337"/>
      <c r="O27" s="330"/>
      <c r="P27" s="330"/>
      <c r="Q27" s="332"/>
      <c r="R27" s="4000"/>
      <c r="S27" s="4000"/>
      <c r="T27" s="337"/>
      <c r="U27" s="73"/>
      <c r="V27" s="73"/>
      <c r="W27" s="333"/>
      <c r="X27" s="4000"/>
      <c r="Y27" s="4000"/>
      <c r="Z27" s="337"/>
      <c r="AA27" s="4000"/>
      <c r="AB27" s="4000"/>
      <c r="AC27" s="337"/>
      <c r="AD27" s="4000"/>
      <c r="AE27" s="4000"/>
      <c r="AF27" s="337"/>
      <c r="AG27" s="331"/>
      <c r="AH27" s="355"/>
      <c r="AI27" s="354"/>
      <c r="AJ27" s="212"/>
    </row>
    <row r="28" spans="1:36" ht="12" customHeight="1" x14ac:dyDescent="0.2">
      <c r="A28" s="1675"/>
      <c r="B28" s="323"/>
      <c r="C28" s="4000" t="s">
        <v>2626</v>
      </c>
      <c r="D28" s="4000"/>
      <c r="E28" s="337">
        <v>4</v>
      </c>
      <c r="F28" s="4000"/>
      <c r="G28" s="4000"/>
      <c r="H28" s="337"/>
      <c r="I28" s="338" t="str">
        <f>IF(PDs!$X$15&lt;Metamagia!K25,"Nv "&amp;Metamagia!K25,"")</f>
        <v>Nv 6</v>
      </c>
      <c r="J28" s="339"/>
      <c r="K28" s="337">
        <v>10</v>
      </c>
      <c r="L28" s="4000"/>
      <c r="M28" s="4000"/>
      <c r="N28" s="337"/>
      <c r="O28" s="330"/>
      <c r="P28" s="330"/>
      <c r="Q28" s="332"/>
      <c r="R28" s="338" t="str">
        <f>IF(PDs!$X$15&lt;Metamagia!T25,"Nv "&amp;Metamagia!T25,"")</f>
        <v>Nv 2</v>
      </c>
      <c r="S28" s="339"/>
      <c r="T28" s="337">
        <v>5</v>
      </c>
      <c r="U28" s="73"/>
      <c r="V28" s="73"/>
      <c r="W28" s="333"/>
      <c r="X28" s="4000"/>
      <c r="Y28" s="4000"/>
      <c r="Z28" s="337"/>
      <c r="AA28" s="338" t="str">
        <f>IF(PDs!$X$15&lt;Metamagia!AC25,"Nv "&amp;Metamagia!AC25,"")</f>
        <v>Nv 8</v>
      </c>
      <c r="AB28" s="339"/>
      <c r="AC28" s="337">
        <v>5</v>
      </c>
      <c r="AD28" s="4000"/>
      <c r="AE28" s="4000"/>
      <c r="AF28" s="337"/>
      <c r="AG28" s="4000" t="s">
        <v>2636</v>
      </c>
      <c r="AH28" s="4000"/>
      <c r="AI28" s="350">
        <v>4</v>
      </c>
      <c r="AJ28" s="212"/>
    </row>
    <row r="29" spans="1:36" ht="12" customHeight="1" x14ac:dyDescent="0.2">
      <c r="A29" s="1675"/>
      <c r="B29" s="323"/>
      <c r="C29" s="4000"/>
      <c r="D29" s="4000"/>
      <c r="E29" s="337"/>
      <c r="F29" s="338" t="str">
        <f>IF(PDs!$X$15&lt;Metamagia!H26,"Nv "&amp;Metamagia!H26,"")</f>
        <v>Nv 6</v>
      </c>
      <c r="G29" s="339"/>
      <c r="H29" s="337">
        <v>10</v>
      </c>
      <c r="I29" s="296">
        <f>IF(J28&gt;0,1,0)</f>
        <v>0</v>
      </c>
      <c r="J29" s="330"/>
      <c r="K29" s="337"/>
      <c r="L29" s="338" t="str">
        <f>IF(PDs!$X$15&lt;Metamagia!N26,"Nv "&amp;Metamagia!N26,"")</f>
        <v>Nv 6</v>
      </c>
      <c r="M29" s="339"/>
      <c r="N29" s="337">
        <v>10</v>
      </c>
      <c r="O29" s="330"/>
      <c r="P29" s="331"/>
      <c r="Q29" s="331"/>
      <c r="R29" s="356">
        <f>IF(S28&gt;0,1,0)</f>
        <v>0</v>
      </c>
      <c r="S29" s="331"/>
      <c r="T29" s="332"/>
      <c r="U29" s="73"/>
      <c r="V29" s="73"/>
      <c r="W29" s="333"/>
      <c r="X29" s="338" t="str">
        <f>IF(PDs!$X$15&lt;Metamagia!Z26,"Nv "&amp;Metamagia!Z26,"")</f>
        <v>Nv 7</v>
      </c>
      <c r="Y29" s="339"/>
      <c r="Z29" s="337">
        <v>20</v>
      </c>
      <c r="AA29" s="296">
        <f>IF(AB28&gt;0,1,0)</f>
        <v>0</v>
      </c>
      <c r="AB29" s="330"/>
      <c r="AC29" s="337"/>
      <c r="AD29" s="338" t="str">
        <f>IF(PDs!$X$15&lt;Metamagia!AF26,"Nv "&amp;Metamagia!AF26,"")</f>
        <v>Nv 8</v>
      </c>
      <c r="AE29" s="339"/>
      <c r="AF29" s="337">
        <v>25</v>
      </c>
      <c r="AG29" s="4000"/>
      <c r="AH29" s="4000"/>
      <c r="AI29" s="350"/>
      <c r="AJ29" s="212"/>
    </row>
    <row r="30" spans="1:36" ht="12" customHeight="1" x14ac:dyDescent="0.2">
      <c r="A30" s="1675"/>
      <c r="B30" s="323"/>
      <c r="C30" s="4000"/>
      <c r="D30" s="4000"/>
      <c r="E30" s="337"/>
      <c r="F30" s="342">
        <f>IF(G29&gt;0,1,0)</f>
        <v>0</v>
      </c>
      <c r="G30" s="346"/>
      <c r="H30" s="335"/>
      <c r="I30" s="4000" t="s">
        <v>2632</v>
      </c>
      <c r="J30" s="4000"/>
      <c r="K30" s="357">
        <v>7</v>
      </c>
      <c r="L30" s="349">
        <f>IF(M29&gt;0,1,0)</f>
        <v>0</v>
      </c>
      <c r="M30" s="330"/>
      <c r="N30" s="337"/>
      <c r="O30" s="331"/>
      <c r="P30" s="331"/>
      <c r="Q30" s="331"/>
      <c r="R30" s="331"/>
      <c r="S30" s="331"/>
      <c r="T30" s="331"/>
      <c r="U30" s="331"/>
      <c r="V30" s="331"/>
      <c r="W30" s="333"/>
      <c r="X30" s="342">
        <f>IF(Y29&gt;0,1,0)</f>
        <v>0</v>
      </c>
      <c r="Y30" s="346"/>
      <c r="Z30" s="335"/>
      <c r="AA30" s="4000" t="s">
        <v>2641</v>
      </c>
      <c r="AB30" s="4000"/>
      <c r="AC30" s="357">
        <v>9</v>
      </c>
      <c r="AD30" s="349">
        <f>IF(AE29&gt;0,1,0)</f>
        <v>0</v>
      </c>
      <c r="AE30" s="330"/>
      <c r="AF30" s="337"/>
      <c r="AG30" s="4000"/>
      <c r="AH30" s="4000"/>
      <c r="AI30" s="350"/>
      <c r="AJ30" s="212"/>
    </row>
    <row r="31" spans="1:36" ht="12" customHeight="1" x14ac:dyDescent="0.2">
      <c r="A31" s="1675"/>
      <c r="B31" s="323"/>
      <c r="C31" s="338" t="str">
        <f>IF(PDs!$X$15&lt;Metamagia!E28,"Nv "&amp;Metamagia!E28,"")</f>
        <v>Nv 4</v>
      </c>
      <c r="D31" s="339"/>
      <c r="E31" s="337">
        <v>5</v>
      </c>
      <c r="F31" s="358"/>
      <c r="G31" s="55"/>
      <c r="H31" s="337"/>
      <c r="I31" s="4000"/>
      <c r="J31" s="4000"/>
      <c r="K31" s="359"/>
      <c r="L31" s="330"/>
      <c r="M31" s="330"/>
      <c r="N31" s="337"/>
      <c r="O31" s="331"/>
      <c r="P31" s="331"/>
      <c r="Q31" s="331"/>
      <c r="R31" s="331"/>
      <c r="S31" s="331"/>
      <c r="T31" s="331"/>
      <c r="U31" s="331"/>
      <c r="V31" s="331"/>
      <c r="W31" s="333"/>
      <c r="X31" s="358"/>
      <c r="Y31" s="55"/>
      <c r="Z31" s="337"/>
      <c r="AA31" s="4000"/>
      <c r="AB31" s="4000"/>
      <c r="AC31" s="359"/>
      <c r="AD31" s="330"/>
      <c r="AE31" s="330"/>
      <c r="AF31" s="337"/>
      <c r="AG31" s="338" t="str">
        <f>IF(PDs!$X$15&lt;Metamagia!AI28,"Nv "&amp;Metamagia!AI28,"")</f>
        <v>Nv 4</v>
      </c>
      <c r="AH31" s="339"/>
      <c r="AI31" s="350">
        <v>5</v>
      </c>
      <c r="AJ31" s="212"/>
    </row>
    <row r="32" spans="1:36" ht="12" customHeight="1" x14ac:dyDescent="0.2">
      <c r="A32" s="1675"/>
      <c r="B32" s="323"/>
      <c r="C32" s="351">
        <f>IF(D31&gt;0,1,0)</f>
        <v>0</v>
      </c>
      <c r="D32" s="360"/>
      <c r="E32" s="361"/>
      <c r="F32" s="362"/>
      <c r="G32" s="55"/>
      <c r="H32" s="337"/>
      <c r="I32" s="4000"/>
      <c r="J32" s="4000"/>
      <c r="K32" s="359"/>
      <c r="L32" s="330"/>
      <c r="M32" s="330"/>
      <c r="N32" s="337"/>
      <c r="O32" s="331"/>
      <c r="P32" s="331"/>
      <c r="Q32" s="331"/>
      <c r="R32" s="331"/>
      <c r="S32" s="331"/>
      <c r="T32" s="331"/>
      <c r="U32" s="331"/>
      <c r="V32" s="331"/>
      <c r="W32" s="333"/>
      <c r="X32" s="362"/>
      <c r="Y32" s="55"/>
      <c r="Z32" s="337"/>
      <c r="AA32" s="4000"/>
      <c r="AB32" s="4000"/>
      <c r="AC32" s="359"/>
      <c r="AD32" s="330"/>
      <c r="AE32" s="330"/>
      <c r="AF32" s="337"/>
      <c r="AG32" s="351">
        <f>IF(AH31&gt;0,1,0)</f>
        <v>0</v>
      </c>
      <c r="AH32" s="360"/>
      <c r="AI32" s="350"/>
      <c r="AJ32" s="212"/>
    </row>
    <row r="33" spans="1:36" ht="12" customHeight="1" x14ac:dyDescent="0.2">
      <c r="A33" s="1675"/>
      <c r="B33" s="323"/>
      <c r="C33" s="331"/>
      <c r="D33" s="352"/>
      <c r="E33" s="353"/>
      <c r="F33" s="4000" t="s">
        <v>2642</v>
      </c>
      <c r="G33" s="4000"/>
      <c r="H33" s="337">
        <v>10</v>
      </c>
      <c r="I33" s="338" t="str">
        <f>IF(PDs!$X$15&lt;Metamagia!K30,"Nv "&amp;Metamagia!K30,"")</f>
        <v>Nv 7</v>
      </c>
      <c r="J33" s="339"/>
      <c r="K33" s="359">
        <v>10</v>
      </c>
      <c r="L33" s="330"/>
      <c r="M33" s="330"/>
      <c r="N33" s="337"/>
      <c r="O33" s="331"/>
      <c r="V33" s="331"/>
      <c r="W33" s="333"/>
      <c r="X33" s="4000" t="s">
        <v>2643</v>
      </c>
      <c r="Y33" s="4000"/>
      <c r="Z33" s="337">
        <v>10</v>
      </c>
      <c r="AA33" s="338" t="str">
        <f>IF(PDs!$X$15&lt;Metamagia!AC30,"Nv "&amp;Metamagia!AC30,"")</f>
        <v>Nv 9</v>
      </c>
      <c r="AB33" s="339"/>
      <c r="AC33" s="359">
        <v>20</v>
      </c>
      <c r="AD33" s="330"/>
      <c r="AE33" s="330"/>
      <c r="AF33" s="337"/>
      <c r="AG33" s="331"/>
      <c r="AH33" s="352"/>
      <c r="AI33" s="354"/>
      <c r="AJ33" s="212"/>
    </row>
    <row r="34" spans="1:36" ht="12" customHeight="1" x14ac:dyDescent="0.2">
      <c r="A34" s="1675"/>
      <c r="B34" s="323"/>
      <c r="C34" s="331"/>
      <c r="D34" s="355"/>
      <c r="E34" s="353"/>
      <c r="F34" s="4000"/>
      <c r="G34" s="4000"/>
      <c r="H34" s="344"/>
      <c r="I34" s="342">
        <f>IF(J33&gt;0,1,0)</f>
        <v>0</v>
      </c>
      <c r="J34" s="330"/>
      <c r="K34" s="337"/>
      <c r="L34" s="331"/>
      <c r="M34" s="331"/>
      <c r="N34" s="353"/>
      <c r="O34" s="331"/>
      <c r="V34" s="331"/>
      <c r="W34" s="331"/>
      <c r="X34" s="4000"/>
      <c r="Y34" s="4000"/>
      <c r="Z34" s="344"/>
      <c r="AA34" s="349">
        <f>IF(AB33&gt;0,1,0)</f>
        <v>0</v>
      </c>
      <c r="AB34" s="321"/>
      <c r="AC34" s="337"/>
      <c r="AD34" s="331"/>
      <c r="AE34" s="331"/>
      <c r="AF34" s="353"/>
      <c r="AG34" s="331"/>
      <c r="AH34" s="355"/>
      <c r="AI34" s="354"/>
      <c r="AJ34" s="212"/>
    </row>
    <row r="35" spans="1:36" ht="12" customHeight="1" x14ac:dyDescent="0.2">
      <c r="A35" s="1675"/>
      <c r="B35" s="323"/>
      <c r="C35" s="4000" t="s">
        <v>2629</v>
      </c>
      <c r="D35" s="4000"/>
      <c r="E35" s="337">
        <v>5</v>
      </c>
      <c r="F35" s="4000"/>
      <c r="G35" s="4000"/>
      <c r="H35" s="337"/>
      <c r="I35" s="322"/>
      <c r="J35" s="330"/>
      <c r="K35" s="337"/>
      <c r="L35" s="331"/>
      <c r="M35" s="331"/>
      <c r="N35" s="353"/>
      <c r="O35" s="331"/>
      <c r="P35" s="3028" t="s">
        <v>2369</v>
      </c>
      <c r="Q35" s="3028"/>
      <c r="R35" s="3028"/>
      <c r="S35" s="3028"/>
      <c r="T35" s="3028"/>
      <c r="U35" s="3028"/>
      <c r="V35" s="331"/>
      <c r="W35" s="331"/>
      <c r="X35" s="4000"/>
      <c r="Y35" s="4000"/>
      <c r="Z35" s="337"/>
      <c r="AA35" s="330"/>
      <c r="AB35" s="330"/>
      <c r="AC35" s="337"/>
      <c r="AD35" s="331"/>
      <c r="AE35" s="331"/>
      <c r="AF35" s="353"/>
      <c r="AG35" s="4000" t="s">
        <v>2644</v>
      </c>
      <c r="AH35" s="4000"/>
      <c r="AI35" s="350">
        <v>5</v>
      </c>
      <c r="AJ35" s="212"/>
    </row>
    <row r="36" spans="1:36" ht="12" customHeight="1" x14ac:dyDescent="0.2">
      <c r="A36" s="1675"/>
      <c r="B36" s="323"/>
      <c r="C36" s="4000"/>
      <c r="D36" s="4000"/>
      <c r="E36" s="337"/>
      <c r="F36" s="338" t="str">
        <f>IF(PDs!$X$15&lt;Metamagia!H33,"Nv "&amp;Metamagia!H33,"")</f>
        <v>Nv 10</v>
      </c>
      <c r="G36" s="339"/>
      <c r="H36" s="337">
        <v>20</v>
      </c>
      <c r="I36" s="330"/>
      <c r="J36" s="330"/>
      <c r="K36" s="337"/>
      <c r="L36" s="331"/>
      <c r="M36" s="331"/>
      <c r="N36" s="353"/>
      <c r="O36" s="331"/>
      <c r="P36" s="4001" t="s">
        <v>2559</v>
      </c>
      <c r="Q36" s="4001"/>
      <c r="R36" s="3682" t="s">
        <v>2560</v>
      </c>
      <c r="S36" s="3682"/>
      <c r="T36" s="4002" t="s">
        <v>2561</v>
      </c>
      <c r="U36" s="4002"/>
      <c r="V36" s="331"/>
      <c r="W36" s="331"/>
      <c r="X36" s="338" t="str">
        <f>IF(PDs!$X$15&lt;Metamagia!Z33,"Nv "&amp;Metamagia!Z33,"")</f>
        <v>Nv 10</v>
      </c>
      <c r="Y36" s="339"/>
      <c r="Z36" s="337">
        <v>20</v>
      </c>
      <c r="AA36" s="330"/>
      <c r="AB36" s="330"/>
      <c r="AC36" s="337"/>
      <c r="AD36" s="331"/>
      <c r="AE36" s="331"/>
      <c r="AF36" s="353"/>
      <c r="AG36" s="4000"/>
      <c r="AH36" s="4000"/>
      <c r="AI36" s="350"/>
      <c r="AJ36" s="212"/>
    </row>
    <row r="37" spans="1:36" ht="12" customHeight="1" x14ac:dyDescent="0.2">
      <c r="A37" s="1675"/>
      <c r="B37" s="323"/>
      <c r="C37" s="4000"/>
      <c r="D37" s="4000"/>
      <c r="E37" s="337"/>
      <c r="F37" s="356">
        <f>IF(G36&gt;0,1,0)</f>
        <v>0</v>
      </c>
      <c r="G37" s="331"/>
      <c r="H37" s="353"/>
      <c r="I37" s="330"/>
      <c r="J37" s="330"/>
      <c r="K37" s="337"/>
      <c r="L37" s="4000" t="s">
        <v>2645</v>
      </c>
      <c r="M37" s="4000"/>
      <c r="N37" s="337">
        <v>10</v>
      </c>
      <c r="O37" s="331"/>
      <c r="P37" s="4003">
        <f>Místicos!$C$12</f>
        <v>20</v>
      </c>
      <c r="Q37" s="4003"/>
      <c r="R37" s="4004">
        <f>Místicos!$E$12</f>
        <v>0</v>
      </c>
      <c r="S37" s="4004"/>
      <c r="T37" s="4005">
        <f>D23+D31+D38+D45+D53+G14+G23+G29+G36+G47+G53+G62+J13+J18+J23+J28+J33+J43+J48+J53+J58+J63+M14+M23+M29+M40+M47+M53+M62+P23+P53+S18+S23+S28+S48+S53+S58+V23+V53+Y14+Y23+Y29+Y36+Y47+Y53+Y62+AB13+AB18+AB23+AB28+AB33+AB43+AB48+AB53+AB58+AB63+AE14+AE23+AE29+AE40+AE47+AE53+AE62+AH23+AH31+AH38+AH45+AH53</f>
        <v>0</v>
      </c>
      <c r="U37" s="4005"/>
      <c r="V37" s="331"/>
      <c r="W37" s="331"/>
      <c r="X37" s="356">
        <f>IF(Y36&gt;0,1,0)</f>
        <v>0</v>
      </c>
      <c r="Y37" s="331"/>
      <c r="Z37" s="353"/>
      <c r="AA37" s="330"/>
      <c r="AB37" s="330"/>
      <c r="AC37" s="350"/>
      <c r="AD37" s="4000" t="s">
        <v>2646</v>
      </c>
      <c r="AE37" s="4000"/>
      <c r="AF37" s="337">
        <v>10</v>
      </c>
      <c r="AG37" s="4000"/>
      <c r="AH37" s="4000"/>
      <c r="AI37" s="350"/>
      <c r="AJ37" s="212"/>
    </row>
    <row r="38" spans="1:36" ht="12" customHeight="1" x14ac:dyDescent="0.2">
      <c r="A38" s="1675"/>
      <c r="B38" s="323"/>
      <c r="C38" s="338" t="str">
        <f>IF(PDs!$X$15&lt;Metamagia!E35,"Nv "&amp;Metamagia!E35,"")</f>
        <v>Nv 5</v>
      </c>
      <c r="D38" s="339"/>
      <c r="E38" s="337">
        <v>10</v>
      </c>
      <c r="F38" s="331"/>
      <c r="G38" s="331"/>
      <c r="H38" s="353"/>
      <c r="I38" s="330"/>
      <c r="J38" s="363"/>
      <c r="K38" s="364"/>
      <c r="L38" s="4000"/>
      <c r="M38" s="4000"/>
      <c r="N38" s="365"/>
      <c r="O38" s="331"/>
      <c r="P38" s="4003"/>
      <c r="Q38" s="4003"/>
      <c r="R38" s="4004"/>
      <c r="S38" s="4004"/>
      <c r="T38" s="4005"/>
      <c r="U38" s="4005"/>
      <c r="V38" s="331"/>
      <c r="W38" s="333"/>
      <c r="X38" s="331"/>
      <c r="Y38" s="331"/>
      <c r="Z38" s="353"/>
      <c r="AA38" s="330"/>
      <c r="AB38" s="346"/>
      <c r="AC38" s="335"/>
      <c r="AD38" s="4000"/>
      <c r="AE38" s="4000"/>
      <c r="AF38" s="337"/>
      <c r="AG38" s="338" t="str">
        <f>IF(PDs!$X$15&lt;Metamagia!AI35,"Nv "&amp;Metamagia!AI35,"")</f>
        <v>Nv 5</v>
      </c>
      <c r="AH38" s="339"/>
      <c r="AI38" s="350">
        <v>5</v>
      </c>
      <c r="AJ38" s="212"/>
    </row>
    <row r="39" spans="1:36" ht="12" customHeight="1" x14ac:dyDescent="0.2">
      <c r="A39" s="1675"/>
      <c r="B39" s="323"/>
      <c r="C39" s="351">
        <f>IF(D38&gt;0,1,0)</f>
        <v>0</v>
      </c>
      <c r="D39" s="321"/>
      <c r="E39" s="337"/>
      <c r="F39" s="331"/>
      <c r="G39" s="331"/>
      <c r="H39" s="353"/>
      <c r="I39" s="345"/>
      <c r="J39" s="330"/>
      <c r="K39" s="337"/>
      <c r="L39" s="4000"/>
      <c r="M39" s="4000"/>
      <c r="N39" s="337"/>
      <c r="O39" s="331"/>
      <c r="P39" s="331"/>
      <c r="Q39" s="331"/>
      <c r="R39" s="331"/>
      <c r="S39" s="331"/>
      <c r="T39" s="331"/>
      <c r="U39" s="331"/>
      <c r="V39" s="331"/>
      <c r="W39" s="333"/>
      <c r="X39" s="331"/>
      <c r="Y39" s="331"/>
      <c r="Z39" s="353"/>
      <c r="AA39" s="330"/>
      <c r="AB39" s="343"/>
      <c r="AC39" s="350"/>
      <c r="AD39" s="4000"/>
      <c r="AE39" s="4000"/>
      <c r="AF39" s="337"/>
      <c r="AG39" s="296">
        <f>IF(AH38&gt;0,1,0)</f>
        <v>0</v>
      </c>
      <c r="AH39" s="323"/>
      <c r="AI39" s="350"/>
      <c r="AJ39" s="212"/>
    </row>
    <row r="40" spans="1:36" ht="12" customHeight="1" x14ac:dyDescent="0.2">
      <c r="A40" s="1675"/>
      <c r="B40" s="323"/>
      <c r="C40" s="330"/>
      <c r="D40" s="323"/>
      <c r="E40" s="337"/>
      <c r="F40" s="366"/>
      <c r="G40" s="55"/>
      <c r="H40" s="337"/>
      <c r="I40" s="4000" t="s">
        <v>2647</v>
      </c>
      <c r="J40" s="4000"/>
      <c r="K40" s="337">
        <v>7</v>
      </c>
      <c r="L40" s="338" t="str">
        <f>IF(PDs!$X$15&lt;Metamagia!N37,"Nv "&amp;Metamagia!N37,"")</f>
        <v>Nv 10</v>
      </c>
      <c r="M40" s="339"/>
      <c r="N40" s="337">
        <v>20</v>
      </c>
      <c r="O40" s="331"/>
      <c r="P40" s="331"/>
      <c r="Q40" s="331"/>
      <c r="R40" s="331"/>
      <c r="S40" s="331"/>
      <c r="T40" s="331"/>
      <c r="U40" s="331"/>
      <c r="V40" s="331"/>
      <c r="W40" s="333"/>
      <c r="X40" s="331"/>
      <c r="Y40" s="331"/>
      <c r="Z40" s="353"/>
      <c r="AA40" s="4000" t="s">
        <v>2648</v>
      </c>
      <c r="AB40" s="4000"/>
      <c r="AC40" s="337">
        <v>9</v>
      </c>
      <c r="AD40" s="338" t="str">
        <f>IF(PDs!$X$15&lt;Metamagia!AF37,"Nv "&amp;Metamagia!AF37,"")</f>
        <v>Nv 10</v>
      </c>
      <c r="AE40" s="339"/>
      <c r="AF40" s="337">
        <v>20</v>
      </c>
      <c r="AG40" s="330"/>
      <c r="AH40" s="323"/>
      <c r="AI40" s="350"/>
      <c r="AJ40" s="212"/>
    </row>
    <row r="41" spans="1:36" ht="12" customHeight="1" x14ac:dyDescent="0.2">
      <c r="A41" s="1675"/>
      <c r="B41" s="323"/>
      <c r="C41" s="331"/>
      <c r="D41" s="355"/>
      <c r="E41" s="353"/>
      <c r="F41" s="366"/>
      <c r="G41" s="55"/>
      <c r="H41" s="337"/>
      <c r="I41" s="4000"/>
      <c r="J41" s="4000"/>
      <c r="K41" s="337"/>
      <c r="L41" s="296">
        <f>IF(M40&gt;0,1,0)</f>
        <v>0</v>
      </c>
      <c r="M41" s="330"/>
      <c r="N41" s="337"/>
      <c r="O41" s="331"/>
      <c r="V41" s="331"/>
      <c r="W41" s="333"/>
      <c r="X41" s="366"/>
      <c r="Y41" s="55"/>
      <c r="Z41" s="337"/>
      <c r="AA41" s="4000"/>
      <c r="AB41" s="4000"/>
      <c r="AC41" s="337"/>
      <c r="AD41" s="296">
        <f>IF(AE40&gt;0,1,0)</f>
        <v>0</v>
      </c>
      <c r="AE41" s="330"/>
      <c r="AF41" s="337"/>
      <c r="AG41" s="331"/>
      <c r="AH41" s="355"/>
      <c r="AI41" s="354"/>
      <c r="AJ41" s="212"/>
    </row>
    <row r="42" spans="1:36" ht="12" customHeight="1" x14ac:dyDescent="0.2">
      <c r="A42" s="1675"/>
      <c r="B42" s="323"/>
      <c r="C42" s="4000" t="s">
        <v>2649</v>
      </c>
      <c r="D42" s="4000"/>
      <c r="E42" s="367">
        <v>2</v>
      </c>
      <c r="F42" s="55"/>
      <c r="G42" s="321"/>
      <c r="H42" s="368"/>
      <c r="I42" s="4000"/>
      <c r="J42" s="4000"/>
      <c r="K42" s="369"/>
      <c r="L42" s="370"/>
      <c r="M42" s="330"/>
      <c r="N42" s="337"/>
      <c r="O42" s="331"/>
      <c r="V42" s="331"/>
      <c r="W42" s="333"/>
      <c r="X42" s="55"/>
      <c r="Y42" s="321"/>
      <c r="Z42" s="368"/>
      <c r="AA42" s="4000"/>
      <c r="AB42" s="4000"/>
      <c r="AC42" s="371"/>
      <c r="AD42" s="370"/>
      <c r="AE42" s="330"/>
      <c r="AF42" s="337"/>
      <c r="AG42" s="4000" t="s">
        <v>2650</v>
      </c>
      <c r="AH42" s="4000"/>
      <c r="AI42" s="350">
        <v>3</v>
      </c>
      <c r="AJ42" s="212"/>
    </row>
    <row r="43" spans="1:36" ht="12" customHeight="1" x14ac:dyDescent="0.2">
      <c r="A43" s="1675"/>
      <c r="B43" s="323"/>
      <c r="C43" s="4000"/>
      <c r="D43" s="4000"/>
      <c r="E43" s="337"/>
      <c r="F43" s="330"/>
      <c r="G43" s="323"/>
      <c r="H43" s="350"/>
      <c r="I43" s="338" t="str">
        <f>IF(PDs!$X$15&lt;Metamagia!K40,"Nv "&amp;Metamagia!K40,"")</f>
        <v>Nv 7</v>
      </c>
      <c r="J43" s="339"/>
      <c r="K43" s="365">
        <v>20</v>
      </c>
      <c r="L43" s="348"/>
      <c r="M43" s="330"/>
      <c r="N43" s="337"/>
      <c r="O43" s="331"/>
      <c r="V43" s="331"/>
      <c r="W43" s="333"/>
      <c r="X43" s="330"/>
      <c r="Y43" s="323"/>
      <c r="Z43" s="350"/>
      <c r="AA43" s="338" t="str">
        <f>IF(PDs!$X$15&lt;Metamagia!AC40,"Nv "&amp;Metamagia!AC40,"")</f>
        <v>Nv 9</v>
      </c>
      <c r="AB43" s="339"/>
      <c r="AC43" s="365">
        <v>20</v>
      </c>
      <c r="AD43" s="348"/>
      <c r="AE43" s="330"/>
      <c r="AF43" s="337"/>
      <c r="AG43" s="4000"/>
      <c r="AH43" s="4000"/>
      <c r="AI43" s="350"/>
      <c r="AJ43" s="212"/>
    </row>
    <row r="44" spans="1:36" ht="12" customHeight="1" x14ac:dyDescent="0.2">
      <c r="A44" s="1675"/>
      <c r="B44" s="323"/>
      <c r="C44" s="4000"/>
      <c r="D44" s="4000"/>
      <c r="E44" s="337"/>
      <c r="F44" s="4000" t="s">
        <v>2651</v>
      </c>
      <c r="G44" s="4000"/>
      <c r="H44" s="337">
        <v>6</v>
      </c>
      <c r="I44" s="296">
        <f>IF(J43&gt;0,1,0)</f>
        <v>0</v>
      </c>
      <c r="J44" s="330"/>
      <c r="K44" s="337"/>
      <c r="L44" s="4000" t="s">
        <v>2652</v>
      </c>
      <c r="M44" s="4000"/>
      <c r="N44" s="337">
        <v>9</v>
      </c>
      <c r="O44" s="330"/>
      <c r="V44" s="73"/>
      <c r="W44" s="333"/>
      <c r="X44" s="4000" t="s">
        <v>2653</v>
      </c>
      <c r="Y44" s="4000"/>
      <c r="Z44" s="337">
        <v>8</v>
      </c>
      <c r="AA44" s="296">
        <f>IF(AB43&gt;0,1,0)</f>
        <v>0</v>
      </c>
      <c r="AB44" s="330"/>
      <c r="AC44" s="337"/>
      <c r="AD44" s="4000" t="s">
        <v>2650</v>
      </c>
      <c r="AE44" s="4000"/>
      <c r="AF44" s="337">
        <v>10</v>
      </c>
      <c r="AG44" s="4000"/>
      <c r="AH44" s="4000"/>
      <c r="AI44" s="350"/>
      <c r="AJ44" s="212"/>
    </row>
    <row r="45" spans="1:36" ht="12" customHeight="1" x14ac:dyDescent="0.2">
      <c r="A45" s="1675"/>
      <c r="B45" s="323"/>
      <c r="C45" s="338" t="str">
        <f>IF(PDs!$X$15&lt;Metamagia!E42,"Nv "&amp;Metamagia!E42,"")</f>
        <v>Nv 2</v>
      </c>
      <c r="D45" s="339"/>
      <c r="E45" s="337">
        <v>5</v>
      </c>
      <c r="F45" s="4000"/>
      <c r="G45" s="4000"/>
      <c r="H45" s="337"/>
      <c r="I45" s="4000" t="s">
        <v>2652</v>
      </c>
      <c r="J45" s="4000"/>
      <c r="K45" s="337">
        <v>6</v>
      </c>
      <c r="L45" s="4000"/>
      <c r="M45" s="4000"/>
      <c r="N45" s="337"/>
      <c r="O45" s="330"/>
      <c r="P45" s="330"/>
      <c r="Q45" s="332"/>
      <c r="R45" s="4000" t="s">
        <v>2649</v>
      </c>
      <c r="S45" s="4000"/>
      <c r="T45" s="337">
        <v>2</v>
      </c>
      <c r="U45" s="73"/>
      <c r="V45" s="73"/>
      <c r="W45" s="333"/>
      <c r="X45" s="4000"/>
      <c r="Y45" s="4000"/>
      <c r="Z45" s="337"/>
      <c r="AA45" s="4000" t="s">
        <v>2654</v>
      </c>
      <c r="AB45" s="4000"/>
      <c r="AC45" s="337">
        <v>6</v>
      </c>
      <c r="AD45" s="4000"/>
      <c r="AE45" s="4000"/>
      <c r="AF45" s="337"/>
      <c r="AG45" s="338" t="str">
        <f>IF(PDs!$X$15&lt;Metamagia!AI42,"Nv "&amp;Metamagia!AI42,"")</f>
        <v>Nv 3</v>
      </c>
      <c r="AH45" s="339"/>
      <c r="AI45" s="350">
        <v>5</v>
      </c>
      <c r="AJ45" s="212"/>
    </row>
    <row r="46" spans="1:36" ht="12" customHeight="1" x14ac:dyDescent="0.2">
      <c r="A46" s="1675"/>
      <c r="B46" s="323"/>
      <c r="C46" s="342">
        <f>IF(D45&gt;0,1,0)</f>
        <v>0</v>
      </c>
      <c r="D46" s="330"/>
      <c r="E46" s="337"/>
      <c r="F46" s="4000"/>
      <c r="G46" s="4000"/>
      <c r="H46" s="337"/>
      <c r="I46" s="4000"/>
      <c r="J46" s="4000"/>
      <c r="K46" s="337"/>
      <c r="L46" s="4000"/>
      <c r="M46" s="4000"/>
      <c r="N46" s="337"/>
      <c r="O46" s="330"/>
      <c r="P46" s="346"/>
      <c r="Q46" s="347"/>
      <c r="R46" s="4000"/>
      <c r="S46" s="4000"/>
      <c r="T46" s="337"/>
      <c r="U46" s="73"/>
      <c r="V46" s="73"/>
      <c r="W46" s="333"/>
      <c r="X46" s="4000"/>
      <c r="Y46" s="4000"/>
      <c r="Z46" s="337"/>
      <c r="AA46" s="4000"/>
      <c r="AB46" s="4000"/>
      <c r="AC46" s="337"/>
      <c r="AD46" s="4000"/>
      <c r="AE46" s="4000"/>
      <c r="AF46" s="337"/>
      <c r="AG46" s="351">
        <f>IF(AH45&gt;0,1,0)</f>
        <v>0</v>
      </c>
      <c r="AH46" s="321"/>
      <c r="AI46" s="350"/>
      <c r="AJ46" s="212"/>
    </row>
    <row r="47" spans="1:36" ht="12" customHeight="1" x14ac:dyDescent="0.2">
      <c r="A47" s="1675"/>
      <c r="B47" s="323"/>
      <c r="C47" s="348"/>
      <c r="D47" s="330"/>
      <c r="E47" s="337"/>
      <c r="F47" s="338" t="str">
        <f>IF(PDs!$X$15&lt;Metamagia!H44,"Nv "&amp;Metamagia!H44,"")</f>
        <v>Nv 6</v>
      </c>
      <c r="G47" s="339"/>
      <c r="H47" s="337">
        <v>10</v>
      </c>
      <c r="I47" s="4000"/>
      <c r="J47" s="4000"/>
      <c r="K47" s="337"/>
      <c r="L47" s="338" t="str">
        <f>IF(PDs!$X$15&lt;Metamagia!N44,"Nv "&amp;Metamagia!N44,"")</f>
        <v>Nv 9</v>
      </c>
      <c r="M47" s="339"/>
      <c r="N47" s="337">
        <v>25</v>
      </c>
      <c r="O47" s="348"/>
      <c r="P47" s="330"/>
      <c r="Q47" s="332"/>
      <c r="R47" s="4000"/>
      <c r="S47" s="4000"/>
      <c r="T47" s="337"/>
      <c r="U47" s="73"/>
      <c r="V47" s="73"/>
      <c r="W47" s="372"/>
      <c r="X47" s="338" t="str">
        <f>IF(PDs!$X$15&lt;Metamagia!Z44,"Nv "&amp;Metamagia!Z44,"")</f>
        <v>Nv 8</v>
      </c>
      <c r="Y47" s="339"/>
      <c r="Z47" s="337">
        <v>5</v>
      </c>
      <c r="AA47" s="4000"/>
      <c r="AB47" s="4000"/>
      <c r="AC47" s="337"/>
      <c r="AD47" s="338" t="str">
        <f>IF(PDs!$X$15&lt;Metamagia!AF44,"Nv "&amp;Metamagia!AF44,"")</f>
        <v>Nv 10</v>
      </c>
      <c r="AE47" s="339"/>
      <c r="AF47" s="337">
        <v>5</v>
      </c>
      <c r="AG47" s="330"/>
      <c r="AH47" s="323"/>
      <c r="AI47" s="350"/>
      <c r="AJ47" s="212"/>
    </row>
    <row r="48" spans="1:36" ht="12" customHeight="1" x14ac:dyDescent="0.2">
      <c r="A48" s="1675"/>
      <c r="B48" s="323"/>
      <c r="C48" s="348"/>
      <c r="D48" s="330"/>
      <c r="E48" s="337"/>
      <c r="F48" s="342">
        <f>IF(G47&gt;0,1,0)</f>
        <v>0</v>
      </c>
      <c r="G48" s="330"/>
      <c r="H48" s="337"/>
      <c r="I48" s="338" t="str">
        <f>IF(PDs!$X$15&lt;Metamagia!K45,"Nv "&amp;Metamagia!K45,"")</f>
        <v>Nv 6</v>
      </c>
      <c r="J48" s="339"/>
      <c r="K48" s="337">
        <v>15</v>
      </c>
      <c r="L48" s="296">
        <f>IF(M47&gt;0,1,0)</f>
        <v>0</v>
      </c>
      <c r="M48" s="321"/>
      <c r="N48" s="337"/>
      <c r="O48" s="348"/>
      <c r="P48" s="330"/>
      <c r="Q48" s="332"/>
      <c r="R48" s="338" t="str">
        <f>IF(PDs!$X$15&lt;Metamagia!T45,"Nv "&amp;Metamagia!T45,"")</f>
        <v>Nv 2</v>
      </c>
      <c r="S48" s="339"/>
      <c r="T48" s="337">
        <v>5</v>
      </c>
      <c r="U48" s="73"/>
      <c r="V48" s="73"/>
      <c r="W48" s="333"/>
      <c r="X48" s="342">
        <f>IF(Y47&gt;0,1,0)</f>
        <v>0</v>
      </c>
      <c r="Y48" s="330"/>
      <c r="Z48" s="337"/>
      <c r="AA48" s="338" t="str">
        <f>IF(PDs!$X$15&lt;Metamagia!AC45,"Nv "&amp;Metamagia!AC45,"")</f>
        <v>Nv 6</v>
      </c>
      <c r="AB48" s="339"/>
      <c r="AC48" s="337">
        <v>5</v>
      </c>
      <c r="AD48" s="296">
        <f>IF(AE47&gt;0,1,0)</f>
        <v>0</v>
      </c>
      <c r="AE48" s="321"/>
      <c r="AF48" s="337"/>
      <c r="AG48" s="330"/>
      <c r="AH48" s="323"/>
      <c r="AI48" s="350"/>
      <c r="AJ48" s="212"/>
    </row>
    <row r="49" spans="1:36" ht="12" customHeight="1" x14ac:dyDescent="0.2">
      <c r="A49" s="1675"/>
      <c r="B49" s="323"/>
      <c r="C49" s="345"/>
      <c r="D49" s="330"/>
      <c r="E49" s="337"/>
      <c r="F49" s="345"/>
      <c r="G49" s="330"/>
      <c r="H49" s="337"/>
      <c r="I49" s="349">
        <f>IF(J48&gt;0,1,0)</f>
        <v>0</v>
      </c>
      <c r="J49" s="330"/>
      <c r="K49" s="337"/>
      <c r="L49" s="330"/>
      <c r="M49" s="343"/>
      <c r="N49" s="337"/>
      <c r="O49" s="345"/>
      <c r="P49" s="330"/>
      <c r="Q49" s="332"/>
      <c r="R49" s="349">
        <f>IF(S48&gt;0,1,0)</f>
        <v>0</v>
      </c>
      <c r="S49" s="330"/>
      <c r="T49" s="337"/>
      <c r="U49" s="73"/>
      <c r="V49" s="73"/>
      <c r="W49" s="337"/>
      <c r="X49" s="345"/>
      <c r="Y49" s="330"/>
      <c r="Z49" s="337"/>
      <c r="AA49" s="349">
        <f>IF(AB48&gt;0,1,0)</f>
        <v>0</v>
      </c>
      <c r="AB49" s="330"/>
      <c r="AC49" s="337"/>
      <c r="AD49" s="330"/>
      <c r="AE49" s="343"/>
      <c r="AF49" s="337"/>
      <c r="AG49" s="346"/>
      <c r="AH49" s="343"/>
      <c r="AI49" s="350"/>
      <c r="AJ49" s="212"/>
    </row>
    <row r="50" spans="1:36" ht="12" customHeight="1" x14ac:dyDescent="0.2">
      <c r="A50" s="1675"/>
      <c r="B50" s="323"/>
      <c r="C50" s="4000" t="s">
        <v>2655</v>
      </c>
      <c r="D50" s="4000"/>
      <c r="E50" s="337"/>
      <c r="F50" s="4000" t="s">
        <v>2656</v>
      </c>
      <c r="G50" s="4000"/>
      <c r="H50" s="337">
        <v>3</v>
      </c>
      <c r="I50" s="4000" t="s">
        <v>2657</v>
      </c>
      <c r="J50" s="4000"/>
      <c r="K50" s="337">
        <v>3</v>
      </c>
      <c r="L50" s="4000" t="s">
        <v>2658</v>
      </c>
      <c r="M50" s="4000"/>
      <c r="N50" s="337">
        <v>3</v>
      </c>
      <c r="O50" s="4000" t="s">
        <v>2659</v>
      </c>
      <c r="P50" s="4000"/>
      <c r="Q50" s="332"/>
      <c r="R50" s="4000" t="s">
        <v>2650</v>
      </c>
      <c r="S50" s="4000"/>
      <c r="T50" s="337">
        <v>5</v>
      </c>
      <c r="U50" s="4000" t="s">
        <v>2650</v>
      </c>
      <c r="V50" s="4000"/>
      <c r="W50" s="337">
        <v>4</v>
      </c>
      <c r="X50" s="4000" t="s">
        <v>2660</v>
      </c>
      <c r="Y50" s="4000"/>
      <c r="Z50" s="337">
        <v>3</v>
      </c>
      <c r="AA50" s="4000" t="s">
        <v>2650</v>
      </c>
      <c r="AB50" s="4000"/>
      <c r="AC50" s="337">
        <v>6</v>
      </c>
      <c r="AD50" s="4000" t="s">
        <v>2661</v>
      </c>
      <c r="AE50" s="4000"/>
      <c r="AF50" s="337">
        <v>3</v>
      </c>
      <c r="AG50" s="4000" t="s">
        <v>2662</v>
      </c>
      <c r="AH50" s="4000"/>
      <c r="AI50" s="350">
        <v>3</v>
      </c>
      <c r="AJ50" s="212"/>
    </row>
    <row r="51" spans="1:36" ht="12" customHeight="1" x14ac:dyDescent="0.2">
      <c r="A51" s="1675"/>
      <c r="B51" s="323"/>
      <c r="C51" s="4000"/>
      <c r="D51" s="4000"/>
      <c r="E51" s="334"/>
      <c r="F51" s="4000"/>
      <c r="G51" s="4000"/>
      <c r="H51" s="334"/>
      <c r="I51" s="4000"/>
      <c r="J51" s="4000"/>
      <c r="K51" s="334"/>
      <c r="L51" s="4000"/>
      <c r="M51" s="4000"/>
      <c r="N51" s="334"/>
      <c r="O51" s="4000"/>
      <c r="P51" s="4000"/>
      <c r="Q51" s="332"/>
      <c r="R51" s="4000"/>
      <c r="S51" s="4000"/>
      <c r="T51" s="337"/>
      <c r="U51" s="4000"/>
      <c r="V51" s="4000"/>
      <c r="W51" s="334"/>
      <c r="X51" s="4000"/>
      <c r="Y51" s="4000"/>
      <c r="Z51" s="334"/>
      <c r="AA51" s="4000"/>
      <c r="AB51" s="4000"/>
      <c r="AC51" s="334"/>
      <c r="AD51" s="4000"/>
      <c r="AE51" s="4000"/>
      <c r="AF51" s="334"/>
      <c r="AG51" s="4000"/>
      <c r="AH51" s="4000"/>
      <c r="AI51" s="350"/>
      <c r="AJ51" s="212"/>
    </row>
    <row r="52" spans="1:36" ht="12" customHeight="1" x14ac:dyDescent="0.2">
      <c r="A52" s="1675"/>
      <c r="B52" s="323"/>
      <c r="C52" s="4000"/>
      <c r="D52" s="4000"/>
      <c r="E52" s="337"/>
      <c r="F52" s="4000"/>
      <c r="G52" s="4000"/>
      <c r="H52" s="337"/>
      <c r="I52" s="4000"/>
      <c r="J52" s="4000"/>
      <c r="K52" s="337"/>
      <c r="L52" s="4000"/>
      <c r="M52" s="4000"/>
      <c r="N52" s="337"/>
      <c r="O52" s="4000"/>
      <c r="P52" s="4000"/>
      <c r="Q52" s="332"/>
      <c r="R52" s="4000"/>
      <c r="S52" s="4000"/>
      <c r="T52" s="337"/>
      <c r="U52" s="4000"/>
      <c r="V52" s="4000"/>
      <c r="W52" s="337"/>
      <c r="X52" s="4000"/>
      <c r="Y52" s="4000"/>
      <c r="Z52" s="337"/>
      <c r="AA52" s="4000"/>
      <c r="AB52" s="4000"/>
      <c r="AC52" s="337"/>
      <c r="AD52" s="4000"/>
      <c r="AE52" s="4000"/>
      <c r="AF52" s="337"/>
      <c r="AG52" s="4000"/>
      <c r="AH52" s="4000"/>
      <c r="AI52" s="350"/>
      <c r="AJ52" s="212"/>
    </row>
    <row r="53" spans="1:36" ht="12" customHeight="1" x14ac:dyDescent="0.2">
      <c r="A53" s="1675"/>
      <c r="B53" s="323"/>
      <c r="C53" s="338" t="str">
        <f>IF(PDs!$X$15&lt;Metamagia!E50,"Nv "&amp;Metamagia!E50,"")</f>
        <v/>
      </c>
      <c r="D53" s="339"/>
      <c r="E53" s="337">
        <v>5</v>
      </c>
      <c r="F53" s="338" t="str">
        <f>IF(PDs!$X$15&lt;Metamagia!H50,"Nv "&amp;Metamagia!H50,"")</f>
        <v>Nv 3</v>
      </c>
      <c r="G53" s="339"/>
      <c r="H53" s="337">
        <v>10</v>
      </c>
      <c r="I53" s="338" t="str">
        <f>IF(PDs!$X$15&lt;Metamagia!K50,"Nv "&amp;Metamagia!K50,"")</f>
        <v>Nv 3</v>
      </c>
      <c r="J53" s="339"/>
      <c r="K53" s="337">
        <v>5</v>
      </c>
      <c r="L53" s="338" t="str">
        <f>IF(PDs!$X$15&lt;Metamagia!N50,"Nv "&amp;Metamagia!N50,"")</f>
        <v>Nv 3</v>
      </c>
      <c r="M53" s="339"/>
      <c r="N53" s="337">
        <v>10</v>
      </c>
      <c r="O53" s="338" t="str">
        <f>IF(PDs!$X$15&lt;Metamagia!Q50,"Nv "&amp;Metamagia!Q50,"")</f>
        <v/>
      </c>
      <c r="P53" s="339"/>
      <c r="Q53" s="337">
        <v>5</v>
      </c>
      <c r="R53" s="338" t="str">
        <f>IF(PDs!$X$15&lt;Metamagia!T50,"Nv "&amp;Metamagia!T50,"")</f>
        <v>Nv 5</v>
      </c>
      <c r="S53" s="339"/>
      <c r="T53" s="337">
        <v>5</v>
      </c>
      <c r="U53" s="338" t="str">
        <f>IF(PDs!$X$15&lt;Metamagia!W50,"Nv "&amp;Metamagia!W50,"")</f>
        <v>Nv 4</v>
      </c>
      <c r="V53" s="339"/>
      <c r="W53" s="337">
        <v>5</v>
      </c>
      <c r="X53" s="338" t="str">
        <f>IF(PDs!$X$15&lt;Metamagia!Z50,"Nv "&amp;Metamagia!Z50,"")</f>
        <v>Nv 3</v>
      </c>
      <c r="Y53" s="339"/>
      <c r="Z53" s="337">
        <v>5</v>
      </c>
      <c r="AA53" s="338" t="str">
        <f>IF(PDs!$X$15&lt;Metamagia!AC50,"Nv "&amp;Metamagia!AC50,"")</f>
        <v>Nv 6</v>
      </c>
      <c r="AB53" s="339"/>
      <c r="AC53" s="337">
        <v>5</v>
      </c>
      <c r="AD53" s="338" t="str">
        <f>IF(PDs!$X$15&lt;Metamagia!AF50,"Nv "&amp;Metamagia!AF50,"")</f>
        <v>Nv 3</v>
      </c>
      <c r="AE53" s="339"/>
      <c r="AF53" s="337">
        <v>5</v>
      </c>
      <c r="AG53" s="338" t="str">
        <f>IF(PDs!$X$15&lt;Metamagia!AI50,"Nv "&amp;Metamagia!AI50,"")</f>
        <v>Nv 3</v>
      </c>
      <c r="AH53" s="339"/>
      <c r="AI53" s="350">
        <v>5</v>
      </c>
      <c r="AJ53" s="212"/>
    </row>
    <row r="54" spans="1:36" ht="12" customHeight="1" x14ac:dyDescent="0.2">
      <c r="A54" s="1675"/>
      <c r="B54" s="323"/>
      <c r="C54" s="296">
        <f>IF(D53&gt;0,1,0)</f>
        <v>0</v>
      </c>
      <c r="D54" s="330"/>
      <c r="E54" s="337"/>
      <c r="F54" s="342">
        <f>IF(G53&gt;0,1,0)</f>
        <v>0</v>
      </c>
      <c r="G54" s="330"/>
      <c r="H54" s="337"/>
      <c r="I54" s="296">
        <f>IF(J53&gt;0,1,0)</f>
        <v>0</v>
      </c>
      <c r="J54" s="330"/>
      <c r="K54" s="337"/>
      <c r="L54" s="296">
        <f>IF(M53&gt;0,1,0)</f>
        <v>0</v>
      </c>
      <c r="M54" s="321"/>
      <c r="N54" s="337"/>
      <c r="O54" s="296">
        <f>IF(P53&gt;0,1,0)</f>
        <v>0</v>
      </c>
      <c r="P54" s="330"/>
      <c r="Q54" s="332"/>
      <c r="R54" s="349">
        <f>IF(S53&gt;0,1,0)</f>
        <v>0</v>
      </c>
      <c r="S54" s="330"/>
      <c r="T54" s="337"/>
      <c r="U54" s="342">
        <f>IF(V53&gt;0,1,0)</f>
        <v>0</v>
      </c>
      <c r="V54" s="73"/>
      <c r="W54" s="333"/>
      <c r="X54" s="342">
        <f>IF(Y53&gt;0,1,0)</f>
        <v>0</v>
      </c>
      <c r="Y54" s="330"/>
      <c r="Z54" s="337"/>
      <c r="AA54" s="296">
        <f>IF(AB53&gt;0,1,0)</f>
        <v>0</v>
      </c>
      <c r="AB54" s="330"/>
      <c r="AC54" s="337"/>
      <c r="AD54" s="296">
        <f>IF(AE53&gt;0,1,0)</f>
        <v>0</v>
      </c>
      <c r="AE54" s="321"/>
      <c r="AF54" s="337"/>
      <c r="AG54" s="296">
        <f>IF(AH53&gt;0,1,0)</f>
        <v>0</v>
      </c>
      <c r="AH54" s="73"/>
      <c r="AI54" s="373"/>
      <c r="AJ54" s="212"/>
    </row>
    <row r="55" spans="1:36" ht="12" customHeight="1" x14ac:dyDescent="0.2">
      <c r="A55" s="1675"/>
      <c r="B55" s="323"/>
      <c r="C55" s="374"/>
      <c r="D55" s="374"/>
      <c r="E55" s="332"/>
      <c r="F55" s="375"/>
      <c r="G55" s="376"/>
      <c r="H55" s="377"/>
      <c r="I55" s="4000" t="s">
        <v>2663</v>
      </c>
      <c r="J55" s="4000"/>
      <c r="K55" s="337"/>
      <c r="L55" s="330"/>
      <c r="M55" s="323"/>
      <c r="N55" s="337"/>
      <c r="O55" s="330"/>
      <c r="P55" s="330"/>
      <c r="Q55" s="332"/>
      <c r="R55" s="4000" t="s">
        <v>2653</v>
      </c>
      <c r="S55" s="4000"/>
      <c r="T55" s="337">
        <v>5</v>
      </c>
      <c r="U55" s="75"/>
      <c r="V55" s="73"/>
      <c r="W55" s="333"/>
      <c r="X55" s="375"/>
      <c r="Y55" s="376"/>
      <c r="Z55" s="377"/>
      <c r="AA55" s="4000" t="s">
        <v>2650</v>
      </c>
      <c r="AB55" s="4000"/>
      <c r="AC55" s="337"/>
      <c r="AD55" s="330"/>
      <c r="AE55" s="323"/>
      <c r="AF55" s="337"/>
      <c r="AG55" s="73"/>
      <c r="AH55" s="73"/>
      <c r="AI55" s="373"/>
      <c r="AJ55" s="212"/>
    </row>
    <row r="56" spans="1:36" ht="12" customHeight="1" x14ac:dyDescent="0.2">
      <c r="A56" s="1675"/>
      <c r="B56" s="70"/>
      <c r="C56" s="123"/>
      <c r="D56" s="123"/>
      <c r="E56" s="147"/>
      <c r="F56" s="378"/>
      <c r="G56" s="379"/>
      <c r="H56" s="380"/>
      <c r="I56" s="4000"/>
      <c r="J56" s="4000"/>
      <c r="K56" s="344"/>
      <c r="L56" s="223"/>
      <c r="M56" s="70"/>
      <c r="N56" s="337"/>
      <c r="O56" s="330"/>
      <c r="P56" s="330"/>
      <c r="Q56" s="332"/>
      <c r="R56" s="4000"/>
      <c r="S56" s="4000"/>
      <c r="T56" s="344"/>
      <c r="U56" s="223"/>
      <c r="V56" s="73"/>
      <c r="W56" s="333"/>
      <c r="X56" s="378"/>
      <c r="Y56" s="379"/>
      <c r="Z56" s="380"/>
      <c r="AA56" s="4000"/>
      <c r="AB56" s="4000"/>
      <c r="AC56" s="344"/>
      <c r="AD56" s="223"/>
      <c r="AE56" s="70"/>
      <c r="AF56" s="337"/>
      <c r="AG56" s="73"/>
      <c r="AH56" s="73"/>
      <c r="AI56" s="75"/>
      <c r="AJ56" s="212"/>
    </row>
    <row r="57" spans="1:36" ht="12" customHeight="1" x14ac:dyDescent="0.2">
      <c r="A57" s="1675"/>
      <c r="B57" s="70"/>
      <c r="C57" s="123"/>
      <c r="D57" s="123"/>
      <c r="E57" s="147"/>
      <c r="F57" s="381"/>
      <c r="G57" s="382"/>
      <c r="H57" s="337"/>
      <c r="I57" s="4000"/>
      <c r="J57" s="4000"/>
      <c r="K57" s="337"/>
      <c r="L57" s="73"/>
      <c r="M57" s="70"/>
      <c r="N57" s="337"/>
      <c r="O57" s="330"/>
      <c r="P57" s="330"/>
      <c r="Q57" s="332"/>
      <c r="R57" s="4000"/>
      <c r="S57" s="4000"/>
      <c r="T57" s="337"/>
      <c r="U57" s="73"/>
      <c r="V57" s="73"/>
      <c r="W57" s="333"/>
      <c r="X57" s="381"/>
      <c r="Y57" s="382"/>
      <c r="Z57" s="337"/>
      <c r="AA57" s="4000"/>
      <c r="AB57" s="4000"/>
      <c r="AC57" s="337"/>
      <c r="AD57" s="73"/>
      <c r="AE57" s="70"/>
      <c r="AF57" s="337"/>
      <c r="AG57" s="73"/>
      <c r="AH57" s="73"/>
      <c r="AI57" s="75"/>
      <c r="AJ57" s="212"/>
    </row>
    <row r="58" spans="1:36" ht="12" customHeight="1" x14ac:dyDescent="0.2">
      <c r="A58" s="1675"/>
      <c r="B58" s="70"/>
      <c r="C58" s="123"/>
      <c r="D58" s="123"/>
      <c r="E58" s="383"/>
      <c r="F58" s="384"/>
      <c r="G58" s="382"/>
      <c r="H58" s="337"/>
      <c r="I58" s="338" t="str">
        <f>IF(PDs!$X$15&lt;Metamagia!K55,"Nv "&amp;Metamagia!K55,"")</f>
        <v/>
      </c>
      <c r="J58" s="339"/>
      <c r="K58" s="337">
        <v>10</v>
      </c>
      <c r="L58" s="73"/>
      <c r="M58" s="221"/>
      <c r="N58" s="337"/>
      <c r="O58" s="330"/>
      <c r="P58" s="330"/>
      <c r="Q58" s="372"/>
      <c r="R58" s="338" t="str">
        <f>IF(PDs!$X$15&lt;Metamagia!T55,"Nv "&amp;Metamagia!T55,"")</f>
        <v>Nv 5</v>
      </c>
      <c r="S58" s="339"/>
      <c r="T58" s="337">
        <v>5</v>
      </c>
      <c r="U58" s="73"/>
      <c r="V58" s="73"/>
      <c r="W58" s="333"/>
      <c r="X58" s="384"/>
      <c r="Y58" s="382"/>
      <c r="Z58" s="337"/>
      <c r="AA58" s="338" t="str">
        <f>IF(PDs!$X$15&lt;Metamagia!AC55,"Nv "&amp;Metamagia!AC55,"")</f>
        <v/>
      </c>
      <c r="AB58" s="339"/>
      <c r="AC58" s="337">
        <v>5</v>
      </c>
      <c r="AD58" s="73"/>
      <c r="AE58" s="221"/>
      <c r="AF58" s="337"/>
      <c r="AG58" s="73"/>
      <c r="AH58" s="73"/>
      <c r="AI58" s="75"/>
      <c r="AJ58" s="212"/>
    </row>
    <row r="59" spans="1:36" ht="12" customHeight="1" x14ac:dyDescent="0.2">
      <c r="A59" s="1675"/>
      <c r="B59" s="70"/>
      <c r="C59" s="123"/>
      <c r="D59" s="123"/>
      <c r="E59" s="383"/>
      <c r="F59" s="4000" t="s">
        <v>2664</v>
      </c>
      <c r="G59" s="4000"/>
      <c r="H59" s="337"/>
      <c r="I59" s="349">
        <f>IF(J58&gt;0,1,0)</f>
        <v>0</v>
      </c>
      <c r="J59" s="73"/>
      <c r="K59" s="337"/>
      <c r="L59" s="4000" t="s">
        <v>2649</v>
      </c>
      <c r="M59" s="4000"/>
      <c r="N59" s="337"/>
      <c r="O59" s="73"/>
      <c r="P59" s="73"/>
      <c r="Q59" s="333"/>
      <c r="R59" s="296">
        <f>IF(S58&gt;0,1,0)</f>
        <v>0</v>
      </c>
      <c r="S59" s="73"/>
      <c r="T59" s="333"/>
      <c r="U59" s="73"/>
      <c r="V59" s="73"/>
      <c r="W59" s="333"/>
      <c r="X59" s="4000" t="s">
        <v>2653</v>
      </c>
      <c r="Y59" s="4000"/>
      <c r="Z59" s="337"/>
      <c r="AA59" s="349">
        <f>IF(AB58&gt;0,1,0)</f>
        <v>0</v>
      </c>
      <c r="AB59" s="73"/>
      <c r="AC59" s="337"/>
      <c r="AD59" s="4000" t="s">
        <v>2662</v>
      </c>
      <c r="AE59" s="4000"/>
      <c r="AF59" s="337"/>
      <c r="AG59" s="73"/>
      <c r="AH59" s="73"/>
      <c r="AI59" s="75"/>
      <c r="AJ59" s="212"/>
    </row>
    <row r="60" spans="1:36" ht="12" customHeight="1" x14ac:dyDescent="0.2">
      <c r="A60" s="1835"/>
      <c r="B60" s="385"/>
      <c r="C60" s="123"/>
      <c r="D60" s="123"/>
      <c r="E60" s="383"/>
      <c r="F60" s="4000"/>
      <c r="G60" s="4000"/>
      <c r="H60" s="334"/>
      <c r="I60" s="4000" t="s">
        <v>2657</v>
      </c>
      <c r="J60" s="4000"/>
      <c r="K60" s="336"/>
      <c r="L60" s="4000"/>
      <c r="M60" s="4000"/>
      <c r="N60" s="337"/>
      <c r="O60" s="73"/>
      <c r="P60" s="73"/>
      <c r="Q60" s="73"/>
      <c r="R60" s="73"/>
      <c r="S60" s="73"/>
      <c r="T60" s="333"/>
      <c r="U60" s="73"/>
      <c r="V60" s="73"/>
      <c r="W60" s="333"/>
      <c r="X60" s="4000"/>
      <c r="Y60" s="4000"/>
      <c r="Z60" s="334"/>
      <c r="AA60" s="4000" t="s">
        <v>2650</v>
      </c>
      <c r="AB60" s="4000"/>
      <c r="AC60" s="334"/>
      <c r="AD60" s="4000"/>
      <c r="AE60" s="4000"/>
      <c r="AF60" s="337"/>
      <c r="AG60" s="73"/>
      <c r="AH60" s="73"/>
      <c r="AI60" s="75"/>
      <c r="AJ60" s="212"/>
    </row>
    <row r="61" spans="1:36" ht="12" customHeight="1" x14ac:dyDescent="0.2">
      <c r="A61" s="1835"/>
      <c r="B61" s="385"/>
      <c r="C61" s="123"/>
      <c r="D61" s="123"/>
      <c r="E61" s="383"/>
      <c r="F61" s="4000"/>
      <c r="G61" s="4000"/>
      <c r="H61" s="337"/>
      <c r="I61" s="4000"/>
      <c r="J61" s="4000"/>
      <c r="K61" s="333"/>
      <c r="L61" s="4000"/>
      <c r="M61" s="4000"/>
      <c r="N61" s="337"/>
      <c r="O61" s="73"/>
      <c r="P61" s="73"/>
      <c r="Q61" s="73"/>
      <c r="R61" s="73"/>
      <c r="S61" s="73"/>
      <c r="T61" s="333"/>
      <c r="U61" s="73"/>
      <c r="V61" s="73"/>
      <c r="W61" s="333"/>
      <c r="X61" s="4000"/>
      <c r="Y61" s="4000"/>
      <c r="Z61" s="337"/>
      <c r="AA61" s="4000"/>
      <c r="AB61" s="4000"/>
      <c r="AC61" s="337"/>
      <c r="AD61" s="4000"/>
      <c r="AE61" s="4000"/>
      <c r="AF61" s="337"/>
      <c r="AG61" s="73"/>
      <c r="AH61" s="73"/>
      <c r="AI61" s="75"/>
      <c r="AJ61" s="212"/>
    </row>
    <row r="62" spans="1:36" ht="12" customHeight="1" x14ac:dyDescent="0.2">
      <c r="A62" s="1835"/>
      <c r="B62" s="385"/>
      <c r="C62" s="123"/>
      <c r="D62" s="123"/>
      <c r="E62" s="192"/>
      <c r="F62" s="338" t="str">
        <f>IF(PDs!$X$15&lt;Metamagia!H59,"Nv "&amp;Metamagia!H59,"")</f>
        <v/>
      </c>
      <c r="G62" s="339"/>
      <c r="H62" s="337">
        <v>5</v>
      </c>
      <c r="I62" s="4000"/>
      <c r="J62" s="4000"/>
      <c r="K62" s="333"/>
      <c r="L62" s="338" t="str">
        <f>IF(PDs!$X$15&lt;Metamagia!N59,"Nv "&amp;Metamagia!N59,"")</f>
        <v/>
      </c>
      <c r="M62" s="339"/>
      <c r="N62" s="337">
        <v>5</v>
      </c>
      <c r="O62" s="73"/>
      <c r="P62" s="73"/>
      <c r="Q62" s="73"/>
      <c r="R62" s="73"/>
      <c r="S62" s="73"/>
      <c r="T62" s="333"/>
      <c r="U62" s="73"/>
      <c r="V62" s="73"/>
      <c r="W62" s="372"/>
      <c r="X62" s="338" t="str">
        <f>IF(PDs!$X$15&lt;Metamagia!Z59,"Nv "&amp;Metamagia!Z59,"")</f>
        <v/>
      </c>
      <c r="Y62" s="339"/>
      <c r="Z62" s="337">
        <v>5</v>
      </c>
      <c r="AA62" s="4000"/>
      <c r="AB62" s="4000"/>
      <c r="AC62" s="337"/>
      <c r="AD62" s="338" t="str">
        <f>IF(PDs!$X$15&lt;Metamagia!AF59,"Nv "&amp;Metamagia!AF59,"")</f>
        <v/>
      </c>
      <c r="AE62" s="339"/>
      <c r="AF62" s="337">
        <v>5</v>
      </c>
      <c r="AG62" s="73"/>
      <c r="AH62" s="73"/>
      <c r="AI62" s="75"/>
      <c r="AJ62" s="212"/>
    </row>
    <row r="63" spans="1:36" ht="12" customHeight="1" x14ac:dyDescent="0.2">
      <c r="A63" s="1835"/>
      <c r="B63" s="385"/>
      <c r="C63" s="123"/>
      <c r="D63" s="123"/>
      <c r="E63" s="192"/>
      <c r="F63" s="296">
        <f>IF(G62&gt;0,1,0)</f>
        <v>0</v>
      </c>
      <c r="G63" s="382"/>
      <c r="H63" s="333"/>
      <c r="I63" s="338" t="str">
        <f>IF(PDs!$X$15&lt;Metamagia!K60,"Nv "&amp;Metamagia!K60,"")</f>
        <v/>
      </c>
      <c r="J63" s="339"/>
      <c r="K63" s="337">
        <v>5</v>
      </c>
      <c r="L63" s="296">
        <f>IF(M62&gt;0,1,0)</f>
        <v>0</v>
      </c>
      <c r="M63" s="73"/>
      <c r="N63" s="126"/>
      <c r="O63" s="73"/>
      <c r="P63" s="73"/>
      <c r="Q63" s="73"/>
      <c r="R63" s="73"/>
      <c r="S63" s="73"/>
      <c r="T63" s="73"/>
      <c r="U63" s="73"/>
      <c r="V63" s="73"/>
      <c r="W63" s="73"/>
      <c r="X63" s="296">
        <f>IF(Y62&gt;0,1,0)</f>
        <v>0</v>
      </c>
      <c r="Y63" s="382"/>
      <c r="Z63" s="333"/>
      <c r="AA63" s="338" t="str">
        <f>IF(PDs!$X$15&lt;Metamagia!AC60,"Nv "&amp;Metamagia!AC60,"")</f>
        <v/>
      </c>
      <c r="AB63" s="339"/>
      <c r="AC63" s="337">
        <v>5</v>
      </c>
      <c r="AD63" s="296">
        <f>IF(AE62&gt;0,1,0)</f>
        <v>0</v>
      </c>
      <c r="AE63" s="73"/>
      <c r="AF63" s="333"/>
      <c r="AG63" s="73"/>
      <c r="AH63" s="73"/>
      <c r="AI63" s="75"/>
      <c r="AJ63" s="212"/>
    </row>
    <row r="64" spans="1:36" ht="12" customHeight="1" x14ac:dyDescent="0.2">
      <c r="A64" s="1835"/>
      <c r="B64" s="385"/>
      <c r="C64" s="73"/>
      <c r="D64" s="123"/>
      <c r="E64" s="123"/>
      <c r="F64" s="192"/>
      <c r="G64" s="386"/>
      <c r="H64" s="387"/>
      <c r="I64" s="296">
        <f>IF(J63&gt;0,1,0)</f>
        <v>0</v>
      </c>
      <c r="J64" s="73"/>
      <c r="K64" s="333"/>
      <c r="L64" s="73"/>
      <c r="M64" s="73"/>
      <c r="N64" s="73"/>
      <c r="O64" s="73"/>
      <c r="P64" s="73"/>
      <c r="Q64" s="73"/>
      <c r="R64" s="73"/>
      <c r="S64" s="73"/>
      <c r="T64" s="73"/>
      <c r="U64" s="73"/>
      <c r="V64" s="73"/>
      <c r="W64" s="73"/>
      <c r="X64" s="73"/>
      <c r="Y64" s="73"/>
      <c r="Z64" s="333"/>
      <c r="AA64" s="296">
        <f>IF(AB63&gt;0,1,0)</f>
        <v>0</v>
      </c>
      <c r="AB64" s="73"/>
      <c r="AC64" s="73"/>
      <c r="AD64" s="73"/>
      <c r="AE64" s="73"/>
      <c r="AF64" s="73"/>
      <c r="AG64" s="73"/>
      <c r="AH64" s="73"/>
      <c r="AI64" s="75"/>
      <c r="AJ64" s="212"/>
    </row>
    <row r="65" spans="1:36" ht="12" customHeight="1" x14ac:dyDescent="0.2">
      <c r="A65" s="1835"/>
      <c r="B65" s="388"/>
      <c r="C65" s="222"/>
      <c r="D65" s="389"/>
      <c r="E65" s="389"/>
      <c r="F65" s="390"/>
      <c r="G65" s="391"/>
      <c r="H65" s="392"/>
      <c r="I65" s="222"/>
      <c r="J65" s="222"/>
      <c r="K65" s="222"/>
      <c r="L65" s="390"/>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36"/>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64" customWidth="1"/>
    <col min="2" max="2" width="4.28515625" style="764" customWidth="1"/>
    <col min="3" max="3" width="8.140625" style="764" customWidth="1"/>
    <col min="4" max="4" width="8.5703125" style="764" customWidth="1"/>
    <col min="5" max="5" width="6.7109375" style="764" customWidth="1"/>
    <col min="6" max="6" width="6.5703125" style="764" customWidth="1"/>
    <col min="7" max="7" width="6" style="764" customWidth="1"/>
    <col min="8" max="9" width="5.7109375" style="764"/>
    <col min="10" max="10" width="6.5703125" style="764" customWidth="1"/>
    <col min="11" max="18" width="5.7109375" style="764"/>
    <col min="19" max="19" width="6.140625" style="781" customWidth="1"/>
    <col min="20" max="20" width="3.5703125" style="764" customWidth="1"/>
    <col min="21" max="21" width="14.28515625" style="764" customWidth="1"/>
    <col min="22" max="22" width="6.5703125" style="764" customWidth="1"/>
    <col min="23" max="23" width="7.28515625" style="764" customWidth="1"/>
    <col min="24" max="24" width="4.5703125" style="764" customWidth="1"/>
    <col min="25" max="25" width="5.85546875" style="764" customWidth="1"/>
    <col min="26" max="26" width="5.140625" style="764" customWidth="1"/>
    <col min="27" max="27" width="4.42578125" style="821" customWidth="1"/>
    <col min="28" max="28" width="0.7109375" style="764" customWidth="1"/>
    <col min="29" max="29" width="3.85546875" style="2074" customWidth="1"/>
    <col min="30" max="30" width="3.42578125" style="2074" customWidth="1"/>
    <col min="31" max="31" width="5.7109375" style="2074"/>
    <col min="32" max="32" width="7.140625" style="2074" bestFit="1" customWidth="1"/>
    <col min="33" max="33" width="5.7109375" style="2074"/>
    <col min="34" max="34" width="9.140625" style="2074" bestFit="1" customWidth="1"/>
    <col min="35" max="35" width="5.7109375" style="2074"/>
    <col min="36" max="36" width="6" style="2074" bestFit="1" customWidth="1"/>
    <col min="37" max="37" width="5.7109375" style="2074"/>
    <col min="38" max="38" width="5.140625" style="2074" customWidth="1"/>
    <col min="39" max="16384" width="5.7109375" style="764"/>
  </cols>
  <sheetData>
    <row r="1" spans="1:53" ht="12" customHeight="1" thickBot="1" x14ac:dyDescent="0.25">
      <c r="A1" s="760"/>
      <c r="B1" s="761"/>
      <c r="C1" s="761"/>
      <c r="D1" s="761"/>
      <c r="E1" s="761"/>
      <c r="F1" s="761"/>
      <c r="G1" s="761"/>
      <c r="H1" s="761"/>
      <c r="I1" s="761"/>
      <c r="J1" s="761"/>
      <c r="K1" s="761"/>
      <c r="L1" s="761"/>
      <c r="M1" s="761"/>
      <c r="N1" s="761"/>
      <c r="O1" s="761"/>
      <c r="P1" s="761"/>
      <c r="Q1" s="761"/>
      <c r="R1" s="761"/>
      <c r="S1" s="761"/>
      <c r="T1" s="761"/>
      <c r="U1" s="761"/>
      <c r="V1" s="761"/>
      <c r="W1" s="761"/>
      <c r="X1" s="761"/>
      <c r="Y1" s="761"/>
      <c r="Z1" s="761"/>
      <c r="AA1" s="762"/>
      <c r="AB1" s="763"/>
    </row>
    <row r="2" spans="1:53" ht="12" customHeight="1" thickBot="1" x14ac:dyDescent="0.25">
      <c r="A2" s="760"/>
      <c r="B2" s="765"/>
      <c r="C2" s="766"/>
      <c r="D2" s="766"/>
      <c r="E2" s="766"/>
      <c r="F2" s="766"/>
      <c r="G2" s="766"/>
      <c r="H2" s="766"/>
      <c r="I2" s="766"/>
      <c r="J2" s="766"/>
      <c r="K2" s="766"/>
      <c r="L2" s="766"/>
      <c r="M2" s="766"/>
      <c r="N2" s="766"/>
      <c r="O2" s="766"/>
      <c r="P2" s="766"/>
      <c r="Q2" s="766"/>
      <c r="R2" s="766"/>
      <c r="S2" s="766"/>
      <c r="T2" s="766"/>
      <c r="U2" s="767"/>
      <c r="V2" s="766"/>
      <c r="W2" s="766"/>
      <c r="X2" s="766"/>
      <c r="Y2" s="766"/>
      <c r="Z2" s="766"/>
      <c r="AA2" s="768"/>
      <c r="AB2" s="763"/>
    </row>
    <row r="3" spans="1:53" ht="13.5" customHeight="1" thickBot="1" x14ac:dyDescent="0.25">
      <c r="A3" s="760"/>
      <c r="B3" s="769"/>
      <c r="C3" s="770"/>
      <c r="D3" s="771"/>
      <c r="E3" s="771"/>
      <c r="F3" s="771"/>
      <c r="G3" s="771"/>
      <c r="H3" s="771"/>
      <c r="I3" s="771"/>
      <c r="J3" s="771"/>
      <c r="K3" s="771"/>
      <c r="L3" s="4006" t="str">
        <f>"Sheele ("&amp;VLOOKUP(Sheele!D5,'Tablas Sheele'!C5:G12,5,FALSE)&amp;")"</f>
        <v>Sheele (Haley)</v>
      </c>
      <c r="M3" s="4006"/>
      <c r="N3" s="4006"/>
      <c r="O3" s="4006"/>
      <c r="P3" s="4006"/>
      <c r="Q3" s="771"/>
      <c r="R3" s="771"/>
      <c r="S3" s="771"/>
      <c r="T3" s="771"/>
      <c r="U3" s="771"/>
      <c r="V3" s="771"/>
      <c r="W3" s="771"/>
      <c r="X3" s="771"/>
      <c r="Y3" s="771"/>
      <c r="Z3" s="772"/>
      <c r="AA3" s="773"/>
      <c r="AB3" s="763"/>
    </row>
    <row r="4" spans="1:53" ht="13.5" customHeight="1" x14ac:dyDescent="0.2">
      <c r="A4" s="760"/>
      <c r="B4" s="769"/>
      <c r="C4" s="774"/>
      <c r="D4" s="4009" t="s">
        <v>3944</v>
      </c>
      <c r="E4" s="4010"/>
      <c r="F4" s="4010" t="s">
        <v>3945</v>
      </c>
      <c r="G4" s="4011"/>
      <c r="H4" s="775"/>
      <c r="I4" s="775"/>
      <c r="J4" s="775"/>
      <c r="K4" s="775"/>
      <c r="L4" s="4007"/>
      <c r="M4" s="4007"/>
      <c r="N4" s="4007"/>
      <c r="O4" s="4007"/>
      <c r="P4" s="4007"/>
      <c r="Q4" s="775"/>
      <c r="R4" s="4020" t="s">
        <v>8728</v>
      </c>
      <c r="S4" s="4020"/>
      <c r="T4" s="4020"/>
      <c r="U4" s="1661">
        <f>VALUE(PDs!X15)</f>
        <v>1</v>
      </c>
      <c r="V4" s="775"/>
      <c r="W4" s="775"/>
      <c r="X4" s="775"/>
      <c r="Y4" s="775"/>
      <c r="Z4" s="776"/>
      <c r="AA4" s="773"/>
      <c r="AB4" s="763"/>
    </row>
    <row r="5" spans="1:53" ht="12" customHeight="1" thickBot="1" x14ac:dyDescent="0.25">
      <c r="A5" s="760"/>
      <c r="B5" s="769"/>
      <c r="C5" s="774"/>
      <c r="D5" s="4012" t="s">
        <v>2472</v>
      </c>
      <c r="E5" s="4013"/>
      <c r="F5" s="4013" t="s">
        <v>2234</v>
      </c>
      <c r="G5" s="4014"/>
      <c r="H5" s="775"/>
      <c r="I5" s="775"/>
      <c r="J5" s="775"/>
      <c r="K5" s="775"/>
      <c r="L5" s="4007"/>
      <c r="M5" s="4007"/>
      <c r="N5" s="4007"/>
      <c r="O5" s="4007"/>
      <c r="P5" s="4007"/>
      <c r="Q5" s="775"/>
      <c r="R5" s="4020" t="s">
        <v>3946</v>
      </c>
      <c r="S5" s="4020"/>
      <c r="T5" s="4020"/>
      <c r="U5" s="1754">
        <f>ROUNDUP(IF(U4=0,5,10*U4)/2,0)</f>
        <v>5</v>
      </c>
      <c r="V5" s="4208"/>
      <c r="W5" s="775"/>
      <c r="X5" s="775"/>
      <c r="Y5" s="775"/>
      <c r="Z5" s="776"/>
      <c r="AA5" s="773"/>
      <c r="AB5" s="763"/>
      <c r="AY5" s="777"/>
      <c r="AZ5" s="777"/>
      <c r="BA5" s="777"/>
    </row>
    <row r="6" spans="1:53" ht="12" customHeight="1" thickBot="1" x14ac:dyDescent="0.25">
      <c r="A6" s="760"/>
      <c r="B6" s="769"/>
      <c r="C6" s="778"/>
      <c r="D6" s="779"/>
      <c r="E6" s="779"/>
      <c r="F6" s="779"/>
      <c r="G6" s="779"/>
      <c r="H6" s="779"/>
      <c r="I6" s="779"/>
      <c r="J6" s="779"/>
      <c r="K6" s="779"/>
      <c r="L6" s="4008"/>
      <c r="M6" s="4008"/>
      <c r="N6" s="4008"/>
      <c r="O6" s="4008"/>
      <c r="P6" s="4008"/>
      <c r="Q6" s="779"/>
      <c r="R6" s="779"/>
      <c r="S6" s="779"/>
      <c r="T6" s="2700"/>
      <c r="U6" s="779"/>
      <c r="V6" s="4209"/>
      <c r="W6" s="779"/>
      <c r="X6" s="779"/>
      <c r="Y6" s="779"/>
      <c r="Z6" s="780"/>
      <c r="AA6" s="773"/>
      <c r="AB6" s="763"/>
    </row>
    <row r="7" spans="1:53" ht="12" customHeight="1" thickBot="1" x14ac:dyDescent="0.25">
      <c r="A7" s="760"/>
      <c r="B7" s="769"/>
      <c r="C7" s="820"/>
      <c r="D7" s="820"/>
      <c r="E7" s="820"/>
      <c r="F7" s="820"/>
      <c r="G7" s="820"/>
      <c r="H7" s="820"/>
      <c r="I7" s="820"/>
      <c r="J7" s="820"/>
      <c r="K7" s="820"/>
      <c r="L7" s="820"/>
      <c r="M7" s="820"/>
      <c r="N7" s="820"/>
      <c r="O7" s="820"/>
      <c r="P7" s="820"/>
      <c r="Q7" s="820"/>
      <c r="R7" s="820"/>
      <c r="S7" s="735"/>
      <c r="T7" s="820"/>
      <c r="U7" s="2698"/>
      <c r="V7" s="820"/>
      <c r="W7" s="820"/>
      <c r="X7" s="820"/>
      <c r="Y7" s="820"/>
      <c r="Z7" s="820"/>
      <c r="AA7" s="773"/>
      <c r="AB7" s="763"/>
    </row>
    <row r="8" spans="1:53" ht="12" customHeight="1" x14ac:dyDescent="0.2">
      <c r="A8" s="760"/>
      <c r="B8" s="769"/>
      <c r="C8" s="4068" t="s">
        <v>2217</v>
      </c>
      <c r="D8" s="782"/>
      <c r="E8" s="1759" t="s">
        <v>2218</v>
      </c>
      <c r="F8" s="783" t="s">
        <v>2219</v>
      </c>
      <c r="G8" s="784" t="s">
        <v>2202</v>
      </c>
      <c r="H8" s="785" t="s">
        <v>2220</v>
      </c>
      <c r="I8" s="820"/>
      <c r="J8" s="820"/>
      <c r="K8" s="820"/>
      <c r="L8" s="4009" t="s">
        <v>3947</v>
      </c>
      <c r="M8" s="4010"/>
      <c r="N8" s="4010"/>
      <c r="O8" s="4010"/>
      <c r="P8" s="4010"/>
      <c r="Q8" s="4010"/>
      <c r="R8" s="4010"/>
      <c r="S8" s="4011"/>
      <c r="T8" s="820"/>
      <c r="U8" s="4071" t="s">
        <v>3948</v>
      </c>
      <c r="V8" s="4072"/>
      <c r="W8" s="4072"/>
      <c r="X8" s="4072"/>
      <c r="Y8" s="4072"/>
      <c r="Z8" s="4073"/>
      <c r="AA8" s="773"/>
      <c r="AB8" s="763"/>
      <c r="AT8" s="781"/>
      <c r="AU8" s="777"/>
      <c r="AV8" s="777"/>
    </row>
    <row r="9" spans="1:53" ht="12" customHeight="1" x14ac:dyDescent="0.2">
      <c r="A9" s="760"/>
      <c r="B9" s="769"/>
      <c r="C9" s="4069"/>
      <c r="D9" s="786" t="s">
        <v>2226</v>
      </c>
      <c r="E9" s="1754">
        <f>HLOOKUP($D$5,'Tablas Sheele'!$G$17:$N$25,'Tablas Sheele'!E18,)</f>
        <v>8</v>
      </c>
      <c r="F9" s="1586"/>
      <c r="G9" s="787">
        <f>E9+'Tablas Sheele'!D18+IF('Tablas Sheele'!F143&gt;0,2,0)</f>
        <v>8</v>
      </c>
      <c r="H9" s="1755">
        <f>IF(G9&lt;1,0,VLOOKUP(G9,Tablas!$H$98:$I$117,2))</f>
        <v>10</v>
      </c>
      <c r="I9" s="735"/>
      <c r="J9" s="820"/>
      <c r="K9" s="735"/>
      <c r="L9" s="4077" t="s">
        <v>2364</v>
      </c>
      <c r="M9" s="4078"/>
      <c r="N9" s="4078"/>
      <c r="O9" s="4079"/>
      <c r="P9" s="4080" t="s">
        <v>3949</v>
      </c>
      <c r="Q9" s="4080"/>
      <c r="R9" s="4080"/>
      <c r="S9" s="4081"/>
      <c r="T9" s="820"/>
      <c r="U9" s="4074"/>
      <c r="V9" s="4075"/>
      <c r="W9" s="4075"/>
      <c r="X9" s="4075"/>
      <c r="Y9" s="4075"/>
      <c r="Z9" s="4076"/>
      <c r="AA9" s="773"/>
      <c r="AB9" s="763"/>
      <c r="AT9" s="781"/>
      <c r="AU9" s="777"/>
      <c r="AV9" s="777"/>
    </row>
    <row r="10" spans="1:53" ht="12" customHeight="1" x14ac:dyDescent="0.2">
      <c r="A10" s="760"/>
      <c r="B10" s="769"/>
      <c r="C10" s="4069"/>
      <c r="D10" s="786" t="s">
        <v>2354</v>
      </c>
      <c r="E10" s="1754">
        <f>HLOOKUP($D$5,'Tablas Sheele'!$G$17:$N$25,'Tablas Sheele'!E19,)</f>
        <v>2</v>
      </c>
      <c r="F10" s="1587"/>
      <c r="G10" s="787">
        <f>E10+'Tablas Sheele'!D19</f>
        <v>2</v>
      </c>
      <c r="H10" s="1755">
        <f>IF(G10&lt;1,0,VLOOKUP(G10,Tablas!$H$98:$I$117,2))</f>
        <v>-20</v>
      </c>
      <c r="I10" s="735"/>
      <c r="J10" s="820"/>
      <c r="K10" s="820"/>
      <c r="L10" s="4027" t="s">
        <v>3950</v>
      </c>
      <c r="M10" s="4027"/>
      <c r="N10" s="4028">
        <f>IF(N21*2+20*'Tablas Sheele'!F103&gt;200, IF(N21*2&gt;=200,N21*2+10*'Tablas Sheele'!F103,200+1/2*(20*'Tablas Sheele'!F103-(200-N21*2))),N21*2+20*'Tablas Sheele'!F103 )</f>
        <v>60</v>
      </c>
      <c r="O10" s="4028"/>
      <c r="P10" s="4027" t="s">
        <v>3951</v>
      </c>
      <c r="Q10" s="4027"/>
      <c r="R10" s="4021">
        <f>IF('Tablas Sheele'!F176&gt;0,MAX(Sheele!N10,H11),H11)</f>
        <v>10</v>
      </c>
      <c r="S10" s="4021"/>
      <c r="T10" s="820"/>
      <c r="U10" s="4029" t="s">
        <v>2256</v>
      </c>
      <c r="V10" s="4030"/>
      <c r="W10" s="4015" t="s">
        <v>3952</v>
      </c>
      <c r="X10" s="4015"/>
      <c r="Y10" s="4015"/>
      <c r="Z10" s="4016"/>
      <c r="AA10" s="773"/>
      <c r="AB10" s="763"/>
      <c r="AT10" s="781"/>
      <c r="AU10" s="777"/>
      <c r="AV10" s="777"/>
    </row>
    <row r="11" spans="1:53" ht="12" customHeight="1" x14ac:dyDescent="0.2">
      <c r="A11" s="760"/>
      <c r="B11" s="769"/>
      <c r="C11" s="4069"/>
      <c r="D11" s="786" t="s">
        <v>2231</v>
      </c>
      <c r="E11" s="1754">
        <f>HLOOKUP($D$5,'Tablas Sheele'!$G$17:$N$25,'Tablas Sheele'!E20,)</f>
        <v>8</v>
      </c>
      <c r="F11" s="1587"/>
      <c r="G11" s="787">
        <f>E11+'Tablas Sheele'!D20+IF('Tablas Sheele'!F143&gt;0,2,0)</f>
        <v>8</v>
      </c>
      <c r="H11" s="1755">
        <f>IF(G11&lt;1,0,VLOOKUP(G11,Tablas!$H$98:$I$117,2))</f>
        <v>10</v>
      </c>
      <c r="I11" s="820"/>
      <c r="J11" s="820"/>
      <c r="K11" s="820"/>
      <c r="L11" s="4027"/>
      <c r="M11" s="4027"/>
      <c r="N11" s="4028"/>
      <c r="O11" s="4028"/>
      <c r="P11" s="4027"/>
      <c r="Q11" s="4027"/>
      <c r="R11" s="4021"/>
      <c r="S11" s="4021"/>
      <c r="T11" s="820"/>
      <c r="U11" s="4031"/>
      <c r="V11" s="4032"/>
      <c r="W11" s="4017" t="s">
        <v>3953</v>
      </c>
      <c r="X11" s="4018"/>
      <c r="Y11" s="4018" t="s">
        <v>3954</v>
      </c>
      <c r="Z11" s="4019"/>
      <c r="AA11" s="773"/>
      <c r="AB11" s="763"/>
    </row>
    <row r="12" spans="1:53" ht="12" customHeight="1" thickBot="1" x14ac:dyDescent="0.25">
      <c r="A12" s="760"/>
      <c r="B12" s="693"/>
      <c r="C12" s="4069"/>
      <c r="D12" s="786" t="s">
        <v>2236</v>
      </c>
      <c r="E12" s="1754">
        <f>HLOOKUP($D$5,'Tablas Sheele'!$G$17:$N$25,'Tablas Sheele'!E21,)</f>
        <v>2</v>
      </c>
      <c r="F12" s="1587"/>
      <c r="G12" s="787">
        <f>E12+'Tablas Sheele'!D21+IF('Tablas Sheele'!F143&gt;0,2,0)</f>
        <v>2</v>
      </c>
      <c r="H12" s="1755">
        <f>IF(G12&lt;1,0,VLOOKUP(G12,Tablas!$H$98:$I$117,2))</f>
        <v>-20</v>
      </c>
      <c r="I12" s="735"/>
      <c r="J12" s="820"/>
      <c r="K12" s="820"/>
      <c r="L12" s="4027" t="s">
        <v>3955</v>
      </c>
      <c r="M12" s="4027"/>
      <c r="N12" s="4028">
        <f>IF(N21*2+20*'Tablas Sheele'!F103&gt;200, IF(N21*2&gt;=200,N21*2+10*'Tablas Sheele'!F103,200+1/2*(20*'Tablas Sheele'!F103-(200-N21*2))),N21*2+20*'Tablas Sheele'!F103 )+IF('Tablas Sheele'!F187&gt;0,40,0)</f>
        <v>60</v>
      </c>
      <c r="O12" s="4028"/>
      <c r="P12" s="4027" t="s">
        <v>3956</v>
      </c>
      <c r="Q12" s="4027"/>
      <c r="R12" s="4021">
        <f>IF('Tablas Sheele'!F176&gt;0,MAX(Sheele!N12,H9),IF(D5="Aire",MAX(N12,H9),H9))</f>
        <v>60</v>
      </c>
      <c r="S12" s="4021"/>
      <c r="T12" s="820"/>
      <c r="U12" s="4022" t="str">
        <f>IF('Tablas Sheele'!F98&gt;0,U4+'Tablas Sheele'!F101,"-")</f>
        <v>-</v>
      </c>
      <c r="V12" s="4023"/>
      <c r="W12" s="4024" t="str">
        <f>IF('Tablas Sheele'!F98&gt;0,150,"-")</f>
        <v>-</v>
      </c>
      <c r="X12" s="4025"/>
      <c r="Y12" s="4024" t="str">
        <f>IF('Tablas Sheele'!F98&gt;0,IF('Tablas Sheele'!F99,N21-10,N21)&amp;" / asalto","-")</f>
        <v>-</v>
      </c>
      <c r="Z12" s="4026"/>
      <c r="AA12" s="773"/>
      <c r="AB12" s="763"/>
      <c r="AY12" s="777"/>
      <c r="AZ12" s="777"/>
      <c r="BA12" s="777"/>
    </row>
    <row r="13" spans="1:53" ht="12" customHeight="1" x14ac:dyDescent="0.2">
      <c r="A13" s="760"/>
      <c r="B13" s="788"/>
      <c r="C13" s="4069"/>
      <c r="D13" s="786" t="s">
        <v>2239</v>
      </c>
      <c r="E13" s="1754">
        <f>HLOOKUP($D$5,'Tablas Sheele'!$G$17:$N$25,'Tablas Sheele'!E22,)</f>
        <v>8</v>
      </c>
      <c r="F13" s="1587"/>
      <c r="G13" s="787">
        <f>E13+'Tablas Sheele'!D22</f>
        <v>8</v>
      </c>
      <c r="H13" s="1755">
        <f>IF(G13&lt;1,0,VLOOKUP(G13,Tablas!$H$98:$I$117,2))</f>
        <v>10</v>
      </c>
      <c r="I13" s="820"/>
      <c r="J13" s="820"/>
      <c r="K13" s="820"/>
      <c r="L13" s="4027"/>
      <c r="M13" s="4027"/>
      <c r="N13" s="4028"/>
      <c r="O13" s="4028"/>
      <c r="P13" s="4027"/>
      <c r="Q13" s="4027"/>
      <c r="R13" s="4021"/>
      <c r="S13" s="4021"/>
      <c r="T13" s="820"/>
      <c r="U13" s="4048" t="s">
        <v>3957</v>
      </c>
      <c r="V13" s="4049"/>
      <c r="W13" s="4049"/>
      <c r="X13" s="4049"/>
      <c r="Y13" s="4049"/>
      <c r="Z13" s="4050"/>
      <c r="AA13" s="773"/>
      <c r="AB13" s="763"/>
      <c r="AY13" s="777"/>
      <c r="AZ13" s="777"/>
      <c r="BA13" s="777"/>
    </row>
    <row r="14" spans="1:53" ht="12" customHeight="1" x14ac:dyDescent="0.2">
      <c r="A14" s="760"/>
      <c r="B14" s="788"/>
      <c r="C14" s="4069"/>
      <c r="D14" s="786" t="s">
        <v>2242</v>
      </c>
      <c r="E14" s="1754">
        <f>HLOOKUP($D$5,'Tablas Sheele'!$G$17:$N$25,'Tablas Sheele'!E23,)</f>
        <v>6</v>
      </c>
      <c r="F14" s="1587"/>
      <c r="G14" s="787">
        <f>E14+'Tablas Sheele'!D23</f>
        <v>6</v>
      </c>
      <c r="H14" s="1755">
        <f>IF(G14&lt;1,0,VLOOKUP(G14,Tablas!$H$98:$I$117,2))</f>
        <v>5</v>
      </c>
      <c r="I14" s="820"/>
      <c r="J14" s="820"/>
      <c r="K14" s="820"/>
      <c r="L14" s="4027" t="s">
        <v>3958</v>
      </c>
      <c r="M14" s="4051"/>
      <c r="N14" s="4052" t="str">
        <f>IF(D5="Naturaleza","Esencia",D5)</f>
        <v>Aire</v>
      </c>
      <c r="O14" s="4052"/>
      <c r="P14" s="4053" t="s">
        <v>3959</v>
      </c>
      <c r="Q14" s="4027"/>
      <c r="R14" s="4021">
        <f>IF('Tablas Sheele'!F176&gt;0,MAX(Sheele!N12,H11),H11)</f>
        <v>10</v>
      </c>
      <c r="S14" s="4021"/>
      <c r="T14" s="820"/>
      <c r="U14" s="4054" t="str">
        <f>"Gnosis "&amp;IF('Tablas Sheele'!F100&gt;0,30,20)</f>
        <v>Gnosis 20</v>
      </c>
      <c r="V14" s="4055"/>
      <c r="W14" s="4055"/>
      <c r="X14" s="4055"/>
      <c r="Y14" s="4055"/>
      <c r="Z14" s="4056"/>
      <c r="AA14" s="773"/>
      <c r="AB14" s="763"/>
      <c r="AY14" s="777"/>
      <c r="AZ14" s="777"/>
      <c r="BA14" s="777"/>
    </row>
    <row r="15" spans="1:53" ht="12" customHeight="1" x14ac:dyDescent="0.2">
      <c r="A15" s="760"/>
      <c r="B15" s="788"/>
      <c r="C15" s="4069"/>
      <c r="D15" s="786" t="s">
        <v>2244</v>
      </c>
      <c r="E15" s="1754">
        <f>HLOOKUP($D$5,'Tablas Sheele'!$G$17:$N$25,'Tablas Sheele'!E24,)</f>
        <v>8</v>
      </c>
      <c r="F15" s="1587"/>
      <c r="G15" s="787">
        <f>E15+'Tablas Sheele'!D24</f>
        <v>8</v>
      </c>
      <c r="H15" s="1755">
        <f>IF(G15&lt;1,0,VLOOKUP(G15,Tablas!$H$98:$I$117,2))</f>
        <v>10</v>
      </c>
      <c r="I15" s="820"/>
      <c r="J15" s="820"/>
      <c r="K15" s="820"/>
      <c r="L15" s="4027"/>
      <c r="M15" s="4051"/>
      <c r="N15" s="4057">
        <f>IF(20+10*'Tablas Sheele'!F104&lt;=50,20+10*'Tablas Sheele'!F104,50+1/2*(10*'Tablas Sheele'!F104-(50-20)))</f>
        <v>20</v>
      </c>
      <c r="O15" s="4058"/>
      <c r="P15" s="4053"/>
      <c r="Q15" s="4027"/>
      <c r="R15" s="4021"/>
      <c r="S15" s="4021"/>
      <c r="T15" s="820"/>
      <c r="U15" s="4059" t="s">
        <v>3960</v>
      </c>
      <c r="V15" s="4060"/>
      <c r="W15" s="4060"/>
      <c r="X15" s="4060"/>
      <c r="Y15" s="4060"/>
      <c r="Z15" s="4061"/>
      <c r="AA15" s="773"/>
      <c r="AB15" s="763"/>
      <c r="AY15" s="777"/>
      <c r="AZ15" s="777"/>
      <c r="BA15" s="777"/>
    </row>
    <row r="16" spans="1:53" ht="12" customHeight="1" thickBot="1" x14ac:dyDescent="0.25">
      <c r="A16" s="760"/>
      <c r="B16" s="788"/>
      <c r="C16" s="4070"/>
      <c r="D16" s="789" t="s">
        <v>2245</v>
      </c>
      <c r="E16" s="1756">
        <f>HLOOKUP($D$5,'Tablas Sheele'!$G$17:$N$25,'Tablas Sheele'!E25,)</f>
        <v>6</v>
      </c>
      <c r="F16" s="1588"/>
      <c r="G16" s="790">
        <f>E16+'Tablas Sheele'!D25</f>
        <v>6</v>
      </c>
      <c r="H16" s="1757">
        <f>IF(G16&lt;1,0,VLOOKUP(G16,Tablas!$H$98:$I$117,2))</f>
        <v>5</v>
      </c>
      <c r="I16" s="820"/>
      <c r="J16" s="820"/>
      <c r="K16" s="820"/>
      <c r="L16" s="4027" t="s">
        <v>3961</v>
      </c>
      <c r="M16" s="4027"/>
      <c r="N16" s="4066">
        <f>Místicos!L13</f>
        <v>10</v>
      </c>
      <c r="O16" s="4066"/>
      <c r="P16" s="4027" t="s">
        <v>2246</v>
      </c>
      <c r="Q16" s="4027"/>
      <c r="R16" s="4033">
        <f>Turno_SinArmas_final+IF('Tablas Sheele'!F121,50,0)</f>
        <v>6</v>
      </c>
      <c r="S16" s="4033"/>
      <c r="T16" s="820"/>
      <c r="U16" s="4062"/>
      <c r="V16" s="4063"/>
      <c r="W16" s="4063"/>
      <c r="X16" s="4063"/>
      <c r="Y16" s="4063"/>
      <c r="Z16" s="4064"/>
      <c r="AA16" s="773"/>
      <c r="AB16" s="763"/>
      <c r="AY16" s="777"/>
      <c r="AZ16" s="777"/>
      <c r="BA16" s="777"/>
    </row>
    <row r="17" spans="1:53" ht="12" customHeight="1" thickBot="1" x14ac:dyDescent="0.25">
      <c r="A17" s="760"/>
      <c r="B17" s="788"/>
      <c r="C17" s="820"/>
      <c r="D17" s="820"/>
      <c r="E17" s="820"/>
      <c r="F17" s="820"/>
      <c r="G17" s="820"/>
      <c r="H17" s="820"/>
      <c r="I17" s="820"/>
      <c r="J17" s="820"/>
      <c r="K17" s="820"/>
      <c r="L17" s="4065"/>
      <c r="M17" s="4065"/>
      <c r="N17" s="4067"/>
      <c r="O17" s="4028"/>
      <c r="P17" s="4027"/>
      <c r="Q17" s="4027"/>
      <c r="R17" s="4033"/>
      <c r="S17" s="4033"/>
      <c r="T17" s="820"/>
      <c r="U17" s="4034" t="s">
        <v>3962</v>
      </c>
      <c r="V17" s="4035"/>
      <c r="W17" s="4035"/>
      <c r="X17" s="4035"/>
      <c r="Y17" s="4035"/>
      <c r="Z17" s="4036"/>
      <c r="AA17" s="773"/>
      <c r="AB17" s="763"/>
      <c r="AY17" s="777"/>
      <c r="AZ17" s="777"/>
      <c r="BA17" s="777"/>
    </row>
    <row r="18" spans="1:53" ht="12" customHeight="1" x14ac:dyDescent="0.2">
      <c r="A18" s="760"/>
      <c r="B18" s="788"/>
      <c r="C18" s="4040" t="s">
        <v>3963</v>
      </c>
      <c r="D18" s="4041"/>
      <c r="E18" s="4041"/>
      <c r="F18" s="4041"/>
      <c r="G18" s="4041"/>
      <c r="H18" s="4041"/>
      <c r="I18" s="4042"/>
      <c r="J18" s="791">
        <f>IF(F5='Tablas Sheele'!L4,0,$U$4+IF($F$5='Tablas Sheele'!L6,2,0)+COUNTBLANK(C20:C31)+COUNTBLANK(G20:G31)-24+IF(Tablas!F600&gt;0,2,0))</f>
        <v>0</v>
      </c>
      <c r="K18" s="820"/>
      <c r="L18" s="792"/>
      <c r="M18" s="793"/>
      <c r="N18" s="794" t="s">
        <v>3964</v>
      </c>
      <c r="O18" s="795">
        <f>5*'Tablas Sheele'!F105</f>
        <v>0</v>
      </c>
      <c r="P18" s="796"/>
      <c r="Q18" s="796"/>
      <c r="R18" s="797" t="s">
        <v>2278</v>
      </c>
      <c r="S18" s="795">
        <f>VLOOKUP(G11+G9,Tabla_NumAcciones,2)</f>
        <v>3</v>
      </c>
      <c r="T18" s="820"/>
      <c r="U18" s="4037"/>
      <c r="V18" s="4038"/>
      <c r="W18" s="4038"/>
      <c r="X18" s="4038"/>
      <c r="Y18" s="4038"/>
      <c r="Z18" s="4039"/>
      <c r="AA18" s="773"/>
      <c r="AB18" s="763"/>
      <c r="AY18" s="777"/>
      <c r="AZ18" s="777"/>
      <c r="BA18" s="777"/>
    </row>
    <row r="19" spans="1:53" ht="12" customHeight="1" x14ac:dyDescent="0.2">
      <c r="A19" s="760"/>
      <c r="B19" s="788"/>
      <c r="C19" s="4043" t="s">
        <v>3965</v>
      </c>
      <c r="D19" s="4044"/>
      <c r="E19" s="4044"/>
      <c r="F19" s="4044"/>
      <c r="G19" s="4045" t="str">
        <f>"Mejoras de "&amp;D5</f>
        <v>Mejoras de Aire</v>
      </c>
      <c r="H19" s="4046"/>
      <c r="I19" s="4046"/>
      <c r="J19" s="4047"/>
      <c r="K19" s="820"/>
      <c r="L19" s="820"/>
      <c r="M19" s="820"/>
      <c r="N19" s="820"/>
      <c r="O19" s="820"/>
      <c r="P19" s="820"/>
      <c r="Q19" s="820"/>
      <c r="R19" s="820"/>
      <c r="S19" s="735"/>
      <c r="T19" s="820"/>
      <c r="U19" s="820"/>
      <c r="V19" s="820"/>
      <c r="W19" s="820"/>
      <c r="X19" s="820"/>
      <c r="Y19" s="820"/>
      <c r="Z19" s="820"/>
      <c r="AA19" s="773"/>
      <c r="AB19" s="763"/>
      <c r="AC19" s="2096" t="str">
        <f>"Mejoras_"&amp;D5</f>
        <v>Mejoras_Aire</v>
      </c>
    </row>
    <row r="20" spans="1:53" ht="12" customHeight="1" thickBot="1" x14ac:dyDescent="0.25">
      <c r="A20" s="760"/>
      <c r="B20" s="788"/>
      <c r="C20" s="4088"/>
      <c r="D20" s="4089"/>
      <c r="E20" s="4089"/>
      <c r="F20" s="4090"/>
      <c r="G20" s="4091"/>
      <c r="H20" s="4091"/>
      <c r="I20" s="4091"/>
      <c r="J20" s="4092"/>
      <c r="K20" s="1549" t="s">
        <v>3966</v>
      </c>
      <c r="L20" s="820"/>
      <c r="M20" s="820"/>
      <c r="N20" s="820"/>
      <c r="O20" s="820"/>
      <c r="P20" s="820"/>
      <c r="Q20" s="820"/>
      <c r="R20" s="820"/>
      <c r="S20" s="735"/>
      <c r="T20" s="820"/>
      <c r="U20" s="820"/>
      <c r="V20" s="820"/>
      <c r="W20" s="820"/>
      <c r="X20" s="820"/>
      <c r="Y20" s="820"/>
      <c r="Z20" s="820"/>
      <c r="AA20" s="773"/>
      <c r="AB20" s="763"/>
    </row>
    <row r="21" spans="1:53" ht="12" customHeight="1" thickBot="1" x14ac:dyDescent="0.25">
      <c r="A21" s="760"/>
      <c r="B21" s="769"/>
      <c r="C21" s="4088"/>
      <c r="D21" s="4089"/>
      <c r="E21" s="4089"/>
      <c r="F21" s="4090"/>
      <c r="G21" s="4091"/>
      <c r="H21" s="4091"/>
      <c r="I21" s="4091"/>
      <c r="J21" s="4092"/>
      <c r="K21" s="798"/>
      <c r="L21" s="4104" t="s">
        <v>3967</v>
      </c>
      <c r="M21" s="799" t="s">
        <v>2416</v>
      </c>
      <c r="N21" s="800">
        <f>25+5*U4</f>
        <v>30</v>
      </c>
      <c r="O21" s="820"/>
      <c r="P21" s="4107" t="s">
        <v>3968</v>
      </c>
      <c r="Q21" s="4108"/>
      <c r="R21" s="4108"/>
      <c r="S21" s="4109"/>
      <c r="T21" s="820"/>
      <c r="U21" s="4082" t="s">
        <v>2248</v>
      </c>
      <c r="V21" s="4083"/>
      <c r="W21" s="4083"/>
      <c r="X21" s="4083"/>
      <c r="Y21" s="4083"/>
      <c r="Z21" s="4084"/>
      <c r="AA21" s="773"/>
      <c r="AB21" s="763"/>
    </row>
    <row r="22" spans="1:53" ht="12" customHeight="1" x14ac:dyDescent="0.2">
      <c r="A22" s="760"/>
      <c r="B22" s="769"/>
      <c r="C22" s="4088"/>
      <c r="D22" s="4089"/>
      <c r="E22" s="4089"/>
      <c r="F22" s="4090"/>
      <c r="G22" s="4091"/>
      <c r="H22" s="4091"/>
      <c r="I22" s="4091"/>
      <c r="J22" s="4092"/>
      <c r="K22" s="798"/>
      <c r="L22" s="4105"/>
      <c r="M22" s="801" t="s">
        <v>2313</v>
      </c>
      <c r="N22" s="802">
        <f>Principal!J56-Principal!I56+IF('Tablas Sheele'!F$165&gt;0,50,0)</f>
        <v>40</v>
      </c>
      <c r="O22" s="820"/>
      <c r="P22" s="4093" t="s">
        <v>3969</v>
      </c>
      <c r="Q22" s="4094"/>
      <c r="R22" s="4097">
        <f>20+10*ROUNDDOWN(Controlar_final/50,0)+MIN(100,25*'Tablas Sheele'!F108)</f>
        <v>20</v>
      </c>
      <c r="S22" s="4098"/>
      <c r="T22" s="820"/>
      <c r="U22" s="4085"/>
      <c r="V22" s="4086"/>
      <c r="W22" s="4086"/>
      <c r="X22" s="4086"/>
      <c r="Y22" s="4086"/>
      <c r="Z22" s="4087"/>
      <c r="AA22" s="773"/>
      <c r="AB22" s="763"/>
    </row>
    <row r="23" spans="1:53" ht="12" customHeight="1" thickBot="1" x14ac:dyDescent="0.25">
      <c r="A23" s="760"/>
      <c r="B23" s="769"/>
      <c r="C23" s="4088"/>
      <c r="D23" s="4089"/>
      <c r="E23" s="4089"/>
      <c r="F23" s="4090"/>
      <c r="G23" s="4091"/>
      <c r="H23" s="4091"/>
      <c r="I23" s="4091"/>
      <c r="J23" s="4092"/>
      <c r="K23" s="820"/>
      <c r="L23" s="4105"/>
      <c r="M23" s="801" t="s">
        <v>2315</v>
      </c>
      <c r="N23" s="802">
        <f>Principal!J57-Principal!I57+IF('Tablas Sheele'!F$165&gt;0,50,0)</f>
        <v>40</v>
      </c>
      <c r="O23" s="820"/>
      <c r="P23" s="4095"/>
      <c r="Q23" s="4096"/>
      <c r="R23" s="4099"/>
      <c r="S23" s="4100"/>
      <c r="T23" s="820"/>
      <c r="U23" s="4101" t="s">
        <v>9088</v>
      </c>
      <c r="V23" s="4102"/>
      <c r="W23" s="4102"/>
      <c r="X23" s="4103"/>
      <c r="Y23" s="4102"/>
      <c r="Z23" s="803">
        <f>IF(VALUE($U$4)&lt;2,0,5*($U$4-1)-SUM(Y25:Y80))</f>
        <v>0</v>
      </c>
      <c r="AA23" s="773"/>
      <c r="AB23" s="763"/>
    </row>
    <row r="24" spans="1:53" ht="12" customHeight="1" x14ac:dyDescent="0.2">
      <c r="A24" s="760"/>
      <c r="B24" s="769"/>
      <c r="C24" s="4088"/>
      <c r="D24" s="4089"/>
      <c r="E24" s="4089"/>
      <c r="F24" s="4090"/>
      <c r="G24" s="4091"/>
      <c r="H24" s="4091"/>
      <c r="I24" s="4091"/>
      <c r="J24" s="4092"/>
      <c r="K24" s="820"/>
      <c r="L24" s="4105"/>
      <c r="M24" s="801" t="s">
        <v>2317</v>
      </c>
      <c r="N24" s="802">
        <f>Principal!J58-Principal!I58+IF('Tablas Sheele'!F$165&gt;0,50,0)</f>
        <v>40</v>
      </c>
      <c r="O24" s="820"/>
      <c r="P24" s="4110" t="s">
        <v>3970</v>
      </c>
      <c r="Q24" s="4111"/>
      <c r="R24" s="4111"/>
      <c r="S24" s="4112"/>
      <c r="T24" s="820"/>
      <c r="U24" s="804" t="s">
        <v>2252</v>
      </c>
      <c r="V24" s="4120" t="s">
        <v>2228</v>
      </c>
      <c r="W24" s="4121"/>
      <c r="X24" s="1771" t="s">
        <v>2218</v>
      </c>
      <c r="Y24" s="811" t="s">
        <v>3971</v>
      </c>
      <c r="Z24" s="1772" t="s">
        <v>2202</v>
      </c>
      <c r="AA24" s="773" t="s">
        <v>2272</v>
      </c>
      <c r="AB24" s="763"/>
    </row>
    <row r="25" spans="1:53" ht="12" customHeight="1" x14ac:dyDescent="0.2">
      <c r="A25" s="760"/>
      <c r="B25" s="769"/>
      <c r="C25" s="4088"/>
      <c r="D25" s="4089"/>
      <c r="E25" s="4089"/>
      <c r="F25" s="4090"/>
      <c r="G25" s="4091"/>
      <c r="H25" s="4091"/>
      <c r="I25" s="4091"/>
      <c r="J25" s="4092"/>
      <c r="K25" s="820"/>
      <c r="L25" s="4105"/>
      <c r="M25" s="801" t="s">
        <v>2319</v>
      </c>
      <c r="N25" s="802">
        <f>Principal!J59-Principal!I59+IF('Tablas Sheele'!F$165&gt;0,50,0)</f>
        <v>40</v>
      </c>
      <c r="O25" s="820"/>
      <c r="P25" s="4037" t="s">
        <v>3972</v>
      </c>
      <c r="Q25" s="4038"/>
      <c r="R25" s="4038"/>
      <c r="S25" s="4039"/>
      <c r="T25" s="820"/>
      <c r="U25" s="3322" t="s">
        <v>2257</v>
      </c>
      <c r="V25" s="4122" t="s">
        <v>2258</v>
      </c>
      <c r="W25" s="4122"/>
      <c r="X25" s="1737">
        <f>IF(HLOOKUP(Sheele!$D$5,'Tablas Sheele'!$C$29:$K$86,'Tablas Sheele'!B30,FALSE)=0,"",HLOOKUP(Sheele!$D$5,'Tablas Sheele'!$C$29:$K$86,'Tablas Sheele'!B30,FALSE))</f>
        <v>60</v>
      </c>
      <c r="Y25" s="1589"/>
      <c r="Z25" s="1546">
        <f>IF(X25="",-30,X25+IF('Tablas Sheele'!F$119&gt;0,40+20*('Tablas Sheele'!F$119-1),0))+10*Y25</f>
        <v>60</v>
      </c>
      <c r="AA25" s="773"/>
      <c r="AB25" s="763"/>
    </row>
    <row r="26" spans="1:53" ht="12" customHeight="1" thickBot="1" x14ac:dyDescent="0.25">
      <c r="A26" s="760"/>
      <c r="B26" s="769"/>
      <c r="C26" s="4088"/>
      <c r="D26" s="4089"/>
      <c r="E26" s="4089"/>
      <c r="F26" s="4090"/>
      <c r="G26" s="4091"/>
      <c r="H26" s="4091"/>
      <c r="I26" s="4091"/>
      <c r="J26" s="4092"/>
      <c r="K26" s="820"/>
      <c r="L26" s="4106"/>
      <c r="M26" s="805" t="s">
        <v>2321</v>
      </c>
      <c r="N26" s="806">
        <f>Principal!J60-Principal!I60+IF('Tablas Sheele'!F$165&gt;0,50,0)</f>
        <v>40</v>
      </c>
      <c r="O26" s="820"/>
      <c r="P26" s="820"/>
      <c r="Q26" s="820"/>
      <c r="R26" s="820"/>
      <c r="S26" s="735"/>
      <c r="T26" s="820"/>
      <c r="U26" s="3204"/>
      <c r="V26" s="3103" t="s">
        <v>2260</v>
      </c>
      <c r="W26" s="3103"/>
      <c r="X26" s="1737" t="str">
        <f>IF(HLOOKUP(Sheele!$D$5,'Tablas Sheele'!$C$29:$K$86,'Tablas Sheele'!B31,FALSE)=0,"",HLOOKUP(Sheele!$D$5,'Tablas Sheele'!$C$29:$K$86,'Tablas Sheele'!B31,FALSE))</f>
        <v/>
      </c>
      <c r="Y26" s="1589"/>
      <c r="Z26" s="1546">
        <f>IF(X26="",-30,X26+IF('Tablas Sheele'!F$119&gt;0,40+20*('Tablas Sheele'!F$119-1),0))+10*Y26</f>
        <v>-30</v>
      </c>
      <c r="AA26" s="773"/>
      <c r="AB26" s="763"/>
    </row>
    <row r="27" spans="1:53" ht="12" customHeight="1" x14ac:dyDescent="0.2">
      <c r="A27" s="760"/>
      <c r="B27" s="769"/>
      <c r="C27" s="4117"/>
      <c r="D27" s="4118"/>
      <c r="E27" s="4118"/>
      <c r="F27" s="4119"/>
      <c r="G27" s="4091"/>
      <c r="H27" s="4091"/>
      <c r="I27" s="4091"/>
      <c r="J27" s="4092"/>
      <c r="K27" s="820"/>
      <c r="L27" s="820"/>
      <c r="M27" s="820"/>
      <c r="N27" s="820"/>
      <c r="O27" s="820"/>
      <c r="P27" s="4071" t="s">
        <v>2222</v>
      </c>
      <c r="Q27" s="4072"/>
      <c r="R27" s="4072"/>
      <c r="S27" s="4073"/>
      <c r="T27" s="820"/>
      <c r="U27" s="3204"/>
      <c r="V27" s="3103" t="s">
        <v>2263</v>
      </c>
      <c r="W27" s="3103"/>
      <c r="X27" s="1737" t="str">
        <f>IF(HLOOKUP(Sheele!$D$5,'Tablas Sheele'!$C$29:$K$86,'Tablas Sheele'!B32,FALSE)=0,"",HLOOKUP(Sheele!$D$5,'Tablas Sheele'!$C$29:$K$86,'Tablas Sheele'!B32,FALSE))</f>
        <v/>
      </c>
      <c r="Y27" s="1589"/>
      <c r="Z27" s="1546">
        <f>IF(X27="",-30,X27+IF('Tablas Sheele'!F$119&gt;0,40+20*('Tablas Sheele'!F$119-1),0))+10*Y27</f>
        <v>-30</v>
      </c>
      <c r="AA27" s="773"/>
      <c r="AB27" s="763"/>
    </row>
    <row r="28" spans="1:53" ht="12" customHeight="1" x14ac:dyDescent="0.2">
      <c r="A28" s="760"/>
      <c r="B28" s="769"/>
      <c r="C28" s="4117"/>
      <c r="D28" s="4118"/>
      <c r="E28" s="4118"/>
      <c r="F28" s="4119"/>
      <c r="G28" s="4091"/>
      <c r="H28" s="4091"/>
      <c r="I28" s="4091"/>
      <c r="J28" s="4092"/>
      <c r="K28" s="820"/>
      <c r="L28" s="820"/>
      <c r="M28" s="820"/>
      <c r="N28" s="820"/>
      <c r="O28" s="820"/>
      <c r="P28" s="4114"/>
      <c r="Q28" s="4115"/>
      <c r="R28" s="4115"/>
      <c r="S28" s="4116"/>
      <c r="T28" s="820"/>
      <c r="U28" s="3204"/>
      <c r="V28" s="3103" t="s">
        <v>2267</v>
      </c>
      <c r="W28" s="3103"/>
      <c r="X28" s="1737" t="str">
        <f>IF(HLOOKUP(Sheele!$D$5,'Tablas Sheele'!$C$29:$K$86,'Tablas Sheele'!B33,FALSE)=0,"",HLOOKUP(Sheele!$D$5,'Tablas Sheele'!$C$29:$K$86,'Tablas Sheele'!B33,FALSE))</f>
        <v/>
      </c>
      <c r="Y28" s="1589"/>
      <c r="Z28" s="1546">
        <f>IF(X28="",-30,X28+IF('Tablas Sheele'!F$119&gt;0,40+20*('Tablas Sheele'!F$119-1),0))+10*Y28</f>
        <v>-30</v>
      </c>
      <c r="AA28" s="773"/>
      <c r="AB28" s="763"/>
    </row>
    <row r="29" spans="1:53" ht="12" customHeight="1" thickBot="1" x14ac:dyDescent="0.25">
      <c r="A29" s="760"/>
      <c r="B29" s="769"/>
      <c r="C29" s="4117"/>
      <c r="D29" s="4123"/>
      <c r="E29" s="4123"/>
      <c r="F29" s="4124"/>
      <c r="G29" s="4125"/>
      <c r="H29" s="4091"/>
      <c r="I29" s="4091"/>
      <c r="J29" s="4092"/>
      <c r="K29" s="820"/>
      <c r="L29" s="820"/>
      <c r="M29" s="820"/>
      <c r="N29" s="820"/>
      <c r="O29" s="820"/>
      <c r="P29" s="4126">
        <f>IF('Tablas Sheele'!F107&gt;0, N21*4, N21*2)+IF('Tablas Sheele'!F149&gt;0,250,0)</f>
        <v>60</v>
      </c>
      <c r="Q29" s="4127"/>
      <c r="R29" s="4132"/>
      <c r="S29" s="4133"/>
      <c r="T29" s="820"/>
      <c r="U29" s="3204"/>
      <c r="V29" s="3103" t="s">
        <v>2270</v>
      </c>
      <c r="W29" s="3103"/>
      <c r="X29" s="1737" t="str">
        <f>IF(HLOOKUP(Sheele!$D$5,'Tablas Sheele'!$C$29:$K$86,'Tablas Sheele'!B34,FALSE)=0,"",HLOOKUP(Sheele!$D$5,'Tablas Sheele'!$C$29:$K$86,'Tablas Sheele'!B34,FALSE))</f>
        <v/>
      </c>
      <c r="Y29" s="1589"/>
      <c r="Z29" s="1546">
        <f>IF(X29="",-30,X29+IF('Tablas Sheele'!F$119&gt;0,40+20*('Tablas Sheele'!F$119-1),0))+10*Y29</f>
        <v>-30</v>
      </c>
      <c r="AA29" s="773"/>
      <c r="AB29" s="763"/>
    </row>
    <row r="30" spans="1:53" ht="12" customHeight="1" x14ac:dyDescent="0.2">
      <c r="A30" s="760"/>
      <c r="B30" s="769"/>
      <c r="C30" s="4117"/>
      <c r="D30" s="4123"/>
      <c r="E30" s="4123"/>
      <c r="F30" s="4124"/>
      <c r="G30" s="4125"/>
      <c r="H30" s="4091"/>
      <c r="I30" s="4091"/>
      <c r="J30" s="4092"/>
      <c r="K30" s="820"/>
      <c r="L30" s="4138" t="s">
        <v>2240</v>
      </c>
      <c r="M30" s="4139"/>
      <c r="N30" s="4140"/>
      <c r="O30" s="820"/>
      <c r="P30" s="4128"/>
      <c r="Q30" s="4129"/>
      <c r="R30" s="4134"/>
      <c r="S30" s="4135"/>
      <c r="T30" s="820"/>
      <c r="U30" s="3204"/>
      <c r="V30" s="3103" t="s">
        <v>2273</v>
      </c>
      <c r="W30" s="3103"/>
      <c r="X30" s="1737" t="str">
        <f>IF(HLOOKUP(Sheele!$D$5,'Tablas Sheele'!$C$29:$K$86,'Tablas Sheele'!B35,FALSE)=0,"",HLOOKUP(Sheele!$D$5,'Tablas Sheele'!$C$29:$K$86,'Tablas Sheele'!B35,FALSE))</f>
        <v/>
      </c>
      <c r="Y30" s="1589"/>
      <c r="Z30" s="1546">
        <f>IF(X30="",-30,X30+IF('Tablas Sheele'!F$119&gt;0,40+20*('Tablas Sheele'!F$119-1),0))+10*Y30</f>
        <v>-30</v>
      </c>
      <c r="AA30" s="773"/>
      <c r="AB30" s="763"/>
    </row>
    <row r="31" spans="1:53" ht="12" customHeight="1" x14ac:dyDescent="0.2">
      <c r="A31" s="760"/>
      <c r="B31" s="769"/>
      <c r="C31" s="4117"/>
      <c r="D31" s="4123"/>
      <c r="E31" s="4123"/>
      <c r="F31" s="4124"/>
      <c r="G31" s="1751"/>
      <c r="H31" s="1751"/>
      <c r="I31" s="1751"/>
      <c r="J31" s="1752"/>
      <c r="K31" s="820"/>
      <c r="L31" s="4145">
        <f>G9</f>
        <v>8</v>
      </c>
      <c r="M31" s="4153" t="s">
        <v>2443</v>
      </c>
      <c r="N31" s="4154"/>
      <c r="O31" s="820"/>
      <c r="P31" s="4128"/>
      <c r="Q31" s="4129"/>
      <c r="R31" s="4134"/>
      <c r="S31" s="4135"/>
      <c r="T31" s="820"/>
      <c r="U31" s="3205"/>
      <c r="V31" s="4113" t="s">
        <v>8782</v>
      </c>
      <c r="W31" s="3106"/>
      <c r="X31" s="689" t="str">
        <f>IF(HLOOKUP(Sheele!$D$5,'Tablas Sheele'!$C$29:$K$86,'Tablas Sheele'!B36,FALSE)=0,"",HLOOKUP(Sheele!$D$5,'Tablas Sheele'!$C$29:$K$86,'Tablas Sheele'!B36,FALSE))</f>
        <v/>
      </c>
      <c r="Y31" s="1590"/>
      <c r="Z31" s="1547">
        <f>IF(X31="",-30,X31+IF('Tablas Sheele'!F$119&gt;0,40+20*('Tablas Sheele'!F$119-1),0))+10*Y31</f>
        <v>-30</v>
      </c>
      <c r="AA31" s="810"/>
      <c r="AB31" s="763"/>
    </row>
    <row r="32" spans="1:53" ht="12" customHeight="1" thickBot="1" x14ac:dyDescent="0.25">
      <c r="A32" s="760"/>
      <c r="B32" s="769"/>
      <c r="C32" s="4155" t="s">
        <v>3973</v>
      </c>
      <c r="D32" s="4156"/>
      <c r="E32" s="4156"/>
      <c r="F32" s="4156"/>
      <c r="G32" s="4156"/>
      <c r="H32" s="4156"/>
      <c r="I32" s="4156"/>
      <c r="J32" s="807">
        <f>COUNTBLANK(E33:E36)+COUNTBLANK(G33:G36)+COUNTBLANK(I33:I36)+COUNTBLANK(C33:C36)-16+'Tablas Sheele'!F109</f>
        <v>0</v>
      </c>
      <c r="K32" s="820"/>
      <c r="L32" s="4145"/>
      <c r="M32" s="4153" t="str">
        <f>IF(L31&lt;1,"",VLOOKUP(L31,Tablas!$B$163:$C$183,2,FALSE))</f>
        <v>28 m / asalto</v>
      </c>
      <c r="N32" s="4154"/>
      <c r="O32" s="820"/>
      <c r="P32" s="4130"/>
      <c r="Q32" s="4131"/>
      <c r="R32" s="4136"/>
      <c r="S32" s="4137"/>
      <c r="T32" s="820"/>
      <c r="U32" s="3204" t="s">
        <v>2276</v>
      </c>
      <c r="V32" s="3103" t="s">
        <v>2277</v>
      </c>
      <c r="W32" s="3103"/>
      <c r="X32" s="1737" t="str">
        <f>IF(HLOOKUP(Sheele!$D$5,'Tablas Sheele'!$C$29:$K$86,'Tablas Sheele'!B37,FALSE)=0,"",HLOOKUP(Sheele!$D$5,'Tablas Sheele'!$C$29:$K$86,'Tablas Sheele'!B37,FALSE))</f>
        <v/>
      </c>
      <c r="Y32" s="1589"/>
      <c r="Z32" s="1546">
        <f>IF(X32="",-30,X32+IF('Tablas Sheele'!F$119&gt;0,40+20*('Tablas Sheele'!F$119-1),0))+10*Y32</f>
        <v>-30</v>
      </c>
      <c r="AA32" s="773"/>
      <c r="AB32" s="763"/>
    </row>
    <row r="33" spans="1:28" ht="12" customHeight="1" thickBot="1" x14ac:dyDescent="0.25">
      <c r="A33" s="760"/>
      <c r="B33" s="769"/>
      <c r="C33" s="4157"/>
      <c r="D33" s="4158"/>
      <c r="E33" s="4159"/>
      <c r="F33" s="4158"/>
      <c r="G33" s="4159"/>
      <c r="H33" s="4158"/>
      <c r="I33" s="4159"/>
      <c r="J33" s="4160"/>
      <c r="K33" s="820"/>
      <c r="L33" s="4141">
        <f>IF('Tablas Sheele'!F117&gt;0,14,VLOOKUP(D40,'Tablas Sheele'!C204:M243,10,FALSE))</f>
        <v>10</v>
      </c>
      <c r="M33" s="4143" t="s">
        <v>2496</v>
      </c>
      <c r="N33" s="4144"/>
      <c r="O33" s="820"/>
      <c r="P33" s="820"/>
      <c r="Q33" s="820"/>
      <c r="R33" s="820"/>
      <c r="S33" s="735"/>
      <c r="T33" s="820"/>
      <c r="U33" s="3204"/>
      <c r="V33" s="3103" t="s">
        <v>2279</v>
      </c>
      <c r="W33" s="3103"/>
      <c r="X33" s="1737" t="str">
        <f>IF(HLOOKUP(Sheele!$D$5,'Tablas Sheele'!$C$29:$K$86,'Tablas Sheele'!B38,FALSE)=0,"",HLOOKUP(Sheele!$D$5,'Tablas Sheele'!$C$29:$K$86,'Tablas Sheele'!B38,FALSE))</f>
        <v/>
      </c>
      <c r="Y33" s="1589"/>
      <c r="Z33" s="1546">
        <f>IF(X33="",-30,X33+IF('Tablas Sheele'!F$119&gt;0,40+20*('Tablas Sheele'!F$119-1),0))+10*Y33</f>
        <v>-30</v>
      </c>
      <c r="AA33" s="773"/>
      <c r="AB33" s="763"/>
    </row>
    <row r="34" spans="1:28" ht="12" customHeight="1" thickBot="1" x14ac:dyDescent="0.25">
      <c r="A34" s="760"/>
      <c r="B34" s="808"/>
      <c r="C34" s="4117"/>
      <c r="D34" s="4124"/>
      <c r="E34" s="4146"/>
      <c r="F34" s="4124"/>
      <c r="G34" s="4146"/>
      <c r="H34" s="4124"/>
      <c r="I34" s="4146"/>
      <c r="J34" s="4147"/>
      <c r="K34" s="820"/>
      <c r="L34" s="4142"/>
      <c r="M34" s="4148" t="str">
        <f>IF(L33&lt;1,"",VLOOKUP(L33,Tablas!$B$163:$C$183,2,FALSE))</f>
        <v>35 m / asalto</v>
      </c>
      <c r="N34" s="4149"/>
      <c r="O34" s="820"/>
      <c r="P34" s="4150" t="s">
        <v>2221</v>
      </c>
      <c r="Q34" s="4151"/>
      <c r="R34" s="4151"/>
      <c r="S34" s="4152"/>
      <c r="T34" s="820"/>
      <c r="U34" s="3204"/>
      <c r="V34" s="3103" t="s">
        <v>2282</v>
      </c>
      <c r="W34" s="3103"/>
      <c r="X34" s="1737" t="str">
        <f>IF(HLOOKUP(Sheele!$D$5,'Tablas Sheele'!$C$29:$K$86,'Tablas Sheele'!B39,FALSE)=0,"",HLOOKUP(Sheele!$D$5,'Tablas Sheele'!$C$29:$K$86,'Tablas Sheele'!B39,FALSE))</f>
        <v/>
      </c>
      <c r="Y34" s="1589"/>
      <c r="Z34" s="1546">
        <f>IF(X34="",-30,X34+IF('Tablas Sheele'!F$119&gt;0,40+20*('Tablas Sheele'!F$119-1),0))+10*Y34</f>
        <v>-30</v>
      </c>
      <c r="AA34" s="773"/>
      <c r="AB34" s="763"/>
    </row>
    <row r="35" spans="1:28" ht="12" customHeight="1" x14ac:dyDescent="0.2">
      <c r="A35" s="760"/>
      <c r="B35" s="808"/>
      <c r="C35" s="4117"/>
      <c r="D35" s="4124"/>
      <c r="E35" s="4146"/>
      <c r="F35" s="4124"/>
      <c r="G35" s="4146"/>
      <c r="H35" s="4124"/>
      <c r="I35" s="4146"/>
      <c r="J35" s="4147"/>
      <c r="K35" s="820"/>
      <c r="L35" s="4145" t="str">
        <f>IF('Tablas Sheele'!F128&gt;0,15,IF(D5='Tablas Sheele'!C6,10,IF('Tablas Sheele'!F153&gt;0,L31,"-")))</f>
        <v>-</v>
      </c>
      <c r="M35" s="4153" t="str">
        <f>IF(D5='Tablas Sheele'!C6,"Acuático",IF('Tablas Sheele'!F153&gt;0,"Subterráneo","Otros"))</f>
        <v>Otros</v>
      </c>
      <c r="N35" s="4154"/>
      <c r="O35" s="820"/>
      <c r="P35" s="4161">
        <f>VLOOKUP(G10,Tablas!G139:K167,2)</f>
        <v>0</v>
      </c>
      <c r="Q35" s="4163" t="str">
        <f>IF(D5='Tablas Sheele'!C11,"5 PV / asalto",IF('Tablas Sheele'!F132&gt;0,"10 PV / asalto",VLOOKUP(P35,Tablas!H140:K167,2)))</f>
        <v>Ninguna</v>
      </c>
      <c r="R35" s="4164"/>
      <c r="S35" s="4165"/>
      <c r="T35" s="820"/>
      <c r="U35" s="3204"/>
      <c r="V35" s="3103" t="s">
        <v>2284</v>
      </c>
      <c r="W35" s="3103"/>
      <c r="X35" s="1737" t="str">
        <f>IF(HLOOKUP(Sheele!$D$5,'Tablas Sheele'!$C$29:$K$86,'Tablas Sheele'!B40,FALSE)=0,"",HLOOKUP(Sheele!$D$5,'Tablas Sheele'!$C$29:$K$86,'Tablas Sheele'!B40,FALSE))</f>
        <v/>
      </c>
      <c r="Y35" s="1589"/>
      <c r="Z35" s="1546">
        <f>IF(X35="",-30,X35+IF('Tablas Sheele'!F$119&gt;0,40+20*('Tablas Sheele'!F$119-1),0))+10*Y35</f>
        <v>-30</v>
      </c>
      <c r="AA35" s="773"/>
      <c r="AB35" s="763"/>
    </row>
    <row r="36" spans="1:28" ht="12" customHeight="1" thickBot="1" x14ac:dyDescent="0.25">
      <c r="A36" s="760"/>
      <c r="B36" s="808"/>
      <c r="C36" s="4166"/>
      <c r="D36" s="4167"/>
      <c r="E36" s="4168"/>
      <c r="F36" s="4167"/>
      <c r="G36" s="4168"/>
      <c r="H36" s="4167"/>
      <c r="I36" s="4168"/>
      <c r="J36" s="4169"/>
      <c r="K36" s="820"/>
      <c r="L36" s="4175"/>
      <c r="M36" s="4170" t="str">
        <f>IF(L35="-","-",VLOOKUP(L35,Tablas!$B$163:$C$183,2,FALSE))</f>
        <v>-</v>
      </c>
      <c r="N36" s="4171"/>
      <c r="O36" s="820"/>
      <c r="P36" s="4162"/>
      <c r="Q36" s="4172" t="str">
        <f>VLOOKUP(P35,Tablas!H140:K167,4)</f>
        <v>Ninguna</v>
      </c>
      <c r="R36" s="4173"/>
      <c r="S36" s="4174"/>
      <c r="T36" s="820"/>
      <c r="U36" s="3204"/>
      <c r="V36" s="3103" t="s">
        <v>1282</v>
      </c>
      <c r="W36" s="3103"/>
      <c r="X36" s="1737" t="str">
        <f>IF(HLOOKUP(Sheele!$D$5,'Tablas Sheele'!$C$29:$K$86,'Tablas Sheele'!B41,FALSE)=0,"",HLOOKUP(Sheele!$D$5,'Tablas Sheele'!$C$29:$K$86,'Tablas Sheele'!B41,FALSE))</f>
        <v/>
      </c>
      <c r="Y36" s="1589"/>
      <c r="Z36" s="1546">
        <f>IF(X36="",-30,X36+IF('Tablas Sheele'!F$119&gt;0,40+20*('Tablas Sheele'!F$119-1),0))+10*Y36</f>
        <v>-30</v>
      </c>
      <c r="AA36" s="810"/>
      <c r="AB36" s="763"/>
    </row>
    <row r="37" spans="1:28" ht="12" customHeight="1" thickBot="1" x14ac:dyDescent="0.25">
      <c r="A37" s="760"/>
      <c r="B37" s="808"/>
      <c r="C37" s="820"/>
      <c r="D37" s="820"/>
      <c r="E37" s="820"/>
      <c r="F37" s="820"/>
      <c r="G37" s="820"/>
      <c r="H37" s="820"/>
      <c r="I37" s="820"/>
      <c r="J37" s="820"/>
      <c r="K37" s="820"/>
      <c r="L37" s="820"/>
      <c r="M37" s="820"/>
      <c r="N37" s="820"/>
      <c r="O37" s="820"/>
      <c r="P37" s="820"/>
      <c r="Q37" s="820"/>
      <c r="R37" s="820"/>
      <c r="S37" s="820"/>
      <c r="T37" s="820"/>
      <c r="U37" s="3204"/>
      <c r="V37" s="3103" t="s">
        <v>1283</v>
      </c>
      <c r="W37" s="3103"/>
      <c r="X37" s="1737" t="str">
        <f>IF(HLOOKUP(Sheele!$D$5,'Tablas Sheele'!$C$29:$K$86,'Tablas Sheele'!B42,FALSE)=0,"",HLOOKUP(Sheele!$D$5,'Tablas Sheele'!$C$29:$K$86,'Tablas Sheele'!B42,FALSE))</f>
        <v/>
      </c>
      <c r="Y37" s="1589"/>
      <c r="Z37" s="1546">
        <f>IF(X37="",-30,X37+IF('Tablas Sheele'!F$119&gt;0,40+20*('Tablas Sheele'!F$119-1),0))+10*Y37</f>
        <v>-30</v>
      </c>
      <c r="AA37" s="810"/>
      <c r="AB37" s="763"/>
    </row>
    <row r="38" spans="1:28" ht="12" customHeight="1" x14ac:dyDescent="0.2">
      <c r="A38" s="760"/>
      <c r="B38" s="808"/>
      <c r="C38" s="4082" t="s">
        <v>3975</v>
      </c>
      <c r="D38" s="4083"/>
      <c r="E38" s="4083"/>
      <c r="F38" s="4083"/>
      <c r="G38" s="4083"/>
      <c r="H38" s="4083"/>
      <c r="I38" s="4083"/>
      <c r="J38" s="4083"/>
      <c r="K38" s="4083"/>
      <c r="L38" s="4083"/>
      <c r="M38" s="4083"/>
      <c r="N38" s="4083"/>
      <c r="O38" s="4083"/>
      <c r="P38" s="4083"/>
      <c r="Q38" s="4083"/>
      <c r="R38" s="4083"/>
      <c r="S38" s="4084"/>
      <c r="T38" s="820"/>
      <c r="U38" s="3204"/>
      <c r="V38" s="4113" t="s">
        <v>1284</v>
      </c>
      <c r="W38" s="3106"/>
      <c r="X38" s="689" t="str">
        <f>IF(HLOOKUP(Sheele!$D$5,'Tablas Sheele'!$C$29:$K$86,'Tablas Sheele'!B43,FALSE)=0,"",HLOOKUP(Sheele!$D$5,'Tablas Sheele'!$C$29:$K$86,'Tablas Sheele'!B43,FALSE))</f>
        <v/>
      </c>
      <c r="Y38" s="1590"/>
      <c r="Z38" s="1547">
        <f>IF(X38="",-30,X38+IF('Tablas Sheele'!F$119&gt;0,40+20*('Tablas Sheele'!F$119-1),0))+10*Y38</f>
        <v>-30</v>
      </c>
      <c r="AA38" s="810"/>
      <c r="AB38" s="763"/>
    </row>
    <row r="39" spans="1:28" ht="12" customHeight="1" x14ac:dyDescent="0.2">
      <c r="A39" s="760"/>
      <c r="B39" s="808"/>
      <c r="C39" s="4179" t="s">
        <v>3976</v>
      </c>
      <c r="D39" s="4180"/>
      <c r="E39" s="811" t="s">
        <v>3787</v>
      </c>
      <c r="F39" s="1753" t="s">
        <v>3977</v>
      </c>
      <c r="G39" s="811" t="s">
        <v>2432</v>
      </c>
      <c r="H39" s="4120" t="s">
        <v>2407</v>
      </c>
      <c r="I39" s="4181"/>
      <c r="J39" s="4181"/>
      <c r="K39" s="4181"/>
      <c r="L39" s="4181"/>
      <c r="M39" s="4181"/>
      <c r="N39" s="4181"/>
      <c r="O39" s="4181"/>
      <c r="P39" s="4181"/>
      <c r="Q39" s="4181"/>
      <c r="R39" s="4181"/>
      <c r="S39" s="4182"/>
      <c r="T39" s="820"/>
      <c r="U39" s="3322" t="s">
        <v>2285</v>
      </c>
      <c r="V39" s="3103" t="s">
        <v>2286</v>
      </c>
      <c r="W39" s="3103"/>
      <c r="X39" s="1737">
        <f>IF(HLOOKUP(Sheele!$D$5,'Tablas Sheele'!$C$29:$K$86,'Tablas Sheele'!B44,FALSE)=0,"",HLOOKUP(Sheele!$D$5,'Tablas Sheele'!$C$29:$K$86,'Tablas Sheele'!B44,FALSE))</f>
        <v>30</v>
      </c>
      <c r="Y39" s="1589"/>
      <c r="Z39" s="1546">
        <f>IF(X39="",-30,X39+IF('Tablas Sheele'!F$119&gt;0,40+20*('Tablas Sheele'!F$119-1),0))+10*Y39</f>
        <v>30</v>
      </c>
      <c r="AA39" s="773" t="s">
        <v>3974</v>
      </c>
      <c r="AB39" s="763"/>
    </row>
    <row r="40" spans="1:28" ht="12" customHeight="1" x14ac:dyDescent="0.2">
      <c r="A40" s="760"/>
      <c r="B40" s="808"/>
      <c r="C40" s="812"/>
      <c r="D40" s="1529" t="str">
        <f>VLOOKUP($D$5,'Tablas Sheele'!$C$204:$J$243,ROW()-37,FALSE)</f>
        <v>Vuelo Místico 10</v>
      </c>
      <c r="E40" s="1758" t="str">
        <f>IF($D40=" ","","-")</f>
        <v>-</v>
      </c>
      <c r="F40" s="1758" t="str">
        <f>IF($D40=" ","","-")</f>
        <v>-</v>
      </c>
      <c r="G40" s="813" t="str">
        <f>IF($D40=" ","","-")</f>
        <v>-</v>
      </c>
      <c r="H40" s="4183" t="str">
        <f>IF(D40=" ","",VLOOKUP(D40,'Tablas Sheele'!$C$204:$J$243,3,FALSE))</f>
        <v>Puede volar con Tipo de Movimiento 10</v>
      </c>
      <c r="I40" s="4184"/>
      <c r="J40" s="4184"/>
      <c r="K40" s="4184"/>
      <c r="L40" s="4184"/>
      <c r="M40" s="4184"/>
      <c r="N40" s="4184"/>
      <c r="O40" s="4184"/>
      <c r="P40" s="4184"/>
      <c r="Q40" s="4184"/>
      <c r="R40" s="4184"/>
      <c r="S40" s="4185"/>
      <c r="T40" s="820"/>
      <c r="U40" s="3204"/>
      <c r="V40" s="3103" t="s">
        <v>2287</v>
      </c>
      <c r="W40" s="3103"/>
      <c r="X40" s="1737">
        <f>IF(HLOOKUP(Sheele!$D$5,'Tablas Sheele'!$C$29:$K$86,'Tablas Sheele'!B45,FALSE)=0,"",HLOOKUP(Sheele!$D$5,'Tablas Sheele'!$C$29:$K$86,'Tablas Sheele'!B45,FALSE))</f>
        <v>10</v>
      </c>
      <c r="Y40" s="1589"/>
      <c r="Z40" s="1546">
        <f>IF(X40="",-30,X40+IF('Tablas Sheele'!F$119&gt;0,40+20*('Tablas Sheele'!F$119-1),0))+10*Y40+IF('Tablas Sheele'!F161&gt;0,100,0)</f>
        <v>10</v>
      </c>
      <c r="AA40" s="773" t="s">
        <v>3974</v>
      </c>
      <c r="AB40" s="763"/>
    </row>
    <row r="41" spans="1:28" ht="12" customHeight="1" x14ac:dyDescent="0.2">
      <c r="A41" s="760"/>
      <c r="B41" s="808"/>
      <c r="C41" s="814"/>
      <c r="D41" s="1530" t="str">
        <f>VLOOKUP($D$5,'Tablas Sheele'!$C$204:$J$243,ROW()-37,FALSE)</f>
        <v>Movimiento Defensivo</v>
      </c>
      <c r="E41" s="1531" t="str">
        <f>IF($D41=" ","","-")</f>
        <v>-</v>
      </c>
      <c r="F41" s="1531" t="str">
        <f>IF($D41=" ","",IF(D41='Tablas Sheele'!C216,Sheele!N10,"-"))</f>
        <v>-</v>
      </c>
      <c r="G41" s="815" t="str">
        <f>IF($D41=" ","","-")</f>
        <v>-</v>
      </c>
      <c r="H41" s="4199" t="str">
        <f>IF(D41=" ","",VLOOKUP(D41,'Tablas Sheele'!$C$204:$J$243,3,FALSE))</f>
        <v>Usa su Proyección Mágica como Esquiva.</v>
      </c>
      <c r="I41" s="4200"/>
      <c r="J41" s="4200"/>
      <c r="K41" s="4200"/>
      <c r="L41" s="4200"/>
      <c r="M41" s="4200"/>
      <c r="N41" s="4200"/>
      <c r="O41" s="4200"/>
      <c r="P41" s="4200"/>
      <c r="Q41" s="4200"/>
      <c r="R41" s="4200"/>
      <c r="S41" s="4201"/>
      <c r="T41" s="820"/>
      <c r="U41" s="3205"/>
      <c r="V41" s="4113" t="s">
        <v>2288</v>
      </c>
      <c r="W41" s="3106"/>
      <c r="X41" s="689" t="str">
        <f>IF(HLOOKUP(Sheele!$D$5,'Tablas Sheele'!$C$29:$K$86,'Tablas Sheele'!B46,FALSE)=0,"",HLOOKUP(Sheele!$D$5,'Tablas Sheele'!$C$29:$K$86,'Tablas Sheele'!B46,FALSE))</f>
        <v/>
      </c>
      <c r="Y41" s="1590"/>
      <c r="Z41" s="1547">
        <f>IF(X41="",-30,X41+IF('Tablas Sheele'!F$119&gt;0,40+20*('Tablas Sheele'!F$119-1),0))+10*Y41</f>
        <v>-30</v>
      </c>
      <c r="AA41" s="810"/>
      <c r="AB41" s="763"/>
    </row>
    <row r="42" spans="1:28" ht="12" customHeight="1" x14ac:dyDescent="0.2">
      <c r="A42" s="760"/>
      <c r="B42" s="808"/>
      <c r="C42" s="814"/>
      <c r="D42" s="1530" t="str">
        <f>VLOOKUP($D$5,'Tablas Sheele'!$C$204:$J$243,ROW()-37,FALSE)</f>
        <v xml:space="preserve"> </v>
      </c>
      <c r="E42" s="1531" t="str">
        <f>IF($D42=" ","","-")</f>
        <v/>
      </c>
      <c r="F42" s="1531" t="str">
        <f>IF($D42=" ","","-")</f>
        <v/>
      </c>
      <c r="G42" s="815" t="str">
        <f>IF($D42=" ","","-")</f>
        <v/>
      </c>
      <c r="H42" s="4199" t="str">
        <f>IF(D42=" ","",VLOOKUP(D42,'Tablas Sheele'!$C$204:$J$243,3,FALSE))</f>
        <v/>
      </c>
      <c r="I42" s="4200"/>
      <c r="J42" s="4200"/>
      <c r="K42" s="4200"/>
      <c r="L42" s="4200"/>
      <c r="M42" s="4200"/>
      <c r="N42" s="4200"/>
      <c r="O42" s="4200"/>
      <c r="P42" s="4200"/>
      <c r="Q42" s="4200"/>
      <c r="R42" s="4200"/>
      <c r="S42" s="4201"/>
      <c r="T42" s="820"/>
      <c r="U42" s="3204" t="s">
        <v>2289</v>
      </c>
      <c r="V42" s="3103" t="s">
        <v>2290</v>
      </c>
      <c r="W42" s="3103"/>
      <c r="X42" s="1737" t="str">
        <f>IF(HLOOKUP(Sheele!$D$5,'Tablas Sheele'!$C$29:$K$86,'Tablas Sheele'!B47,FALSE)=0,"",HLOOKUP(Sheele!$D$5,'Tablas Sheele'!$C$29:$K$86,'Tablas Sheele'!B47,FALSE))</f>
        <v/>
      </c>
      <c r="Y42" s="1589"/>
      <c r="Z42" s="1546">
        <f>IF(X42="",-30,X42+IF('Tablas Sheele'!F$119&gt;0,40+20*('Tablas Sheele'!F$119-1),0))+10*Y42</f>
        <v>-30</v>
      </c>
      <c r="AA42" s="810"/>
      <c r="AB42" s="763"/>
    </row>
    <row r="43" spans="1:28" ht="12" customHeight="1" x14ac:dyDescent="0.2">
      <c r="A43" s="760"/>
      <c r="B43" s="769"/>
      <c r="C43" s="1533"/>
      <c r="D43" s="1532" t="str">
        <f>VLOOKUP($D$5,'Tablas Sheele'!$C$204:$J$243,ROW()-37,FALSE)</f>
        <v xml:space="preserve"> </v>
      </c>
      <c r="E43" s="816" t="str">
        <f>IF($D43=" ","","-")</f>
        <v/>
      </c>
      <c r="F43" s="816" t="str">
        <f>IF($D43=" ","","-")</f>
        <v/>
      </c>
      <c r="G43" s="817" t="str">
        <f>IF($D43=" ","","-")</f>
        <v/>
      </c>
      <c r="H43" s="4176" t="str">
        <f>IF(D43=" ","",VLOOKUP(D43,'Tablas Sheele'!$C$204:$J$243,3,FALSE))</f>
        <v/>
      </c>
      <c r="I43" s="4177"/>
      <c r="J43" s="4177"/>
      <c r="K43" s="4177"/>
      <c r="L43" s="4177"/>
      <c r="M43" s="4177"/>
      <c r="N43" s="4177"/>
      <c r="O43" s="4177"/>
      <c r="P43" s="4177"/>
      <c r="Q43" s="4177"/>
      <c r="R43" s="4177"/>
      <c r="S43" s="4178"/>
      <c r="T43" s="820"/>
      <c r="U43" s="3204"/>
      <c r="V43" s="3103" t="str">
        <f>IF($D$5='Tablas Sheele'!$C$8,"Ciencia (geología)","Ciencia")</f>
        <v>Ciencia</v>
      </c>
      <c r="W43" s="3103"/>
      <c r="X43" s="1737" t="str">
        <f>IF(HLOOKUP(Sheele!$D$5,'Tablas Sheele'!$C$29:$K$86,'Tablas Sheele'!B48,FALSE)=0,"",HLOOKUP(Sheele!$D$5,'Tablas Sheele'!$C$29:$K$86,'Tablas Sheele'!B48,FALSE))</f>
        <v/>
      </c>
      <c r="Y43" s="1589"/>
      <c r="Z43" s="1546" t="str">
        <f>IF(Principal!Q40="-","-",MIN(Principal!Q39,IF(X43="",-30,X43+IF('Tablas Sheele'!F$119&gt;0,40+20*('Tablas Sheele'!F$119-1),0))+10*Y43))</f>
        <v>-</v>
      </c>
      <c r="AA43" s="773" t="s">
        <v>8733</v>
      </c>
      <c r="AB43" s="763"/>
    </row>
    <row r="44" spans="1:28" ht="12" customHeight="1" x14ac:dyDescent="0.2">
      <c r="A44" s="760"/>
      <c r="B44" s="769"/>
      <c r="C44" s="4186" t="str">
        <f>IF(COUNTA($C$43:C43)&lt;'Tablas Sheele'!$H$199,VLOOKUP('Tablas Sheele'!A1,'Tablas Sheele'!$B$111:$R$198,2,FALSE),"")</f>
        <v/>
      </c>
      <c r="D44" s="4187"/>
      <c r="E44" s="1758" t="str">
        <f>IF($C44="","",VLOOKUP('Tablas Sheele'!$A1,'Tablas Sheele'!$B$111:$R198,8,FALSE))</f>
        <v/>
      </c>
      <c r="F44" s="1758" t="str">
        <f>IF($C44="","",VLOOKUP('Tablas Sheele'!$A1,'Tablas Sheele'!$B$111:$R198,9,FALSE))</f>
        <v/>
      </c>
      <c r="G44" s="813" t="str">
        <f>IF($C44="","",VLOOKUP('Tablas Sheele'!$A1,'Tablas Sheele'!$B$111:$R198,10,FALSE))</f>
        <v/>
      </c>
      <c r="H44" s="4191" t="str">
        <f>IF($C44="","",VLOOKUP('Tablas Sheele'!$A1,'Tablas Sheele'!$B$111:$R198,11,FALSE))</f>
        <v/>
      </c>
      <c r="I44" s="4192"/>
      <c r="J44" s="4192"/>
      <c r="K44" s="4192"/>
      <c r="L44" s="4192"/>
      <c r="M44" s="4192"/>
      <c r="N44" s="4192"/>
      <c r="O44" s="4192"/>
      <c r="P44" s="4192"/>
      <c r="Q44" s="4192"/>
      <c r="R44" s="4192"/>
      <c r="S44" s="4193"/>
      <c r="T44" s="820"/>
      <c r="U44" s="3204"/>
      <c r="V44" s="3103" t="s">
        <v>3679</v>
      </c>
      <c r="W44" s="3103"/>
      <c r="X44" s="1737" t="str">
        <f>IF(HLOOKUP(Sheele!$D$5,'Tablas Sheele'!$C$29:$K$86,'Tablas Sheele'!B49,FALSE)=0,"",HLOOKUP(Sheele!$D$5,'Tablas Sheele'!$C$29:$K$86,'Tablas Sheele'!B49,FALSE))</f>
        <v/>
      </c>
      <c r="Y44" s="1589"/>
      <c r="Z44" s="1546">
        <f>IF(X44="",-30,X44+IF('Tablas Sheele'!F$119&gt;0,40+20*('Tablas Sheele'!F$119-1),0))+10*Y44</f>
        <v>-30</v>
      </c>
      <c r="AA44" s="810"/>
      <c r="AB44" s="763"/>
    </row>
    <row r="45" spans="1:28" ht="12" customHeight="1" x14ac:dyDescent="0.2">
      <c r="A45" s="760"/>
      <c r="B45" s="769"/>
      <c r="C45" s="4186" t="str">
        <f>IF(COUNTA($C$43:C44)&lt;'Tablas Sheele'!$H$199,VLOOKUP('Tablas Sheele'!A2,'Tablas Sheele'!$B$111:$R$198,2,FALSE),"")</f>
        <v/>
      </c>
      <c r="D45" s="4187"/>
      <c r="E45" s="1531" t="str">
        <f>IF($C45="","",VLOOKUP('Tablas Sheele'!$A2,'Tablas Sheele'!$B$111:$R199,8,FALSE))</f>
        <v/>
      </c>
      <c r="F45" s="1531" t="str">
        <f>IF($C45="","",VLOOKUP('Tablas Sheele'!$A2,'Tablas Sheele'!$B$111:$R199,9,FALSE))</f>
        <v/>
      </c>
      <c r="G45" s="815" t="str">
        <f>IF($C45="","",VLOOKUP('Tablas Sheele'!$A2,'Tablas Sheele'!$B$111:$R199,10,FALSE))</f>
        <v/>
      </c>
      <c r="H45" s="4188" t="str">
        <f>IF($C45="","",VLOOKUP('Tablas Sheele'!$A2,'Tablas Sheele'!$B$111:$R199,11,FALSE))</f>
        <v/>
      </c>
      <c r="I45" s="4189"/>
      <c r="J45" s="4189"/>
      <c r="K45" s="4189"/>
      <c r="L45" s="4189"/>
      <c r="M45" s="4189"/>
      <c r="N45" s="4189"/>
      <c r="O45" s="4189"/>
      <c r="P45" s="4189"/>
      <c r="Q45" s="4189"/>
      <c r="R45" s="4189"/>
      <c r="S45" s="4190"/>
      <c r="T45" s="820"/>
      <c r="U45" s="3204"/>
      <c r="V45" s="3103" t="s">
        <v>2292</v>
      </c>
      <c r="W45" s="3103"/>
      <c r="X45" s="1737" t="str">
        <f>IF(HLOOKUP(Sheele!$D$5,'Tablas Sheele'!$C$29:$K$86,'Tablas Sheele'!B50,FALSE)=0,"",HLOOKUP(Sheele!$D$5,'Tablas Sheele'!$C$29:$K$86,'Tablas Sheele'!B50,FALSE))</f>
        <v/>
      </c>
      <c r="Y45" s="1589"/>
      <c r="Z45" s="1546">
        <f>IF(X45="",-30,X45+IF('Tablas Sheele'!F$119&gt;0,40+20*('Tablas Sheele'!F$119-1),0))+10*Y45</f>
        <v>-30</v>
      </c>
      <c r="AA45" s="773"/>
      <c r="AB45" s="763"/>
    </row>
    <row r="46" spans="1:28" ht="12" customHeight="1" x14ac:dyDescent="0.2">
      <c r="A46" s="760"/>
      <c r="B46" s="769"/>
      <c r="C46" s="4186" t="str">
        <f>IF(COUNTA($C$43:C45)&lt;'Tablas Sheele'!$H$199,VLOOKUP('Tablas Sheele'!A3,'Tablas Sheele'!$B$111:$R$198,2,FALSE),"")</f>
        <v/>
      </c>
      <c r="D46" s="4187"/>
      <c r="E46" s="1531" t="str">
        <f>IF($C46="","",VLOOKUP('Tablas Sheele'!$A3,'Tablas Sheele'!$B$111:$R200,8,FALSE))</f>
        <v/>
      </c>
      <c r="F46" s="1531" t="str">
        <f>IF($C46="","",VLOOKUP('Tablas Sheele'!$A3,'Tablas Sheele'!$B$111:$R200,9,FALSE))</f>
        <v/>
      </c>
      <c r="G46" s="815" t="str">
        <f>IF($C46="","",VLOOKUP('Tablas Sheele'!$A3,'Tablas Sheele'!$B$111:$R200,10,FALSE))</f>
        <v/>
      </c>
      <c r="H46" s="4188" t="str">
        <f>IF($C46="","",VLOOKUP('Tablas Sheele'!$A3,'Tablas Sheele'!$B$111:$R200,11,FALSE))</f>
        <v/>
      </c>
      <c r="I46" s="4189"/>
      <c r="J46" s="4189"/>
      <c r="K46" s="4189"/>
      <c r="L46" s="4189"/>
      <c r="M46" s="4189"/>
      <c r="N46" s="4189"/>
      <c r="O46" s="4189"/>
      <c r="P46" s="4189"/>
      <c r="Q46" s="4189"/>
      <c r="R46" s="4189"/>
      <c r="S46" s="4190"/>
      <c r="T46" s="820"/>
      <c r="U46" s="3204"/>
      <c r="V46" s="3103" t="s">
        <v>2294</v>
      </c>
      <c r="W46" s="3103"/>
      <c r="X46" s="1737" t="str">
        <f>IF(HLOOKUP(Sheele!$D$5,'Tablas Sheele'!$C$29:$K$86,'Tablas Sheele'!B51,FALSE)=0,"",HLOOKUP(Sheele!$D$5,'Tablas Sheele'!$C$29:$K$86,'Tablas Sheele'!B51,FALSE))</f>
        <v/>
      </c>
      <c r="Y46" s="1589"/>
      <c r="Z46" s="1546" t="str">
        <f>IF(Principal!Q43="-","-",MIN(Principal!Q42,IF(X46="",-30,X46+IF('Tablas Sheele'!F$119&gt;0,40+20*('Tablas Sheele'!F$119-1),0))+10*Y46))</f>
        <v>-</v>
      </c>
      <c r="AA46" s="773" t="s">
        <v>8733</v>
      </c>
      <c r="AB46" s="763"/>
    </row>
    <row r="47" spans="1:28" ht="12" customHeight="1" x14ac:dyDescent="0.2">
      <c r="A47" s="760"/>
      <c r="B47" s="769"/>
      <c r="C47" s="4186" t="str">
        <f>IF(COUNTA($C$43:C46)&lt;'Tablas Sheele'!$H$199,VLOOKUP('Tablas Sheele'!A4,'Tablas Sheele'!$B$111:$R$198,2,FALSE),"")</f>
        <v/>
      </c>
      <c r="D47" s="4187"/>
      <c r="E47" s="1531" t="str">
        <f>IF($C47="","",VLOOKUP('Tablas Sheele'!$A4,'Tablas Sheele'!$B$111:$R201,8,FALSE))</f>
        <v/>
      </c>
      <c r="F47" s="1531" t="str">
        <f>IF($C47="","",VLOOKUP('Tablas Sheele'!$A4,'Tablas Sheele'!$B$111:$R201,9,FALSE))</f>
        <v/>
      </c>
      <c r="G47" s="815" t="str">
        <f>IF($C47="","",VLOOKUP('Tablas Sheele'!$A4,'Tablas Sheele'!$B$111:$R201,10,FALSE))</f>
        <v/>
      </c>
      <c r="H47" s="4188" t="str">
        <f>IF($C47="","",VLOOKUP('Tablas Sheele'!$A4,'Tablas Sheele'!$B$111:$R201,11,FALSE))</f>
        <v/>
      </c>
      <c r="I47" s="4189"/>
      <c r="J47" s="4189"/>
      <c r="K47" s="4189"/>
      <c r="L47" s="4189"/>
      <c r="M47" s="4189"/>
      <c r="N47" s="4189"/>
      <c r="O47" s="4189"/>
      <c r="P47" s="4189"/>
      <c r="Q47" s="4189"/>
      <c r="R47" s="4189"/>
      <c r="S47" s="4190"/>
      <c r="T47" s="820"/>
      <c r="U47" s="3204"/>
      <c r="V47" s="3103" t="s">
        <v>1285</v>
      </c>
      <c r="W47" s="3103"/>
      <c r="X47" s="1737" t="str">
        <f>IF(HLOOKUP(Sheele!$D$5,'Tablas Sheele'!$C$29:$K$86,'Tablas Sheele'!B52,FALSE)=0,"",HLOOKUP(Sheele!$D$5,'Tablas Sheele'!$C$29:$K$86,'Tablas Sheele'!B52,FALSE))</f>
        <v/>
      </c>
      <c r="Y47" s="1589"/>
      <c r="Z47" s="1546">
        <f>IF(X47="",-30,X47+IF('Tablas Sheele'!F$119&gt;0,40+20*('Tablas Sheele'!F$119-1),0))+10*Y47</f>
        <v>-30</v>
      </c>
      <c r="AA47" s="810"/>
      <c r="AB47" s="763"/>
    </row>
    <row r="48" spans="1:28" ht="12" customHeight="1" x14ac:dyDescent="0.2">
      <c r="A48" s="760"/>
      <c r="B48" s="769"/>
      <c r="C48" s="4186" t="str">
        <f>IF(COUNTA($C$43:C47)&lt;'Tablas Sheele'!$H$199,VLOOKUP('Tablas Sheele'!A5,'Tablas Sheele'!$B$111:$R$198,2,FALSE),"")</f>
        <v/>
      </c>
      <c r="D48" s="4187"/>
      <c r="E48" s="1531" t="str">
        <f>IF($C48="","",VLOOKUP('Tablas Sheele'!$A5,'Tablas Sheele'!$B$111:$R202,8,FALSE))</f>
        <v/>
      </c>
      <c r="F48" s="1531" t="str">
        <f>IF($C48="","",VLOOKUP('Tablas Sheele'!$A5,'Tablas Sheele'!$B$111:$R202,9,FALSE))</f>
        <v/>
      </c>
      <c r="G48" s="815" t="str">
        <f>IF($C48="","",VLOOKUP('Tablas Sheele'!$A5,'Tablas Sheele'!$B$111:$R202,10,FALSE))</f>
        <v/>
      </c>
      <c r="H48" s="4188" t="str">
        <f>IF($C48="","",VLOOKUP('Tablas Sheele'!$A5,'Tablas Sheele'!$B$111:$R202,11,FALSE))</f>
        <v/>
      </c>
      <c r="I48" s="4189"/>
      <c r="J48" s="4189"/>
      <c r="K48" s="4189"/>
      <c r="L48" s="4189"/>
      <c r="M48" s="4189"/>
      <c r="N48" s="4189"/>
      <c r="O48" s="4189"/>
      <c r="P48" s="4189"/>
      <c r="Q48" s="4189"/>
      <c r="R48" s="4189"/>
      <c r="S48" s="4190"/>
      <c r="T48" s="820"/>
      <c r="U48" s="3204"/>
      <c r="V48" s="3103" t="s">
        <v>2297</v>
      </c>
      <c r="W48" s="3103"/>
      <c r="X48" s="1737" t="str">
        <f>IF(HLOOKUP(Sheele!$D$5,'Tablas Sheele'!$C$29:$K$86,'Tablas Sheele'!B53,FALSE)=0,"",HLOOKUP(Sheele!$D$5,'Tablas Sheele'!$C$29:$K$86,'Tablas Sheele'!B53,FALSE))</f>
        <v/>
      </c>
      <c r="Y48" s="1589"/>
      <c r="Z48" s="1546" t="str">
        <f>IF(Principal!Q45="-","-",MIN(Principal!Q44,IF(X48="",-30,X48+IF('Tablas Sheele'!F$119&gt;0,40+20*('Tablas Sheele'!F$119-1),0))+10*Y48))</f>
        <v>-</v>
      </c>
      <c r="AA48" s="773" t="s">
        <v>8733</v>
      </c>
      <c r="AB48" s="763"/>
    </row>
    <row r="49" spans="1:28" ht="12" customHeight="1" x14ac:dyDescent="0.2">
      <c r="A49" s="760"/>
      <c r="B49" s="769"/>
      <c r="C49" s="4186" t="str">
        <f>IF(COUNTA($C$43:C48)&lt;'Tablas Sheele'!$H$199,VLOOKUP('Tablas Sheele'!A6,'Tablas Sheele'!$B$111:$R$198,2,FALSE),"")</f>
        <v/>
      </c>
      <c r="D49" s="4187"/>
      <c r="E49" s="1531" t="str">
        <f>IF($C49="","",VLOOKUP('Tablas Sheele'!$A6,'Tablas Sheele'!$B$111:$R203,8,FALSE))</f>
        <v/>
      </c>
      <c r="F49" s="1531" t="str">
        <f>IF($C49="","",VLOOKUP('Tablas Sheele'!$A6,'Tablas Sheele'!$B$111:$R203,9,FALSE))</f>
        <v/>
      </c>
      <c r="G49" s="815" t="str">
        <f>IF($C49="","",VLOOKUP('Tablas Sheele'!$A6,'Tablas Sheele'!$B$111:$R203,10,FALSE))</f>
        <v/>
      </c>
      <c r="H49" s="4188" t="str">
        <f>IF($C49="","",VLOOKUP('Tablas Sheele'!$A6,'Tablas Sheele'!$B$111:$R203,11,FALSE))</f>
        <v/>
      </c>
      <c r="I49" s="4189"/>
      <c r="J49" s="4189"/>
      <c r="K49" s="4189"/>
      <c r="L49" s="4189"/>
      <c r="M49" s="4189"/>
      <c r="N49" s="4189"/>
      <c r="O49" s="4189"/>
      <c r="P49" s="4189"/>
      <c r="Q49" s="4189"/>
      <c r="R49" s="4189"/>
      <c r="S49" s="4190"/>
      <c r="T49" s="820"/>
      <c r="U49" s="3204"/>
      <c r="V49" s="3103" t="s">
        <v>2298</v>
      </c>
      <c r="W49" s="3103"/>
      <c r="X49" s="1737" t="str">
        <f>IF(HLOOKUP(Sheele!$D$5,'Tablas Sheele'!$C$29:$K$86,'Tablas Sheele'!B54,FALSE)=0,"",HLOOKUP(Sheele!$D$5,'Tablas Sheele'!$C$29:$K$86,'Tablas Sheele'!B54,FALSE))</f>
        <v/>
      </c>
      <c r="Y49" s="1589"/>
      <c r="Z49" s="1546">
        <f>IF(X49="",-30,X49+IF('Tablas Sheele'!F$119&gt;0,40+20*('Tablas Sheele'!F$119-1),0))+10*Y49</f>
        <v>-30</v>
      </c>
      <c r="AA49" s="773"/>
      <c r="AB49" s="763"/>
    </row>
    <row r="50" spans="1:28" ht="12" customHeight="1" x14ac:dyDescent="0.2">
      <c r="A50" s="760"/>
      <c r="B50" s="769"/>
      <c r="C50" s="4186" t="str">
        <f>IF(COUNTA($C$43:C49)&lt;'Tablas Sheele'!$H$199,VLOOKUP('Tablas Sheele'!A7,'Tablas Sheele'!$B$111:$R$198,2,FALSE),"")</f>
        <v/>
      </c>
      <c r="D50" s="4187"/>
      <c r="E50" s="1531" t="str">
        <f>IF($C50="","",VLOOKUP('Tablas Sheele'!$A7,'Tablas Sheele'!$B$111:$R204,8,FALSE))</f>
        <v/>
      </c>
      <c r="F50" s="1531" t="str">
        <f>IF($C50="","",VLOOKUP('Tablas Sheele'!$A7,'Tablas Sheele'!$B$111:$R204,9,FALSE))</f>
        <v/>
      </c>
      <c r="G50" s="815" t="str">
        <f>IF($C50="","",VLOOKUP('Tablas Sheele'!$A7,'Tablas Sheele'!$B$111:$R204,10,FALSE))</f>
        <v/>
      </c>
      <c r="H50" s="4188" t="str">
        <f>IF($C50="","",VLOOKUP('Tablas Sheele'!$A7,'Tablas Sheele'!$B$111:$R204,11,FALSE))</f>
        <v/>
      </c>
      <c r="I50" s="4189"/>
      <c r="J50" s="4189"/>
      <c r="K50" s="4189"/>
      <c r="L50" s="4189"/>
      <c r="M50" s="4189"/>
      <c r="N50" s="4189"/>
      <c r="O50" s="4189"/>
      <c r="P50" s="4189"/>
      <c r="Q50" s="4189"/>
      <c r="R50" s="4189"/>
      <c r="S50" s="4190"/>
      <c r="T50" s="820"/>
      <c r="U50" s="3204"/>
      <c r="V50" s="3103" t="s">
        <v>2299</v>
      </c>
      <c r="W50" s="3103"/>
      <c r="X50" s="1737" t="str">
        <f>IF(HLOOKUP(Sheele!$D$5,'Tablas Sheele'!$C$29:$K$86,'Tablas Sheele'!B55,FALSE)=0,"",HLOOKUP(Sheele!$D$5,'Tablas Sheele'!$C$29:$K$86,'Tablas Sheele'!B55,FALSE))</f>
        <v/>
      </c>
      <c r="Y50" s="1589"/>
      <c r="Z50" s="1546">
        <f>IF(X50="",-30,X50+IF('Tablas Sheele'!F$119&gt;0,40+20*('Tablas Sheele'!F$119-1),0))+10*Y50</f>
        <v>-30</v>
      </c>
      <c r="AA50" s="773"/>
      <c r="AB50" s="763"/>
    </row>
    <row r="51" spans="1:28" ht="12" customHeight="1" x14ac:dyDescent="0.2">
      <c r="A51" s="760"/>
      <c r="B51" s="769"/>
      <c r="C51" s="4186" t="str">
        <f>IF(COUNTA($C$43:C50)&lt;'Tablas Sheele'!$H$199,VLOOKUP('Tablas Sheele'!A8,'Tablas Sheele'!$B$111:$R$198,2,FALSE),"")</f>
        <v/>
      </c>
      <c r="D51" s="4187"/>
      <c r="E51" s="1531" t="str">
        <f>IF($C51="","",VLOOKUP('Tablas Sheele'!$A8,'Tablas Sheele'!$B$111:$R205,8,FALSE))</f>
        <v/>
      </c>
      <c r="F51" s="1531" t="str">
        <f>IF($C51="","",VLOOKUP('Tablas Sheele'!$A8,'Tablas Sheele'!$B$111:$R205,9,FALSE))</f>
        <v/>
      </c>
      <c r="G51" s="815" t="str">
        <f>IF($C51="","",VLOOKUP('Tablas Sheele'!$A8,'Tablas Sheele'!$B$111:$R205,10,FALSE))</f>
        <v/>
      </c>
      <c r="H51" s="4188" t="str">
        <f>IF($C51="","",VLOOKUP('Tablas Sheele'!$A8,'Tablas Sheele'!$B$111:$R205,11,FALSE))</f>
        <v/>
      </c>
      <c r="I51" s="4189"/>
      <c r="J51" s="4189"/>
      <c r="K51" s="4189"/>
      <c r="L51" s="4189"/>
      <c r="M51" s="4189"/>
      <c r="N51" s="4189"/>
      <c r="O51" s="4189"/>
      <c r="P51" s="4189"/>
      <c r="Q51" s="4189"/>
      <c r="R51" s="4189"/>
      <c r="S51" s="4190"/>
      <c r="T51" s="820"/>
      <c r="U51" s="3204"/>
      <c r="V51" s="3103" t="s">
        <v>2300</v>
      </c>
      <c r="W51" s="3103"/>
      <c r="X51" s="1737" t="str">
        <f>IF(HLOOKUP(Sheele!$D$5,'Tablas Sheele'!$C$29:$K$86,'Tablas Sheele'!B56,FALSE)=0,"",HLOOKUP(Sheele!$D$5,'Tablas Sheele'!$C$29:$K$86,'Tablas Sheele'!B56,FALSE))</f>
        <v/>
      </c>
      <c r="Y51" s="1589"/>
      <c r="Z51" s="1546">
        <f>IF(X51="",-30,X51+IF('Tablas Sheele'!F$119&gt;0,40+20*('Tablas Sheele'!F$119-1),0))+10*Y51</f>
        <v>-30</v>
      </c>
      <c r="AA51" s="773"/>
      <c r="AB51" s="763"/>
    </row>
    <row r="52" spans="1:28" ht="12" customHeight="1" x14ac:dyDescent="0.2">
      <c r="A52" s="760"/>
      <c r="B52" s="769"/>
      <c r="C52" s="4179" t="s">
        <v>3748</v>
      </c>
      <c r="D52" s="4194"/>
      <c r="E52" s="4195" t="s">
        <v>2407</v>
      </c>
      <c r="F52" s="4196"/>
      <c r="G52" s="4196"/>
      <c r="H52" s="4196"/>
      <c r="I52" s="4196"/>
      <c r="J52" s="4196"/>
      <c r="K52" s="4196"/>
      <c r="L52" s="4196"/>
      <c r="M52" s="4196"/>
      <c r="N52" s="4196"/>
      <c r="O52" s="4196"/>
      <c r="P52" s="4196"/>
      <c r="Q52" s="4196"/>
      <c r="R52" s="4196"/>
      <c r="S52" s="4197"/>
      <c r="T52" s="820"/>
      <c r="U52" s="3204"/>
      <c r="V52" s="3103" t="s">
        <v>2301</v>
      </c>
      <c r="W52" s="3103"/>
      <c r="X52" s="1737" t="str">
        <f>IF(HLOOKUP(Sheele!$D$5,'Tablas Sheele'!$C$29:$K$86,'Tablas Sheele'!B57,FALSE)=0,"",HLOOKUP(Sheele!$D$5,'Tablas Sheele'!$C$29:$K$86,'Tablas Sheele'!B57,FALSE))</f>
        <v/>
      </c>
      <c r="Y52" s="1589"/>
      <c r="Z52" s="1546" t="str">
        <f>IF(Principal!Q49="-","-",MIN(Principal!Q48,IF(X52="",-30,X52+IF('Tablas Sheele'!F$119&gt;0,40+20*('Tablas Sheele'!F$119-1),0))+10*Y52))</f>
        <v>-</v>
      </c>
      <c r="AA52" s="773" t="s">
        <v>8733</v>
      </c>
      <c r="AB52" s="763"/>
    </row>
    <row r="53" spans="1:28" ht="12" customHeight="1" x14ac:dyDescent="0.2">
      <c r="A53" s="760"/>
      <c r="B53" s="769"/>
      <c r="C53" s="4202" t="str">
        <f>IF(COUNTA($C$52:C52)&lt;'Tablas Sheele'!$H$110+1,VLOOKUP('Tablas Sheele'!A1,'Tablas Sheele'!$B$91:$C$109,2,FALSE),"")</f>
        <v/>
      </c>
      <c r="D53" s="4203"/>
      <c r="E53" s="4192" t="str">
        <f>IF($C53="","",VLOOKUP(C53,'Tablas Sheele'!C92:Q109,10,FALSE))</f>
        <v/>
      </c>
      <c r="F53" s="4192"/>
      <c r="G53" s="4192"/>
      <c r="H53" s="4192"/>
      <c r="I53" s="4192"/>
      <c r="J53" s="4192"/>
      <c r="K53" s="4192"/>
      <c r="L53" s="4192"/>
      <c r="M53" s="4192"/>
      <c r="N53" s="4192"/>
      <c r="O53" s="4192"/>
      <c r="P53" s="4192"/>
      <c r="Q53" s="4192"/>
      <c r="R53" s="4192"/>
      <c r="S53" s="4193"/>
      <c r="T53" s="820"/>
      <c r="U53" s="3204"/>
      <c r="V53" s="4113" t="s">
        <v>2302</v>
      </c>
      <c r="W53" s="3106"/>
      <c r="X53" s="689">
        <f>IF(HLOOKUP(Sheele!$D$5,'Tablas Sheele'!$C$29:$K$86,'Tablas Sheele'!B58,FALSE)=0,"",HLOOKUP(Sheele!$D$5,'Tablas Sheele'!$C$29:$K$86,'Tablas Sheele'!B58,FALSE))</f>
        <v>80</v>
      </c>
      <c r="Y53" s="1590"/>
      <c r="Z53" s="1547" t="str">
        <f>IF(Principal!Q50="-","-",MIN(Principal!Q49,IF(X53="",-30,X53+IF('Tablas Sheele'!F$119&gt;0,40+20*('Tablas Sheele'!F$119-1),0))+10*Y53))</f>
        <v>-</v>
      </c>
      <c r="AA53" s="773" t="s">
        <v>8733</v>
      </c>
      <c r="AB53" s="763"/>
    </row>
    <row r="54" spans="1:28" ht="12" customHeight="1" x14ac:dyDescent="0.2">
      <c r="A54" s="760"/>
      <c r="B54" s="769"/>
      <c r="C54" s="4204" t="str">
        <f>IF(COUNTA($C$52:C53)&lt;'Tablas Sheele'!$H$110+1,VLOOKUP('Tablas Sheele'!A2,'Tablas Sheele'!$B$91:$C$109,2,FALSE),"")</f>
        <v/>
      </c>
      <c r="D54" s="4205"/>
      <c r="E54" s="4189" t="str">
        <f>IF($C54="","",VLOOKUP(C54,'Tablas Sheele'!C93:Q110,10,FALSE))</f>
        <v/>
      </c>
      <c r="F54" s="4189"/>
      <c r="G54" s="4189"/>
      <c r="H54" s="4189"/>
      <c r="I54" s="4189"/>
      <c r="J54" s="4189"/>
      <c r="K54" s="4189"/>
      <c r="L54" s="4189"/>
      <c r="M54" s="4189"/>
      <c r="N54" s="4189"/>
      <c r="O54" s="4189"/>
      <c r="P54" s="4189"/>
      <c r="Q54" s="4189"/>
      <c r="R54" s="4189"/>
      <c r="S54" s="4190"/>
      <c r="T54" s="820"/>
      <c r="U54" s="3322" t="s">
        <v>2303</v>
      </c>
      <c r="V54" s="3103" t="s">
        <v>2304</v>
      </c>
      <c r="W54" s="3103"/>
      <c r="X54" s="1737" t="str">
        <f>IF(HLOOKUP(Sheele!$D$5,'Tablas Sheele'!$C$29:$K$86,'Tablas Sheele'!B59,FALSE)=0,"",HLOOKUP(Sheele!$D$5,'Tablas Sheele'!$C$29:$K$86,'Tablas Sheele'!B59,FALSE))</f>
        <v/>
      </c>
      <c r="Y54" s="1589"/>
      <c r="Z54" s="1546">
        <f>IF(X54="",-30,X54+IF('Tablas Sheele'!F$119&gt;0,40+20*('Tablas Sheele'!F$119-1),0))+10*Y54</f>
        <v>-30</v>
      </c>
      <c r="AA54" s="773"/>
      <c r="AB54" s="763"/>
    </row>
    <row r="55" spans="1:28" ht="12" customHeight="1" x14ac:dyDescent="0.2">
      <c r="A55" s="760"/>
      <c r="B55" s="769"/>
      <c r="C55" s="4204" t="str">
        <f>IF(COUNTA($C$52:C54)&lt;'Tablas Sheele'!$H$110+1,VLOOKUP('Tablas Sheele'!A3,'Tablas Sheele'!$B$91:$C$109,2,FALSE),"")</f>
        <v/>
      </c>
      <c r="D55" s="4205"/>
      <c r="E55" s="4189" t="str">
        <f>IF($C55="","",VLOOKUP(C55,'Tablas Sheele'!C94:Q111,10,FALSE))</f>
        <v/>
      </c>
      <c r="F55" s="4189"/>
      <c r="G55" s="4189"/>
      <c r="H55" s="4189"/>
      <c r="I55" s="4189"/>
      <c r="J55" s="4189"/>
      <c r="K55" s="4189"/>
      <c r="L55" s="4189"/>
      <c r="M55" s="4189"/>
      <c r="N55" s="4189"/>
      <c r="O55" s="4189"/>
      <c r="P55" s="4189"/>
      <c r="Q55" s="4189"/>
      <c r="R55" s="4189"/>
      <c r="S55" s="4190"/>
      <c r="T55" s="820"/>
      <c r="U55" s="3204"/>
      <c r="V55" s="3103" t="s">
        <v>2305</v>
      </c>
      <c r="W55" s="3103"/>
      <c r="X55" s="1737" t="str">
        <f>IF(HLOOKUP(Sheele!$D$5,'Tablas Sheele'!$C$29:$K$86,'Tablas Sheele'!B60,FALSE)=0,"",HLOOKUP(Sheele!$D$5,'Tablas Sheele'!$C$29:$K$86,'Tablas Sheele'!B60,FALSE))</f>
        <v/>
      </c>
      <c r="Y55" s="1589"/>
      <c r="Z55" s="1546">
        <f>IF(X55="",-30,X55+IF('Tablas Sheele'!F$119&gt;0,40+20*('Tablas Sheele'!F$119-1),0))+10*Y55</f>
        <v>-30</v>
      </c>
      <c r="AA55" s="773"/>
      <c r="AB55" s="763"/>
    </row>
    <row r="56" spans="1:28" ht="12" customHeight="1" x14ac:dyDescent="0.2">
      <c r="A56" s="760"/>
      <c r="B56" s="769"/>
      <c r="C56" s="4204" t="str">
        <f>IF(COUNTA($C$52:C55)&lt;'Tablas Sheele'!$H$110+1,VLOOKUP('Tablas Sheele'!A4,'Tablas Sheele'!$B$91:$C$109,2,FALSE),"")</f>
        <v/>
      </c>
      <c r="D56" s="4205"/>
      <c r="E56" s="4189" t="str">
        <f>IF($C56="","",VLOOKUP(C56,'Tablas Sheele'!C95:Q112,10,FALSE))</f>
        <v/>
      </c>
      <c r="F56" s="4189"/>
      <c r="G56" s="4189"/>
      <c r="H56" s="4189"/>
      <c r="I56" s="4189"/>
      <c r="J56" s="4189"/>
      <c r="K56" s="4189"/>
      <c r="L56" s="4189"/>
      <c r="M56" s="4189"/>
      <c r="N56" s="4189"/>
      <c r="O56" s="4189"/>
      <c r="P56" s="4189"/>
      <c r="Q56" s="4189"/>
      <c r="R56" s="4189"/>
      <c r="S56" s="4190"/>
      <c r="T56" s="820"/>
      <c r="U56" s="3205"/>
      <c r="V56" s="4113" t="s">
        <v>2308</v>
      </c>
      <c r="W56" s="3106"/>
      <c r="X56" s="689" t="str">
        <f>IF(HLOOKUP(Sheele!$D$5,'Tablas Sheele'!$C$29:$K$86,'Tablas Sheele'!B61,FALSE)=0,"",HLOOKUP(Sheele!$D$5,'Tablas Sheele'!$C$29:$K$86,'Tablas Sheele'!B61,FALSE))</f>
        <v/>
      </c>
      <c r="Y56" s="1590"/>
      <c r="Z56" s="1547">
        <f>IF(X56="",-30,X56+IF('Tablas Sheele'!F$119&gt;0,40+20*('Tablas Sheele'!F$119-1),0))+10*Y56</f>
        <v>-30</v>
      </c>
      <c r="AA56" s="773"/>
      <c r="AB56" s="763"/>
    </row>
    <row r="57" spans="1:28" ht="12" customHeight="1" x14ac:dyDescent="0.2">
      <c r="A57" s="760"/>
      <c r="B57" s="769"/>
      <c r="C57" s="4204" t="str">
        <f>IF(COUNTA($C$52:C56)&lt;'Tablas Sheele'!$H$110+1,VLOOKUP('Tablas Sheele'!A5,'Tablas Sheele'!$B$91:$C$109,2,FALSE),"")</f>
        <v/>
      </c>
      <c r="D57" s="4205"/>
      <c r="E57" s="4189" t="str">
        <f>IF($C57="","",VLOOKUP(C57,'Tablas Sheele'!C96:Q113,10,FALSE))</f>
        <v/>
      </c>
      <c r="F57" s="4189"/>
      <c r="G57" s="4189"/>
      <c r="H57" s="4189"/>
      <c r="I57" s="4189"/>
      <c r="J57" s="4189"/>
      <c r="K57" s="4189"/>
      <c r="L57" s="4189"/>
      <c r="M57" s="4189"/>
      <c r="N57" s="4189"/>
      <c r="O57" s="4189"/>
      <c r="P57" s="4189"/>
      <c r="Q57" s="4189"/>
      <c r="R57" s="4189"/>
      <c r="S57" s="4190"/>
      <c r="T57" s="820"/>
      <c r="U57" s="3204" t="s">
        <v>2311</v>
      </c>
      <c r="V57" s="3103" t="s">
        <v>2312</v>
      </c>
      <c r="W57" s="3103"/>
      <c r="X57" s="1737" t="str">
        <f>IF(HLOOKUP(Sheele!$D$5,'Tablas Sheele'!$C$29:$K$86,'Tablas Sheele'!B62,FALSE)=0,"",HLOOKUP(Sheele!$D$5,'Tablas Sheele'!$C$29:$K$86,'Tablas Sheele'!B62,FALSE))</f>
        <v/>
      </c>
      <c r="Y57" s="1589"/>
      <c r="Z57" s="1546">
        <f>IF(X57="",-30,X57+IF('Tablas Sheele'!F$119&gt;0,40+20*('Tablas Sheele'!F$119-1),0))+10*Y57</f>
        <v>-30</v>
      </c>
      <c r="AA57" s="773"/>
      <c r="AB57" s="763"/>
    </row>
    <row r="58" spans="1:28" ht="12" customHeight="1" x14ac:dyDescent="0.2">
      <c r="A58" s="760"/>
      <c r="B58" s="769"/>
      <c r="C58" s="4204" t="str">
        <f>IF(COUNTA($C$52:C57)&lt;'Tablas Sheele'!$H$110+1,VLOOKUP('Tablas Sheele'!A6,'Tablas Sheele'!$B$91:$C$109,2,FALSE),"")</f>
        <v/>
      </c>
      <c r="D58" s="4205"/>
      <c r="E58" s="4189" t="str">
        <f>IF($C58="","",VLOOKUP(C58,'Tablas Sheele'!C97:Q114,10,FALSE))</f>
        <v/>
      </c>
      <c r="F58" s="4189"/>
      <c r="G58" s="4189"/>
      <c r="H58" s="4189"/>
      <c r="I58" s="4189"/>
      <c r="J58" s="4189"/>
      <c r="K58" s="4189"/>
      <c r="L58" s="4189"/>
      <c r="M58" s="4189"/>
      <c r="N58" s="4189"/>
      <c r="O58" s="4189"/>
      <c r="P58" s="4189"/>
      <c r="Q58" s="4189"/>
      <c r="R58" s="4189"/>
      <c r="S58" s="4190"/>
      <c r="T58" s="820"/>
      <c r="U58" s="3204"/>
      <c r="V58" s="3103" t="s">
        <v>2314</v>
      </c>
      <c r="W58" s="3103"/>
      <c r="X58" s="1737" t="str">
        <f>IF(HLOOKUP(Sheele!$D$5,'Tablas Sheele'!$C$29:$K$86,'Tablas Sheele'!B63,FALSE)=0,"",HLOOKUP(Sheele!$D$5,'Tablas Sheele'!$C$29:$K$86,'Tablas Sheele'!B63,FALSE))</f>
        <v/>
      </c>
      <c r="Y58" s="1589"/>
      <c r="Z58" s="1546">
        <f>IF(X58="",-30,X58+IF('Tablas Sheele'!F$119&gt;0,40+20*('Tablas Sheele'!F$119-1),0))+10*Y58</f>
        <v>-30</v>
      </c>
      <c r="AA58" s="773"/>
      <c r="AB58" s="763"/>
    </row>
    <row r="59" spans="1:28" ht="12" customHeight="1" x14ac:dyDescent="0.2">
      <c r="A59" s="760"/>
      <c r="B59" s="769"/>
      <c r="C59" s="4204" t="str">
        <f>IF(COUNTA($C$52:C58)&lt;'Tablas Sheele'!$H$110+1,VLOOKUP('Tablas Sheele'!A7,'Tablas Sheele'!$B$91:$C$109,2,FALSE),"")</f>
        <v/>
      </c>
      <c r="D59" s="4205"/>
      <c r="E59" s="4189" t="str">
        <f>IF($C59="","",VLOOKUP(C59,'Tablas Sheele'!C98:Q115,10,FALSE))</f>
        <v/>
      </c>
      <c r="F59" s="4189"/>
      <c r="G59" s="4189"/>
      <c r="H59" s="4189"/>
      <c r="I59" s="4189"/>
      <c r="J59" s="4189"/>
      <c r="K59" s="4189"/>
      <c r="L59" s="4189"/>
      <c r="M59" s="4189"/>
      <c r="N59" s="4189"/>
      <c r="O59" s="4189"/>
      <c r="P59" s="4189"/>
      <c r="Q59" s="4189"/>
      <c r="R59" s="4189"/>
      <c r="S59" s="4190"/>
      <c r="T59" s="820"/>
      <c r="U59" s="3204"/>
      <c r="V59" s="3103" t="s">
        <v>2316</v>
      </c>
      <c r="W59" s="3103"/>
      <c r="X59" s="1737" t="str">
        <f>IF(HLOOKUP(Sheele!$D$5,'Tablas Sheele'!$C$29:$K$86,'Tablas Sheele'!B64,FALSE)=0,"",HLOOKUP(Sheele!$D$5,'Tablas Sheele'!$C$29:$K$86,'Tablas Sheele'!B64,FALSE))</f>
        <v/>
      </c>
      <c r="Y59" s="1589"/>
      <c r="Z59" s="1546">
        <f>IF(X59="",-30,X59+IF('Tablas Sheele'!F$119&gt;0,40+20*('Tablas Sheele'!F$119-1),0))+10*Y59+IF('Tablas Sheele'!F167&gt;0,100,0)</f>
        <v>-30</v>
      </c>
      <c r="AA59" s="773" t="s">
        <v>3974</v>
      </c>
      <c r="AB59" s="763"/>
    </row>
    <row r="60" spans="1:28" ht="12" customHeight="1" x14ac:dyDescent="0.2">
      <c r="A60" s="760"/>
      <c r="B60" s="769"/>
      <c r="C60" s="4204" t="str">
        <f>IF(COUNTA($C$52:C59)&lt;'Tablas Sheele'!$H$110+1,VLOOKUP('Tablas Sheele'!A8,'Tablas Sheele'!$B$91:$C$109,2,FALSE),"")</f>
        <v/>
      </c>
      <c r="D60" s="4205"/>
      <c r="E60" s="4189" t="str">
        <f>IF($C60="","",VLOOKUP(C60,'Tablas Sheele'!C99:Q116,10,FALSE))</f>
        <v/>
      </c>
      <c r="F60" s="4189"/>
      <c r="G60" s="4189"/>
      <c r="H60" s="4189"/>
      <c r="I60" s="4189"/>
      <c r="J60" s="4189"/>
      <c r="K60" s="4189"/>
      <c r="L60" s="4189"/>
      <c r="M60" s="4189"/>
      <c r="N60" s="4189"/>
      <c r="O60" s="4189"/>
      <c r="P60" s="4189"/>
      <c r="Q60" s="4189"/>
      <c r="R60" s="4189"/>
      <c r="S60" s="4190"/>
      <c r="T60" s="820"/>
      <c r="U60" s="3204"/>
      <c r="V60" s="3103" t="s">
        <v>2318</v>
      </c>
      <c r="W60" s="3103"/>
      <c r="X60" s="1737">
        <f>IF(HLOOKUP(Sheele!$D$5,'Tablas Sheele'!$C$29:$K$86,'Tablas Sheele'!B65,FALSE)=0,"",HLOOKUP(Sheele!$D$5,'Tablas Sheele'!$C$29:$K$86,'Tablas Sheele'!B65,FALSE))</f>
        <v>40</v>
      </c>
      <c r="Y60" s="1589"/>
      <c r="Z60" s="1546">
        <f>IF(X60="",-30,X60+IF('Tablas Sheele'!F$119&gt;0,40+20*('Tablas Sheele'!F$119-1),0))+10*Y60</f>
        <v>40</v>
      </c>
      <c r="AA60" s="773"/>
      <c r="AB60" s="763"/>
    </row>
    <row r="61" spans="1:28" ht="12" customHeight="1" x14ac:dyDescent="0.2">
      <c r="A61" s="760"/>
      <c r="B61" s="769"/>
      <c r="C61" s="4204" t="str">
        <f>IF(COUNTA($C$52:C60)&lt;'Tablas Sheele'!$H$110+1,VLOOKUP('Tablas Sheele'!A9,'Tablas Sheele'!$B$91:$C$109,2,FALSE),"")</f>
        <v/>
      </c>
      <c r="D61" s="4205"/>
      <c r="E61" s="4189" t="str">
        <f>IF($C61="","",VLOOKUP(C61,'Tablas Sheele'!C100:Q117,10,FALSE))</f>
        <v/>
      </c>
      <c r="F61" s="4189"/>
      <c r="G61" s="4189"/>
      <c r="H61" s="4189"/>
      <c r="I61" s="4189"/>
      <c r="J61" s="4189"/>
      <c r="K61" s="4189"/>
      <c r="L61" s="4189"/>
      <c r="M61" s="4189"/>
      <c r="N61" s="4189"/>
      <c r="O61" s="4189"/>
      <c r="P61" s="4189"/>
      <c r="Q61" s="4189"/>
      <c r="R61" s="4189"/>
      <c r="S61" s="4190"/>
      <c r="T61" s="820"/>
      <c r="U61" s="3204"/>
      <c r="V61" s="3103" t="s">
        <v>2320</v>
      </c>
      <c r="W61" s="3103"/>
      <c r="X61" s="1737" t="str">
        <f>IF(HLOOKUP(Sheele!$D$5,'Tablas Sheele'!$C$29:$K$86,'Tablas Sheele'!B66,FALSE)=0,"",HLOOKUP(Sheele!$D$5,'Tablas Sheele'!$C$29:$K$86,'Tablas Sheele'!B66,FALSE))</f>
        <v/>
      </c>
      <c r="Y61" s="1589"/>
      <c r="Z61" s="1546">
        <f>IF(X61="",-30,X61+IF('Tablas Sheele'!F$119&gt;0,40+20*('Tablas Sheele'!F$119-1),0))+10*Y61+IF('Tablas Sheele'!F167&gt;0,100,0)</f>
        <v>-30</v>
      </c>
      <c r="AA61" s="773" t="s">
        <v>3974</v>
      </c>
      <c r="AB61" s="763"/>
    </row>
    <row r="62" spans="1:28" ht="12" customHeight="1" thickBot="1" x14ac:dyDescent="0.25">
      <c r="A62" s="760"/>
      <c r="B62" s="769"/>
      <c r="C62" s="4210" t="str">
        <f>IF(COUNTA($C$52:C61)&lt;'Tablas Sheele'!$H$110+1,VLOOKUP('Tablas Sheele'!A10,'Tablas Sheele'!$B$91:$C$109,2,FALSE),"")</f>
        <v/>
      </c>
      <c r="D62" s="4211"/>
      <c r="E62" s="4206" t="str">
        <f>IF($C62="","",VLOOKUP(C62,'Tablas Sheele'!C101:Q118,10,FALSE))</f>
        <v/>
      </c>
      <c r="F62" s="4206"/>
      <c r="G62" s="4206"/>
      <c r="H62" s="4206"/>
      <c r="I62" s="4206"/>
      <c r="J62" s="4206"/>
      <c r="K62" s="4206"/>
      <c r="L62" s="4206"/>
      <c r="M62" s="4206"/>
      <c r="N62" s="4206"/>
      <c r="O62" s="4206"/>
      <c r="P62" s="4206"/>
      <c r="Q62" s="4206"/>
      <c r="R62" s="4206"/>
      <c r="S62" s="4207"/>
      <c r="T62" s="820"/>
      <c r="U62" s="3204"/>
      <c r="V62" s="3103" t="s">
        <v>2322</v>
      </c>
      <c r="W62" s="3103"/>
      <c r="X62" s="1737" t="str">
        <f>IF(HLOOKUP(Sheele!$D$5,'Tablas Sheele'!$C$29:$K$86,'Tablas Sheele'!B67,FALSE)=0,"",HLOOKUP(Sheele!$D$5,'Tablas Sheele'!$C$29:$K$86,'Tablas Sheele'!B67,FALSE))</f>
        <v/>
      </c>
      <c r="Y62" s="1589"/>
      <c r="Z62" s="1546">
        <f>IF(X62="",-30,X62+IF('Tablas Sheele'!F$119&gt;0,40+20*('Tablas Sheele'!F$119-1),0))+10*Y62</f>
        <v>-30</v>
      </c>
      <c r="AA62" s="773"/>
      <c r="AB62" s="763"/>
    </row>
    <row r="63" spans="1:28" ht="12" customHeight="1" x14ac:dyDescent="0.2">
      <c r="A63" s="760"/>
      <c r="B63" s="693"/>
      <c r="C63" s="820"/>
      <c r="D63" s="820"/>
      <c r="E63" s="820"/>
      <c r="F63" s="820"/>
      <c r="G63" s="820"/>
      <c r="H63" s="820"/>
      <c r="I63" s="820"/>
      <c r="J63" s="820"/>
      <c r="K63" s="820"/>
      <c r="L63" s="820"/>
      <c r="M63" s="820"/>
      <c r="N63" s="820"/>
      <c r="O63" s="820"/>
      <c r="P63" s="820"/>
      <c r="Q63" s="820"/>
      <c r="R63" s="820"/>
      <c r="S63" s="735"/>
      <c r="T63" s="820"/>
      <c r="U63" s="3204"/>
      <c r="V63" s="4113" t="s">
        <v>2323</v>
      </c>
      <c r="W63" s="3106"/>
      <c r="X63" s="689" t="str">
        <f>IF(HLOOKUP(Sheele!$D$5,'Tablas Sheele'!$C$29:$K$86,'Tablas Sheele'!B68,FALSE)=0,"",HLOOKUP(Sheele!$D$5,'Tablas Sheele'!$C$29:$K$86,'Tablas Sheele'!B68,FALSE))</f>
        <v/>
      </c>
      <c r="Y63" s="1590"/>
      <c r="Z63" s="1547">
        <f>IF(X63="",-30,X63+IF('Tablas Sheele'!F$119&gt;0,40+20*('Tablas Sheele'!F$119-1),0))+10*Y63</f>
        <v>-30</v>
      </c>
      <c r="AA63" s="773"/>
      <c r="AB63" s="763"/>
    </row>
    <row r="64" spans="1:28" ht="12" customHeight="1" x14ac:dyDescent="0.2">
      <c r="A64" s="760"/>
      <c r="B64" s="693"/>
      <c r="C64" s="820"/>
      <c r="D64" s="820"/>
      <c r="E64" s="820"/>
      <c r="F64" s="820"/>
      <c r="G64" s="820"/>
      <c r="H64" s="820"/>
      <c r="I64" s="820"/>
      <c r="J64" s="820"/>
      <c r="K64" s="820"/>
      <c r="L64" s="820"/>
      <c r="M64" s="820"/>
      <c r="N64" s="820"/>
      <c r="O64" s="820"/>
      <c r="P64" s="820"/>
      <c r="Q64" s="820"/>
      <c r="R64" s="820"/>
      <c r="S64" s="735"/>
      <c r="T64" s="820"/>
      <c r="U64" s="3322" t="s">
        <v>2324</v>
      </c>
      <c r="V64" s="3103" t="s">
        <v>2325</v>
      </c>
      <c r="W64" s="3103"/>
      <c r="X64" s="1737" t="str">
        <f>IF(HLOOKUP(Sheele!$D$5,'Tablas Sheele'!$C$29:$K$86,'Tablas Sheele'!B69,FALSE)=0,"",HLOOKUP(Sheele!$D$5,'Tablas Sheele'!$C$29:$K$86,'Tablas Sheele'!B69,FALSE))</f>
        <v/>
      </c>
      <c r="Y64" s="1589"/>
      <c r="Z64" s="1546">
        <f>IF(X64="",-30,X64+IF('Tablas Sheele'!F$119&gt;0,40+20*('Tablas Sheele'!F$119-1),0))+10*Y64</f>
        <v>-30</v>
      </c>
      <c r="AA64" s="773"/>
      <c r="AB64" s="763"/>
    </row>
    <row r="65" spans="1:56" ht="12" customHeight="1" x14ac:dyDescent="0.2">
      <c r="A65" s="760"/>
      <c r="B65" s="693"/>
      <c r="C65" s="820"/>
      <c r="D65" s="820"/>
      <c r="E65" s="820"/>
      <c r="F65" s="820"/>
      <c r="G65" s="820"/>
      <c r="H65" s="820"/>
      <c r="I65" s="820"/>
      <c r="J65" s="820"/>
      <c r="K65" s="820"/>
      <c r="L65" s="820"/>
      <c r="M65" s="820"/>
      <c r="N65" s="820"/>
      <c r="O65" s="820"/>
      <c r="P65" s="820"/>
      <c r="Q65" s="820"/>
      <c r="R65" s="820"/>
      <c r="S65" s="820"/>
      <c r="T65" s="820"/>
      <c r="U65" s="3204"/>
      <c r="V65" s="3103" t="s">
        <v>2326</v>
      </c>
      <c r="W65" s="3103"/>
      <c r="X65" s="1737">
        <f>IF(HLOOKUP(Sheele!$D$5,'Tablas Sheele'!$C$29:$K$86,'Tablas Sheele'!B70,FALSE)=0,"",HLOOKUP(Sheele!$D$5,'Tablas Sheele'!$C$29:$K$86,'Tablas Sheele'!B70,FALSE))</f>
        <v>40</v>
      </c>
      <c r="Y65" s="1589"/>
      <c r="Z65" s="1546">
        <f>IF(Principal!Q62="-","-",MIN(Principal!Q61,IF(X65="",-30,X65+IF('Tablas Sheele'!F$119&gt;0,40+20*('Tablas Sheele'!F$119-1),0))+10*Y65))</f>
        <v>-20</v>
      </c>
      <c r="AA65" s="773" t="s">
        <v>8733</v>
      </c>
      <c r="AB65" s="763"/>
    </row>
    <row r="66" spans="1:56" ht="12" customHeight="1" x14ac:dyDescent="0.2">
      <c r="A66" s="760"/>
      <c r="B66" s="693"/>
      <c r="C66" s="820"/>
      <c r="D66" s="820"/>
      <c r="E66" s="820"/>
      <c r="F66" s="820"/>
      <c r="G66" s="820"/>
      <c r="H66" s="820"/>
      <c r="I66" s="820"/>
      <c r="J66" s="820"/>
      <c r="K66" s="820"/>
      <c r="L66" s="820"/>
      <c r="M66" s="820"/>
      <c r="N66" s="820"/>
      <c r="O66" s="820"/>
      <c r="P66" s="820"/>
      <c r="Q66" s="820"/>
      <c r="R66" s="820"/>
      <c r="S66" s="735"/>
      <c r="T66" s="820"/>
      <c r="U66" s="3204"/>
      <c r="V66" s="3103" t="s">
        <v>2327</v>
      </c>
      <c r="W66" s="3103"/>
      <c r="X66" s="1737" t="str">
        <f>IF(HLOOKUP(Sheele!$D$5,'Tablas Sheele'!$C$29:$K$86,'Tablas Sheele'!B71,FALSE)=0,"",HLOOKUP(Sheele!$D$5,'Tablas Sheele'!$C$29:$K$86,'Tablas Sheele'!B71,FALSE))</f>
        <v/>
      </c>
      <c r="Y66" s="1589"/>
      <c r="Z66" s="1546" t="str">
        <f>IF(Principal!Q63="-","-",MIN(Principal!Q62,IF(X66="",-30,X66+IF('Tablas Sheele'!F$119&gt;0,40+20*('Tablas Sheele'!F$119-1),0))+10*Y66))</f>
        <v>-</v>
      </c>
      <c r="AA66" s="773" t="s">
        <v>8733</v>
      </c>
      <c r="AB66" s="763"/>
    </row>
    <row r="67" spans="1:56" ht="12" customHeight="1" x14ac:dyDescent="0.2">
      <c r="A67" s="760"/>
      <c r="B67" s="693"/>
      <c r="C67" s="820"/>
      <c r="D67" s="820"/>
      <c r="E67" s="820"/>
      <c r="F67" s="820"/>
      <c r="G67" s="820"/>
      <c r="H67" s="820"/>
      <c r="I67" s="820"/>
      <c r="J67" s="820"/>
      <c r="K67" s="820"/>
      <c r="L67" s="820"/>
      <c r="M67" s="820"/>
      <c r="N67" s="820"/>
      <c r="O67" s="820"/>
      <c r="P67" s="820"/>
      <c r="Q67" s="820"/>
      <c r="R67" s="820"/>
      <c r="S67" s="735"/>
      <c r="T67" s="820"/>
      <c r="U67" s="3204"/>
      <c r="V67" s="3103" t="s">
        <v>1279</v>
      </c>
      <c r="W67" s="3103"/>
      <c r="X67" s="1737" t="str">
        <f>IF(HLOOKUP(Sheele!$D$5,'Tablas Sheele'!$C$29:$K$86,'Tablas Sheele'!B72,FALSE)=0,"",HLOOKUP(Sheele!$D$5,'Tablas Sheele'!$C$29:$K$86,'Tablas Sheele'!B72,FALSE))</f>
        <v/>
      </c>
      <c r="Y67" s="1589"/>
      <c r="Z67" s="1546" t="str">
        <f>IF(Principal!Q64="-","-",MIN(Principal!Q63,IF(X67="",-30,X67+IF('Tablas Sheele'!F$119&gt;0,40+20*('Tablas Sheele'!F$119-1),0))+10*Y67))</f>
        <v>-</v>
      </c>
      <c r="AA67" s="773" t="s">
        <v>8733</v>
      </c>
      <c r="AB67" s="763"/>
    </row>
    <row r="68" spans="1:56" ht="12" customHeight="1" x14ac:dyDescent="0.2">
      <c r="A68" s="760"/>
      <c r="B68" s="693"/>
      <c r="C68" s="820"/>
      <c r="D68" s="820"/>
      <c r="E68" s="820"/>
      <c r="F68" s="820"/>
      <c r="G68" s="820"/>
      <c r="H68" s="820"/>
      <c r="I68" s="820"/>
      <c r="J68" s="820"/>
      <c r="K68" s="820"/>
      <c r="L68" s="820"/>
      <c r="M68" s="820"/>
      <c r="N68" s="820"/>
      <c r="O68" s="820"/>
      <c r="P68" s="820"/>
      <c r="Q68" s="820"/>
      <c r="R68" s="820"/>
      <c r="S68" s="735"/>
      <c r="T68" s="820"/>
      <c r="U68" s="3204"/>
      <c r="V68" s="3103" t="s">
        <v>1280</v>
      </c>
      <c r="W68" s="3103"/>
      <c r="X68" s="1737" t="str">
        <f>IF(HLOOKUP(Sheele!$D$5,'Tablas Sheele'!$C$29:$K$86,'Tablas Sheele'!B73,FALSE)=0,"",HLOOKUP(Sheele!$D$5,'Tablas Sheele'!$C$29:$K$86,'Tablas Sheele'!B73,FALSE))</f>
        <v/>
      </c>
      <c r="Y68" s="1589"/>
      <c r="Z68" s="1546" t="str">
        <f>IF(Principal!Q65="-","-",MIN(Principal!Q64,IF(X68="",-30,X68+IF('Tablas Sheele'!F$119&gt;0,40+20*('Tablas Sheele'!F$119-1),0))+10*Y68))</f>
        <v>-</v>
      </c>
      <c r="AA68" s="773" t="s">
        <v>8733</v>
      </c>
      <c r="AB68" s="763"/>
    </row>
    <row r="69" spans="1:56" ht="12" customHeight="1" x14ac:dyDescent="0.2">
      <c r="A69" s="760"/>
      <c r="B69" s="693"/>
      <c r="C69" s="820"/>
      <c r="D69" s="820"/>
      <c r="E69" s="820"/>
      <c r="F69" s="820"/>
      <c r="G69" s="820"/>
      <c r="H69" s="820"/>
      <c r="I69" s="820"/>
      <c r="J69" s="820"/>
      <c r="K69" s="820"/>
      <c r="L69" s="820"/>
      <c r="M69" s="820"/>
      <c r="N69" s="820"/>
      <c r="O69" s="820"/>
      <c r="P69" s="820"/>
      <c r="Q69" s="820"/>
      <c r="R69" s="820"/>
      <c r="S69" s="735"/>
      <c r="T69" s="820"/>
      <c r="U69" s="3204"/>
      <c r="V69" s="3103" t="s">
        <v>1281</v>
      </c>
      <c r="W69" s="3103"/>
      <c r="X69" s="1737" t="str">
        <f>IF(HLOOKUP(Sheele!$D$5,'Tablas Sheele'!$C$29:$K$86,'Tablas Sheele'!B74,FALSE)=0,"",HLOOKUP(Sheele!$D$5,'Tablas Sheele'!$C$29:$K$86,'Tablas Sheele'!B74,FALSE))</f>
        <v/>
      </c>
      <c r="Y69" s="1589"/>
      <c r="Z69" s="1546" t="str">
        <f>IF(Principal!Q66="-","-",MIN(Principal!Q65,IF(X69="",-30,X69+IF('Tablas Sheele'!F$119&gt;0,40+20*('Tablas Sheele'!F$119-1),0))+10*Y69))</f>
        <v>-</v>
      </c>
      <c r="AA69" s="773" t="s">
        <v>8733</v>
      </c>
      <c r="AB69" s="763"/>
    </row>
    <row r="70" spans="1:56" ht="12" customHeight="1" x14ac:dyDescent="0.2">
      <c r="A70" s="760"/>
      <c r="B70" s="693"/>
      <c r="C70" s="820"/>
      <c r="D70" s="820"/>
      <c r="E70" s="820"/>
      <c r="F70" s="820"/>
      <c r="G70" s="820"/>
      <c r="H70" s="820"/>
      <c r="I70" s="820"/>
      <c r="J70" s="820"/>
      <c r="K70" s="820"/>
      <c r="L70" s="820"/>
      <c r="M70" s="820"/>
      <c r="N70" s="820"/>
      <c r="O70" s="820"/>
      <c r="P70" s="820"/>
      <c r="Q70" s="820"/>
      <c r="R70" s="820"/>
      <c r="S70" s="735"/>
      <c r="T70" s="820"/>
      <c r="U70" s="3204"/>
      <c r="V70" s="3103" t="s">
        <v>2328</v>
      </c>
      <c r="W70" s="3103"/>
      <c r="X70" s="1737" t="str">
        <f>IF(HLOOKUP(Sheele!$D$5,'Tablas Sheele'!$C$29:$K$86,'Tablas Sheele'!B75,FALSE)=0,"",HLOOKUP(Sheele!$D$5,'Tablas Sheele'!$C$29:$K$86,'Tablas Sheele'!B75,FALSE))</f>
        <v/>
      </c>
      <c r="Y70" s="1589"/>
      <c r="Z70" s="1546" t="str">
        <f>IF(Principal!Q67="-","-",MIN(Principal!Q66,IF(X70="",-30,X70+IF('Tablas Sheele'!F$119&gt;0,40+20*('Tablas Sheele'!F$119-1),0))+10*Y70))</f>
        <v>-</v>
      </c>
      <c r="AA70" s="773" t="s">
        <v>8733</v>
      </c>
      <c r="AB70" s="763"/>
    </row>
    <row r="71" spans="1:56" ht="12" customHeight="1" x14ac:dyDescent="0.2">
      <c r="A71" s="760"/>
      <c r="B71" s="693"/>
      <c r="C71" s="820"/>
      <c r="D71" s="820"/>
      <c r="E71" s="820"/>
      <c r="F71" s="820"/>
      <c r="G71" s="820"/>
      <c r="H71" s="820"/>
      <c r="I71" s="820"/>
      <c r="J71" s="820"/>
      <c r="K71" s="820"/>
      <c r="L71" s="820"/>
      <c r="M71" s="820"/>
      <c r="N71" s="820"/>
      <c r="O71" s="820"/>
      <c r="P71" s="820"/>
      <c r="Q71" s="820"/>
      <c r="R71" s="820"/>
      <c r="S71" s="735"/>
      <c r="T71" s="820"/>
      <c r="U71" s="3204"/>
      <c r="V71" s="3103" t="s">
        <v>2331</v>
      </c>
      <c r="W71" s="3103"/>
      <c r="X71" s="1737">
        <f>IF(HLOOKUP(Sheele!$D$5,'Tablas Sheele'!$C$29:$K$86,'Tablas Sheele'!B76,FALSE)=0,"",HLOOKUP(Sheele!$D$5,'Tablas Sheele'!$C$29:$K$86,'Tablas Sheele'!B76,FALSE))</f>
        <v>20</v>
      </c>
      <c r="Y71" s="1589"/>
      <c r="Z71" s="1546">
        <f>IF(X71="",-30,X71+IF('Tablas Sheele'!F$119&gt;0,40+20*('Tablas Sheele'!F$119-1),0))+10*Y71</f>
        <v>20</v>
      </c>
      <c r="AA71" s="810"/>
      <c r="AB71" s="763"/>
    </row>
    <row r="72" spans="1:56" ht="12" customHeight="1" x14ac:dyDescent="0.2">
      <c r="A72" s="760"/>
      <c r="B72" s="693"/>
      <c r="C72" s="820"/>
      <c r="D72" s="820"/>
      <c r="E72" s="820"/>
      <c r="F72" s="820"/>
      <c r="G72" s="820"/>
      <c r="H72" s="820"/>
      <c r="I72" s="820"/>
      <c r="J72" s="820"/>
      <c r="K72" s="820"/>
      <c r="L72" s="820"/>
      <c r="M72" s="820"/>
      <c r="N72" s="820"/>
      <c r="O72" s="820"/>
      <c r="P72" s="820"/>
      <c r="Q72" s="820"/>
      <c r="R72" s="820"/>
      <c r="S72" s="735"/>
      <c r="T72" s="820"/>
      <c r="U72" s="3204"/>
      <c r="V72" s="3103" t="s">
        <v>8783</v>
      </c>
      <c r="W72" s="3103"/>
      <c r="X72" s="1737" t="str">
        <f>IF(HLOOKUP(Sheele!$D$5,'Tablas Sheele'!$C$29:$K$86,'Tablas Sheele'!B77,FALSE)=0,"",HLOOKUP(Sheele!$D$5,'Tablas Sheele'!$C$29:$K$86,'Tablas Sheele'!B77,FALSE))</f>
        <v/>
      </c>
      <c r="Y72" s="1589"/>
      <c r="Z72" s="1546" t="str">
        <f>IF(Principal!Q69="-","-",MIN(Principal!Q68,IF(X72="",-30,X72+IF('Tablas Sheele'!F$119&gt;0,40+20*('Tablas Sheele'!F$119-1),0))+10*Y72))</f>
        <v>-</v>
      </c>
      <c r="AA72" s="773" t="s">
        <v>8733</v>
      </c>
      <c r="AB72" s="763"/>
    </row>
    <row r="73" spans="1:56" ht="12" customHeight="1" x14ac:dyDescent="0.2">
      <c r="A73" s="760"/>
      <c r="B73" s="693"/>
      <c r="C73" s="820"/>
      <c r="D73" s="820"/>
      <c r="E73" s="820"/>
      <c r="F73" s="820"/>
      <c r="G73" s="820"/>
      <c r="H73" s="820"/>
      <c r="I73" s="820"/>
      <c r="J73" s="820"/>
      <c r="K73" s="820"/>
      <c r="L73" s="820"/>
      <c r="M73" s="820"/>
      <c r="N73" s="820"/>
      <c r="O73" s="820"/>
      <c r="P73" s="820"/>
      <c r="Q73" s="820"/>
      <c r="R73" s="820"/>
      <c r="S73" s="735"/>
      <c r="T73" s="820"/>
      <c r="U73" s="3204"/>
      <c r="V73" s="3103" t="s">
        <v>8784</v>
      </c>
      <c r="W73" s="3103"/>
      <c r="X73" s="1737" t="str">
        <f>IF(HLOOKUP(Sheele!$D$5,'Tablas Sheele'!$C$29:$K$86,'Tablas Sheele'!B78,FALSE)=0,"",HLOOKUP(Sheele!$D$5,'Tablas Sheele'!$C$29:$K$86,'Tablas Sheele'!B78,FALSE))</f>
        <v/>
      </c>
      <c r="Y73" s="1589"/>
      <c r="Z73" s="1546">
        <f>IF(Principal!Q70="-","-",MIN(Principal!Q69,IF(X73="",-30,X73+IF('Tablas Sheele'!F$119&gt;0,40+20*('Tablas Sheele'!F$119-1),0))+10*Y73))</f>
        <v>-30</v>
      </c>
      <c r="AA73" s="773" t="s">
        <v>8733</v>
      </c>
      <c r="AB73" s="763"/>
    </row>
    <row r="74" spans="1:56" ht="12" customHeight="1" x14ac:dyDescent="0.2">
      <c r="A74" s="760"/>
      <c r="B74" s="693"/>
      <c r="C74" s="820"/>
      <c r="D74" s="820"/>
      <c r="E74" s="820"/>
      <c r="F74" s="820"/>
      <c r="G74" s="820"/>
      <c r="H74" s="820"/>
      <c r="I74" s="820"/>
      <c r="J74" s="820"/>
      <c r="K74" s="820"/>
      <c r="L74" s="820"/>
      <c r="M74" s="820"/>
      <c r="N74" s="820"/>
      <c r="O74" s="820"/>
      <c r="P74" s="820"/>
      <c r="Q74" s="820"/>
      <c r="R74" s="820"/>
      <c r="S74" s="735"/>
      <c r="T74" s="820"/>
      <c r="U74" s="3204"/>
      <c r="V74" s="3103" t="s">
        <v>8785</v>
      </c>
      <c r="W74" s="3103"/>
      <c r="X74" s="1737" t="str">
        <f>IF(HLOOKUP(Sheele!$D$5,'Tablas Sheele'!$C$29:$K$86,'Tablas Sheele'!B79,FALSE)=0,"",HLOOKUP(Sheele!$D$5,'Tablas Sheele'!$C$29:$K$86,'Tablas Sheele'!B79,FALSE))</f>
        <v/>
      </c>
      <c r="Y74" s="1589"/>
      <c r="Z74" s="1546" t="str">
        <f>IF(Principal!Q71="-","-",MIN(Principal!Q70,IF(X74="",-30,X74+IF('Tablas Sheele'!F$119&gt;0,40+20*('Tablas Sheele'!F$119-1),0))+10*Y74))</f>
        <v>-</v>
      </c>
      <c r="AA74" s="773" t="s">
        <v>8733</v>
      </c>
      <c r="AB74" s="763"/>
    </row>
    <row r="75" spans="1:56" ht="12" customHeight="1" x14ac:dyDescent="0.2">
      <c r="A75" s="760"/>
      <c r="B75" s="693"/>
      <c r="C75" s="820"/>
      <c r="D75" s="820"/>
      <c r="E75" s="820"/>
      <c r="F75" s="820"/>
      <c r="G75" s="820"/>
      <c r="H75" s="820"/>
      <c r="I75" s="820"/>
      <c r="J75" s="820"/>
      <c r="K75" s="820"/>
      <c r="L75" s="820"/>
      <c r="M75" s="820"/>
      <c r="N75" s="820"/>
      <c r="O75" s="820"/>
      <c r="P75" s="820"/>
      <c r="Q75" s="820"/>
      <c r="R75" s="820"/>
      <c r="S75" s="735"/>
      <c r="T75" s="820"/>
      <c r="U75" s="3205"/>
      <c r="V75" s="4198" t="s">
        <v>8786</v>
      </c>
      <c r="W75" s="3299"/>
      <c r="X75" s="689" t="str">
        <f>IF(HLOOKUP(Sheele!$D$5,'Tablas Sheele'!$C$29:$K$86,'Tablas Sheele'!B80,FALSE)=0,"",HLOOKUP(Sheele!$D$5,'Tablas Sheele'!$C$29:$K$86,'Tablas Sheele'!B80,FALSE))</f>
        <v/>
      </c>
      <c r="Y75" s="1590"/>
      <c r="Z75" s="1547" t="str">
        <f>IF(Principal!Q72="-","-",MIN(Principal!Q71,IF(X75="",-30,X75+IF('Tablas Sheele'!F$119&gt;0,40+20*('Tablas Sheele'!F$119-1),0))+10*Y75))</f>
        <v>-</v>
      </c>
      <c r="AA75" s="773" t="s">
        <v>8733</v>
      </c>
      <c r="AB75" s="763"/>
    </row>
    <row r="76" spans="1:56" ht="12" customHeight="1" x14ac:dyDescent="0.2">
      <c r="A76" s="760"/>
      <c r="B76" s="693"/>
      <c r="C76" s="820"/>
      <c r="D76" s="820"/>
      <c r="E76" s="820"/>
      <c r="F76" s="820"/>
      <c r="G76" s="820"/>
      <c r="H76" s="820"/>
      <c r="I76" s="820"/>
      <c r="J76" s="820"/>
      <c r="K76" s="820"/>
      <c r="L76" s="820"/>
      <c r="M76" s="820"/>
      <c r="N76" s="820"/>
      <c r="O76" s="820"/>
      <c r="P76" s="820"/>
      <c r="Q76" s="820"/>
      <c r="R76" s="820"/>
      <c r="S76" s="735"/>
      <c r="T76" s="820"/>
      <c r="U76" s="3204" t="s">
        <v>2332</v>
      </c>
      <c r="V76" s="3103" t="str">
        <f>IF(PDs!P180="","-",PDs!P180)</f>
        <v>-</v>
      </c>
      <c r="W76" s="3103"/>
      <c r="X76" s="1737" t="str">
        <f>IF(HLOOKUP(Sheele!$D$5,'Tablas Sheele'!$C$29:$K$86,'Tablas Sheele'!B81,FALSE)=0,"",HLOOKUP(Sheele!$D$5,'Tablas Sheele'!$C$29:$K$86,'Tablas Sheele'!B81,FALSE))</f>
        <v/>
      </c>
      <c r="Y76" s="1589"/>
      <c r="Z76" s="1546" t="str">
        <f>IF(Principal!Q73="-","-",MIN(Principal!Q72,IF(X76="",-30,X76+IF('Tablas Sheele'!F$119&gt;0,40+20*('Tablas Sheele'!F$119-1),0))+10*Y76))</f>
        <v>-</v>
      </c>
      <c r="AA76" s="773" t="s">
        <v>8733</v>
      </c>
      <c r="AB76" s="763"/>
    </row>
    <row r="77" spans="1:56" ht="12" customHeight="1" x14ac:dyDescent="0.2">
      <c r="A77" s="760"/>
      <c r="B77" s="693"/>
      <c r="C77" s="820"/>
      <c r="D77" s="820"/>
      <c r="E77" s="820"/>
      <c r="F77" s="820"/>
      <c r="G77" s="820"/>
      <c r="H77" s="820"/>
      <c r="I77" s="820"/>
      <c r="J77" s="820"/>
      <c r="K77" s="820"/>
      <c r="L77" s="820"/>
      <c r="M77" s="820"/>
      <c r="N77" s="820"/>
      <c r="O77" s="820"/>
      <c r="P77" s="820"/>
      <c r="Q77" s="820"/>
      <c r="R77" s="820"/>
      <c r="S77" s="735"/>
      <c r="T77" s="820"/>
      <c r="U77" s="3204"/>
      <c r="V77" s="3103" t="str">
        <f>IF(PDs!P181="","-",PDs!P181)</f>
        <v>-</v>
      </c>
      <c r="W77" s="3103"/>
      <c r="X77" s="1737" t="str">
        <f>IF(HLOOKUP(Sheele!$D$5,'Tablas Sheele'!$C$29:$K$86,'Tablas Sheele'!B82,FALSE)=0,"",HLOOKUP(Sheele!$D$5,'Tablas Sheele'!$C$29:$K$86,'Tablas Sheele'!B82,FALSE))</f>
        <v/>
      </c>
      <c r="Y77" s="1589"/>
      <c r="Z77" s="1546" t="str">
        <f>IF(Principal!Q74="-","-",MIN(Principal!Q73,IF(X77="",-30,X77+IF('Tablas Sheele'!F$119&gt;0,40+20*('Tablas Sheele'!F$119-1),0))+10*Y77))</f>
        <v>-</v>
      </c>
      <c r="AA77" s="773" t="s">
        <v>8733</v>
      </c>
      <c r="AB77" s="763"/>
    </row>
    <row r="78" spans="1:56" ht="12" customHeight="1" x14ac:dyDescent="0.2">
      <c r="A78" s="760"/>
      <c r="B78" s="693"/>
      <c r="C78" s="820"/>
      <c r="D78" s="820"/>
      <c r="E78" s="820"/>
      <c r="F78" s="820"/>
      <c r="G78" s="820"/>
      <c r="H78" s="820"/>
      <c r="I78" s="820"/>
      <c r="J78" s="820"/>
      <c r="K78" s="820"/>
      <c r="L78" s="820"/>
      <c r="M78" s="820"/>
      <c r="N78" s="820"/>
      <c r="O78" s="820"/>
      <c r="P78" s="820"/>
      <c r="Q78" s="820"/>
      <c r="R78" s="820"/>
      <c r="S78" s="735"/>
      <c r="T78" s="820"/>
      <c r="U78" s="3204"/>
      <c r="V78" s="3103" t="str">
        <f>IF(PDs!P182="","-",PDs!P182)</f>
        <v>-</v>
      </c>
      <c r="W78" s="3103"/>
      <c r="X78" s="1737" t="str">
        <f>IF(HLOOKUP(Sheele!$D$5,'Tablas Sheele'!$C$29:$K$86,'Tablas Sheele'!B83,FALSE)=0,"",HLOOKUP(Sheele!$D$5,'Tablas Sheele'!$C$29:$K$86,'Tablas Sheele'!B83,FALSE))</f>
        <v/>
      </c>
      <c r="Y78" s="1589"/>
      <c r="Z78" s="1546" t="str">
        <f>IF(Principal!Q75="-","-",MIN(Principal!Q74,IF(X78="",-30,X78+IF('Tablas Sheele'!F$119&gt;0,40+20*('Tablas Sheele'!F$119-1),0))+10*Y78))</f>
        <v>-</v>
      </c>
      <c r="AA78" s="773" t="s">
        <v>8733</v>
      </c>
      <c r="AB78" s="763"/>
      <c r="BD78" s="822"/>
    </row>
    <row r="79" spans="1:56" ht="12" customHeight="1" x14ac:dyDescent="0.2">
      <c r="A79" s="760"/>
      <c r="B79" s="693"/>
      <c r="C79" s="820"/>
      <c r="D79" s="820"/>
      <c r="E79" s="820"/>
      <c r="F79" s="820"/>
      <c r="G79" s="820"/>
      <c r="H79" s="820"/>
      <c r="I79" s="820"/>
      <c r="J79" s="820"/>
      <c r="K79" s="820"/>
      <c r="L79" s="820"/>
      <c r="M79" s="820"/>
      <c r="N79" s="820"/>
      <c r="O79" s="820"/>
      <c r="P79" s="820"/>
      <c r="Q79" s="820"/>
      <c r="R79" s="820"/>
      <c r="S79" s="735"/>
      <c r="T79" s="820"/>
      <c r="U79" s="3204"/>
      <c r="V79" s="3103" t="str">
        <f>IF(PDs!P183="","-",PDs!P183)</f>
        <v>-</v>
      </c>
      <c r="W79" s="3103"/>
      <c r="X79" s="1737" t="str">
        <f>IF(HLOOKUP(Sheele!$D$5,'Tablas Sheele'!$C$29:$K$86,'Tablas Sheele'!B84,FALSE)=0,"",HLOOKUP(Sheele!$D$5,'Tablas Sheele'!$C$29:$K$86,'Tablas Sheele'!B84,FALSE))</f>
        <v/>
      </c>
      <c r="Y79" s="1589"/>
      <c r="Z79" s="1546" t="str">
        <f>IF(Principal!Q76="-","-",MIN(Principal!Q75,IF(X79="",-30,X79+IF('Tablas Sheele'!F$119&gt;0,40+20*('Tablas Sheele'!F$119-1),0))+10*Y79))</f>
        <v>-</v>
      </c>
      <c r="AA79" s="773" t="s">
        <v>8733</v>
      </c>
      <c r="AB79" s="763"/>
      <c r="BD79" s="822"/>
    </row>
    <row r="80" spans="1:56" ht="12" customHeight="1" thickBot="1" x14ac:dyDescent="0.25">
      <c r="A80" s="760"/>
      <c r="B80" s="693"/>
      <c r="C80" s="820"/>
      <c r="D80" s="820"/>
      <c r="E80" s="820"/>
      <c r="F80" s="820"/>
      <c r="G80" s="820"/>
      <c r="H80" s="820"/>
      <c r="I80" s="820"/>
      <c r="J80" s="820"/>
      <c r="K80" s="820"/>
      <c r="L80" s="820"/>
      <c r="M80" s="820"/>
      <c r="N80" s="820"/>
      <c r="O80" s="820"/>
      <c r="P80" s="820"/>
      <c r="Q80" s="820"/>
      <c r="R80" s="820"/>
      <c r="S80" s="735"/>
      <c r="T80" s="820"/>
      <c r="U80" s="3294"/>
      <c r="V80" s="3295" t="str">
        <f>IF(PDs!P184="","-",PDs!P184)</f>
        <v>-</v>
      </c>
      <c r="W80" s="3295"/>
      <c r="X80" s="1464" t="str">
        <f>IF(HLOOKUP(Sheele!$D$5,'Tablas Sheele'!$C$29:$K$86,'Tablas Sheele'!B85,FALSE)=0,"",HLOOKUP(Sheele!$D$5,'Tablas Sheele'!$C$29:$K$86,'Tablas Sheele'!B85,FALSE))</f>
        <v/>
      </c>
      <c r="Y80" s="1591"/>
      <c r="Z80" s="1548" t="str">
        <f>IF(Principal!Q77="-","-",MIN(Principal!Q76,IF(X80="",-30,X80+IF('Tablas Sheele'!F$119&gt;0,40+20*('Tablas Sheele'!F$119-1),0))+10*Y80))</f>
        <v>-</v>
      </c>
      <c r="AA80" s="773" t="s">
        <v>8733</v>
      </c>
      <c r="AB80" s="763"/>
      <c r="BD80" s="822"/>
    </row>
    <row r="81" spans="1:59" ht="12" customHeight="1" thickBot="1" x14ac:dyDescent="0.25">
      <c r="A81" s="760"/>
      <c r="B81" s="818"/>
      <c r="C81" s="819"/>
      <c r="D81" s="819"/>
      <c r="E81" s="819"/>
      <c r="F81" s="819"/>
      <c r="G81" s="819"/>
      <c r="H81" s="819"/>
      <c r="I81" s="819"/>
      <c r="J81" s="819"/>
      <c r="K81" s="819"/>
      <c r="L81" s="819"/>
      <c r="M81" s="819"/>
      <c r="N81" s="819"/>
      <c r="O81" s="819"/>
      <c r="P81" s="819"/>
      <c r="Q81" s="819"/>
      <c r="R81" s="819"/>
      <c r="S81" s="819"/>
      <c r="T81" s="819"/>
      <c r="U81" s="1332"/>
      <c r="V81" s="1332"/>
      <c r="W81" s="1332"/>
      <c r="X81" s="1332"/>
      <c r="Y81" s="1332"/>
      <c r="Z81" s="1332"/>
      <c r="AA81" s="1550"/>
      <c r="AB81" s="763"/>
      <c r="BD81" s="822"/>
    </row>
    <row r="82" spans="1:59" ht="12" customHeight="1" x14ac:dyDescent="0.2">
      <c r="A82" s="760"/>
      <c r="B82" s="761"/>
      <c r="C82" s="761"/>
      <c r="D82" s="761"/>
      <c r="E82" s="761"/>
      <c r="F82" s="761"/>
      <c r="G82" s="761"/>
      <c r="H82" s="761"/>
      <c r="I82" s="761"/>
      <c r="J82" s="761"/>
      <c r="K82" s="761"/>
      <c r="L82" s="761"/>
      <c r="M82" s="761"/>
      <c r="N82" s="761"/>
      <c r="O82" s="761"/>
      <c r="P82" s="761"/>
      <c r="Q82" s="761"/>
      <c r="R82" s="761"/>
      <c r="S82" s="761"/>
      <c r="T82" s="761"/>
      <c r="U82" s="761"/>
      <c r="V82" s="761"/>
      <c r="W82" s="761"/>
      <c r="X82" s="761"/>
      <c r="Y82" s="761"/>
      <c r="Z82" s="761"/>
      <c r="AA82" s="1551"/>
      <c r="AB82" s="763"/>
      <c r="BD82" s="822"/>
    </row>
    <row r="83" spans="1:59" ht="12" customHeight="1" x14ac:dyDescent="0.2">
      <c r="AM83" s="781"/>
      <c r="AN83" s="781"/>
      <c r="AO83" s="781"/>
      <c r="AP83" s="781"/>
      <c r="AQ83" s="781"/>
      <c r="AR83" s="781"/>
      <c r="AS83" s="781"/>
      <c r="AT83" s="781"/>
      <c r="AU83" s="777"/>
      <c r="AV83" s="777"/>
      <c r="BD83" s="822"/>
    </row>
    <row r="84" spans="1:59" ht="12" customHeight="1" x14ac:dyDescent="0.2">
      <c r="AM84" s="781"/>
      <c r="AN84" s="781"/>
      <c r="AO84" s="781"/>
      <c r="AP84" s="781"/>
      <c r="AQ84" s="781"/>
      <c r="AR84" s="781"/>
      <c r="AS84" s="781"/>
      <c r="AT84" s="781"/>
      <c r="AU84" s="777"/>
      <c r="AV84" s="777"/>
      <c r="BD84" s="822"/>
    </row>
    <row r="85" spans="1:59" ht="12" customHeight="1" x14ac:dyDescent="0.2">
      <c r="A85" s="781"/>
      <c r="AM85" s="781"/>
      <c r="AN85" s="781"/>
      <c r="AO85" s="781"/>
      <c r="AP85" s="781"/>
      <c r="AQ85" s="781"/>
      <c r="AR85" s="781"/>
      <c r="AS85" s="781"/>
      <c r="AT85" s="781"/>
      <c r="AU85" s="777"/>
      <c r="AV85" s="777"/>
      <c r="BD85" s="822"/>
    </row>
    <row r="86" spans="1:59" ht="12" customHeight="1" x14ac:dyDescent="0.2">
      <c r="A86" s="781"/>
      <c r="AM86" s="781"/>
      <c r="AN86" s="781"/>
      <c r="AO86" s="781"/>
      <c r="AP86" s="781"/>
      <c r="AQ86" s="781"/>
      <c r="AR86" s="781"/>
      <c r="AS86" s="781"/>
      <c r="AT86" s="781"/>
      <c r="AU86" s="777"/>
      <c r="AV86" s="777"/>
      <c r="BD86" s="822"/>
    </row>
    <row r="87" spans="1:59" ht="12" customHeight="1" x14ac:dyDescent="0.2">
      <c r="A87" s="781"/>
      <c r="AM87" s="781"/>
      <c r="AN87" s="781"/>
      <c r="AO87" s="781"/>
      <c r="AP87" s="781"/>
      <c r="AQ87" s="781"/>
      <c r="AR87" s="781"/>
      <c r="AS87" s="781"/>
      <c r="AT87" s="781"/>
      <c r="AU87" s="777"/>
      <c r="AV87" s="777"/>
      <c r="BD87" s="822"/>
    </row>
    <row r="88" spans="1:59" ht="12" customHeight="1" x14ac:dyDescent="0.2">
      <c r="A88" s="781"/>
      <c r="B88" s="823"/>
      <c r="AM88" s="781"/>
      <c r="AN88" s="781"/>
      <c r="AO88" s="781"/>
      <c r="AP88" s="781"/>
      <c r="AQ88" s="781"/>
      <c r="AR88" s="781"/>
      <c r="AS88" s="781"/>
      <c r="AT88" s="781"/>
      <c r="AU88" s="777"/>
      <c r="AV88" s="777"/>
      <c r="BD88" s="822"/>
    </row>
    <row r="89" spans="1:59" ht="12" customHeight="1" x14ac:dyDescent="0.2">
      <c r="A89" s="781"/>
      <c r="B89" s="823"/>
      <c r="C89" s="781"/>
      <c r="AM89" s="781"/>
      <c r="AN89" s="781"/>
      <c r="AO89" s="781"/>
      <c r="AP89" s="781"/>
      <c r="AQ89" s="781"/>
      <c r="AR89" s="781"/>
      <c r="AS89" s="781"/>
      <c r="AT89" s="781"/>
      <c r="AU89" s="777"/>
      <c r="AV89" s="777"/>
      <c r="BD89" s="822"/>
    </row>
    <row r="90" spans="1:59" ht="12" customHeight="1" x14ac:dyDescent="0.2">
      <c r="A90" s="735"/>
      <c r="B90" s="824"/>
      <c r="AM90" s="781"/>
      <c r="AN90" s="781"/>
      <c r="AO90" s="781"/>
      <c r="AP90" s="781"/>
      <c r="AQ90" s="781"/>
      <c r="AR90" s="781"/>
      <c r="AS90" s="781"/>
      <c r="AT90" s="781"/>
      <c r="AU90" s="777"/>
      <c r="AV90" s="777"/>
      <c r="BD90" s="822"/>
    </row>
    <row r="91" spans="1:59" ht="12" customHeight="1" x14ac:dyDescent="0.2">
      <c r="A91" s="735"/>
      <c r="AM91" s="781"/>
      <c r="AN91" s="781"/>
      <c r="AO91" s="781"/>
      <c r="AP91" s="781"/>
      <c r="AQ91" s="781"/>
      <c r="AR91" s="781"/>
      <c r="AS91" s="781"/>
      <c r="AT91" s="781"/>
      <c r="AU91" s="777"/>
      <c r="AV91" s="777"/>
      <c r="BD91" s="822"/>
    </row>
    <row r="92" spans="1:59" ht="12" customHeight="1" x14ac:dyDescent="0.2">
      <c r="A92" s="735"/>
      <c r="E92" s="825"/>
      <c r="F92" s="825"/>
      <c r="AM92" s="781"/>
      <c r="AN92" s="781"/>
      <c r="AO92" s="781"/>
      <c r="AP92" s="781"/>
      <c r="AQ92" s="781"/>
      <c r="AR92" s="781"/>
      <c r="AS92" s="781"/>
      <c r="AT92" s="781"/>
      <c r="AU92" s="777"/>
      <c r="AV92" s="777"/>
      <c r="BD92" s="822"/>
    </row>
    <row r="93" spans="1:59" ht="12" customHeight="1" x14ac:dyDescent="0.2">
      <c r="A93" s="735"/>
      <c r="E93" s="825"/>
      <c r="F93" s="825"/>
      <c r="AM93" s="781"/>
      <c r="AN93" s="781"/>
      <c r="AO93" s="781"/>
      <c r="AP93" s="781"/>
      <c r="AQ93" s="781"/>
      <c r="AR93" s="781"/>
      <c r="AS93" s="781"/>
      <c r="AT93" s="781"/>
      <c r="AU93" s="777"/>
      <c r="AV93" s="777"/>
      <c r="BD93" s="822"/>
    </row>
    <row r="94" spans="1:59" ht="12" customHeight="1" x14ac:dyDescent="0.2">
      <c r="A94" s="735"/>
      <c r="E94" s="825"/>
      <c r="F94" s="825"/>
      <c r="AM94" s="781"/>
      <c r="AN94" s="781"/>
      <c r="AO94" s="781"/>
      <c r="AP94" s="781"/>
      <c r="AQ94" s="781"/>
      <c r="AR94" s="781"/>
      <c r="AS94" s="781"/>
      <c r="AT94" s="781"/>
      <c r="AU94" s="777"/>
      <c r="AV94" s="777"/>
      <c r="BD94" s="822"/>
    </row>
    <row r="95" spans="1:59" ht="12" customHeight="1" x14ac:dyDescent="0.2">
      <c r="A95" s="735"/>
      <c r="E95" s="825"/>
      <c r="F95" s="825"/>
      <c r="AM95" s="781"/>
      <c r="AN95" s="781"/>
      <c r="AO95" s="781"/>
      <c r="AP95" s="781"/>
      <c r="AQ95" s="781"/>
      <c r="AR95" s="781"/>
      <c r="AS95" s="781"/>
      <c r="AT95" s="781"/>
      <c r="AU95" s="777"/>
      <c r="AV95" s="777"/>
      <c r="BD95" s="822"/>
    </row>
    <row r="96" spans="1:59" ht="12" customHeight="1" x14ac:dyDescent="0.2">
      <c r="A96" s="735"/>
      <c r="E96" s="735"/>
      <c r="F96" s="735"/>
      <c r="AM96" s="781"/>
      <c r="AN96" s="781"/>
      <c r="AO96" s="781"/>
      <c r="AP96" s="781"/>
      <c r="AQ96" s="781"/>
      <c r="AR96" s="781"/>
      <c r="AS96" s="781"/>
      <c r="AT96" s="781"/>
      <c r="AU96" s="777"/>
      <c r="AV96" s="777"/>
      <c r="BD96" s="822"/>
      <c r="BE96" s="822"/>
      <c r="BF96" s="822"/>
      <c r="BG96" s="822"/>
    </row>
    <row r="97" spans="1:59" ht="12" customHeight="1" x14ac:dyDescent="0.2">
      <c r="A97" s="735"/>
      <c r="S97" s="764"/>
      <c r="U97" s="781"/>
      <c r="V97" s="781"/>
      <c r="W97" s="781"/>
      <c r="AM97" s="781"/>
      <c r="AN97" s="781"/>
      <c r="AO97" s="781"/>
      <c r="AP97" s="781"/>
      <c r="AQ97" s="781"/>
      <c r="AR97" s="781"/>
      <c r="AS97" s="781"/>
      <c r="AT97" s="781"/>
      <c r="AU97" s="777"/>
      <c r="AV97" s="777"/>
      <c r="BD97" s="822"/>
      <c r="BE97" s="822"/>
      <c r="BF97" s="822"/>
      <c r="BG97" s="822"/>
    </row>
    <row r="98" spans="1:59" ht="12" customHeight="1" x14ac:dyDescent="0.2">
      <c r="A98" s="735"/>
      <c r="S98" s="764"/>
      <c r="U98" s="781"/>
      <c r="V98" s="781"/>
      <c r="W98" s="781"/>
      <c r="AM98" s="781"/>
      <c r="AN98" s="781"/>
      <c r="AO98" s="781"/>
      <c r="AP98" s="781"/>
      <c r="AQ98" s="781"/>
      <c r="AR98" s="781"/>
      <c r="AS98" s="781"/>
      <c r="AT98" s="781"/>
      <c r="AU98" s="777"/>
      <c r="AV98" s="777"/>
      <c r="BD98" s="822"/>
      <c r="BE98" s="822"/>
      <c r="BF98" s="822"/>
      <c r="BG98" s="822"/>
    </row>
    <row r="99" spans="1:59" ht="12" customHeight="1" x14ac:dyDescent="0.2">
      <c r="A99" s="735"/>
      <c r="C99" s="826"/>
      <c r="D99" s="826"/>
      <c r="S99" s="764"/>
      <c r="U99" s="781"/>
      <c r="V99" s="781"/>
      <c r="W99" s="781"/>
      <c r="AM99" s="781"/>
      <c r="AN99" s="781"/>
      <c r="AO99" s="781"/>
      <c r="AP99" s="781"/>
      <c r="AQ99" s="781"/>
      <c r="AR99" s="781"/>
      <c r="AS99" s="781"/>
      <c r="AT99" s="781"/>
      <c r="AU99" s="777"/>
      <c r="AV99" s="777"/>
      <c r="BD99" s="822"/>
      <c r="BE99" s="822"/>
      <c r="BF99" s="822"/>
      <c r="BG99" s="822"/>
    </row>
    <row r="100" spans="1:59" ht="12" customHeight="1" x14ac:dyDescent="0.2">
      <c r="A100" s="735"/>
      <c r="C100" s="735"/>
      <c r="D100" s="735"/>
      <c r="Q100" s="781"/>
      <c r="R100" s="781"/>
      <c r="T100" s="781"/>
      <c r="U100" s="781"/>
      <c r="V100" s="781"/>
      <c r="W100" s="781"/>
      <c r="AM100" s="781"/>
      <c r="AN100" s="781"/>
      <c r="AO100" s="781"/>
      <c r="AP100" s="781"/>
      <c r="AQ100" s="781"/>
      <c r="AR100" s="781"/>
      <c r="AS100" s="781"/>
      <c r="AT100" s="781"/>
      <c r="AU100" s="777"/>
      <c r="AV100" s="777"/>
      <c r="BD100" s="822"/>
      <c r="BE100" s="822"/>
      <c r="BF100" s="822"/>
      <c r="BG100" s="822"/>
    </row>
    <row r="101" spans="1:59" ht="12" customHeight="1" x14ac:dyDescent="0.2">
      <c r="A101" s="735"/>
      <c r="C101" s="735"/>
      <c r="D101" s="735"/>
      <c r="Q101" s="781"/>
      <c r="R101" s="781"/>
      <c r="T101" s="781"/>
      <c r="U101" s="781"/>
      <c r="V101" s="781"/>
      <c r="W101" s="781"/>
      <c r="AM101" s="781"/>
      <c r="AN101" s="781"/>
      <c r="AO101" s="781"/>
      <c r="AP101" s="781"/>
      <c r="AQ101" s="781"/>
      <c r="AR101" s="781"/>
      <c r="AS101" s="781"/>
      <c r="AT101" s="781"/>
      <c r="AU101" s="777"/>
      <c r="AV101" s="777"/>
      <c r="BD101" s="822"/>
      <c r="BE101" s="822"/>
      <c r="BF101" s="822"/>
      <c r="BG101" s="822"/>
    </row>
    <row r="102" spans="1:59" ht="12" customHeight="1" x14ac:dyDescent="0.2">
      <c r="A102" s="735"/>
      <c r="C102" s="735"/>
      <c r="D102" s="735"/>
      <c r="E102" s="781"/>
      <c r="F102" s="781"/>
      <c r="G102" s="781"/>
      <c r="H102" s="739"/>
      <c r="I102" s="781"/>
      <c r="J102" s="781"/>
      <c r="Q102" s="781"/>
      <c r="R102" s="781"/>
      <c r="T102" s="781"/>
      <c r="U102" s="781"/>
      <c r="V102" s="781"/>
      <c r="W102" s="781"/>
      <c r="AM102" s="781"/>
      <c r="AN102" s="781"/>
      <c r="AO102" s="781"/>
      <c r="AP102" s="781"/>
      <c r="AQ102" s="781"/>
      <c r="AR102" s="781"/>
      <c r="AS102" s="781"/>
      <c r="AT102" s="781"/>
      <c r="AU102" s="777"/>
      <c r="AV102" s="777"/>
      <c r="BD102" s="822"/>
      <c r="BE102" s="822"/>
      <c r="BF102" s="822"/>
      <c r="BG102" s="822"/>
    </row>
    <row r="103" spans="1:59" ht="12" customHeight="1" x14ac:dyDescent="0.2">
      <c r="A103" s="735"/>
      <c r="B103" s="735"/>
      <c r="C103" s="735"/>
      <c r="D103" s="735"/>
      <c r="E103" s="781"/>
      <c r="F103" s="781"/>
      <c r="G103" s="781"/>
      <c r="H103" s="739"/>
      <c r="I103" s="781"/>
      <c r="J103" s="781"/>
      <c r="Q103" s="781"/>
      <c r="R103" s="781"/>
      <c r="T103" s="781"/>
      <c r="U103" s="781"/>
      <c r="V103" s="781"/>
      <c r="W103" s="781"/>
      <c r="AM103" s="781"/>
      <c r="AN103" s="781"/>
      <c r="AO103" s="781"/>
      <c r="AP103" s="781"/>
      <c r="AQ103" s="781"/>
      <c r="AR103" s="781"/>
      <c r="AS103" s="781"/>
      <c r="AT103" s="781"/>
      <c r="AU103" s="777"/>
      <c r="AV103" s="777"/>
      <c r="BD103" s="822"/>
      <c r="BE103" s="822"/>
      <c r="BF103" s="822"/>
      <c r="BG103" s="822"/>
    </row>
    <row r="104" spans="1:59" ht="12" customHeight="1" x14ac:dyDescent="0.2">
      <c r="A104" s="735"/>
      <c r="B104" s="781"/>
      <c r="C104" s="735"/>
      <c r="D104" s="735"/>
      <c r="E104" s="781"/>
      <c r="F104" s="781"/>
      <c r="G104" s="781"/>
      <c r="H104" s="739"/>
      <c r="I104" s="781"/>
      <c r="J104" s="781"/>
      <c r="Q104" s="781"/>
      <c r="R104" s="781"/>
      <c r="T104" s="781"/>
      <c r="U104" s="781"/>
      <c r="V104" s="781"/>
      <c r="W104" s="781"/>
      <c r="AM104" s="781"/>
      <c r="AN104" s="781"/>
      <c r="AO104" s="781"/>
      <c r="AP104" s="781"/>
      <c r="AQ104" s="781"/>
      <c r="AR104" s="781"/>
      <c r="AS104" s="781"/>
      <c r="AT104" s="781"/>
      <c r="AU104" s="777"/>
      <c r="AV104" s="777"/>
      <c r="BD104" s="822"/>
      <c r="BE104" s="822"/>
      <c r="BF104" s="822"/>
      <c r="BG104" s="822"/>
    </row>
    <row r="105" spans="1:59" ht="12" customHeight="1" x14ac:dyDescent="0.2">
      <c r="A105" s="781"/>
      <c r="B105" s="827"/>
      <c r="C105" s="735"/>
      <c r="D105" s="735"/>
      <c r="E105" s="781"/>
      <c r="F105" s="781"/>
      <c r="G105" s="781"/>
      <c r="H105" s="739"/>
      <c r="I105" s="781"/>
      <c r="J105" s="781"/>
      <c r="Q105" s="781"/>
      <c r="R105" s="781"/>
      <c r="T105" s="781"/>
      <c r="U105" s="781"/>
      <c r="V105" s="781"/>
      <c r="W105" s="781"/>
      <c r="AM105" s="781"/>
      <c r="AN105" s="781"/>
      <c r="AO105" s="781"/>
      <c r="AP105" s="781"/>
      <c r="AQ105" s="781"/>
      <c r="AR105" s="781"/>
      <c r="AS105" s="781"/>
      <c r="AT105" s="781"/>
      <c r="AU105" s="777"/>
      <c r="AV105" s="777"/>
      <c r="BD105" s="822"/>
      <c r="BE105" s="822"/>
      <c r="BF105" s="822"/>
      <c r="BG105" s="822"/>
    </row>
    <row r="106" spans="1:59" ht="12" customHeight="1" x14ac:dyDescent="0.2">
      <c r="A106" s="781"/>
      <c r="B106" s="827"/>
      <c r="C106" s="825"/>
      <c r="D106" s="825"/>
      <c r="E106" s="781"/>
      <c r="F106" s="781"/>
      <c r="G106" s="781"/>
      <c r="H106" s="739"/>
      <c r="I106" s="781"/>
      <c r="J106" s="781"/>
      <c r="Q106" s="781"/>
      <c r="R106" s="781"/>
      <c r="T106" s="781"/>
      <c r="U106" s="781"/>
      <c r="V106" s="781"/>
      <c r="W106" s="781"/>
      <c r="AM106" s="781"/>
      <c r="AN106" s="781"/>
      <c r="AO106" s="781"/>
      <c r="AP106" s="781"/>
      <c r="AQ106" s="781"/>
      <c r="AR106" s="781"/>
      <c r="AS106" s="781"/>
      <c r="AT106" s="781"/>
      <c r="AU106" s="777"/>
      <c r="AV106" s="777"/>
      <c r="BD106" s="822"/>
      <c r="BE106" s="822"/>
      <c r="BF106" s="822"/>
      <c r="BG106" s="822"/>
    </row>
    <row r="107" spans="1:59" ht="12" customHeight="1" x14ac:dyDescent="0.2">
      <c r="A107" s="781"/>
      <c r="B107" s="827"/>
      <c r="C107" s="825"/>
      <c r="D107" s="825"/>
      <c r="E107" s="781"/>
      <c r="F107" s="781"/>
      <c r="G107" s="781"/>
      <c r="H107" s="739"/>
      <c r="I107" s="781"/>
      <c r="J107" s="781"/>
      <c r="Q107" s="781"/>
      <c r="R107" s="781"/>
      <c r="T107" s="781"/>
      <c r="U107" s="781"/>
      <c r="V107" s="781"/>
      <c r="W107" s="781"/>
      <c r="AM107" s="781"/>
      <c r="AN107" s="781"/>
      <c r="AO107" s="781"/>
      <c r="AP107" s="781"/>
      <c r="AQ107" s="781"/>
      <c r="AR107" s="781"/>
      <c r="AS107" s="781"/>
      <c r="AT107" s="781"/>
      <c r="AU107" s="777"/>
      <c r="AV107" s="777"/>
      <c r="BD107" s="822"/>
      <c r="BE107" s="822"/>
      <c r="BF107" s="822"/>
      <c r="BG107" s="822"/>
    </row>
    <row r="108" spans="1:59" ht="12" customHeight="1" x14ac:dyDescent="0.2">
      <c r="A108" s="781"/>
      <c r="B108" s="827"/>
      <c r="C108" s="825"/>
      <c r="D108" s="825"/>
      <c r="E108" s="781"/>
      <c r="F108" s="781"/>
      <c r="G108" s="781"/>
      <c r="H108" s="739"/>
      <c r="I108" s="781"/>
      <c r="J108" s="781"/>
      <c r="Q108" s="781"/>
      <c r="R108" s="781"/>
      <c r="T108" s="781"/>
      <c r="U108" s="781"/>
      <c r="V108" s="781"/>
      <c r="W108" s="781"/>
      <c r="AM108" s="781"/>
      <c r="AN108" s="781"/>
      <c r="AO108" s="781"/>
      <c r="AP108" s="781"/>
      <c r="AQ108" s="781"/>
      <c r="AR108" s="781"/>
      <c r="AS108" s="781"/>
      <c r="AT108" s="781"/>
      <c r="AU108" s="777"/>
      <c r="AV108" s="777"/>
      <c r="BD108" s="822"/>
      <c r="BE108" s="822"/>
      <c r="BF108" s="822"/>
      <c r="BG108" s="822"/>
    </row>
    <row r="109" spans="1:59" ht="12" customHeight="1" x14ac:dyDescent="0.2">
      <c r="A109" s="781"/>
      <c r="B109" s="827"/>
      <c r="C109" s="825"/>
      <c r="D109" s="825"/>
      <c r="E109" s="825"/>
      <c r="F109" s="825"/>
      <c r="G109" s="825"/>
      <c r="H109" s="828"/>
      <c r="T109" s="781"/>
      <c r="U109" s="781"/>
      <c r="AM109" s="781"/>
      <c r="AN109" s="781"/>
      <c r="AO109" s="781"/>
      <c r="AP109" s="781"/>
      <c r="AQ109" s="781"/>
      <c r="AR109" s="781"/>
      <c r="AS109" s="781"/>
      <c r="AT109" s="781"/>
      <c r="AU109" s="777"/>
      <c r="AV109" s="777"/>
      <c r="BD109" s="822"/>
      <c r="BE109" s="822"/>
      <c r="BF109" s="822"/>
      <c r="BG109" s="822"/>
    </row>
    <row r="110" spans="1:59" ht="12" customHeight="1" x14ac:dyDescent="0.2">
      <c r="A110" s="781"/>
      <c r="B110" s="827"/>
      <c r="C110" s="825"/>
      <c r="D110" s="825"/>
      <c r="E110" s="825"/>
      <c r="F110" s="825"/>
      <c r="G110" s="825"/>
      <c r="H110" s="828"/>
      <c r="T110" s="781"/>
      <c r="U110" s="781"/>
      <c r="AB110" s="781"/>
      <c r="AM110" s="781"/>
      <c r="AN110" s="781"/>
      <c r="AO110" s="781"/>
      <c r="AP110" s="781"/>
      <c r="AQ110" s="781"/>
      <c r="AR110" s="781"/>
      <c r="AS110" s="781"/>
      <c r="AT110" s="781"/>
      <c r="AU110" s="777"/>
      <c r="AV110" s="777"/>
      <c r="BD110" s="822"/>
      <c r="BE110" s="822"/>
      <c r="BF110" s="822"/>
      <c r="BG110" s="822"/>
    </row>
    <row r="111" spans="1:59" ht="12" customHeight="1" x14ac:dyDescent="0.2">
      <c r="A111" s="781"/>
      <c r="B111" s="827"/>
      <c r="C111" s="825"/>
      <c r="D111" s="825"/>
      <c r="E111" s="825"/>
      <c r="F111" s="825"/>
      <c r="G111" s="825"/>
      <c r="H111" s="828"/>
      <c r="T111" s="781"/>
      <c r="U111" s="781"/>
      <c r="AB111" s="781"/>
      <c r="AM111" s="781"/>
      <c r="AN111" s="781"/>
      <c r="AO111" s="781"/>
      <c r="AP111" s="781"/>
      <c r="AQ111" s="781"/>
      <c r="AR111" s="781"/>
      <c r="AS111" s="781"/>
      <c r="AT111" s="781"/>
      <c r="AU111" s="777"/>
      <c r="AV111" s="777"/>
      <c r="BD111" s="822"/>
      <c r="BE111" s="822"/>
      <c r="BF111" s="822"/>
      <c r="BG111" s="822"/>
    </row>
    <row r="112" spans="1:59" ht="12" customHeight="1" x14ac:dyDescent="0.2">
      <c r="A112" s="781"/>
      <c r="B112" s="827"/>
      <c r="C112" s="735"/>
      <c r="D112" s="735"/>
      <c r="E112" s="735"/>
      <c r="F112" s="735"/>
      <c r="G112" s="735"/>
      <c r="H112" s="735"/>
      <c r="T112" s="781"/>
      <c r="U112" s="781"/>
      <c r="AM112" s="781"/>
      <c r="AN112" s="781"/>
      <c r="AO112" s="781"/>
      <c r="AP112" s="781"/>
      <c r="AQ112" s="781"/>
      <c r="AR112" s="781"/>
      <c r="AS112" s="781"/>
      <c r="AT112" s="781"/>
      <c r="AU112" s="777"/>
      <c r="AV112" s="777"/>
      <c r="BD112" s="822"/>
      <c r="BE112" s="822"/>
      <c r="BF112" s="822"/>
      <c r="BG112" s="822"/>
    </row>
    <row r="113" spans="1:59" ht="12" customHeight="1" x14ac:dyDescent="0.2">
      <c r="A113" s="781"/>
      <c r="B113" s="827"/>
      <c r="T113" s="781"/>
      <c r="U113" s="781"/>
      <c r="AM113" s="781"/>
      <c r="AN113" s="781"/>
      <c r="AO113" s="781"/>
      <c r="AP113" s="781"/>
      <c r="AQ113" s="781"/>
      <c r="AR113" s="781"/>
      <c r="AS113" s="781"/>
      <c r="AT113" s="781"/>
      <c r="AU113" s="777"/>
      <c r="AV113" s="777"/>
      <c r="BD113" s="822"/>
      <c r="BE113" s="822"/>
      <c r="BF113" s="822"/>
      <c r="BG113" s="822"/>
    </row>
    <row r="114" spans="1:59" ht="12" customHeight="1" x14ac:dyDescent="0.2">
      <c r="A114" s="781"/>
      <c r="B114" s="827"/>
      <c r="T114" s="781"/>
      <c r="U114" s="781"/>
      <c r="AM114" s="781"/>
      <c r="AN114" s="781"/>
      <c r="AO114" s="781"/>
      <c r="AP114" s="781"/>
      <c r="AQ114" s="781"/>
      <c r="AR114" s="781"/>
      <c r="AS114" s="781"/>
      <c r="AT114" s="781"/>
      <c r="AU114" s="777"/>
      <c r="AV114" s="777"/>
      <c r="BD114" s="822"/>
      <c r="BE114" s="822"/>
      <c r="BF114" s="822"/>
      <c r="BG114" s="822"/>
    </row>
    <row r="115" spans="1:59" ht="12" customHeight="1" x14ac:dyDescent="0.2">
      <c r="A115" s="781"/>
      <c r="B115" s="781"/>
      <c r="T115" s="781"/>
      <c r="U115" s="781"/>
      <c r="AM115" s="781"/>
      <c r="AN115" s="781"/>
      <c r="AO115" s="781"/>
      <c r="AP115" s="781"/>
      <c r="AQ115" s="781"/>
      <c r="AR115" s="781"/>
      <c r="AS115" s="781"/>
      <c r="AT115" s="781"/>
      <c r="AU115" s="777"/>
      <c r="AV115" s="777"/>
      <c r="BD115" s="822"/>
      <c r="BE115" s="822"/>
      <c r="BF115" s="822"/>
      <c r="BG115" s="822"/>
    </row>
    <row r="116" spans="1:59" ht="12" customHeight="1" x14ac:dyDescent="0.2">
      <c r="A116" s="781"/>
      <c r="B116" s="781"/>
      <c r="O116" s="781"/>
      <c r="P116" s="781"/>
      <c r="Q116" s="781"/>
      <c r="R116" s="781"/>
      <c r="T116" s="781"/>
      <c r="U116" s="781"/>
      <c r="AM116" s="781"/>
      <c r="AN116" s="781"/>
      <c r="AO116" s="781"/>
      <c r="AP116" s="781"/>
      <c r="AQ116" s="781"/>
      <c r="AR116" s="781"/>
      <c r="AS116" s="781"/>
      <c r="AT116" s="781"/>
      <c r="AU116" s="777"/>
      <c r="AV116" s="777"/>
      <c r="BD116" s="822"/>
      <c r="BE116" s="822"/>
      <c r="BF116" s="822"/>
      <c r="BG116" s="822"/>
    </row>
    <row r="117" spans="1:59" ht="12" customHeight="1" x14ac:dyDescent="0.2">
      <c r="A117" s="781"/>
      <c r="B117" s="739"/>
      <c r="O117" s="781"/>
      <c r="P117" s="781"/>
      <c r="Q117" s="781"/>
      <c r="R117" s="781"/>
      <c r="T117" s="781"/>
      <c r="U117" s="781"/>
      <c r="AM117" s="781"/>
      <c r="AN117" s="781"/>
      <c r="AO117" s="781"/>
      <c r="AP117" s="781"/>
      <c r="AQ117" s="781"/>
      <c r="AR117" s="781"/>
      <c r="AS117" s="781"/>
      <c r="AT117" s="781"/>
      <c r="AU117" s="777"/>
      <c r="AV117" s="777"/>
      <c r="BD117" s="822"/>
      <c r="BE117" s="822"/>
      <c r="BF117" s="822"/>
      <c r="BG117" s="822"/>
    </row>
    <row r="118" spans="1:59" ht="12" customHeight="1" x14ac:dyDescent="0.2">
      <c r="A118" s="781"/>
      <c r="B118" s="739"/>
      <c r="C118" s="781"/>
      <c r="D118" s="781"/>
      <c r="E118" s="781"/>
      <c r="F118" s="739"/>
      <c r="G118" s="781"/>
      <c r="H118" s="781"/>
      <c r="O118" s="781"/>
      <c r="P118" s="781"/>
      <c r="Q118" s="781"/>
      <c r="R118" s="781"/>
      <c r="T118" s="781"/>
      <c r="U118" s="781"/>
      <c r="AM118" s="781"/>
      <c r="AN118" s="781"/>
      <c r="AO118" s="781"/>
      <c r="AP118" s="781"/>
      <c r="AQ118" s="781"/>
      <c r="AR118" s="781"/>
      <c r="AS118" s="781"/>
      <c r="AT118" s="781"/>
      <c r="AU118" s="777"/>
      <c r="AV118" s="777"/>
      <c r="BD118" s="822"/>
      <c r="BE118" s="822"/>
      <c r="BF118" s="822"/>
      <c r="BG118" s="822"/>
    </row>
    <row r="119" spans="1:59" ht="12" customHeight="1" x14ac:dyDescent="0.2">
      <c r="A119" s="781"/>
      <c r="B119" s="739"/>
      <c r="C119" s="781"/>
      <c r="D119" s="781"/>
      <c r="E119" s="781"/>
      <c r="F119" s="739"/>
      <c r="G119" s="781"/>
      <c r="H119" s="781"/>
      <c r="O119" s="781"/>
      <c r="P119" s="781"/>
      <c r="Q119" s="781"/>
      <c r="R119" s="781"/>
      <c r="T119" s="781"/>
      <c r="U119" s="781"/>
      <c r="AM119" s="781"/>
      <c r="AN119" s="781"/>
      <c r="AO119" s="781"/>
      <c r="AP119" s="781"/>
      <c r="AQ119" s="781"/>
      <c r="AR119" s="781"/>
      <c r="AS119" s="781"/>
      <c r="AT119" s="781"/>
      <c r="AU119" s="777"/>
      <c r="AV119" s="777"/>
      <c r="BD119" s="822"/>
      <c r="BE119" s="822"/>
      <c r="BF119" s="822"/>
      <c r="BG119" s="822"/>
    </row>
    <row r="120" spans="1:59" ht="12" customHeight="1" x14ac:dyDescent="0.2">
      <c r="A120" s="781"/>
      <c r="B120" s="739"/>
      <c r="C120" s="781"/>
      <c r="D120" s="781"/>
      <c r="E120" s="781"/>
      <c r="F120" s="739"/>
      <c r="G120" s="781"/>
      <c r="H120" s="781"/>
      <c r="O120" s="781"/>
      <c r="P120" s="781"/>
      <c r="Q120" s="781"/>
      <c r="R120" s="781"/>
      <c r="T120" s="781"/>
      <c r="U120" s="781"/>
      <c r="AM120" s="781"/>
      <c r="AN120" s="781"/>
      <c r="AO120" s="781"/>
      <c r="AP120" s="781"/>
      <c r="AQ120" s="781"/>
      <c r="AR120" s="781"/>
      <c r="AS120" s="781"/>
      <c r="AT120" s="781"/>
      <c r="AU120" s="777"/>
      <c r="AV120" s="777"/>
      <c r="BD120" s="822"/>
      <c r="BE120" s="822"/>
      <c r="BF120" s="822"/>
      <c r="BG120" s="822"/>
    </row>
    <row r="121" spans="1:59" ht="12" customHeight="1" x14ac:dyDescent="0.2">
      <c r="A121" s="781"/>
      <c r="B121" s="739"/>
      <c r="C121" s="781"/>
      <c r="D121" s="781"/>
      <c r="E121" s="781"/>
      <c r="F121" s="739"/>
      <c r="G121" s="781"/>
      <c r="H121" s="781"/>
      <c r="O121" s="781"/>
      <c r="P121" s="781"/>
      <c r="Q121" s="781"/>
      <c r="R121" s="781"/>
      <c r="T121" s="781"/>
      <c r="U121" s="781"/>
      <c r="AM121" s="781"/>
      <c r="AN121" s="781"/>
      <c r="AO121" s="781"/>
      <c r="AP121" s="781"/>
      <c r="AQ121" s="781"/>
      <c r="AR121" s="781"/>
      <c r="AS121" s="781"/>
      <c r="AT121" s="781"/>
      <c r="AU121" s="777"/>
      <c r="AV121" s="777"/>
      <c r="BD121" s="822"/>
      <c r="BE121" s="822"/>
      <c r="BF121" s="822"/>
      <c r="BG121" s="822"/>
    </row>
    <row r="122" spans="1:59" ht="12" customHeight="1" x14ac:dyDescent="0.2">
      <c r="A122" s="781"/>
      <c r="B122" s="739"/>
      <c r="C122" s="781"/>
      <c r="D122" s="781"/>
      <c r="E122" s="781"/>
      <c r="F122" s="739"/>
      <c r="G122" s="781"/>
      <c r="H122" s="781"/>
      <c r="O122" s="781"/>
      <c r="P122" s="781"/>
      <c r="Q122" s="781"/>
      <c r="R122" s="781"/>
      <c r="T122" s="781"/>
      <c r="U122" s="781"/>
      <c r="AB122" s="781"/>
      <c r="AM122" s="781"/>
      <c r="AN122" s="781"/>
      <c r="AO122" s="781"/>
      <c r="AP122" s="781"/>
      <c r="AQ122" s="781"/>
      <c r="AR122" s="781"/>
      <c r="AS122" s="781"/>
      <c r="AT122" s="781"/>
      <c r="AU122" s="777"/>
      <c r="AV122" s="777"/>
      <c r="BD122" s="822"/>
      <c r="BE122" s="822"/>
      <c r="BF122" s="822"/>
      <c r="BG122" s="822"/>
    </row>
    <row r="123" spans="1:59" ht="12" customHeight="1" x14ac:dyDescent="0.2">
      <c r="A123" s="781"/>
      <c r="B123" s="739"/>
      <c r="C123" s="781"/>
      <c r="D123" s="781"/>
      <c r="E123" s="781"/>
      <c r="F123" s="739"/>
      <c r="G123" s="781"/>
      <c r="H123" s="781"/>
      <c r="O123" s="781"/>
      <c r="P123" s="781"/>
      <c r="Q123" s="781"/>
      <c r="R123" s="781"/>
      <c r="T123" s="781"/>
      <c r="U123" s="781"/>
      <c r="AB123" s="781"/>
      <c r="AM123" s="781"/>
      <c r="AN123" s="781"/>
      <c r="AO123" s="781"/>
      <c r="AP123" s="781"/>
      <c r="AQ123" s="781"/>
      <c r="AR123" s="781"/>
      <c r="AS123" s="781"/>
      <c r="AT123" s="781"/>
      <c r="AU123" s="777"/>
      <c r="AV123" s="777"/>
      <c r="BD123" s="822"/>
      <c r="BE123" s="822"/>
      <c r="BF123" s="822"/>
      <c r="BG123" s="822"/>
    </row>
    <row r="124" spans="1:59" ht="12" customHeight="1" x14ac:dyDescent="0.2">
      <c r="A124" s="781"/>
      <c r="B124" s="739"/>
      <c r="C124" s="781"/>
      <c r="D124" s="781"/>
      <c r="E124" s="781"/>
      <c r="F124" s="739"/>
      <c r="G124" s="781"/>
      <c r="H124" s="781"/>
      <c r="O124" s="781"/>
      <c r="P124" s="781"/>
      <c r="Q124" s="781"/>
      <c r="R124" s="781"/>
      <c r="T124" s="781"/>
      <c r="U124" s="781"/>
      <c r="AB124" s="781"/>
      <c r="AM124" s="781"/>
      <c r="AN124" s="781"/>
      <c r="AO124" s="781"/>
      <c r="AP124" s="781"/>
      <c r="AQ124" s="781"/>
      <c r="AR124" s="781"/>
      <c r="AS124" s="781"/>
      <c r="AT124" s="781"/>
      <c r="AU124" s="777"/>
      <c r="AV124" s="777"/>
      <c r="BD124" s="822"/>
      <c r="BE124" s="822"/>
      <c r="BF124" s="822"/>
      <c r="BG124" s="822"/>
    </row>
    <row r="125" spans="1:59" ht="12" customHeight="1" x14ac:dyDescent="0.2">
      <c r="A125" s="781"/>
      <c r="B125" s="781"/>
      <c r="C125" s="781"/>
      <c r="D125" s="781"/>
      <c r="E125" s="781"/>
      <c r="F125" s="739"/>
      <c r="G125" s="781"/>
      <c r="H125" s="781"/>
      <c r="O125" s="781"/>
      <c r="P125" s="781"/>
      <c r="Q125" s="781"/>
      <c r="R125" s="781"/>
      <c r="T125" s="781"/>
      <c r="U125" s="781"/>
      <c r="AB125" s="781"/>
      <c r="AM125" s="781"/>
      <c r="AN125" s="781"/>
      <c r="AO125" s="781"/>
      <c r="AP125" s="781"/>
      <c r="AQ125" s="781"/>
      <c r="AR125" s="781"/>
      <c r="AS125" s="781"/>
      <c r="AT125" s="781"/>
      <c r="AU125" s="777"/>
      <c r="AV125" s="777"/>
      <c r="BD125" s="822"/>
      <c r="BE125" s="822"/>
      <c r="BF125" s="822"/>
      <c r="BG125" s="822"/>
    </row>
    <row r="126" spans="1:59" ht="12" customHeight="1" x14ac:dyDescent="0.2">
      <c r="A126" s="781"/>
      <c r="B126" s="781"/>
      <c r="C126" s="781"/>
      <c r="D126" s="781"/>
      <c r="E126" s="781"/>
      <c r="F126" s="739"/>
      <c r="G126" s="781"/>
      <c r="H126" s="781"/>
      <c r="O126" s="781"/>
      <c r="P126" s="781"/>
      <c r="Q126" s="781"/>
      <c r="R126" s="781"/>
      <c r="T126" s="781"/>
      <c r="U126" s="781"/>
      <c r="AB126" s="781"/>
      <c r="AM126" s="781"/>
      <c r="AN126" s="781"/>
      <c r="AO126" s="781"/>
      <c r="AP126" s="781"/>
      <c r="AQ126" s="781"/>
      <c r="AR126" s="781"/>
      <c r="AS126" s="781"/>
      <c r="AT126" s="781"/>
      <c r="AU126" s="777"/>
      <c r="AV126" s="777"/>
      <c r="BD126" s="822"/>
      <c r="BE126" s="822"/>
      <c r="BF126" s="822"/>
      <c r="BG126" s="822"/>
    </row>
    <row r="127" spans="1:59" ht="12" customHeight="1" x14ac:dyDescent="0.2">
      <c r="A127" s="781"/>
      <c r="B127" s="781"/>
      <c r="C127" s="781"/>
      <c r="D127" s="781"/>
      <c r="E127" s="781"/>
      <c r="F127" s="739"/>
      <c r="G127" s="781"/>
      <c r="H127" s="781"/>
      <c r="O127" s="781"/>
      <c r="P127" s="781"/>
      <c r="Q127" s="781"/>
      <c r="R127" s="781"/>
      <c r="T127" s="781"/>
      <c r="U127" s="781"/>
      <c r="AB127" s="781"/>
      <c r="AM127" s="781"/>
      <c r="AN127" s="781"/>
      <c r="AO127" s="781"/>
      <c r="AP127" s="781"/>
      <c r="AQ127" s="781"/>
      <c r="AR127" s="781"/>
      <c r="AS127" s="781"/>
      <c r="AT127" s="781"/>
      <c r="AU127" s="777"/>
      <c r="AV127" s="777"/>
      <c r="BD127" s="822"/>
      <c r="BE127" s="822"/>
      <c r="BF127" s="822"/>
      <c r="BG127" s="822"/>
    </row>
    <row r="128" spans="1:59" ht="12" customHeight="1" x14ac:dyDescent="0.2">
      <c r="A128" s="781"/>
      <c r="B128" s="781"/>
      <c r="C128" s="781"/>
      <c r="D128" s="781"/>
      <c r="E128" s="781"/>
      <c r="F128" s="739"/>
      <c r="G128" s="781"/>
      <c r="H128" s="781"/>
      <c r="O128" s="781"/>
      <c r="P128" s="781"/>
      <c r="Q128" s="781"/>
      <c r="R128" s="781"/>
      <c r="T128" s="781"/>
      <c r="U128" s="781"/>
      <c r="AB128" s="781"/>
      <c r="AM128" s="781"/>
      <c r="AN128" s="781"/>
      <c r="AO128" s="781"/>
      <c r="AP128" s="781"/>
      <c r="AQ128" s="781"/>
      <c r="AR128" s="781"/>
      <c r="AS128" s="781"/>
      <c r="AT128" s="781"/>
      <c r="AU128" s="777"/>
      <c r="AV128" s="777"/>
      <c r="BD128" s="822"/>
      <c r="BE128" s="822"/>
      <c r="BF128" s="822"/>
      <c r="BG128" s="822"/>
    </row>
    <row r="129" spans="1:59" ht="12" customHeight="1" x14ac:dyDescent="0.2">
      <c r="A129" s="781"/>
      <c r="B129" s="781"/>
      <c r="C129" s="781"/>
      <c r="D129" s="781"/>
      <c r="E129" s="781"/>
      <c r="F129" s="739"/>
      <c r="G129" s="781"/>
      <c r="H129" s="781"/>
      <c r="O129" s="781"/>
      <c r="P129" s="781"/>
      <c r="Q129" s="781"/>
      <c r="R129" s="781"/>
      <c r="T129" s="781"/>
      <c r="U129" s="781"/>
      <c r="AB129" s="781"/>
      <c r="BD129" s="822"/>
      <c r="BE129" s="822"/>
      <c r="BF129" s="822"/>
      <c r="BG129" s="822"/>
    </row>
    <row r="130" spans="1:59" ht="12" customHeight="1" x14ac:dyDescent="0.2">
      <c r="A130" s="781"/>
      <c r="B130" s="781"/>
      <c r="C130" s="781"/>
      <c r="D130" s="781"/>
      <c r="E130" s="781"/>
      <c r="F130" s="739"/>
      <c r="G130" s="781"/>
      <c r="H130" s="781"/>
      <c r="O130" s="781"/>
      <c r="P130" s="781"/>
      <c r="Q130" s="781"/>
      <c r="R130" s="781"/>
      <c r="T130" s="781"/>
      <c r="U130" s="781"/>
      <c r="AB130" s="781"/>
      <c r="BD130" s="822"/>
      <c r="BE130" s="822"/>
      <c r="BF130" s="822"/>
      <c r="BG130" s="822"/>
    </row>
    <row r="131" spans="1:59" ht="12" customHeight="1" x14ac:dyDescent="0.2">
      <c r="A131" s="781"/>
      <c r="B131" s="781"/>
      <c r="C131" s="781"/>
      <c r="D131" s="781"/>
      <c r="E131" s="781"/>
      <c r="F131" s="739"/>
      <c r="G131" s="781"/>
      <c r="H131" s="781"/>
      <c r="O131" s="781"/>
      <c r="P131" s="781"/>
      <c r="Q131" s="781"/>
      <c r="R131" s="781"/>
      <c r="T131" s="781"/>
      <c r="U131" s="781"/>
      <c r="AB131" s="781"/>
      <c r="BD131" s="822"/>
      <c r="BE131" s="822"/>
      <c r="BF131" s="822"/>
      <c r="BG131" s="822"/>
    </row>
    <row r="132" spans="1:59" ht="12" customHeight="1" x14ac:dyDescent="0.2">
      <c r="A132" s="781"/>
      <c r="B132" s="781"/>
      <c r="C132" s="781"/>
      <c r="D132" s="781"/>
      <c r="E132" s="781"/>
      <c r="F132" s="739"/>
      <c r="G132" s="781"/>
      <c r="H132" s="781"/>
      <c r="O132" s="781"/>
      <c r="P132" s="781"/>
      <c r="Q132" s="781"/>
      <c r="R132" s="781"/>
      <c r="T132" s="781"/>
      <c r="U132" s="781"/>
      <c r="V132" s="781"/>
      <c r="W132" s="781"/>
      <c r="Y132" s="781"/>
      <c r="Z132" s="781"/>
      <c r="AB132" s="781"/>
      <c r="BD132" s="822"/>
      <c r="BE132" s="822"/>
      <c r="BF132" s="822"/>
      <c r="BG132" s="822"/>
    </row>
    <row r="133" spans="1:59" ht="12" customHeight="1" x14ac:dyDescent="0.2">
      <c r="A133" s="781"/>
      <c r="B133" s="781"/>
      <c r="C133" s="781"/>
      <c r="D133" s="781"/>
      <c r="E133" s="781"/>
      <c r="F133" s="739"/>
      <c r="G133" s="781"/>
      <c r="H133" s="781"/>
      <c r="O133" s="781"/>
      <c r="P133" s="781"/>
      <c r="Q133" s="781"/>
      <c r="R133" s="781"/>
      <c r="T133" s="781"/>
      <c r="U133" s="781"/>
      <c r="V133" s="781"/>
      <c r="W133" s="781"/>
      <c r="Y133" s="781"/>
      <c r="Z133" s="781"/>
      <c r="AB133" s="781"/>
      <c r="BD133" s="822"/>
      <c r="BE133" s="822"/>
      <c r="BF133" s="822"/>
      <c r="BG133" s="822"/>
    </row>
    <row r="134" spans="1:59" ht="12" customHeight="1" x14ac:dyDescent="0.2">
      <c r="A134" s="781"/>
      <c r="B134" s="781"/>
      <c r="C134" s="781"/>
      <c r="D134" s="781"/>
      <c r="E134" s="781"/>
      <c r="F134" s="739"/>
      <c r="G134" s="781"/>
      <c r="H134" s="781"/>
      <c r="O134" s="781"/>
      <c r="P134" s="781"/>
      <c r="Q134" s="781"/>
      <c r="R134" s="781"/>
      <c r="T134" s="781"/>
      <c r="U134" s="781"/>
      <c r="V134" s="781"/>
      <c r="W134" s="781"/>
      <c r="Y134" s="781"/>
      <c r="Z134" s="781"/>
      <c r="AB134" s="781"/>
      <c r="BD134" s="822"/>
      <c r="BE134" s="822"/>
      <c r="BF134" s="822"/>
      <c r="BG134" s="822"/>
    </row>
    <row r="135" spans="1:59" ht="12" customHeight="1" x14ac:dyDescent="0.2">
      <c r="A135" s="781"/>
      <c r="B135" s="781"/>
      <c r="C135" s="781"/>
      <c r="D135" s="781"/>
      <c r="E135" s="781"/>
      <c r="F135" s="739"/>
      <c r="G135" s="781"/>
      <c r="H135" s="781"/>
      <c r="O135" s="781"/>
      <c r="P135" s="781"/>
      <c r="Q135" s="781"/>
      <c r="R135" s="781"/>
      <c r="T135" s="781"/>
      <c r="U135" s="781"/>
      <c r="V135" s="781"/>
      <c r="W135" s="781"/>
      <c r="Y135" s="781"/>
      <c r="Z135" s="781"/>
      <c r="AB135" s="781"/>
      <c r="BD135" s="822"/>
      <c r="BE135" s="822"/>
      <c r="BF135" s="822"/>
      <c r="BG135" s="822"/>
    </row>
    <row r="136" spans="1:59" ht="12" customHeight="1" x14ac:dyDescent="0.2">
      <c r="A136" s="781"/>
      <c r="B136" s="781"/>
      <c r="C136" s="781"/>
      <c r="D136" s="781"/>
      <c r="E136" s="781"/>
      <c r="F136" s="739"/>
      <c r="G136" s="781"/>
      <c r="H136" s="781"/>
      <c r="O136" s="781"/>
      <c r="P136" s="781"/>
      <c r="Q136" s="781"/>
      <c r="R136" s="781"/>
      <c r="T136" s="781"/>
      <c r="U136" s="781"/>
      <c r="V136" s="781"/>
      <c r="W136" s="781"/>
      <c r="Y136" s="781"/>
      <c r="Z136" s="781"/>
      <c r="AB136" s="781"/>
      <c r="BD136" s="822"/>
      <c r="BE136" s="822"/>
      <c r="BF136" s="822"/>
      <c r="BG136" s="822"/>
    </row>
    <row r="137" spans="1:59" ht="12" customHeight="1" x14ac:dyDescent="0.2">
      <c r="A137" s="781"/>
      <c r="B137" s="781"/>
      <c r="C137" s="781"/>
      <c r="D137" s="781"/>
      <c r="E137" s="781"/>
      <c r="F137" s="739"/>
      <c r="G137" s="781"/>
      <c r="H137" s="781"/>
      <c r="O137" s="781"/>
      <c r="P137" s="781"/>
      <c r="Q137" s="781"/>
      <c r="R137" s="781"/>
      <c r="T137" s="781"/>
      <c r="U137" s="781"/>
      <c r="V137" s="781"/>
      <c r="W137" s="781"/>
      <c r="Y137" s="781"/>
      <c r="Z137" s="781"/>
      <c r="AB137" s="781"/>
      <c r="BD137" s="822"/>
      <c r="BE137" s="822"/>
      <c r="BF137" s="822"/>
      <c r="BG137" s="822"/>
    </row>
    <row r="138" spans="1:59" ht="12" customHeight="1" x14ac:dyDescent="0.2">
      <c r="A138" s="781"/>
      <c r="B138" s="781"/>
      <c r="C138" s="781"/>
      <c r="D138" s="781"/>
      <c r="E138" s="781"/>
      <c r="F138" s="739"/>
      <c r="G138" s="781"/>
      <c r="H138" s="781"/>
      <c r="I138" s="781"/>
      <c r="J138" s="781"/>
      <c r="K138" s="781"/>
      <c r="L138" s="781"/>
      <c r="M138" s="829"/>
      <c r="N138" s="781"/>
      <c r="O138" s="781"/>
      <c r="P138" s="781"/>
      <c r="Q138" s="781"/>
      <c r="R138" s="781"/>
      <c r="T138" s="781"/>
      <c r="U138" s="781"/>
      <c r="V138" s="781"/>
      <c r="W138" s="781"/>
      <c r="Y138" s="781"/>
      <c r="Z138" s="781"/>
      <c r="AB138" s="781"/>
      <c r="BD138" s="822"/>
      <c r="BE138" s="822"/>
      <c r="BF138" s="822"/>
      <c r="BG138" s="822"/>
    </row>
    <row r="139" spans="1:59" ht="12" customHeight="1" x14ac:dyDescent="0.2">
      <c r="A139" s="781"/>
      <c r="B139" s="781"/>
      <c r="C139" s="781"/>
      <c r="D139" s="781"/>
      <c r="E139" s="781"/>
      <c r="F139" s="739"/>
      <c r="G139" s="781"/>
      <c r="H139" s="781"/>
      <c r="I139" s="781"/>
      <c r="J139" s="781"/>
      <c r="K139" s="781"/>
      <c r="L139" s="781"/>
      <c r="M139" s="829"/>
      <c r="N139" s="781"/>
      <c r="O139" s="781"/>
      <c r="P139" s="781"/>
      <c r="Q139" s="781"/>
      <c r="R139" s="781"/>
      <c r="T139" s="781"/>
      <c r="U139" s="781"/>
      <c r="V139" s="781"/>
      <c r="W139" s="781"/>
      <c r="Y139" s="781"/>
      <c r="Z139" s="781"/>
      <c r="AB139" s="781"/>
      <c r="BD139" s="822"/>
      <c r="BE139" s="822"/>
      <c r="BF139" s="822"/>
      <c r="BG139" s="822"/>
    </row>
    <row r="140" spans="1:59" ht="12" customHeight="1" x14ac:dyDescent="0.2">
      <c r="A140" s="781"/>
      <c r="B140" s="781"/>
      <c r="C140" s="781"/>
      <c r="D140" s="781"/>
      <c r="E140" s="781"/>
      <c r="F140" s="739"/>
      <c r="G140" s="781"/>
      <c r="H140" s="781"/>
      <c r="I140" s="781"/>
      <c r="J140" s="781"/>
      <c r="K140" s="781"/>
      <c r="L140" s="781"/>
      <c r="M140" s="829"/>
      <c r="N140" s="781"/>
      <c r="O140" s="781"/>
      <c r="P140" s="781"/>
      <c r="Q140" s="781"/>
      <c r="R140" s="781"/>
      <c r="T140" s="781"/>
      <c r="U140" s="781"/>
      <c r="V140" s="781"/>
      <c r="W140" s="781"/>
      <c r="Y140" s="781"/>
      <c r="Z140" s="781"/>
      <c r="AB140" s="781"/>
      <c r="BD140" s="822"/>
      <c r="BE140" s="822"/>
      <c r="BF140" s="822"/>
      <c r="BG140" s="822"/>
    </row>
    <row r="141" spans="1:59" ht="12" customHeight="1" x14ac:dyDescent="0.2">
      <c r="A141" s="781"/>
      <c r="B141" s="781"/>
      <c r="C141" s="781"/>
      <c r="D141" s="781"/>
      <c r="E141" s="781"/>
      <c r="F141" s="739"/>
      <c r="G141" s="781"/>
      <c r="H141" s="781"/>
      <c r="I141" s="781"/>
      <c r="J141" s="781"/>
      <c r="K141" s="781"/>
      <c r="L141" s="781"/>
      <c r="M141" s="829"/>
      <c r="N141" s="781"/>
      <c r="O141" s="781"/>
      <c r="P141" s="781"/>
      <c r="Q141" s="781"/>
      <c r="R141" s="781"/>
      <c r="T141" s="781"/>
      <c r="U141" s="781"/>
      <c r="V141" s="781"/>
      <c r="W141" s="781"/>
      <c r="Y141" s="781"/>
      <c r="Z141" s="781"/>
      <c r="AB141" s="781"/>
      <c r="BD141" s="822"/>
      <c r="BE141" s="822"/>
      <c r="BF141" s="822"/>
      <c r="BG141" s="822"/>
    </row>
    <row r="142" spans="1:59" ht="12" customHeight="1" x14ac:dyDescent="0.2">
      <c r="A142" s="781"/>
      <c r="B142" s="781"/>
      <c r="C142" s="781"/>
      <c r="D142" s="781"/>
      <c r="E142" s="781"/>
      <c r="F142" s="739"/>
      <c r="G142" s="781"/>
      <c r="H142" s="781"/>
      <c r="I142" s="781"/>
      <c r="J142" s="781"/>
      <c r="K142" s="781"/>
      <c r="L142" s="781"/>
      <c r="M142" s="829"/>
      <c r="N142" s="781"/>
      <c r="O142" s="781"/>
      <c r="P142" s="781"/>
      <c r="Q142" s="781"/>
      <c r="R142" s="781"/>
      <c r="T142" s="781"/>
      <c r="U142" s="781"/>
      <c r="V142" s="781"/>
      <c r="W142" s="781"/>
      <c r="Y142" s="781"/>
      <c r="Z142" s="781"/>
      <c r="AB142" s="781"/>
      <c r="BD142" s="822"/>
      <c r="BE142" s="822"/>
      <c r="BF142" s="822"/>
      <c r="BG142" s="822"/>
    </row>
    <row r="143" spans="1:59" ht="12" customHeight="1" x14ac:dyDescent="0.2">
      <c r="A143" s="781"/>
      <c r="B143" s="781"/>
      <c r="C143" s="781"/>
      <c r="D143" s="781"/>
      <c r="E143" s="781"/>
      <c r="F143" s="739"/>
      <c r="G143" s="781"/>
      <c r="H143" s="781"/>
      <c r="I143" s="781"/>
      <c r="J143" s="781"/>
      <c r="K143" s="781"/>
      <c r="L143" s="781"/>
      <c r="M143" s="829"/>
      <c r="N143" s="781"/>
      <c r="O143" s="781"/>
      <c r="P143" s="781"/>
      <c r="Q143" s="781"/>
      <c r="R143" s="781"/>
      <c r="T143" s="781"/>
      <c r="U143" s="781"/>
      <c r="V143" s="781"/>
      <c r="W143" s="781"/>
      <c r="Y143" s="781"/>
      <c r="Z143" s="781"/>
      <c r="AB143" s="781"/>
      <c r="BB143" s="822"/>
      <c r="BC143" s="822"/>
      <c r="BD143" s="822"/>
      <c r="BE143" s="822"/>
      <c r="BF143" s="822"/>
      <c r="BG143" s="822"/>
    </row>
    <row r="144" spans="1:59" ht="12" customHeight="1" x14ac:dyDescent="0.2">
      <c r="A144" s="781"/>
      <c r="B144" s="781"/>
      <c r="C144" s="781"/>
      <c r="D144" s="781"/>
      <c r="E144" s="781"/>
      <c r="F144" s="739"/>
      <c r="G144" s="781"/>
      <c r="H144" s="781"/>
      <c r="I144" s="781"/>
      <c r="J144" s="781"/>
      <c r="K144" s="781"/>
      <c r="L144" s="781"/>
      <c r="M144" s="829"/>
      <c r="N144" s="781"/>
      <c r="O144" s="781"/>
      <c r="P144" s="781"/>
      <c r="Q144" s="781"/>
      <c r="R144" s="781"/>
      <c r="T144" s="781"/>
      <c r="U144" s="781"/>
      <c r="V144" s="781"/>
      <c r="W144" s="781"/>
      <c r="Y144" s="781"/>
      <c r="Z144" s="781"/>
      <c r="AB144" s="781"/>
      <c r="BB144" s="822"/>
      <c r="BC144" s="822"/>
      <c r="BD144" s="822"/>
      <c r="BE144" s="822"/>
      <c r="BF144" s="822"/>
      <c r="BG144" s="822"/>
    </row>
    <row r="145" spans="1:59" ht="12" customHeight="1" x14ac:dyDescent="0.2">
      <c r="A145" s="781"/>
      <c r="B145" s="781"/>
      <c r="C145" s="781"/>
      <c r="D145" s="781"/>
      <c r="E145" s="781"/>
      <c r="F145" s="739"/>
      <c r="G145" s="781"/>
      <c r="H145" s="781"/>
      <c r="I145" s="781"/>
      <c r="J145" s="781"/>
      <c r="K145" s="781"/>
      <c r="L145" s="781"/>
      <c r="M145" s="829"/>
      <c r="N145" s="781"/>
      <c r="O145" s="781"/>
      <c r="P145" s="781"/>
      <c r="Q145" s="781"/>
      <c r="R145" s="781"/>
      <c r="T145" s="781"/>
      <c r="U145" s="781"/>
      <c r="V145" s="781"/>
      <c r="W145" s="781"/>
      <c r="Y145" s="781"/>
      <c r="Z145" s="781"/>
      <c r="AB145" s="781"/>
      <c r="BB145" s="822"/>
      <c r="BC145" s="822"/>
      <c r="BD145" s="822"/>
      <c r="BE145" s="822"/>
      <c r="BF145" s="822"/>
      <c r="BG145" s="822"/>
    </row>
    <row r="146" spans="1:59" ht="12" customHeight="1" x14ac:dyDescent="0.2">
      <c r="A146" s="781"/>
      <c r="B146" s="781"/>
      <c r="C146" s="781"/>
      <c r="D146" s="781"/>
      <c r="E146" s="781"/>
      <c r="F146" s="739"/>
      <c r="G146" s="781"/>
      <c r="H146" s="781"/>
      <c r="I146" s="781"/>
      <c r="J146" s="781"/>
      <c r="K146" s="781"/>
      <c r="L146" s="781"/>
      <c r="M146" s="829"/>
      <c r="N146" s="781"/>
      <c r="O146" s="781"/>
      <c r="P146" s="781"/>
      <c r="Q146" s="781"/>
      <c r="R146" s="781"/>
      <c r="T146" s="781"/>
      <c r="U146" s="781"/>
      <c r="V146" s="781"/>
      <c r="W146" s="781"/>
      <c r="Y146" s="781"/>
      <c r="Z146" s="781"/>
      <c r="AB146" s="781"/>
      <c r="AW146" s="830"/>
      <c r="AX146" s="830"/>
      <c r="AY146" s="830"/>
      <c r="AZ146" s="831"/>
      <c r="BA146" s="831"/>
      <c r="BB146" s="822"/>
      <c r="BC146" s="822"/>
      <c r="BD146" s="822"/>
      <c r="BE146" s="822"/>
      <c r="BF146" s="822"/>
      <c r="BG146" s="822"/>
    </row>
    <row r="147" spans="1:59" ht="12" customHeight="1" x14ac:dyDescent="0.2">
      <c r="A147" s="781"/>
      <c r="B147" s="781"/>
      <c r="C147" s="781"/>
      <c r="D147" s="781"/>
      <c r="E147" s="781"/>
      <c r="F147" s="739"/>
      <c r="G147" s="781"/>
      <c r="H147" s="781"/>
      <c r="I147" s="781"/>
      <c r="J147" s="781"/>
      <c r="K147" s="781"/>
      <c r="L147" s="781"/>
      <c r="M147" s="829"/>
      <c r="N147" s="781"/>
      <c r="O147" s="781"/>
      <c r="P147" s="781"/>
      <c r="Q147" s="781"/>
      <c r="R147" s="781"/>
      <c r="T147" s="781"/>
      <c r="U147" s="781"/>
      <c r="V147" s="781"/>
      <c r="W147" s="781"/>
      <c r="Y147" s="781"/>
      <c r="Z147" s="781"/>
      <c r="AB147" s="781"/>
      <c r="AW147" s="830"/>
      <c r="AX147" s="830"/>
      <c r="AY147" s="830"/>
      <c r="AZ147" s="831"/>
      <c r="BA147" s="831"/>
      <c r="BB147" s="822"/>
      <c r="BC147" s="822"/>
      <c r="BD147" s="822"/>
      <c r="BE147" s="822"/>
      <c r="BF147" s="822"/>
      <c r="BG147" s="822"/>
    </row>
    <row r="148" spans="1:59" ht="12" customHeight="1" x14ac:dyDescent="0.2">
      <c r="A148" s="781"/>
      <c r="B148" s="781"/>
      <c r="C148" s="781"/>
      <c r="D148" s="781"/>
      <c r="E148" s="781"/>
      <c r="F148" s="739"/>
      <c r="G148" s="781"/>
      <c r="H148" s="781"/>
      <c r="I148" s="781"/>
      <c r="J148" s="781"/>
      <c r="K148" s="781"/>
      <c r="L148" s="781"/>
      <c r="M148" s="829"/>
      <c r="N148" s="781"/>
      <c r="O148" s="781"/>
      <c r="P148" s="781"/>
      <c r="Q148" s="781"/>
      <c r="R148" s="781"/>
      <c r="T148" s="781"/>
      <c r="U148" s="781"/>
      <c r="V148" s="781"/>
      <c r="W148" s="781"/>
      <c r="Y148" s="781"/>
      <c r="Z148" s="781"/>
      <c r="AB148" s="781"/>
      <c r="AW148" s="830"/>
      <c r="AX148" s="830"/>
      <c r="AY148" s="830"/>
      <c r="AZ148" s="831"/>
      <c r="BA148" s="831"/>
      <c r="BB148" s="822"/>
      <c r="BC148" s="822"/>
      <c r="BD148" s="822"/>
      <c r="BE148" s="822"/>
      <c r="BF148" s="822"/>
      <c r="BG148" s="822"/>
    </row>
    <row r="149" spans="1:59" ht="12" customHeight="1" x14ac:dyDescent="0.2">
      <c r="A149" s="781"/>
      <c r="B149" s="781"/>
      <c r="C149" s="781"/>
      <c r="D149" s="781"/>
      <c r="E149" s="781"/>
      <c r="F149" s="739"/>
      <c r="G149" s="781"/>
      <c r="H149" s="781"/>
      <c r="I149" s="781"/>
      <c r="J149" s="781"/>
      <c r="K149" s="781"/>
      <c r="L149" s="781"/>
      <c r="M149" s="829"/>
      <c r="N149" s="781"/>
      <c r="O149" s="781"/>
      <c r="P149" s="781"/>
      <c r="Q149" s="781"/>
      <c r="R149" s="781"/>
      <c r="T149" s="781"/>
      <c r="U149" s="781"/>
      <c r="V149" s="781"/>
      <c r="W149" s="781"/>
      <c r="X149" s="781"/>
      <c r="Y149" s="781"/>
      <c r="Z149" s="781"/>
      <c r="AB149" s="781"/>
      <c r="AW149" s="830"/>
      <c r="AX149" s="830"/>
      <c r="AY149" s="830"/>
      <c r="AZ149" s="831"/>
      <c r="BA149" s="831"/>
      <c r="BB149" s="822"/>
      <c r="BC149" s="822"/>
      <c r="BD149" s="822"/>
      <c r="BE149" s="822"/>
      <c r="BF149" s="822"/>
      <c r="BG149" s="822"/>
    </row>
    <row r="150" spans="1:59" ht="12" customHeight="1" x14ac:dyDescent="0.2">
      <c r="A150" s="781"/>
      <c r="B150" s="781"/>
      <c r="C150" s="781"/>
      <c r="D150" s="781"/>
      <c r="E150" s="781"/>
      <c r="F150" s="739"/>
      <c r="G150" s="781"/>
      <c r="H150" s="781"/>
      <c r="I150" s="781"/>
      <c r="J150" s="781"/>
      <c r="K150" s="781"/>
      <c r="L150" s="781"/>
      <c r="M150" s="829"/>
      <c r="N150" s="781"/>
      <c r="O150" s="781"/>
      <c r="P150" s="781"/>
      <c r="Q150" s="781"/>
      <c r="R150" s="781"/>
      <c r="T150" s="781"/>
      <c r="U150" s="781"/>
      <c r="V150" s="781"/>
      <c r="W150" s="781"/>
      <c r="X150" s="781"/>
      <c r="Y150" s="781"/>
      <c r="Z150" s="781"/>
      <c r="AB150" s="781"/>
      <c r="AW150" s="830"/>
      <c r="AX150" s="830"/>
      <c r="AY150" s="830"/>
      <c r="AZ150" s="831"/>
      <c r="BA150" s="831"/>
      <c r="BB150" s="822"/>
      <c r="BC150" s="822"/>
      <c r="BD150" s="822"/>
      <c r="BE150" s="822"/>
      <c r="BF150" s="822"/>
      <c r="BG150" s="822"/>
    </row>
    <row r="151" spans="1:59" ht="12" customHeight="1" x14ac:dyDescent="0.2">
      <c r="A151" s="781"/>
      <c r="B151" s="781"/>
      <c r="C151" s="781"/>
      <c r="D151" s="781"/>
      <c r="E151" s="781"/>
      <c r="F151" s="739"/>
      <c r="G151" s="781"/>
      <c r="H151" s="781"/>
      <c r="I151" s="781"/>
      <c r="J151" s="781"/>
      <c r="K151" s="781"/>
      <c r="L151" s="781"/>
      <c r="M151" s="829"/>
      <c r="N151" s="781"/>
      <c r="O151" s="781"/>
      <c r="P151" s="781"/>
      <c r="Q151" s="781"/>
      <c r="R151" s="781"/>
      <c r="T151" s="781"/>
      <c r="U151" s="781"/>
      <c r="V151" s="781"/>
      <c r="W151" s="781"/>
      <c r="X151" s="781"/>
      <c r="Y151" s="781"/>
      <c r="Z151" s="781"/>
      <c r="AB151" s="781"/>
      <c r="AW151" s="830"/>
      <c r="AX151" s="830"/>
      <c r="AY151" s="830"/>
      <c r="AZ151" s="831"/>
      <c r="BA151" s="831"/>
      <c r="BB151" s="822"/>
      <c r="BC151" s="822"/>
      <c r="BD151" s="822"/>
      <c r="BE151" s="822"/>
      <c r="BF151" s="822"/>
      <c r="BG151" s="822"/>
    </row>
    <row r="152" spans="1:59" ht="12" customHeight="1" x14ac:dyDescent="0.2">
      <c r="A152" s="781"/>
      <c r="B152" s="781"/>
      <c r="C152" s="781"/>
      <c r="D152" s="781"/>
      <c r="E152" s="781"/>
      <c r="F152" s="739"/>
      <c r="G152" s="781"/>
      <c r="H152" s="781"/>
      <c r="I152" s="781"/>
      <c r="J152" s="781"/>
      <c r="K152" s="781"/>
      <c r="L152" s="781"/>
      <c r="M152" s="829"/>
      <c r="N152" s="781"/>
      <c r="O152" s="781"/>
      <c r="P152" s="781"/>
      <c r="Q152" s="781"/>
      <c r="R152" s="781"/>
      <c r="T152" s="781"/>
      <c r="U152" s="781"/>
      <c r="V152" s="781"/>
      <c r="W152" s="781"/>
      <c r="X152" s="781"/>
      <c r="Y152" s="781"/>
      <c r="Z152" s="781"/>
      <c r="AB152" s="832"/>
      <c r="AW152" s="830"/>
      <c r="AX152" s="830"/>
      <c r="AY152" s="830"/>
      <c r="AZ152" s="831"/>
      <c r="BA152" s="831"/>
      <c r="BB152" s="822"/>
      <c r="BC152" s="822"/>
      <c r="BD152" s="822"/>
      <c r="BE152" s="822"/>
      <c r="BF152" s="822"/>
      <c r="BG152" s="822"/>
    </row>
    <row r="153" spans="1:59" ht="12" customHeight="1" x14ac:dyDescent="0.2">
      <c r="A153" s="781"/>
      <c r="B153" s="781"/>
      <c r="C153" s="781"/>
      <c r="D153" s="781"/>
      <c r="E153" s="781"/>
      <c r="F153" s="739"/>
      <c r="G153" s="781"/>
      <c r="H153" s="781"/>
      <c r="I153" s="781"/>
      <c r="J153" s="781"/>
      <c r="K153" s="781"/>
      <c r="L153" s="781"/>
      <c r="M153" s="829"/>
      <c r="N153" s="781"/>
      <c r="O153" s="781"/>
      <c r="P153" s="781"/>
      <c r="Q153" s="781"/>
      <c r="R153" s="781"/>
      <c r="T153" s="781"/>
      <c r="U153" s="781"/>
      <c r="V153" s="781"/>
      <c r="W153" s="781"/>
      <c r="X153" s="781"/>
      <c r="Y153" s="781"/>
      <c r="Z153" s="781"/>
      <c r="AB153" s="832"/>
      <c r="AW153" s="830"/>
      <c r="AX153" s="830"/>
      <c r="AY153" s="830"/>
      <c r="AZ153" s="831"/>
      <c r="BA153" s="831"/>
      <c r="BB153" s="822"/>
      <c r="BC153" s="822"/>
      <c r="BD153" s="822"/>
      <c r="BE153" s="822"/>
      <c r="BF153" s="822"/>
      <c r="BG153" s="822"/>
    </row>
    <row r="154" spans="1:59" ht="12" customHeight="1" x14ac:dyDescent="0.2">
      <c r="A154" s="781"/>
      <c r="B154" s="781"/>
      <c r="C154" s="781"/>
      <c r="D154" s="781"/>
      <c r="E154" s="781"/>
      <c r="F154" s="739"/>
      <c r="G154" s="781"/>
      <c r="H154" s="781"/>
      <c r="I154" s="781"/>
      <c r="J154" s="781"/>
      <c r="K154" s="781"/>
      <c r="L154" s="781"/>
      <c r="M154" s="829"/>
      <c r="N154" s="781"/>
      <c r="O154" s="781"/>
      <c r="P154" s="781"/>
      <c r="Q154" s="781"/>
      <c r="R154" s="781"/>
      <c r="T154" s="781"/>
      <c r="U154" s="781"/>
      <c r="V154" s="781"/>
      <c r="W154" s="781"/>
      <c r="X154" s="781"/>
      <c r="Y154" s="781"/>
      <c r="Z154" s="781"/>
      <c r="AB154" s="781"/>
      <c r="AW154" s="830"/>
      <c r="AX154" s="830"/>
      <c r="AY154" s="830"/>
      <c r="AZ154" s="831"/>
      <c r="BA154" s="831"/>
      <c r="BB154" s="822"/>
      <c r="BC154" s="822"/>
      <c r="BD154" s="822"/>
      <c r="BE154" s="822"/>
      <c r="BF154" s="822"/>
      <c r="BG154" s="822"/>
    </row>
    <row r="155" spans="1:59" ht="12" customHeight="1" x14ac:dyDescent="0.2">
      <c r="A155" s="781"/>
      <c r="B155" s="781"/>
      <c r="C155" s="781"/>
      <c r="D155" s="781"/>
      <c r="E155" s="781"/>
      <c r="F155" s="739"/>
      <c r="G155" s="781"/>
      <c r="H155" s="781"/>
      <c r="I155" s="781"/>
      <c r="J155" s="781"/>
      <c r="K155" s="781"/>
      <c r="L155" s="781"/>
      <c r="M155" s="829"/>
      <c r="N155" s="781"/>
      <c r="O155" s="781"/>
      <c r="P155" s="781"/>
      <c r="Q155" s="781"/>
      <c r="R155" s="781"/>
      <c r="T155" s="781"/>
      <c r="U155" s="781"/>
      <c r="V155" s="781"/>
      <c r="W155" s="781"/>
      <c r="X155" s="781"/>
      <c r="Y155" s="781"/>
      <c r="Z155" s="781"/>
      <c r="AB155" s="781"/>
      <c r="AW155" s="830"/>
      <c r="AX155" s="830"/>
      <c r="AY155" s="830"/>
      <c r="AZ155" s="831"/>
      <c r="BA155" s="831"/>
      <c r="BB155" s="822"/>
      <c r="BC155" s="822"/>
      <c r="BD155" s="822"/>
      <c r="BE155" s="822"/>
      <c r="BF155" s="822"/>
      <c r="BG155" s="822"/>
    </row>
    <row r="156" spans="1:59" ht="12" customHeight="1" x14ac:dyDescent="0.2">
      <c r="A156" s="781"/>
      <c r="B156" s="781"/>
      <c r="C156" s="781"/>
      <c r="D156" s="781"/>
      <c r="E156" s="781"/>
      <c r="F156" s="739"/>
      <c r="G156" s="781"/>
      <c r="H156" s="781"/>
      <c r="I156" s="781"/>
      <c r="J156" s="781"/>
      <c r="K156" s="781"/>
      <c r="L156" s="781"/>
      <c r="M156" s="829"/>
      <c r="N156" s="781"/>
      <c r="O156" s="781"/>
      <c r="P156" s="781"/>
      <c r="Q156" s="781"/>
      <c r="R156" s="781"/>
      <c r="T156" s="781"/>
      <c r="U156" s="781"/>
      <c r="V156" s="781"/>
      <c r="W156" s="781"/>
      <c r="X156" s="781"/>
      <c r="Y156" s="781"/>
      <c r="Z156" s="781"/>
      <c r="AB156" s="781"/>
      <c r="AW156" s="830"/>
      <c r="AX156" s="830"/>
      <c r="AY156" s="830"/>
      <c r="AZ156" s="831"/>
      <c r="BA156" s="831"/>
      <c r="BB156" s="822"/>
      <c r="BC156" s="822"/>
      <c r="BD156" s="822"/>
      <c r="BE156" s="822"/>
      <c r="BF156" s="822"/>
      <c r="BG156" s="822"/>
    </row>
    <row r="157" spans="1:59" ht="12" customHeight="1" x14ac:dyDescent="0.2">
      <c r="A157" s="781"/>
      <c r="B157" s="781"/>
      <c r="C157" s="781"/>
      <c r="D157" s="781"/>
      <c r="E157" s="781"/>
      <c r="F157" s="739"/>
      <c r="G157" s="781"/>
      <c r="H157" s="781"/>
      <c r="I157" s="781"/>
      <c r="J157" s="781"/>
      <c r="K157" s="781"/>
      <c r="L157" s="781"/>
      <c r="M157" s="829"/>
      <c r="N157" s="781"/>
      <c r="O157" s="781"/>
      <c r="P157" s="781"/>
      <c r="Q157" s="781"/>
      <c r="R157" s="781"/>
      <c r="T157" s="781"/>
      <c r="U157" s="781"/>
      <c r="V157" s="781"/>
      <c r="W157" s="781"/>
      <c r="X157" s="781"/>
      <c r="Y157" s="781"/>
      <c r="Z157" s="781"/>
      <c r="AB157" s="781"/>
      <c r="AW157" s="830"/>
      <c r="AX157" s="830"/>
      <c r="AY157" s="830"/>
      <c r="AZ157" s="831"/>
      <c r="BA157" s="831"/>
      <c r="BB157" s="822"/>
      <c r="BC157" s="822"/>
      <c r="BD157" s="822"/>
      <c r="BE157" s="822"/>
      <c r="BF157" s="822"/>
      <c r="BG157" s="822"/>
    </row>
    <row r="158" spans="1:59" ht="12" customHeight="1" x14ac:dyDescent="0.2">
      <c r="A158" s="781"/>
      <c r="B158" s="781"/>
      <c r="C158" s="781"/>
      <c r="D158" s="781"/>
      <c r="E158" s="781"/>
      <c r="F158" s="739"/>
      <c r="G158" s="781"/>
      <c r="H158" s="781"/>
      <c r="I158" s="781"/>
      <c r="J158" s="781"/>
      <c r="K158" s="781"/>
      <c r="L158" s="781"/>
      <c r="M158" s="829"/>
      <c r="N158" s="781"/>
      <c r="O158" s="781"/>
      <c r="P158" s="781"/>
      <c r="Q158" s="781"/>
      <c r="R158" s="781"/>
      <c r="T158" s="781"/>
      <c r="U158" s="781"/>
      <c r="V158" s="781"/>
      <c r="W158" s="781"/>
      <c r="X158" s="781"/>
      <c r="Y158" s="781"/>
      <c r="Z158" s="781"/>
      <c r="AB158" s="781"/>
      <c r="AW158" s="830"/>
      <c r="AX158" s="830"/>
      <c r="AY158" s="830"/>
      <c r="AZ158" s="831"/>
      <c r="BA158" s="831"/>
      <c r="BB158" s="822"/>
      <c r="BC158" s="822"/>
      <c r="BD158" s="822"/>
      <c r="BE158" s="822"/>
      <c r="BF158" s="822"/>
      <c r="BG158" s="822"/>
    </row>
    <row r="159" spans="1:59" ht="12" customHeight="1" x14ac:dyDescent="0.2">
      <c r="A159" s="781"/>
      <c r="B159" s="781"/>
      <c r="C159" s="781"/>
      <c r="D159" s="781"/>
      <c r="E159" s="781"/>
      <c r="F159" s="739"/>
      <c r="G159" s="781"/>
      <c r="H159" s="781"/>
      <c r="I159" s="781"/>
      <c r="J159" s="781"/>
      <c r="K159" s="781"/>
      <c r="L159" s="781"/>
      <c r="M159" s="829"/>
      <c r="N159" s="781"/>
      <c r="O159" s="781"/>
      <c r="P159" s="781"/>
      <c r="Q159" s="781"/>
      <c r="R159" s="781"/>
      <c r="T159" s="781"/>
      <c r="U159" s="781"/>
      <c r="V159" s="781"/>
      <c r="W159" s="781"/>
      <c r="X159" s="781"/>
      <c r="Y159" s="781"/>
      <c r="Z159" s="781"/>
      <c r="AB159" s="781"/>
      <c r="AW159" s="830"/>
      <c r="AX159" s="830"/>
      <c r="AY159" s="830"/>
      <c r="AZ159" s="831"/>
      <c r="BA159" s="831"/>
      <c r="BB159" s="822"/>
      <c r="BC159" s="822"/>
      <c r="BD159" s="822"/>
      <c r="BE159" s="822"/>
      <c r="BF159" s="822"/>
      <c r="BG159" s="822"/>
    </row>
    <row r="160" spans="1:59" ht="12" customHeight="1" x14ac:dyDescent="0.2">
      <c r="A160" s="781"/>
      <c r="B160" s="781"/>
      <c r="C160" s="781"/>
      <c r="D160" s="781"/>
      <c r="E160" s="781"/>
      <c r="F160" s="739"/>
      <c r="G160" s="781"/>
      <c r="H160" s="781"/>
      <c r="I160" s="781"/>
      <c r="J160" s="781"/>
      <c r="K160" s="781"/>
      <c r="L160" s="781"/>
      <c r="M160" s="829"/>
      <c r="N160" s="781"/>
      <c r="O160" s="781"/>
      <c r="P160" s="781"/>
      <c r="Q160" s="781"/>
      <c r="R160" s="781"/>
      <c r="T160" s="781"/>
      <c r="U160" s="781"/>
      <c r="V160" s="781"/>
      <c r="W160" s="781"/>
      <c r="X160" s="781"/>
      <c r="Y160" s="781"/>
      <c r="Z160" s="781"/>
      <c r="AB160" s="781"/>
      <c r="AW160" s="830"/>
      <c r="AX160" s="830"/>
      <c r="AY160" s="830"/>
      <c r="AZ160" s="831"/>
      <c r="BA160" s="831"/>
      <c r="BB160" s="822"/>
      <c r="BC160" s="822"/>
      <c r="BD160" s="822"/>
      <c r="BE160" s="822"/>
      <c r="BF160" s="822"/>
      <c r="BG160" s="822"/>
    </row>
    <row r="161" spans="1:59" ht="12" customHeight="1" x14ac:dyDescent="0.2">
      <c r="A161" s="781"/>
      <c r="B161" s="781"/>
      <c r="C161" s="781"/>
      <c r="D161" s="781"/>
      <c r="E161" s="781"/>
      <c r="F161" s="739"/>
      <c r="G161" s="781"/>
      <c r="H161" s="781"/>
      <c r="I161" s="781"/>
      <c r="J161" s="781"/>
      <c r="K161" s="781"/>
      <c r="L161" s="781"/>
      <c r="M161" s="829"/>
      <c r="N161" s="781"/>
      <c r="O161" s="781"/>
      <c r="P161" s="781"/>
      <c r="Q161" s="781"/>
      <c r="R161" s="781"/>
      <c r="T161" s="781"/>
      <c r="U161" s="781"/>
      <c r="V161" s="781"/>
      <c r="W161" s="781"/>
      <c r="X161" s="781"/>
      <c r="Y161" s="781"/>
      <c r="Z161" s="781"/>
      <c r="AB161" s="781"/>
      <c r="AW161" s="830"/>
      <c r="AX161" s="830"/>
      <c r="AY161" s="830"/>
      <c r="AZ161" s="831"/>
      <c r="BA161" s="831"/>
      <c r="BB161" s="822"/>
      <c r="BC161" s="822"/>
      <c r="BD161" s="822"/>
      <c r="BE161" s="822"/>
      <c r="BF161" s="822"/>
      <c r="BG161" s="822"/>
    </row>
    <row r="162" spans="1:59" ht="12" customHeight="1" x14ac:dyDescent="0.2">
      <c r="A162" s="781"/>
      <c r="B162" s="781"/>
      <c r="C162" s="781"/>
      <c r="D162" s="781"/>
      <c r="E162" s="781"/>
      <c r="F162" s="739"/>
      <c r="G162" s="781"/>
      <c r="H162" s="781"/>
      <c r="I162" s="781"/>
      <c r="J162" s="781"/>
      <c r="K162" s="781"/>
      <c r="L162" s="781"/>
      <c r="M162" s="829"/>
      <c r="N162" s="781"/>
      <c r="O162" s="781"/>
      <c r="P162" s="781"/>
      <c r="Q162" s="781"/>
      <c r="R162" s="781"/>
      <c r="T162" s="781"/>
      <c r="U162" s="781"/>
      <c r="V162" s="781"/>
      <c r="W162" s="781"/>
      <c r="X162" s="781"/>
      <c r="Y162" s="781"/>
      <c r="Z162" s="781"/>
      <c r="AB162" s="781"/>
      <c r="AW162" s="830"/>
      <c r="AX162" s="830"/>
      <c r="AY162" s="830"/>
      <c r="AZ162" s="831"/>
      <c r="BA162" s="831"/>
      <c r="BB162" s="822"/>
      <c r="BC162" s="822"/>
      <c r="BD162" s="822"/>
      <c r="BE162" s="822"/>
      <c r="BF162" s="822"/>
      <c r="BG162" s="822"/>
    </row>
    <row r="163" spans="1:59" ht="12" customHeight="1" x14ac:dyDescent="0.2">
      <c r="A163" s="781"/>
      <c r="B163" s="781"/>
      <c r="C163" s="781"/>
      <c r="D163" s="781"/>
      <c r="E163" s="781"/>
      <c r="F163" s="739"/>
      <c r="G163" s="781"/>
      <c r="H163" s="781"/>
      <c r="I163" s="781"/>
      <c r="J163" s="781"/>
      <c r="K163" s="781"/>
      <c r="L163" s="781"/>
      <c r="M163" s="829"/>
      <c r="N163" s="781"/>
      <c r="O163" s="781"/>
      <c r="P163" s="781"/>
      <c r="Q163" s="781"/>
      <c r="R163" s="781"/>
      <c r="T163" s="781"/>
      <c r="U163" s="781"/>
      <c r="V163" s="781"/>
      <c r="W163" s="781"/>
      <c r="X163" s="781"/>
      <c r="Y163" s="781"/>
      <c r="Z163" s="781"/>
      <c r="AB163" s="781"/>
      <c r="AW163" s="830"/>
      <c r="AX163" s="830"/>
      <c r="AY163" s="830"/>
      <c r="AZ163" s="831"/>
      <c r="BA163" s="831"/>
      <c r="BB163" s="822"/>
      <c r="BC163" s="822"/>
      <c r="BD163" s="822"/>
      <c r="BE163" s="822"/>
      <c r="BF163" s="822"/>
      <c r="BG163" s="822"/>
    </row>
    <row r="164" spans="1:59" ht="12" customHeight="1" x14ac:dyDescent="0.2">
      <c r="A164" s="781"/>
      <c r="B164" s="781"/>
      <c r="C164" s="781"/>
      <c r="D164" s="781"/>
      <c r="E164" s="781"/>
      <c r="F164" s="739"/>
      <c r="G164" s="781"/>
      <c r="H164" s="781"/>
      <c r="I164" s="781"/>
      <c r="J164" s="781"/>
      <c r="K164" s="781"/>
      <c r="L164" s="781"/>
      <c r="M164" s="829"/>
      <c r="N164" s="781"/>
      <c r="O164" s="781"/>
      <c r="P164" s="781"/>
      <c r="Q164" s="781"/>
      <c r="R164" s="781"/>
      <c r="T164" s="781"/>
      <c r="U164" s="781"/>
      <c r="V164" s="781"/>
      <c r="W164" s="781"/>
      <c r="X164" s="781"/>
      <c r="Y164" s="781"/>
      <c r="Z164" s="781"/>
      <c r="AB164" s="781"/>
      <c r="AW164" s="830"/>
      <c r="AX164" s="830"/>
      <c r="AY164" s="830"/>
      <c r="AZ164" s="831"/>
      <c r="BA164" s="831"/>
      <c r="BB164" s="822"/>
      <c r="BC164" s="822"/>
      <c r="BD164" s="822"/>
      <c r="BE164" s="822"/>
      <c r="BF164" s="822"/>
      <c r="BG164" s="822"/>
    </row>
    <row r="165" spans="1:59" ht="12" customHeight="1" x14ac:dyDescent="0.2">
      <c r="A165" s="781"/>
      <c r="B165" s="781"/>
      <c r="C165" s="781"/>
      <c r="D165" s="781"/>
      <c r="E165" s="781"/>
      <c r="F165" s="739"/>
      <c r="G165" s="781"/>
      <c r="H165" s="781"/>
      <c r="I165" s="781"/>
      <c r="J165" s="781"/>
      <c r="K165" s="781"/>
      <c r="L165" s="781"/>
      <c r="M165" s="829"/>
      <c r="N165" s="781"/>
      <c r="O165" s="781"/>
      <c r="P165" s="781"/>
      <c r="Q165" s="781"/>
      <c r="R165" s="781"/>
      <c r="T165" s="781"/>
      <c r="U165" s="781"/>
      <c r="V165" s="781"/>
      <c r="W165" s="781"/>
      <c r="X165" s="781"/>
      <c r="Y165" s="781"/>
      <c r="Z165" s="781"/>
      <c r="AB165" s="781"/>
      <c r="AW165" s="830"/>
      <c r="AX165" s="830"/>
      <c r="AY165" s="830"/>
      <c r="AZ165" s="831"/>
      <c r="BA165" s="831"/>
      <c r="BB165" s="822"/>
      <c r="BC165" s="822"/>
      <c r="BD165" s="822"/>
      <c r="BE165" s="822"/>
      <c r="BF165" s="822"/>
      <c r="BG165" s="822"/>
    </row>
    <row r="166" spans="1:59" ht="12" customHeight="1" x14ac:dyDescent="0.2">
      <c r="A166" s="781"/>
      <c r="B166" s="781"/>
      <c r="C166" s="781"/>
      <c r="D166" s="781"/>
      <c r="E166" s="781"/>
      <c r="F166" s="739"/>
      <c r="G166" s="781"/>
      <c r="H166" s="781"/>
      <c r="I166" s="781"/>
      <c r="J166" s="781"/>
      <c r="K166" s="781"/>
      <c r="L166" s="781"/>
      <c r="M166" s="829"/>
      <c r="N166" s="781"/>
      <c r="O166" s="781"/>
      <c r="P166" s="781"/>
      <c r="Q166" s="781"/>
      <c r="R166" s="781"/>
      <c r="T166" s="781"/>
      <c r="U166" s="781"/>
      <c r="V166" s="781"/>
      <c r="W166" s="781"/>
      <c r="X166" s="781"/>
      <c r="Y166" s="781"/>
      <c r="Z166" s="781"/>
      <c r="AB166" s="781"/>
      <c r="AW166" s="830"/>
      <c r="AX166" s="830"/>
      <c r="AY166" s="830"/>
      <c r="AZ166" s="831"/>
      <c r="BA166" s="831"/>
      <c r="BB166" s="822"/>
      <c r="BC166" s="822"/>
      <c r="BD166" s="822"/>
      <c r="BE166" s="822"/>
      <c r="BF166" s="822"/>
      <c r="BG166" s="822"/>
    </row>
    <row r="167" spans="1:59" ht="12" customHeight="1" x14ac:dyDescent="0.2">
      <c r="A167" s="781"/>
      <c r="B167" s="781"/>
      <c r="C167" s="781"/>
      <c r="D167" s="781"/>
      <c r="E167" s="781"/>
      <c r="F167" s="739"/>
      <c r="G167" s="781"/>
      <c r="H167" s="781"/>
      <c r="I167" s="781"/>
      <c r="J167" s="781"/>
      <c r="K167" s="781"/>
      <c r="L167" s="781"/>
      <c r="M167" s="829"/>
      <c r="N167" s="781"/>
      <c r="O167" s="781"/>
      <c r="P167" s="781"/>
      <c r="Q167" s="781"/>
      <c r="R167" s="781"/>
      <c r="T167" s="781"/>
      <c r="U167" s="781"/>
      <c r="V167" s="781"/>
      <c r="W167" s="781"/>
      <c r="X167" s="781"/>
      <c r="Y167" s="781"/>
      <c r="Z167" s="781"/>
      <c r="AB167" s="781"/>
      <c r="AW167" s="830"/>
      <c r="AX167" s="830"/>
      <c r="AY167" s="830"/>
      <c r="AZ167" s="831"/>
      <c r="BA167" s="831"/>
      <c r="BB167" s="822"/>
      <c r="BC167" s="822"/>
      <c r="BD167" s="822"/>
      <c r="BE167" s="822"/>
      <c r="BF167" s="822"/>
      <c r="BG167" s="822"/>
    </row>
    <row r="168" spans="1:59" ht="12" customHeight="1" x14ac:dyDescent="0.2">
      <c r="A168" s="781"/>
      <c r="B168" s="781"/>
      <c r="C168" s="781"/>
      <c r="D168" s="781"/>
      <c r="E168" s="781"/>
      <c r="F168" s="739"/>
      <c r="G168" s="781"/>
      <c r="H168" s="781"/>
      <c r="I168" s="781"/>
      <c r="J168" s="781"/>
      <c r="K168" s="781"/>
      <c r="L168" s="781"/>
      <c r="M168" s="829"/>
      <c r="N168" s="781"/>
      <c r="O168" s="781"/>
      <c r="P168" s="781"/>
      <c r="Q168" s="781"/>
      <c r="R168" s="781"/>
      <c r="T168" s="781"/>
      <c r="U168" s="781"/>
      <c r="V168" s="781"/>
      <c r="W168" s="781"/>
      <c r="X168" s="781"/>
      <c r="Y168" s="781"/>
      <c r="Z168" s="781"/>
      <c r="AB168" s="781"/>
      <c r="AW168" s="830"/>
      <c r="AX168" s="830"/>
      <c r="AY168" s="830"/>
      <c r="AZ168" s="831"/>
      <c r="BA168" s="831"/>
      <c r="BB168" s="822"/>
      <c r="BC168" s="822"/>
      <c r="BD168" s="822"/>
      <c r="BE168" s="822"/>
      <c r="BF168" s="822"/>
      <c r="BG168" s="822"/>
    </row>
    <row r="169" spans="1:59" ht="12" customHeight="1" x14ac:dyDescent="0.2">
      <c r="A169" s="781"/>
      <c r="B169" s="781"/>
      <c r="C169" s="781"/>
      <c r="D169" s="781"/>
      <c r="E169" s="781"/>
      <c r="F169" s="739"/>
      <c r="G169" s="781"/>
      <c r="H169" s="781"/>
      <c r="I169" s="781"/>
      <c r="J169" s="781"/>
      <c r="K169" s="781"/>
      <c r="L169" s="781"/>
      <c r="M169" s="829"/>
      <c r="N169" s="781"/>
      <c r="O169" s="781"/>
      <c r="P169" s="781"/>
      <c r="Q169" s="781"/>
      <c r="R169" s="781"/>
      <c r="T169" s="781"/>
      <c r="U169" s="781"/>
      <c r="V169" s="781"/>
      <c r="W169" s="781"/>
      <c r="X169" s="781"/>
      <c r="Y169" s="781"/>
      <c r="Z169" s="781"/>
      <c r="AB169" s="781"/>
      <c r="AW169" s="830"/>
      <c r="AX169" s="830"/>
      <c r="AY169" s="830"/>
      <c r="AZ169" s="831"/>
      <c r="BA169" s="831"/>
      <c r="BB169" s="822"/>
      <c r="BC169" s="822"/>
      <c r="BD169" s="822"/>
      <c r="BE169" s="822"/>
      <c r="BF169" s="822"/>
      <c r="BG169" s="822"/>
    </row>
    <row r="170" spans="1:59" ht="12" customHeight="1" x14ac:dyDescent="0.2">
      <c r="A170" s="781"/>
      <c r="B170" s="781"/>
      <c r="C170" s="781"/>
      <c r="D170" s="781"/>
      <c r="E170" s="781"/>
      <c r="F170" s="739"/>
      <c r="G170" s="781"/>
      <c r="H170" s="781"/>
      <c r="I170" s="781"/>
      <c r="J170" s="781"/>
      <c r="K170" s="781"/>
      <c r="L170" s="781"/>
      <c r="M170" s="829"/>
      <c r="N170" s="781"/>
      <c r="O170" s="781"/>
      <c r="P170" s="781"/>
      <c r="Q170" s="781"/>
      <c r="R170" s="781"/>
      <c r="T170" s="781"/>
      <c r="U170" s="781"/>
      <c r="V170" s="781"/>
      <c r="W170" s="781"/>
      <c r="X170" s="781"/>
      <c r="Y170" s="781"/>
      <c r="Z170" s="781"/>
      <c r="AB170" s="781"/>
      <c r="AW170" s="830"/>
      <c r="AX170" s="830"/>
      <c r="AY170" s="830"/>
      <c r="AZ170" s="831"/>
      <c r="BA170" s="831"/>
      <c r="BB170" s="822"/>
      <c r="BC170" s="822"/>
      <c r="BD170" s="822"/>
      <c r="BE170" s="822"/>
      <c r="BF170" s="822"/>
      <c r="BG170" s="822"/>
    </row>
    <row r="171" spans="1:59" ht="12" customHeight="1" x14ac:dyDescent="0.2">
      <c r="A171" s="781"/>
      <c r="B171" s="781"/>
      <c r="C171" s="781"/>
      <c r="D171" s="781"/>
      <c r="E171" s="781"/>
      <c r="F171" s="739"/>
      <c r="G171" s="781"/>
      <c r="H171" s="781"/>
      <c r="I171" s="781"/>
      <c r="J171" s="781"/>
      <c r="K171" s="781"/>
      <c r="L171" s="781"/>
      <c r="M171" s="829"/>
      <c r="N171" s="781"/>
      <c r="O171" s="781"/>
      <c r="P171" s="781"/>
      <c r="Q171" s="781"/>
      <c r="R171" s="781"/>
      <c r="T171" s="781"/>
      <c r="U171" s="781"/>
      <c r="V171" s="781"/>
      <c r="W171" s="781"/>
      <c r="X171" s="781"/>
      <c r="Y171" s="781"/>
      <c r="Z171" s="781"/>
      <c r="AB171" s="781"/>
      <c r="AW171" s="830"/>
      <c r="AX171" s="830"/>
      <c r="AY171" s="830"/>
      <c r="AZ171" s="831"/>
      <c r="BA171" s="831"/>
      <c r="BB171" s="822"/>
      <c r="BC171" s="822"/>
      <c r="BD171" s="822"/>
      <c r="BE171" s="822"/>
      <c r="BF171" s="822"/>
      <c r="BG171" s="822"/>
    </row>
    <row r="172" spans="1:59" ht="12" customHeight="1" x14ac:dyDescent="0.2">
      <c r="A172" s="781"/>
      <c r="B172" s="781"/>
      <c r="C172" s="781"/>
      <c r="D172" s="781"/>
      <c r="E172" s="781"/>
      <c r="F172" s="739"/>
      <c r="G172" s="781"/>
      <c r="H172" s="781"/>
      <c r="I172" s="781"/>
      <c r="J172" s="781"/>
      <c r="K172" s="781"/>
      <c r="L172" s="781"/>
      <c r="M172" s="829"/>
      <c r="N172" s="781"/>
      <c r="O172" s="781"/>
      <c r="P172" s="781"/>
      <c r="Q172" s="781"/>
      <c r="R172" s="781"/>
      <c r="T172" s="781"/>
      <c r="U172" s="781"/>
      <c r="V172" s="781"/>
      <c r="W172" s="781"/>
      <c r="X172" s="781"/>
      <c r="Y172" s="781"/>
      <c r="Z172" s="781"/>
      <c r="AB172" s="781"/>
      <c r="AW172" s="830"/>
      <c r="AX172" s="830"/>
      <c r="AY172" s="830"/>
      <c r="AZ172" s="831"/>
      <c r="BA172" s="831"/>
      <c r="BB172" s="822"/>
      <c r="BC172" s="822"/>
      <c r="BD172" s="822"/>
      <c r="BE172" s="822"/>
      <c r="BF172" s="822"/>
      <c r="BG172" s="822"/>
    </row>
    <row r="173" spans="1:59" ht="12" customHeight="1" x14ac:dyDescent="0.2">
      <c r="A173" s="781"/>
      <c r="B173" s="781"/>
      <c r="C173" s="781"/>
      <c r="D173" s="781"/>
      <c r="E173" s="781"/>
      <c r="F173" s="739"/>
      <c r="G173" s="781"/>
      <c r="H173" s="781"/>
      <c r="I173" s="781"/>
      <c r="J173" s="781"/>
      <c r="K173" s="781"/>
      <c r="L173" s="781"/>
      <c r="M173" s="829"/>
      <c r="N173" s="781"/>
      <c r="O173" s="781"/>
      <c r="P173" s="781"/>
      <c r="Q173" s="781"/>
      <c r="R173" s="781"/>
      <c r="T173" s="781"/>
      <c r="U173" s="781"/>
      <c r="V173" s="781"/>
      <c r="W173" s="781"/>
      <c r="X173" s="781"/>
      <c r="Y173" s="781"/>
      <c r="Z173" s="781"/>
      <c r="AB173" s="781"/>
      <c r="AW173" s="830"/>
      <c r="AX173" s="830"/>
      <c r="AY173" s="830"/>
      <c r="AZ173" s="831"/>
      <c r="BA173" s="831"/>
      <c r="BB173" s="822"/>
      <c r="BC173" s="822"/>
      <c r="BD173" s="822"/>
      <c r="BE173" s="822"/>
      <c r="BF173" s="822"/>
      <c r="BG173" s="822"/>
    </row>
    <row r="174" spans="1:59" ht="12" customHeight="1" x14ac:dyDescent="0.2">
      <c r="A174" s="781"/>
      <c r="B174" s="781"/>
      <c r="C174" s="781"/>
      <c r="D174" s="781"/>
      <c r="E174" s="781"/>
      <c r="F174" s="739"/>
      <c r="G174" s="781"/>
      <c r="H174" s="781"/>
      <c r="I174" s="781"/>
      <c r="J174" s="781"/>
      <c r="K174" s="781"/>
      <c r="L174" s="781"/>
      <c r="M174" s="829"/>
      <c r="N174" s="781"/>
      <c r="O174" s="781"/>
      <c r="P174" s="781"/>
      <c r="Q174" s="781"/>
      <c r="R174" s="781"/>
      <c r="T174" s="781"/>
      <c r="U174" s="781"/>
      <c r="V174" s="781"/>
      <c r="W174" s="781"/>
      <c r="X174" s="781"/>
      <c r="Y174" s="781"/>
      <c r="Z174" s="781"/>
      <c r="AB174" s="781"/>
      <c r="AW174" s="830"/>
      <c r="AX174" s="830"/>
      <c r="AY174" s="830"/>
      <c r="AZ174" s="831"/>
      <c r="BA174" s="831"/>
      <c r="BB174" s="822"/>
      <c r="BC174" s="822"/>
      <c r="BD174" s="822"/>
      <c r="BE174" s="822"/>
      <c r="BF174" s="822"/>
      <c r="BG174" s="822"/>
    </row>
    <row r="175" spans="1:59" ht="12" customHeight="1" x14ac:dyDescent="0.2">
      <c r="A175" s="781"/>
      <c r="B175" s="781"/>
      <c r="C175" s="781"/>
      <c r="D175" s="781"/>
      <c r="E175" s="781"/>
      <c r="F175" s="739"/>
      <c r="G175" s="781"/>
      <c r="H175" s="781"/>
      <c r="I175" s="781"/>
      <c r="J175" s="781"/>
      <c r="K175" s="781"/>
      <c r="L175" s="781"/>
      <c r="M175" s="829"/>
      <c r="N175" s="781"/>
      <c r="O175" s="781"/>
      <c r="P175" s="781"/>
      <c r="Q175" s="781"/>
      <c r="R175" s="781"/>
      <c r="T175" s="781"/>
      <c r="U175" s="781"/>
      <c r="V175" s="781"/>
      <c r="W175" s="781"/>
      <c r="X175" s="781"/>
      <c r="Y175" s="781"/>
      <c r="Z175" s="781"/>
      <c r="AB175" s="781"/>
      <c r="AW175" s="830"/>
      <c r="AX175" s="830"/>
      <c r="AY175" s="830"/>
      <c r="AZ175" s="831"/>
      <c r="BA175" s="831"/>
      <c r="BB175" s="822"/>
      <c r="BC175" s="822"/>
      <c r="BD175" s="822"/>
      <c r="BE175" s="822"/>
      <c r="BF175" s="822"/>
      <c r="BG175" s="822"/>
    </row>
    <row r="176" spans="1:59" ht="12" customHeight="1" x14ac:dyDescent="0.2">
      <c r="A176" s="781"/>
      <c r="B176" s="781"/>
      <c r="C176" s="781"/>
      <c r="D176" s="781"/>
      <c r="E176" s="781"/>
      <c r="F176" s="739"/>
      <c r="G176" s="781"/>
      <c r="H176" s="781"/>
      <c r="I176" s="781"/>
      <c r="J176" s="781"/>
      <c r="K176" s="781"/>
      <c r="L176" s="781"/>
      <c r="M176" s="829"/>
      <c r="N176" s="781"/>
      <c r="O176" s="781"/>
      <c r="P176" s="781"/>
      <c r="Q176" s="781"/>
      <c r="R176" s="781"/>
      <c r="T176" s="781"/>
      <c r="U176" s="781"/>
      <c r="V176" s="781"/>
      <c r="W176" s="781"/>
      <c r="X176" s="781"/>
      <c r="Y176" s="781"/>
      <c r="Z176" s="781"/>
      <c r="AB176" s="781"/>
      <c r="AW176" s="830"/>
      <c r="AX176" s="830"/>
      <c r="AY176" s="830"/>
      <c r="AZ176" s="831"/>
      <c r="BA176" s="831"/>
      <c r="BB176" s="822"/>
      <c r="BC176" s="822"/>
      <c r="BD176" s="822"/>
      <c r="BE176" s="822"/>
      <c r="BF176" s="822"/>
      <c r="BG176" s="822"/>
    </row>
    <row r="177" spans="1:59" ht="12" customHeight="1" x14ac:dyDescent="0.2">
      <c r="A177" s="781"/>
      <c r="B177" s="781"/>
      <c r="C177" s="781"/>
      <c r="D177" s="781"/>
      <c r="E177" s="781"/>
      <c r="F177" s="739"/>
      <c r="G177" s="781"/>
      <c r="H177" s="781"/>
      <c r="I177" s="781"/>
      <c r="J177" s="781"/>
      <c r="K177" s="781"/>
      <c r="L177" s="781"/>
      <c r="M177" s="829"/>
      <c r="N177" s="781"/>
      <c r="O177" s="781"/>
      <c r="P177" s="781"/>
      <c r="Q177" s="781"/>
      <c r="R177" s="781"/>
      <c r="T177" s="781"/>
      <c r="U177" s="781"/>
      <c r="V177" s="781"/>
      <c r="W177" s="781"/>
      <c r="X177" s="781"/>
      <c r="Y177" s="781"/>
      <c r="Z177" s="781"/>
      <c r="AB177" s="781"/>
      <c r="AW177" s="830"/>
      <c r="AX177" s="830"/>
      <c r="AY177" s="830"/>
      <c r="AZ177" s="831"/>
      <c r="BA177" s="831"/>
      <c r="BB177" s="822"/>
      <c r="BC177" s="822"/>
      <c r="BD177" s="822"/>
      <c r="BE177" s="822"/>
      <c r="BF177" s="822"/>
      <c r="BG177" s="822"/>
    </row>
    <row r="178" spans="1:59" ht="12" customHeight="1" x14ac:dyDescent="0.2">
      <c r="A178" s="781"/>
      <c r="B178" s="781"/>
      <c r="C178" s="781"/>
      <c r="D178" s="781"/>
      <c r="E178" s="781"/>
      <c r="F178" s="739"/>
      <c r="G178" s="781"/>
      <c r="H178" s="781"/>
      <c r="I178" s="781"/>
      <c r="J178" s="781"/>
      <c r="K178" s="781"/>
      <c r="L178" s="781"/>
      <c r="M178" s="829"/>
      <c r="N178" s="781"/>
      <c r="O178" s="781"/>
      <c r="P178" s="781"/>
      <c r="Q178" s="781"/>
      <c r="R178" s="781"/>
      <c r="T178" s="781"/>
      <c r="U178" s="781"/>
      <c r="V178" s="781"/>
      <c r="W178" s="781"/>
      <c r="X178" s="781"/>
      <c r="Y178" s="781"/>
      <c r="Z178" s="781"/>
      <c r="AB178" s="781"/>
      <c r="AW178" s="830"/>
      <c r="AX178" s="830"/>
      <c r="AY178" s="830"/>
      <c r="AZ178" s="831"/>
      <c r="BA178" s="831"/>
      <c r="BB178" s="822"/>
      <c r="BC178" s="822"/>
      <c r="BD178" s="822"/>
      <c r="BE178" s="822"/>
      <c r="BF178" s="822"/>
      <c r="BG178" s="822"/>
    </row>
    <row r="179" spans="1:59" ht="12" customHeight="1" x14ac:dyDescent="0.2">
      <c r="A179" s="781"/>
      <c r="B179" s="781"/>
      <c r="C179" s="781"/>
      <c r="D179" s="781"/>
      <c r="E179" s="781"/>
      <c r="F179" s="739"/>
      <c r="G179" s="781"/>
      <c r="H179" s="781"/>
      <c r="I179" s="781"/>
      <c r="J179" s="781"/>
      <c r="K179" s="781"/>
      <c r="L179" s="781"/>
      <c r="M179" s="829"/>
      <c r="N179" s="781"/>
      <c r="O179" s="781"/>
      <c r="P179" s="781"/>
      <c r="Q179" s="781"/>
      <c r="R179" s="781"/>
      <c r="T179" s="781"/>
      <c r="U179" s="781"/>
      <c r="V179" s="781"/>
      <c r="W179" s="781"/>
      <c r="X179" s="781"/>
      <c r="Y179" s="781"/>
      <c r="Z179" s="781"/>
      <c r="AB179" s="781"/>
      <c r="AW179" s="830"/>
      <c r="AX179" s="830"/>
      <c r="AY179" s="830"/>
      <c r="AZ179" s="831"/>
      <c r="BA179" s="831"/>
      <c r="BB179" s="822"/>
      <c r="BC179" s="822"/>
      <c r="BD179" s="822"/>
      <c r="BE179" s="822"/>
      <c r="BF179" s="822"/>
      <c r="BG179" s="822"/>
    </row>
    <row r="180" spans="1:59" ht="12" customHeight="1" x14ac:dyDescent="0.2">
      <c r="A180" s="781"/>
      <c r="B180" s="781"/>
      <c r="C180" s="781"/>
      <c r="D180" s="781"/>
      <c r="E180" s="781"/>
      <c r="F180" s="739"/>
      <c r="G180" s="781"/>
      <c r="H180" s="781"/>
      <c r="I180" s="781"/>
      <c r="J180" s="781"/>
      <c r="K180" s="781"/>
      <c r="L180" s="781"/>
      <c r="M180" s="829"/>
      <c r="N180" s="781"/>
      <c r="O180" s="781"/>
      <c r="P180" s="781"/>
      <c r="Q180" s="781"/>
      <c r="R180" s="781"/>
      <c r="T180" s="781"/>
      <c r="U180" s="781"/>
      <c r="V180" s="781"/>
      <c r="W180" s="781"/>
      <c r="X180" s="781"/>
      <c r="Y180" s="781"/>
      <c r="Z180" s="781"/>
      <c r="AB180" s="781"/>
      <c r="AW180" s="830"/>
      <c r="AX180" s="830"/>
      <c r="AY180" s="830"/>
      <c r="AZ180" s="831"/>
      <c r="BA180" s="831"/>
      <c r="BB180" s="822"/>
      <c r="BC180" s="822"/>
      <c r="BD180" s="822"/>
      <c r="BE180" s="822"/>
      <c r="BF180" s="822"/>
      <c r="BG180" s="822"/>
    </row>
    <row r="181" spans="1:59" ht="12" customHeight="1" x14ac:dyDescent="0.2">
      <c r="A181" s="781"/>
      <c r="B181" s="781"/>
      <c r="C181" s="781"/>
      <c r="D181" s="781"/>
      <c r="E181" s="781"/>
      <c r="F181" s="739"/>
      <c r="G181" s="781"/>
      <c r="H181" s="781"/>
      <c r="I181" s="781"/>
      <c r="J181" s="781"/>
      <c r="K181" s="781"/>
      <c r="L181" s="781"/>
      <c r="M181" s="829"/>
      <c r="N181" s="781"/>
      <c r="O181" s="781"/>
      <c r="P181" s="781"/>
      <c r="Q181" s="781"/>
      <c r="R181" s="781"/>
      <c r="T181" s="781"/>
      <c r="U181" s="781"/>
      <c r="V181" s="781"/>
      <c r="W181" s="781"/>
      <c r="X181" s="781"/>
      <c r="Y181" s="781"/>
      <c r="Z181" s="781"/>
      <c r="AB181" s="781"/>
      <c r="AW181" s="830"/>
      <c r="AX181" s="830"/>
      <c r="AY181" s="830"/>
      <c r="AZ181" s="831"/>
      <c r="BA181" s="831"/>
      <c r="BB181" s="822"/>
      <c r="BC181" s="822"/>
      <c r="BD181" s="822"/>
      <c r="BE181" s="822"/>
      <c r="BF181" s="822"/>
      <c r="BG181" s="822"/>
    </row>
    <row r="182" spans="1:59" ht="12" customHeight="1" x14ac:dyDescent="0.2">
      <c r="A182" s="781"/>
      <c r="B182" s="781"/>
      <c r="C182" s="781"/>
      <c r="D182" s="781"/>
      <c r="E182" s="781"/>
      <c r="F182" s="739"/>
      <c r="G182" s="781"/>
      <c r="H182" s="781"/>
      <c r="I182" s="781"/>
      <c r="J182" s="781"/>
      <c r="K182" s="781"/>
      <c r="L182" s="781"/>
      <c r="M182" s="829"/>
      <c r="N182" s="781"/>
      <c r="O182" s="781"/>
      <c r="P182" s="781"/>
      <c r="Q182" s="781"/>
      <c r="R182" s="781"/>
      <c r="T182" s="781"/>
      <c r="U182" s="781"/>
      <c r="V182" s="781"/>
      <c r="W182" s="781"/>
      <c r="X182" s="781"/>
      <c r="Y182" s="781"/>
      <c r="Z182" s="781"/>
      <c r="AB182" s="781"/>
      <c r="AW182" s="830"/>
      <c r="AX182" s="830"/>
      <c r="AY182" s="830"/>
      <c r="AZ182" s="831"/>
      <c r="BA182" s="831"/>
      <c r="BB182" s="822"/>
      <c r="BC182" s="822"/>
      <c r="BD182" s="822"/>
      <c r="BE182" s="822"/>
      <c r="BF182" s="822"/>
      <c r="BG182" s="822"/>
    </row>
    <row r="183" spans="1:59" ht="12" customHeight="1" x14ac:dyDescent="0.2">
      <c r="A183" s="781"/>
      <c r="B183" s="781"/>
      <c r="C183" s="781"/>
      <c r="D183" s="781"/>
      <c r="E183" s="781"/>
      <c r="F183" s="739"/>
      <c r="G183" s="781"/>
      <c r="H183" s="781"/>
      <c r="I183" s="781"/>
      <c r="J183" s="781"/>
      <c r="K183" s="781"/>
      <c r="L183" s="781"/>
      <c r="M183" s="829"/>
      <c r="N183" s="781"/>
      <c r="O183" s="781"/>
      <c r="P183" s="781"/>
      <c r="Q183" s="781"/>
      <c r="R183" s="781"/>
      <c r="T183" s="781"/>
      <c r="U183" s="781"/>
      <c r="V183" s="781"/>
      <c r="W183" s="781"/>
      <c r="X183" s="781"/>
      <c r="Y183" s="781"/>
      <c r="Z183" s="781"/>
      <c r="AB183" s="781"/>
      <c r="AW183" s="830"/>
      <c r="AX183" s="830"/>
      <c r="AY183" s="830"/>
      <c r="AZ183" s="831"/>
      <c r="BA183" s="831"/>
      <c r="BB183" s="822"/>
      <c r="BC183" s="822"/>
      <c r="BD183" s="822"/>
      <c r="BE183" s="822"/>
      <c r="BF183" s="822"/>
      <c r="BG183" s="822"/>
    </row>
    <row r="184" spans="1:59" ht="12" customHeight="1" x14ac:dyDescent="0.2">
      <c r="A184" s="781"/>
      <c r="B184" s="781"/>
      <c r="C184" s="781"/>
      <c r="D184" s="781"/>
      <c r="E184" s="781"/>
      <c r="F184" s="739"/>
      <c r="G184" s="781"/>
      <c r="H184" s="781"/>
      <c r="I184" s="781"/>
      <c r="J184" s="781"/>
      <c r="K184" s="781"/>
      <c r="L184" s="781"/>
      <c r="M184" s="829"/>
      <c r="N184" s="781"/>
      <c r="O184" s="781"/>
      <c r="P184" s="781"/>
      <c r="Q184" s="781"/>
      <c r="R184" s="781"/>
      <c r="T184" s="781"/>
      <c r="U184" s="781"/>
      <c r="V184" s="781"/>
      <c r="W184" s="781"/>
      <c r="X184" s="781"/>
      <c r="Y184" s="781"/>
      <c r="Z184" s="781"/>
      <c r="AB184" s="781"/>
      <c r="AW184" s="830"/>
      <c r="AX184" s="830"/>
      <c r="AY184" s="830"/>
      <c r="AZ184" s="831"/>
      <c r="BA184" s="831"/>
      <c r="BB184" s="822"/>
      <c r="BC184" s="822"/>
      <c r="BD184" s="822"/>
      <c r="BE184" s="822"/>
      <c r="BF184" s="822"/>
      <c r="BG184" s="822"/>
    </row>
    <row r="185" spans="1:59" ht="12" customHeight="1" x14ac:dyDescent="0.2">
      <c r="A185" s="781"/>
      <c r="B185" s="781"/>
      <c r="C185" s="781"/>
      <c r="D185" s="781"/>
      <c r="E185" s="781"/>
      <c r="F185" s="739"/>
      <c r="G185" s="781"/>
      <c r="H185" s="781"/>
      <c r="I185" s="781"/>
      <c r="J185" s="781"/>
      <c r="K185" s="781"/>
      <c r="L185" s="781"/>
      <c r="M185" s="829"/>
      <c r="N185" s="781"/>
      <c r="O185" s="781"/>
      <c r="P185" s="781"/>
      <c r="Q185" s="781"/>
      <c r="R185" s="781"/>
      <c r="T185" s="781"/>
      <c r="U185" s="781"/>
      <c r="V185" s="781"/>
      <c r="W185" s="781"/>
      <c r="X185" s="781"/>
      <c r="Y185" s="781"/>
      <c r="Z185" s="781"/>
      <c r="AB185" s="781"/>
      <c r="AW185" s="830"/>
      <c r="AX185" s="830"/>
      <c r="AY185" s="830"/>
      <c r="AZ185" s="831"/>
      <c r="BA185" s="831"/>
      <c r="BB185" s="822"/>
      <c r="BC185" s="822"/>
      <c r="BD185" s="822"/>
      <c r="BE185" s="822"/>
      <c r="BF185" s="822"/>
      <c r="BG185" s="822"/>
    </row>
    <row r="186" spans="1:59" ht="12" customHeight="1" x14ac:dyDescent="0.2">
      <c r="A186" s="781"/>
      <c r="B186" s="781"/>
      <c r="C186" s="781"/>
      <c r="D186" s="781"/>
      <c r="E186" s="781"/>
      <c r="F186" s="739"/>
      <c r="G186" s="781"/>
      <c r="H186" s="781"/>
      <c r="I186" s="781"/>
      <c r="J186" s="781"/>
      <c r="K186" s="781"/>
      <c r="L186" s="781"/>
      <c r="M186" s="829"/>
      <c r="N186" s="781"/>
      <c r="O186" s="781"/>
      <c r="P186" s="781"/>
      <c r="Q186" s="781"/>
      <c r="R186" s="781"/>
      <c r="T186" s="781"/>
      <c r="U186" s="781"/>
      <c r="V186" s="781"/>
      <c r="W186" s="781"/>
      <c r="X186" s="781"/>
      <c r="Y186" s="781"/>
      <c r="Z186" s="781"/>
      <c r="AB186" s="781"/>
      <c r="AW186" s="830"/>
      <c r="AX186" s="830"/>
      <c r="AY186" s="830"/>
      <c r="AZ186" s="831"/>
      <c r="BA186" s="831"/>
      <c r="BB186" s="822"/>
      <c r="BC186" s="822"/>
      <c r="BD186" s="822"/>
      <c r="BE186" s="822"/>
      <c r="BF186" s="822"/>
      <c r="BG186" s="822"/>
    </row>
    <row r="187" spans="1:59" ht="12" customHeight="1" x14ac:dyDescent="0.2">
      <c r="A187" s="781"/>
      <c r="B187" s="781"/>
      <c r="C187" s="781"/>
      <c r="D187" s="781"/>
      <c r="E187" s="781"/>
      <c r="F187" s="739"/>
      <c r="G187" s="781"/>
      <c r="H187" s="781"/>
      <c r="I187" s="781"/>
      <c r="J187" s="781"/>
      <c r="K187" s="781"/>
      <c r="L187" s="781"/>
      <c r="M187" s="829"/>
      <c r="N187" s="781"/>
      <c r="O187" s="781"/>
      <c r="P187" s="781"/>
      <c r="Q187" s="781"/>
      <c r="R187" s="781"/>
      <c r="T187" s="781"/>
      <c r="U187" s="781"/>
      <c r="V187" s="781"/>
      <c r="W187" s="781"/>
      <c r="X187" s="781"/>
      <c r="Y187" s="781"/>
      <c r="Z187" s="781"/>
      <c r="AB187" s="781"/>
      <c r="AW187" s="830"/>
      <c r="AX187" s="830"/>
      <c r="AY187" s="830"/>
      <c r="AZ187" s="831"/>
      <c r="BA187" s="831"/>
      <c r="BB187" s="822"/>
      <c r="BC187" s="822"/>
      <c r="BD187" s="822"/>
      <c r="BE187" s="822"/>
      <c r="BF187" s="822"/>
      <c r="BG187" s="822"/>
    </row>
    <row r="188" spans="1:59" ht="12" customHeight="1" x14ac:dyDescent="0.2">
      <c r="A188" s="781"/>
      <c r="B188" s="781"/>
      <c r="C188" s="781"/>
      <c r="D188" s="781"/>
      <c r="E188" s="781"/>
      <c r="F188" s="739"/>
      <c r="G188" s="781"/>
      <c r="H188" s="781"/>
      <c r="I188" s="781"/>
      <c r="J188" s="781"/>
      <c r="K188" s="781"/>
      <c r="L188" s="781"/>
      <c r="M188" s="829"/>
      <c r="N188" s="781"/>
      <c r="O188" s="781"/>
      <c r="P188" s="781"/>
      <c r="Q188" s="781"/>
      <c r="R188" s="781"/>
      <c r="T188" s="781"/>
      <c r="U188" s="781"/>
      <c r="V188" s="781"/>
      <c r="W188" s="781"/>
      <c r="X188" s="781"/>
      <c r="Y188" s="781"/>
      <c r="Z188" s="781"/>
      <c r="AB188" s="781"/>
      <c r="AW188" s="830"/>
      <c r="AX188" s="830"/>
      <c r="AY188" s="830"/>
      <c r="AZ188" s="831"/>
      <c r="BA188" s="831"/>
      <c r="BB188" s="822"/>
      <c r="BC188" s="822"/>
      <c r="BD188" s="822"/>
      <c r="BE188" s="822"/>
      <c r="BF188" s="822"/>
      <c r="BG188" s="822"/>
    </row>
    <row r="189" spans="1:59" ht="12" customHeight="1" x14ac:dyDescent="0.2">
      <c r="A189" s="781"/>
      <c r="B189" s="781"/>
      <c r="C189" s="781"/>
      <c r="D189" s="781"/>
      <c r="E189" s="781"/>
      <c r="F189" s="739"/>
      <c r="G189" s="781"/>
      <c r="H189" s="781"/>
      <c r="I189" s="781"/>
      <c r="J189" s="781"/>
      <c r="K189" s="781"/>
      <c r="L189" s="781"/>
      <c r="M189" s="829"/>
      <c r="N189" s="781"/>
      <c r="O189" s="781"/>
      <c r="P189" s="781"/>
      <c r="Q189" s="781"/>
      <c r="R189" s="781"/>
      <c r="T189" s="781"/>
      <c r="U189" s="781"/>
      <c r="V189" s="781"/>
      <c r="W189" s="781"/>
      <c r="X189" s="781"/>
      <c r="Y189" s="781"/>
      <c r="Z189" s="781"/>
      <c r="AB189" s="781"/>
      <c r="AW189" s="830"/>
      <c r="AX189" s="830"/>
      <c r="AY189" s="830"/>
      <c r="AZ189" s="831"/>
      <c r="BA189" s="831"/>
      <c r="BB189" s="822"/>
      <c r="BC189" s="822"/>
      <c r="BD189" s="822"/>
      <c r="BE189" s="822"/>
      <c r="BF189" s="822"/>
      <c r="BG189" s="822"/>
    </row>
    <row r="190" spans="1:59" ht="12" customHeight="1" x14ac:dyDescent="0.2">
      <c r="A190" s="781"/>
      <c r="B190" s="781"/>
      <c r="C190" s="781"/>
      <c r="D190" s="781"/>
      <c r="E190" s="781"/>
      <c r="F190" s="739"/>
      <c r="G190" s="781"/>
      <c r="H190" s="781"/>
      <c r="I190" s="781"/>
      <c r="J190" s="781"/>
      <c r="K190" s="781"/>
      <c r="L190" s="781"/>
      <c r="M190" s="829"/>
      <c r="N190" s="781"/>
      <c r="O190" s="781"/>
      <c r="P190" s="781"/>
      <c r="Q190" s="781"/>
      <c r="R190" s="781"/>
      <c r="T190" s="781"/>
      <c r="U190" s="781"/>
      <c r="V190" s="781"/>
      <c r="W190" s="781"/>
      <c r="X190" s="781"/>
      <c r="Y190" s="781"/>
      <c r="Z190" s="781"/>
      <c r="AB190" s="781"/>
      <c r="AW190" s="830"/>
      <c r="AX190" s="830"/>
      <c r="AY190" s="830"/>
      <c r="AZ190" s="831"/>
      <c r="BA190" s="831"/>
      <c r="BB190" s="822"/>
      <c r="BC190" s="822"/>
      <c r="BD190" s="822"/>
      <c r="BE190" s="822"/>
      <c r="BF190" s="822"/>
      <c r="BG190" s="822"/>
    </row>
    <row r="191" spans="1:59" ht="12" customHeight="1" x14ac:dyDescent="0.2">
      <c r="A191" s="781"/>
      <c r="B191" s="781"/>
      <c r="C191" s="781"/>
      <c r="D191" s="781"/>
      <c r="E191" s="781"/>
      <c r="F191" s="739"/>
      <c r="G191" s="781"/>
      <c r="H191" s="781"/>
      <c r="I191" s="781"/>
      <c r="J191" s="781"/>
      <c r="K191" s="781"/>
      <c r="L191" s="781"/>
      <c r="M191" s="829"/>
      <c r="N191" s="781"/>
      <c r="O191" s="781"/>
      <c r="P191" s="781"/>
      <c r="Q191" s="781"/>
      <c r="R191" s="781"/>
      <c r="T191" s="781"/>
      <c r="U191" s="781"/>
      <c r="V191" s="781"/>
      <c r="W191" s="781"/>
      <c r="X191" s="781"/>
      <c r="Y191" s="781"/>
      <c r="Z191" s="781"/>
      <c r="AB191" s="781"/>
      <c r="AW191" s="830"/>
      <c r="AX191" s="830"/>
      <c r="AY191" s="830"/>
      <c r="AZ191" s="831"/>
      <c r="BA191" s="831"/>
      <c r="BB191" s="822"/>
      <c r="BC191" s="822"/>
      <c r="BD191" s="822"/>
      <c r="BE191" s="822"/>
      <c r="BF191" s="822"/>
      <c r="BG191" s="822"/>
    </row>
    <row r="192" spans="1:59" ht="12" customHeight="1" x14ac:dyDescent="0.2">
      <c r="A192" s="781"/>
      <c r="B192" s="781"/>
      <c r="C192" s="781"/>
      <c r="D192" s="781"/>
      <c r="E192" s="781"/>
      <c r="F192" s="739"/>
      <c r="G192" s="781"/>
      <c r="H192" s="781"/>
      <c r="I192" s="781"/>
      <c r="J192" s="781"/>
      <c r="K192" s="781"/>
      <c r="L192" s="781"/>
      <c r="M192" s="829"/>
      <c r="N192" s="781"/>
      <c r="O192" s="781"/>
      <c r="P192" s="781"/>
      <c r="Q192" s="781"/>
      <c r="R192" s="781"/>
      <c r="T192" s="781"/>
      <c r="U192" s="781"/>
      <c r="V192" s="781"/>
      <c r="W192" s="781"/>
      <c r="X192" s="781"/>
      <c r="Y192" s="781"/>
      <c r="Z192" s="781"/>
      <c r="AB192" s="781"/>
      <c r="AM192" s="781"/>
      <c r="AN192" s="781"/>
      <c r="AO192" s="781"/>
      <c r="AP192" s="781"/>
      <c r="AQ192" s="781"/>
      <c r="AR192" s="781"/>
      <c r="AS192" s="781"/>
      <c r="AT192" s="781"/>
      <c r="AU192" s="777"/>
      <c r="AV192" s="777"/>
      <c r="AW192" s="830"/>
      <c r="AX192" s="830"/>
      <c r="AY192" s="830"/>
      <c r="AZ192" s="831"/>
      <c r="BA192" s="831"/>
      <c r="BB192" s="822"/>
      <c r="BC192" s="822"/>
      <c r="BD192" s="822"/>
      <c r="BE192" s="822"/>
      <c r="BF192" s="822"/>
      <c r="BG192" s="822"/>
    </row>
    <row r="193" spans="1:59" ht="12" customHeight="1" x14ac:dyDescent="0.2">
      <c r="A193" s="781"/>
      <c r="B193" s="781"/>
      <c r="C193" s="781"/>
      <c r="D193" s="781"/>
      <c r="E193" s="781"/>
      <c r="F193" s="739"/>
      <c r="G193" s="781"/>
      <c r="H193" s="781"/>
      <c r="I193" s="781"/>
      <c r="J193" s="781"/>
      <c r="K193" s="781"/>
      <c r="L193" s="781"/>
      <c r="M193" s="829"/>
      <c r="N193" s="781"/>
      <c r="O193" s="781"/>
      <c r="P193" s="781"/>
      <c r="Q193" s="781"/>
      <c r="R193" s="781"/>
      <c r="T193" s="781"/>
      <c r="U193" s="781"/>
      <c r="V193" s="781"/>
      <c r="W193" s="781"/>
      <c r="X193" s="781"/>
      <c r="Y193" s="781"/>
      <c r="Z193" s="781"/>
      <c r="AB193" s="781"/>
      <c r="AM193" s="781"/>
      <c r="AN193" s="781"/>
      <c r="AO193" s="781"/>
      <c r="AP193" s="781"/>
      <c r="AQ193" s="781"/>
      <c r="AR193" s="781"/>
      <c r="AS193" s="781"/>
      <c r="AT193" s="781"/>
      <c r="AU193" s="777"/>
      <c r="AV193" s="777"/>
      <c r="AW193" s="830"/>
      <c r="AX193" s="830"/>
      <c r="AY193" s="830"/>
      <c r="AZ193" s="831"/>
      <c r="BA193" s="831"/>
      <c r="BB193" s="822"/>
      <c r="BC193" s="822"/>
      <c r="BD193" s="822"/>
      <c r="BE193" s="822"/>
      <c r="BF193" s="822"/>
      <c r="BG193" s="822"/>
    </row>
    <row r="194" spans="1:59" ht="12" customHeight="1" x14ac:dyDescent="0.2">
      <c r="A194" s="781"/>
      <c r="B194" s="781"/>
      <c r="C194" s="781"/>
      <c r="D194" s="781"/>
      <c r="E194" s="781"/>
      <c r="F194" s="739"/>
      <c r="G194" s="781"/>
      <c r="H194" s="781"/>
      <c r="I194" s="781"/>
      <c r="J194" s="781"/>
      <c r="K194" s="781"/>
      <c r="L194" s="781"/>
      <c r="M194" s="829"/>
      <c r="N194" s="781"/>
      <c r="O194" s="781"/>
      <c r="P194" s="781"/>
      <c r="Q194" s="781"/>
      <c r="R194" s="781"/>
      <c r="T194" s="781"/>
      <c r="U194" s="781"/>
      <c r="V194" s="781"/>
      <c r="W194" s="781"/>
      <c r="X194" s="781"/>
      <c r="Y194" s="781"/>
      <c r="Z194" s="781"/>
      <c r="AB194" s="781"/>
      <c r="AM194" s="781"/>
      <c r="AN194" s="781"/>
      <c r="AO194" s="781"/>
      <c r="AP194" s="781"/>
      <c r="AQ194" s="781"/>
      <c r="AR194" s="781"/>
      <c r="AS194" s="781"/>
      <c r="AT194" s="781"/>
      <c r="AU194" s="777"/>
      <c r="AV194" s="777"/>
      <c r="AW194" s="830"/>
      <c r="AX194" s="830"/>
      <c r="AY194" s="830"/>
      <c r="AZ194" s="831"/>
      <c r="BA194" s="831"/>
      <c r="BB194" s="822"/>
      <c r="BC194" s="822"/>
      <c r="BD194" s="822"/>
      <c r="BE194" s="822"/>
      <c r="BF194" s="822"/>
      <c r="BG194" s="822"/>
    </row>
    <row r="195" spans="1:59" ht="12" customHeight="1" x14ac:dyDescent="0.2">
      <c r="A195" s="781"/>
      <c r="B195" s="781"/>
      <c r="C195" s="781"/>
      <c r="D195" s="781"/>
      <c r="E195" s="781"/>
      <c r="F195" s="739"/>
      <c r="G195" s="781"/>
      <c r="H195" s="781"/>
      <c r="I195" s="781"/>
      <c r="J195" s="781"/>
      <c r="K195" s="781"/>
      <c r="L195" s="781"/>
      <c r="M195" s="829"/>
      <c r="N195" s="781"/>
      <c r="O195" s="781"/>
      <c r="P195" s="781"/>
      <c r="Q195" s="781"/>
      <c r="R195" s="781"/>
      <c r="T195" s="781"/>
      <c r="U195" s="781"/>
      <c r="V195" s="781"/>
      <c r="W195" s="781"/>
      <c r="X195" s="781"/>
      <c r="Y195" s="781"/>
      <c r="Z195" s="781"/>
      <c r="AB195" s="781"/>
      <c r="AM195" s="781"/>
      <c r="AN195" s="781"/>
      <c r="AO195" s="781"/>
      <c r="AP195" s="781"/>
      <c r="AQ195" s="781"/>
      <c r="AR195" s="781"/>
      <c r="AS195" s="781"/>
      <c r="AT195" s="781"/>
      <c r="AU195" s="777"/>
      <c r="AV195" s="777"/>
      <c r="AW195" s="830"/>
      <c r="AX195" s="830"/>
      <c r="AY195" s="830"/>
      <c r="AZ195" s="831"/>
      <c r="BA195" s="831"/>
      <c r="BB195" s="822"/>
      <c r="BC195" s="822"/>
      <c r="BD195" s="822"/>
      <c r="BE195" s="822"/>
      <c r="BF195" s="822"/>
      <c r="BG195" s="822"/>
    </row>
    <row r="196" spans="1:59" ht="12" customHeight="1" x14ac:dyDescent="0.2">
      <c r="A196" s="781"/>
      <c r="B196" s="781"/>
      <c r="C196" s="781"/>
      <c r="D196" s="781"/>
      <c r="E196" s="781"/>
      <c r="F196" s="739"/>
      <c r="G196" s="781"/>
      <c r="H196" s="781"/>
      <c r="I196" s="781"/>
      <c r="J196" s="781"/>
      <c r="K196" s="781"/>
      <c r="L196" s="781"/>
      <c r="M196" s="829"/>
      <c r="N196" s="781"/>
      <c r="O196" s="781"/>
      <c r="P196" s="781"/>
      <c r="Q196" s="781"/>
      <c r="R196" s="781"/>
      <c r="T196" s="781"/>
      <c r="U196" s="781"/>
      <c r="V196" s="781"/>
      <c r="W196" s="781"/>
      <c r="X196" s="781"/>
      <c r="Y196" s="781"/>
      <c r="Z196" s="781"/>
      <c r="AB196" s="781"/>
      <c r="AM196" s="781"/>
      <c r="AN196" s="781"/>
      <c r="AO196" s="781"/>
      <c r="AP196" s="781"/>
      <c r="AQ196" s="781"/>
      <c r="AR196" s="781"/>
      <c r="AS196" s="781"/>
      <c r="AT196" s="781"/>
      <c r="AU196" s="777"/>
      <c r="AV196" s="777"/>
      <c r="AW196" s="830"/>
      <c r="AX196" s="830"/>
      <c r="AY196" s="830"/>
      <c r="AZ196" s="831"/>
      <c r="BA196" s="831"/>
      <c r="BB196" s="822"/>
      <c r="BC196" s="822"/>
      <c r="BD196" s="822"/>
      <c r="BE196" s="822"/>
      <c r="BF196" s="822"/>
      <c r="BG196" s="822"/>
    </row>
    <row r="197" spans="1:59" ht="12" customHeight="1" x14ac:dyDescent="0.2">
      <c r="A197" s="781"/>
      <c r="B197" s="781"/>
      <c r="C197" s="781"/>
      <c r="D197" s="781"/>
      <c r="E197" s="781"/>
      <c r="F197" s="739"/>
      <c r="G197" s="781"/>
      <c r="H197" s="781"/>
      <c r="I197" s="781"/>
      <c r="J197" s="781"/>
      <c r="K197" s="781"/>
      <c r="L197" s="781"/>
      <c r="M197" s="829"/>
      <c r="N197" s="781"/>
      <c r="O197" s="781"/>
      <c r="P197" s="781"/>
      <c r="Q197" s="781"/>
      <c r="R197" s="781"/>
      <c r="T197" s="781"/>
      <c r="U197" s="781"/>
      <c r="V197" s="781"/>
      <c r="W197" s="781"/>
      <c r="X197" s="781"/>
      <c r="Y197" s="781"/>
      <c r="Z197" s="781"/>
      <c r="AB197" s="781"/>
      <c r="AM197" s="781"/>
      <c r="AN197" s="781"/>
      <c r="AO197" s="781"/>
      <c r="AP197" s="781"/>
      <c r="AQ197" s="781"/>
      <c r="AR197" s="781"/>
      <c r="AS197" s="781"/>
      <c r="AT197" s="781"/>
      <c r="AU197" s="777"/>
      <c r="AV197" s="777"/>
      <c r="AW197" s="830"/>
      <c r="AX197" s="830"/>
      <c r="AY197" s="830"/>
      <c r="AZ197" s="831"/>
      <c r="BA197" s="831"/>
      <c r="BB197" s="822"/>
      <c r="BC197" s="822"/>
      <c r="BD197" s="822"/>
      <c r="BE197" s="822"/>
      <c r="BF197" s="822"/>
      <c r="BG197" s="822"/>
    </row>
    <row r="198" spans="1:59" ht="12" customHeight="1" x14ac:dyDescent="0.2">
      <c r="A198" s="781"/>
      <c r="B198" s="781"/>
      <c r="C198" s="781"/>
      <c r="D198" s="781"/>
      <c r="E198" s="781"/>
      <c r="F198" s="739"/>
      <c r="G198" s="781"/>
      <c r="H198" s="781"/>
      <c r="I198" s="781"/>
      <c r="J198" s="781"/>
      <c r="K198" s="781"/>
      <c r="L198" s="781"/>
      <c r="M198" s="829"/>
      <c r="N198" s="781"/>
      <c r="O198" s="781"/>
      <c r="P198" s="781"/>
      <c r="Q198" s="781"/>
      <c r="R198" s="781"/>
      <c r="T198" s="781"/>
      <c r="U198" s="781"/>
      <c r="V198" s="781"/>
      <c r="W198" s="781"/>
      <c r="X198" s="781"/>
      <c r="Y198" s="781"/>
      <c r="Z198" s="781"/>
      <c r="AB198" s="781"/>
      <c r="AM198" s="781"/>
      <c r="AN198" s="781"/>
      <c r="AO198" s="781"/>
      <c r="AP198" s="781"/>
      <c r="AQ198" s="781"/>
      <c r="AR198" s="781"/>
      <c r="AS198" s="781"/>
      <c r="AT198" s="781"/>
      <c r="AU198" s="777"/>
      <c r="AV198" s="777"/>
      <c r="AW198" s="830"/>
      <c r="AX198" s="830"/>
      <c r="AY198" s="830"/>
      <c r="AZ198" s="831"/>
      <c r="BA198" s="831"/>
      <c r="BB198" s="822"/>
      <c r="BC198" s="822"/>
      <c r="BD198" s="822"/>
      <c r="BE198" s="822"/>
      <c r="BF198" s="822"/>
      <c r="BG198" s="822"/>
    </row>
    <row r="199" spans="1:59" ht="12" customHeight="1" x14ac:dyDescent="0.2">
      <c r="A199" s="781"/>
      <c r="B199" s="781"/>
      <c r="C199" s="781"/>
      <c r="D199" s="781"/>
      <c r="E199" s="781"/>
      <c r="F199" s="739"/>
      <c r="G199" s="781"/>
      <c r="H199" s="781"/>
      <c r="I199" s="781"/>
      <c r="J199" s="781"/>
      <c r="K199" s="781"/>
      <c r="L199" s="781"/>
      <c r="M199" s="829"/>
      <c r="N199" s="781"/>
      <c r="O199" s="781"/>
      <c r="P199" s="781"/>
      <c r="Q199" s="781"/>
      <c r="R199" s="781"/>
      <c r="T199" s="781"/>
      <c r="U199" s="781"/>
      <c r="V199" s="781"/>
      <c r="W199" s="781"/>
      <c r="X199" s="781"/>
      <c r="Y199" s="781"/>
      <c r="Z199" s="781"/>
      <c r="AB199" s="781"/>
      <c r="AM199" s="781"/>
      <c r="AN199" s="781"/>
      <c r="AO199" s="781"/>
      <c r="AP199" s="781"/>
      <c r="AQ199" s="781"/>
      <c r="AR199" s="781"/>
      <c r="AS199" s="781"/>
      <c r="AT199" s="781"/>
      <c r="AU199" s="777"/>
      <c r="AV199" s="777"/>
      <c r="AW199" s="830"/>
      <c r="AX199" s="830"/>
      <c r="AY199" s="830"/>
      <c r="AZ199" s="831"/>
      <c r="BA199" s="831"/>
      <c r="BB199" s="822"/>
      <c r="BC199" s="822"/>
      <c r="BD199" s="822"/>
      <c r="BE199" s="822"/>
      <c r="BF199" s="822"/>
      <c r="BG199" s="822"/>
    </row>
    <row r="200" spans="1:59" ht="12" customHeight="1" x14ac:dyDescent="0.2">
      <c r="A200" s="781"/>
      <c r="B200" s="781"/>
      <c r="C200" s="781"/>
      <c r="D200" s="781"/>
      <c r="E200" s="781"/>
      <c r="F200" s="739"/>
      <c r="G200" s="781"/>
      <c r="H200" s="781"/>
      <c r="I200" s="781"/>
      <c r="J200" s="781"/>
      <c r="K200" s="781"/>
      <c r="L200" s="781"/>
      <c r="M200" s="829"/>
      <c r="N200" s="781"/>
      <c r="O200" s="781"/>
      <c r="P200" s="781"/>
      <c r="Q200" s="781"/>
      <c r="R200" s="781"/>
      <c r="T200" s="781"/>
      <c r="U200" s="781"/>
      <c r="V200" s="781"/>
      <c r="W200" s="781"/>
      <c r="X200" s="781"/>
      <c r="Y200" s="781"/>
      <c r="Z200" s="781"/>
      <c r="AB200" s="781"/>
      <c r="AM200" s="781"/>
      <c r="AN200" s="781"/>
      <c r="AO200" s="781"/>
      <c r="AP200" s="781"/>
      <c r="AQ200" s="781"/>
      <c r="AR200" s="781"/>
      <c r="AS200" s="781"/>
      <c r="AT200" s="781"/>
      <c r="AU200" s="777"/>
      <c r="AV200" s="777"/>
      <c r="AW200" s="830"/>
      <c r="AX200" s="830"/>
      <c r="AY200" s="830"/>
      <c r="AZ200" s="831"/>
      <c r="BA200" s="831"/>
      <c r="BB200" s="822"/>
      <c r="BC200" s="822"/>
      <c r="BD200" s="822"/>
      <c r="BE200" s="822"/>
      <c r="BF200" s="822"/>
      <c r="BG200" s="822"/>
    </row>
    <row r="201" spans="1:59" ht="12" customHeight="1" x14ac:dyDescent="0.2">
      <c r="A201" s="781"/>
      <c r="B201" s="781"/>
      <c r="C201" s="781"/>
      <c r="D201" s="781"/>
      <c r="E201" s="781"/>
      <c r="F201" s="739"/>
      <c r="G201" s="781"/>
      <c r="H201" s="781"/>
      <c r="I201" s="781"/>
      <c r="J201" s="781"/>
      <c r="K201" s="781"/>
      <c r="L201" s="781"/>
      <c r="M201" s="829"/>
      <c r="N201" s="781"/>
      <c r="O201" s="781"/>
      <c r="P201" s="781"/>
      <c r="Q201" s="781"/>
      <c r="R201" s="781"/>
      <c r="T201" s="781"/>
      <c r="U201" s="781"/>
      <c r="V201" s="781"/>
      <c r="W201" s="781"/>
      <c r="X201" s="781"/>
      <c r="Y201" s="781"/>
      <c r="Z201" s="781"/>
      <c r="AB201" s="781"/>
      <c r="AM201" s="781"/>
      <c r="AN201" s="781"/>
      <c r="AO201" s="781"/>
      <c r="AP201" s="781"/>
      <c r="AQ201" s="781"/>
      <c r="AR201" s="781"/>
      <c r="AS201" s="781"/>
      <c r="AT201" s="781"/>
      <c r="AU201" s="777"/>
      <c r="AV201" s="777"/>
      <c r="AW201" s="830"/>
      <c r="AX201" s="830"/>
      <c r="AY201" s="830"/>
      <c r="AZ201" s="831"/>
      <c r="BA201" s="831"/>
      <c r="BB201" s="822"/>
      <c r="BC201" s="822"/>
      <c r="BD201" s="822"/>
      <c r="BE201" s="822"/>
      <c r="BF201" s="822"/>
      <c r="BG201" s="822"/>
    </row>
    <row r="202" spans="1:59" ht="12" customHeight="1" x14ac:dyDescent="0.2">
      <c r="A202" s="781"/>
      <c r="B202" s="781"/>
      <c r="C202" s="781"/>
      <c r="D202" s="781"/>
      <c r="E202" s="781"/>
      <c r="F202" s="739"/>
      <c r="G202" s="781"/>
      <c r="H202" s="781"/>
      <c r="I202" s="781"/>
      <c r="J202" s="781"/>
      <c r="K202" s="781"/>
      <c r="L202" s="781"/>
      <c r="M202" s="829"/>
      <c r="N202" s="781"/>
      <c r="O202" s="781"/>
      <c r="P202" s="781"/>
      <c r="Q202" s="781"/>
      <c r="R202" s="781"/>
      <c r="T202" s="781"/>
      <c r="U202" s="781"/>
      <c r="V202" s="781"/>
      <c r="W202" s="781"/>
      <c r="X202" s="781"/>
      <c r="Y202" s="781"/>
      <c r="Z202" s="781"/>
      <c r="AB202" s="781"/>
      <c r="AM202" s="781"/>
      <c r="AN202" s="781"/>
      <c r="AO202" s="781"/>
      <c r="AP202" s="781"/>
      <c r="AQ202" s="781"/>
      <c r="AR202" s="781"/>
      <c r="AS202" s="781"/>
      <c r="AT202" s="781"/>
      <c r="AU202" s="777"/>
      <c r="AV202" s="777"/>
      <c r="AW202" s="830"/>
      <c r="AX202" s="830"/>
      <c r="AY202" s="830"/>
      <c r="AZ202" s="831"/>
      <c r="BA202" s="831"/>
      <c r="BB202" s="822"/>
      <c r="BC202" s="822"/>
      <c r="BD202" s="822"/>
      <c r="BE202" s="822"/>
      <c r="BF202" s="822"/>
      <c r="BG202" s="822"/>
    </row>
    <row r="203" spans="1:59" ht="12" customHeight="1" x14ac:dyDescent="0.2">
      <c r="A203" s="781"/>
      <c r="B203" s="781"/>
      <c r="C203" s="781"/>
      <c r="D203" s="781"/>
      <c r="E203" s="781"/>
      <c r="F203" s="739"/>
      <c r="G203" s="781"/>
      <c r="H203" s="781"/>
      <c r="I203" s="781"/>
      <c r="J203" s="781"/>
      <c r="K203" s="781"/>
      <c r="L203" s="781"/>
      <c r="M203" s="829"/>
      <c r="N203" s="781"/>
      <c r="O203" s="781"/>
      <c r="P203" s="781"/>
      <c r="Q203" s="781"/>
      <c r="R203" s="781"/>
      <c r="T203" s="781"/>
      <c r="U203" s="781"/>
      <c r="V203" s="781"/>
      <c r="W203" s="781"/>
      <c r="X203" s="781"/>
      <c r="Y203" s="781"/>
      <c r="Z203" s="781"/>
      <c r="AB203" s="781"/>
      <c r="AM203" s="781"/>
      <c r="AN203" s="781"/>
      <c r="AO203" s="781"/>
      <c r="AP203" s="781"/>
      <c r="AQ203" s="781"/>
      <c r="AR203" s="781"/>
      <c r="AS203" s="781"/>
      <c r="AT203" s="781"/>
      <c r="AU203" s="777"/>
      <c r="AV203" s="777"/>
      <c r="AW203" s="830"/>
      <c r="AX203" s="830"/>
      <c r="AY203" s="830"/>
      <c r="AZ203" s="831"/>
      <c r="BA203" s="831"/>
      <c r="BB203" s="822"/>
      <c r="BC203" s="822"/>
      <c r="BD203" s="822"/>
      <c r="BE203" s="822"/>
      <c r="BF203" s="822"/>
      <c r="BG203" s="822"/>
    </row>
    <row r="204" spans="1:59" ht="12" customHeight="1" x14ac:dyDescent="0.2">
      <c r="A204" s="781"/>
      <c r="B204" s="781"/>
      <c r="C204" s="781"/>
      <c r="D204" s="781"/>
      <c r="E204" s="781"/>
      <c r="F204" s="739"/>
      <c r="G204" s="781"/>
      <c r="H204" s="781"/>
      <c r="I204" s="781"/>
      <c r="J204" s="781"/>
      <c r="K204" s="781"/>
      <c r="L204" s="781"/>
      <c r="M204" s="829"/>
      <c r="N204" s="781"/>
      <c r="O204" s="781"/>
      <c r="P204" s="781"/>
      <c r="Q204" s="781"/>
      <c r="R204" s="781"/>
      <c r="T204" s="781"/>
      <c r="U204" s="781"/>
      <c r="V204" s="781"/>
      <c r="W204" s="781"/>
      <c r="X204" s="781"/>
      <c r="Y204" s="781"/>
      <c r="Z204" s="781"/>
      <c r="AB204" s="781"/>
      <c r="AM204" s="781"/>
      <c r="AN204" s="781"/>
      <c r="AO204" s="781"/>
      <c r="AP204" s="781"/>
      <c r="AQ204" s="781"/>
      <c r="AR204" s="781"/>
      <c r="AS204" s="781"/>
      <c r="AT204" s="781"/>
      <c r="AU204" s="777"/>
      <c r="AV204" s="777"/>
      <c r="AW204" s="830"/>
      <c r="AX204" s="830"/>
      <c r="AY204" s="830"/>
      <c r="AZ204" s="831"/>
      <c r="BA204" s="831"/>
      <c r="BB204" s="822"/>
      <c r="BC204" s="822"/>
      <c r="BD204" s="822"/>
      <c r="BE204" s="822"/>
      <c r="BF204" s="822"/>
      <c r="BG204" s="822"/>
    </row>
    <row r="205" spans="1:59" ht="12" customHeight="1" x14ac:dyDescent="0.2">
      <c r="A205" s="781"/>
      <c r="B205" s="781"/>
      <c r="C205" s="781"/>
      <c r="D205" s="781"/>
      <c r="E205" s="781"/>
      <c r="F205" s="739"/>
      <c r="G205" s="781"/>
      <c r="H205" s="781"/>
      <c r="I205" s="781"/>
      <c r="J205" s="781"/>
      <c r="K205" s="781"/>
      <c r="L205" s="781"/>
      <c r="M205" s="829"/>
      <c r="N205" s="781"/>
      <c r="O205" s="781"/>
      <c r="P205" s="781"/>
      <c r="Q205" s="781"/>
      <c r="R205" s="781"/>
      <c r="T205" s="781"/>
      <c r="U205" s="781"/>
      <c r="V205" s="781"/>
      <c r="W205" s="781"/>
      <c r="X205" s="781"/>
      <c r="Y205" s="781"/>
      <c r="Z205" s="781"/>
      <c r="AB205" s="781"/>
      <c r="AM205" s="781"/>
      <c r="AN205" s="781"/>
      <c r="AO205" s="781"/>
      <c r="AP205" s="781"/>
      <c r="AQ205" s="781"/>
      <c r="AR205" s="781"/>
      <c r="AS205" s="781"/>
      <c r="AT205" s="781"/>
      <c r="AU205" s="777"/>
      <c r="AV205" s="777"/>
      <c r="AW205" s="830"/>
      <c r="AX205" s="830"/>
      <c r="AY205" s="830"/>
      <c r="AZ205" s="831"/>
      <c r="BA205" s="831"/>
      <c r="BB205" s="822"/>
      <c r="BC205" s="822"/>
      <c r="BD205" s="822"/>
      <c r="BE205" s="822"/>
      <c r="BF205" s="822"/>
      <c r="BG205" s="822"/>
    </row>
    <row r="206" spans="1:59" ht="12" customHeight="1" x14ac:dyDescent="0.2">
      <c r="A206" s="781"/>
      <c r="B206" s="781"/>
      <c r="C206" s="781"/>
      <c r="D206" s="781"/>
      <c r="E206" s="781"/>
      <c r="F206" s="739"/>
      <c r="G206" s="781"/>
      <c r="H206" s="781"/>
      <c r="I206" s="781"/>
      <c r="J206" s="781"/>
      <c r="K206" s="781"/>
      <c r="L206" s="781"/>
      <c r="M206" s="829"/>
      <c r="N206" s="781"/>
      <c r="O206" s="781"/>
      <c r="P206" s="781"/>
      <c r="Q206" s="781"/>
      <c r="R206" s="781"/>
      <c r="T206" s="781"/>
      <c r="U206" s="781"/>
      <c r="V206" s="781"/>
      <c r="W206" s="781"/>
      <c r="X206" s="781"/>
      <c r="Y206" s="781"/>
      <c r="Z206" s="781"/>
      <c r="AB206" s="781"/>
      <c r="AM206" s="781"/>
      <c r="AN206" s="781"/>
      <c r="AO206" s="781"/>
      <c r="AP206" s="781"/>
      <c r="AQ206" s="781"/>
      <c r="AR206" s="781"/>
      <c r="AS206" s="781"/>
      <c r="AT206" s="781"/>
      <c r="AU206" s="777"/>
      <c r="AV206" s="777"/>
      <c r="AW206" s="830"/>
      <c r="AX206" s="830"/>
      <c r="AY206" s="830"/>
      <c r="AZ206" s="831"/>
      <c r="BA206" s="831"/>
      <c r="BB206" s="822"/>
      <c r="BC206" s="822"/>
      <c r="BD206" s="822"/>
      <c r="BE206" s="822"/>
      <c r="BF206" s="822"/>
      <c r="BG206" s="822"/>
    </row>
    <row r="207" spans="1:59" ht="12" customHeight="1" x14ac:dyDescent="0.2">
      <c r="A207" s="781"/>
      <c r="B207" s="781"/>
      <c r="C207" s="781"/>
      <c r="D207" s="781"/>
      <c r="E207" s="781"/>
      <c r="F207" s="739"/>
      <c r="G207" s="781"/>
      <c r="H207" s="781"/>
      <c r="I207" s="781"/>
      <c r="J207" s="781"/>
      <c r="K207" s="781"/>
      <c r="L207" s="781"/>
      <c r="M207" s="829"/>
      <c r="N207" s="781"/>
      <c r="O207" s="781"/>
      <c r="P207" s="781"/>
      <c r="Q207" s="781"/>
      <c r="R207" s="781"/>
      <c r="T207" s="781"/>
      <c r="U207" s="781"/>
      <c r="V207" s="781"/>
      <c r="W207" s="781"/>
      <c r="X207" s="781"/>
      <c r="Y207" s="781"/>
      <c r="Z207" s="781"/>
      <c r="AB207" s="781"/>
      <c r="AM207" s="781"/>
      <c r="AN207" s="781"/>
      <c r="AO207" s="781"/>
      <c r="AP207" s="781"/>
      <c r="AQ207" s="781"/>
      <c r="AR207" s="781"/>
      <c r="AS207" s="781"/>
      <c r="AT207" s="781"/>
      <c r="AU207" s="777"/>
      <c r="AV207" s="777"/>
      <c r="AW207" s="830"/>
      <c r="AX207" s="830"/>
      <c r="AY207" s="830"/>
      <c r="AZ207" s="831"/>
      <c r="BA207" s="831"/>
      <c r="BB207" s="822"/>
      <c r="BC207" s="822"/>
      <c r="BD207" s="822"/>
      <c r="BE207" s="822"/>
      <c r="BF207" s="822"/>
      <c r="BG207" s="822"/>
    </row>
    <row r="208" spans="1:59" ht="12" customHeight="1" x14ac:dyDescent="0.2">
      <c r="A208" s="781"/>
      <c r="B208" s="781"/>
      <c r="C208" s="781"/>
      <c r="D208" s="781"/>
      <c r="E208" s="781"/>
      <c r="F208" s="739"/>
      <c r="G208" s="781"/>
      <c r="H208" s="781"/>
      <c r="I208" s="781"/>
      <c r="J208" s="781"/>
      <c r="K208" s="781"/>
      <c r="L208" s="781"/>
      <c r="M208" s="829"/>
      <c r="N208" s="781"/>
      <c r="O208" s="781"/>
      <c r="P208" s="781"/>
      <c r="Q208" s="781"/>
      <c r="R208" s="781"/>
      <c r="T208" s="781"/>
      <c r="U208" s="781"/>
      <c r="V208" s="781"/>
      <c r="W208" s="781"/>
      <c r="X208" s="781"/>
      <c r="Y208" s="781"/>
      <c r="Z208" s="781"/>
      <c r="AB208" s="781"/>
      <c r="AM208" s="781"/>
      <c r="AN208" s="781"/>
      <c r="AO208" s="781"/>
      <c r="AP208" s="781"/>
      <c r="AQ208" s="781"/>
      <c r="AR208" s="781"/>
      <c r="AS208" s="781"/>
      <c r="AT208" s="781"/>
      <c r="AU208" s="777"/>
      <c r="AV208" s="777"/>
      <c r="AW208" s="830"/>
      <c r="AX208" s="830"/>
      <c r="AY208" s="830"/>
      <c r="AZ208" s="831"/>
      <c r="BA208" s="831"/>
      <c r="BB208" s="822"/>
      <c r="BC208" s="822"/>
      <c r="BD208" s="822"/>
      <c r="BE208" s="822"/>
      <c r="BF208" s="822"/>
      <c r="BG208" s="822"/>
    </row>
    <row r="209" spans="1:59" ht="12" customHeight="1" x14ac:dyDescent="0.2">
      <c r="A209" s="781"/>
      <c r="B209" s="781"/>
      <c r="C209" s="781"/>
      <c r="D209" s="781"/>
      <c r="E209" s="781"/>
      <c r="F209" s="739"/>
      <c r="G209" s="781"/>
      <c r="H209" s="781"/>
      <c r="I209" s="781"/>
      <c r="J209" s="781"/>
      <c r="K209" s="781"/>
      <c r="L209" s="781"/>
      <c r="M209" s="829"/>
      <c r="N209" s="781"/>
      <c r="O209" s="781"/>
      <c r="P209" s="781"/>
      <c r="Q209" s="781"/>
      <c r="R209" s="781"/>
      <c r="T209" s="781"/>
      <c r="U209" s="781"/>
      <c r="V209" s="781"/>
      <c r="W209" s="781"/>
      <c r="X209" s="781"/>
      <c r="Y209" s="781"/>
      <c r="Z209" s="781"/>
      <c r="AB209" s="781"/>
      <c r="AM209" s="781"/>
      <c r="AN209" s="781"/>
      <c r="AO209" s="781"/>
      <c r="AP209" s="781"/>
      <c r="AQ209" s="781"/>
      <c r="AR209" s="781"/>
      <c r="AS209" s="781"/>
      <c r="AT209" s="781"/>
      <c r="AU209" s="777"/>
      <c r="AV209" s="777"/>
      <c r="AW209" s="830"/>
      <c r="AX209" s="830"/>
      <c r="AY209" s="830"/>
      <c r="AZ209" s="831"/>
      <c r="BA209" s="831"/>
      <c r="BB209" s="822"/>
      <c r="BC209" s="822"/>
      <c r="BD209" s="822"/>
      <c r="BE209" s="822"/>
      <c r="BF209" s="822"/>
      <c r="BG209" s="822"/>
    </row>
    <row r="210" spans="1:59" ht="12" customHeight="1" x14ac:dyDescent="0.2">
      <c r="A210" s="781"/>
      <c r="B210" s="781"/>
      <c r="C210" s="781"/>
      <c r="D210" s="781"/>
      <c r="E210" s="781"/>
      <c r="F210" s="739"/>
      <c r="G210" s="781"/>
      <c r="H210" s="781"/>
      <c r="I210" s="781"/>
      <c r="J210" s="781"/>
      <c r="K210" s="781"/>
      <c r="L210" s="781"/>
      <c r="M210" s="829"/>
      <c r="N210" s="781"/>
      <c r="O210" s="781"/>
      <c r="P210" s="781"/>
      <c r="Q210" s="781"/>
      <c r="R210" s="781"/>
      <c r="T210" s="781"/>
      <c r="U210" s="781"/>
      <c r="V210" s="781"/>
      <c r="W210" s="781"/>
      <c r="X210" s="781"/>
      <c r="Y210" s="781"/>
      <c r="Z210" s="781"/>
      <c r="AB210" s="781"/>
      <c r="AM210" s="781"/>
      <c r="AN210" s="781"/>
      <c r="AO210" s="781"/>
      <c r="AP210" s="781"/>
      <c r="AQ210" s="781"/>
      <c r="AR210" s="781"/>
      <c r="AS210" s="781"/>
      <c r="AT210" s="781"/>
      <c r="AU210" s="777"/>
      <c r="AV210" s="777"/>
      <c r="AW210" s="830"/>
      <c r="AX210" s="830"/>
      <c r="AY210" s="830"/>
      <c r="AZ210" s="831"/>
      <c r="BA210" s="831"/>
      <c r="BB210" s="822"/>
      <c r="BC210" s="822"/>
      <c r="BD210" s="822"/>
      <c r="BE210" s="822"/>
      <c r="BF210" s="822"/>
      <c r="BG210" s="822"/>
    </row>
    <row r="211" spans="1:59" ht="12" customHeight="1" x14ac:dyDescent="0.2">
      <c r="A211" s="781"/>
      <c r="B211" s="781"/>
      <c r="C211" s="781"/>
      <c r="D211" s="781"/>
      <c r="E211" s="781"/>
      <c r="F211" s="739"/>
      <c r="G211" s="781"/>
      <c r="H211" s="781"/>
      <c r="I211" s="781"/>
      <c r="J211" s="781"/>
      <c r="K211" s="781"/>
      <c r="L211" s="781"/>
      <c r="M211" s="829"/>
      <c r="N211" s="781"/>
      <c r="O211" s="781"/>
      <c r="P211" s="781"/>
      <c r="Q211" s="781"/>
      <c r="R211" s="781"/>
      <c r="T211" s="781"/>
      <c r="U211" s="781"/>
      <c r="V211" s="781"/>
      <c r="W211" s="781"/>
      <c r="X211" s="781"/>
      <c r="Y211" s="781"/>
      <c r="Z211" s="781"/>
      <c r="AB211" s="781"/>
      <c r="AM211" s="781"/>
      <c r="AN211" s="781"/>
      <c r="AO211" s="781"/>
      <c r="AP211" s="781"/>
      <c r="AQ211" s="781"/>
      <c r="AR211" s="781"/>
      <c r="AS211" s="781"/>
      <c r="AT211" s="781"/>
      <c r="AU211" s="777"/>
      <c r="AV211" s="777"/>
      <c r="AW211" s="830"/>
      <c r="AX211" s="830"/>
      <c r="AY211" s="830"/>
      <c r="AZ211" s="831"/>
      <c r="BA211" s="831"/>
      <c r="BB211" s="822"/>
      <c r="BC211" s="822"/>
      <c r="BD211" s="822"/>
      <c r="BE211" s="822"/>
      <c r="BF211" s="822"/>
      <c r="BG211" s="822"/>
    </row>
    <row r="212" spans="1:59" ht="12" customHeight="1" x14ac:dyDescent="0.2">
      <c r="A212" s="781"/>
      <c r="B212" s="781"/>
      <c r="C212" s="781"/>
      <c r="D212" s="781"/>
      <c r="E212" s="781"/>
      <c r="F212" s="739"/>
      <c r="G212" s="781"/>
      <c r="H212" s="781"/>
      <c r="I212" s="781"/>
      <c r="J212" s="781"/>
      <c r="K212" s="781"/>
      <c r="L212" s="781"/>
      <c r="M212" s="829"/>
      <c r="N212" s="781"/>
      <c r="O212" s="781"/>
      <c r="P212" s="781"/>
      <c r="Q212" s="781"/>
      <c r="R212" s="781"/>
      <c r="T212" s="781"/>
      <c r="U212" s="781"/>
      <c r="V212" s="781"/>
      <c r="W212" s="781"/>
      <c r="X212" s="781"/>
      <c r="Y212" s="781"/>
      <c r="Z212" s="781"/>
      <c r="AB212" s="781"/>
      <c r="AM212" s="781"/>
      <c r="AN212" s="781"/>
      <c r="AO212" s="781"/>
      <c r="AP212" s="781"/>
      <c r="AQ212" s="781"/>
      <c r="AR212" s="781"/>
      <c r="AS212" s="781"/>
      <c r="AT212" s="781"/>
      <c r="AU212" s="777"/>
      <c r="AV212" s="777"/>
      <c r="AW212" s="830"/>
      <c r="AX212" s="830"/>
      <c r="AY212" s="830"/>
      <c r="AZ212" s="831"/>
      <c r="BA212" s="831"/>
      <c r="BB212" s="822"/>
      <c r="BC212" s="822"/>
      <c r="BD212" s="822"/>
      <c r="BE212" s="822"/>
      <c r="BF212" s="822"/>
      <c r="BG212" s="822"/>
    </row>
    <row r="213" spans="1:59" ht="12" customHeight="1" x14ac:dyDescent="0.2">
      <c r="A213" s="781"/>
      <c r="B213" s="781"/>
      <c r="C213" s="781"/>
      <c r="D213" s="781"/>
      <c r="E213" s="781"/>
      <c r="F213" s="739"/>
      <c r="G213" s="781"/>
      <c r="H213" s="781"/>
      <c r="I213" s="781"/>
      <c r="J213" s="781"/>
      <c r="K213" s="781"/>
      <c r="L213" s="781"/>
      <c r="M213" s="829"/>
      <c r="N213" s="781"/>
      <c r="O213" s="781"/>
      <c r="P213" s="781"/>
      <c r="Q213" s="781"/>
      <c r="R213" s="781"/>
      <c r="T213" s="781"/>
      <c r="U213" s="781"/>
      <c r="V213" s="781"/>
      <c r="W213" s="781"/>
      <c r="X213" s="781"/>
      <c r="Y213" s="781"/>
      <c r="Z213" s="781"/>
      <c r="AB213" s="781"/>
      <c r="AM213" s="781"/>
      <c r="AN213" s="781"/>
      <c r="AO213" s="781"/>
      <c r="AP213" s="781"/>
      <c r="AQ213" s="781"/>
      <c r="AR213" s="781"/>
      <c r="AS213" s="781"/>
      <c r="AT213" s="781"/>
      <c r="AU213" s="777"/>
      <c r="AV213" s="777"/>
      <c r="AW213" s="830"/>
      <c r="AX213" s="830"/>
      <c r="AY213" s="830"/>
      <c r="AZ213" s="831"/>
      <c r="BA213" s="831"/>
      <c r="BB213" s="822"/>
      <c r="BC213" s="822"/>
      <c r="BD213" s="822"/>
      <c r="BE213" s="822"/>
      <c r="BF213" s="822"/>
      <c r="BG213" s="822"/>
    </row>
    <row r="214" spans="1:59" ht="12" customHeight="1" x14ac:dyDescent="0.2">
      <c r="A214" s="781"/>
      <c r="B214" s="781"/>
      <c r="C214" s="781"/>
      <c r="D214" s="781"/>
      <c r="E214" s="781"/>
      <c r="F214" s="739"/>
      <c r="G214" s="781"/>
      <c r="H214" s="781"/>
      <c r="I214" s="781"/>
      <c r="J214" s="781"/>
      <c r="K214" s="781"/>
      <c r="L214" s="781"/>
      <c r="M214" s="829"/>
      <c r="N214" s="781"/>
      <c r="O214" s="781"/>
      <c r="P214" s="781"/>
      <c r="Q214" s="781"/>
      <c r="R214" s="781"/>
      <c r="T214" s="781"/>
      <c r="U214" s="781"/>
      <c r="V214" s="781"/>
      <c r="W214" s="781"/>
      <c r="X214" s="781"/>
      <c r="Y214" s="781"/>
      <c r="Z214" s="781"/>
      <c r="AB214" s="781"/>
      <c r="AM214" s="781"/>
      <c r="AN214" s="781"/>
      <c r="AO214" s="781"/>
      <c r="AP214" s="781"/>
      <c r="AQ214" s="781"/>
      <c r="AR214" s="781"/>
      <c r="AS214" s="781"/>
      <c r="AT214" s="781"/>
      <c r="AU214" s="777"/>
      <c r="AV214" s="777"/>
      <c r="AW214" s="830"/>
      <c r="AX214" s="830"/>
      <c r="AY214" s="830"/>
      <c r="AZ214" s="831"/>
      <c r="BA214" s="831"/>
      <c r="BB214" s="822"/>
      <c r="BC214" s="822"/>
      <c r="BD214" s="822"/>
      <c r="BE214" s="822"/>
      <c r="BF214" s="822"/>
      <c r="BG214" s="822"/>
    </row>
    <row r="215" spans="1:59" ht="12" customHeight="1" x14ac:dyDescent="0.2">
      <c r="A215" s="781"/>
      <c r="B215" s="781"/>
      <c r="C215" s="781"/>
      <c r="D215" s="781"/>
      <c r="E215" s="781"/>
      <c r="F215" s="739"/>
      <c r="G215" s="781"/>
      <c r="H215" s="781"/>
      <c r="I215" s="781"/>
      <c r="J215" s="781"/>
      <c r="K215" s="781"/>
      <c r="L215" s="781"/>
      <c r="M215" s="829"/>
      <c r="N215" s="781"/>
      <c r="O215" s="781"/>
      <c r="P215" s="781"/>
      <c r="Q215" s="781"/>
      <c r="R215" s="781"/>
      <c r="T215" s="781"/>
      <c r="U215" s="781"/>
      <c r="V215" s="781"/>
      <c r="W215" s="781"/>
      <c r="X215" s="781"/>
      <c r="Y215" s="781"/>
      <c r="Z215" s="781"/>
      <c r="AB215" s="781"/>
      <c r="AM215" s="781"/>
      <c r="AN215" s="781"/>
      <c r="AO215" s="781"/>
      <c r="AP215" s="781"/>
      <c r="AQ215" s="781"/>
      <c r="AR215" s="781"/>
      <c r="AS215" s="781"/>
      <c r="AT215" s="781"/>
      <c r="AU215" s="777"/>
      <c r="AV215" s="777"/>
      <c r="AW215" s="830"/>
      <c r="AX215" s="830"/>
      <c r="AY215" s="830"/>
      <c r="AZ215" s="831"/>
      <c r="BA215" s="831"/>
      <c r="BB215" s="822"/>
      <c r="BC215" s="822"/>
      <c r="BD215" s="822"/>
      <c r="BE215" s="822"/>
      <c r="BF215" s="822"/>
      <c r="BG215" s="822"/>
    </row>
    <row r="216" spans="1:59" ht="12" customHeight="1" x14ac:dyDescent="0.2">
      <c r="A216" s="781"/>
      <c r="B216" s="781"/>
      <c r="C216" s="781"/>
      <c r="D216" s="781"/>
      <c r="E216" s="781"/>
      <c r="F216" s="739"/>
      <c r="G216" s="781"/>
      <c r="H216" s="781"/>
      <c r="I216" s="781"/>
      <c r="J216" s="781"/>
      <c r="K216" s="781"/>
      <c r="L216" s="781"/>
      <c r="M216" s="829"/>
      <c r="N216" s="781"/>
      <c r="O216" s="781"/>
      <c r="P216" s="781"/>
      <c r="Q216" s="781"/>
      <c r="R216" s="781"/>
      <c r="T216" s="781"/>
      <c r="U216" s="781"/>
      <c r="V216" s="781"/>
      <c r="W216" s="781"/>
      <c r="X216" s="781"/>
      <c r="Y216" s="781"/>
      <c r="Z216" s="781"/>
      <c r="AB216" s="781"/>
      <c r="AM216" s="781"/>
      <c r="AN216" s="781"/>
      <c r="AO216" s="781"/>
      <c r="AP216" s="781"/>
      <c r="AQ216" s="781"/>
      <c r="AR216" s="781"/>
      <c r="AS216" s="781"/>
      <c r="AT216" s="781"/>
      <c r="AU216" s="777"/>
      <c r="AV216" s="777"/>
      <c r="AW216" s="830"/>
      <c r="AX216" s="830"/>
      <c r="AY216" s="830"/>
      <c r="AZ216" s="831"/>
      <c r="BA216" s="831"/>
      <c r="BB216" s="822"/>
      <c r="BC216" s="822"/>
      <c r="BD216" s="822"/>
      <c r="BE216" s="822"/>
      <c r="BF216" s="822"/>
      <c r="BG216" s="822"/>
    </row>
    <row r="217" spans="1:59" ht="12" customHeight="1" x14ac:dyDescent="0.2">
      <c r="A217" s="781"/>
      <c r="B217" s="781"/>
      <c r="C217" s="781"/>
      <c r="D217" s="781"/>
      <c r="E217" s="781"/>
      <c r="F217" s="739"/>
      <c r="G217" s="781"/>
      <c r="H217" s="781"/>
      <c r="I217" s="781"/>
      <c r="J217" s="781"/>
      <c r="K217" s="781"/>
      <c r="L217" s="781"/>
      <c r="M217" s="829"/>
      <c r="N217" s="781"/>
      <c r="O217" s="781"/>
      <c r="P217" s="781"/>
      <c r="Q217" s="781"/>
      <c r="R217" s="781"/>
      <c r="T217" s="781"/>
      <c r="U217" s="781"/>
      <c r="V217" s="781"/>
      <c r="W217" s="781"/>
      <c r="X217" s="781"/>
      <c r="Y217" s="781"/>
      <c r="Z217" s="781"/>
      <c r="AB217" s="781"/>
      <c r="AM217" s="781"/>
      <c r="AN217" s="781"/>
      <c r="AO217" s="781"/>
      <c r="AP217" s="781"/>
      <c r="AQ217" s="781"/>
      <c r="AR217" s="781"/>
      <c r="AS217" s="781"/>
      <c r="AT217" s="781"/>
      <c r="AU217" s="777"/>
      <c r="AV217" s="777"/>
      <c r="AW217" s="830"/>
      <c r="AX217" s="830"/>
      <c r="AY217" s="830"/>
      <c r="AZ217" s="831"/>
      <c r="BA217" s="831"/>
      <c r="BB217" s="822"/>
      <c r="BC217" s="822"/>
      <c r="BD217" s="822"/>
      <c r="BE217" s="822"/>
      <c r="BF217" s="822"/>
      <c r="BG217" s="822"/>
    </row>
    <row r="218" spans="1:59" ht="12" customHeight="1" x14ac:dyDescent="0.2">
      <c r="A218" s="781"/>
      <c r="B218" s="781"/>
      <c r="C218" s="781"/>
      <c r="D218" s="781"/>
      <c r="E218" s="781"/>
      <c r="F218" s="739"/>
      <c r="G218" s="781"/>
      <c r="H218" s="781"/>
      <c r="I218" s="781"/>
      <c r="J218" s="781"/>
      <c r="K218" s="781"/>
      <c r="L218" s="781"/>
      <c r="M218" s="829"/>
      <c r="N218" s="781"/>
      <c r="O218" s="781"/>
      <c r="P218" s="781"/>
      <c r="Q218" s="781"/>
      <c r="R218" s="781"/>
      <c r="T218" s="781"/>
      <c r="U218" s="781"/>
      <c r="V218" s="781"/>
      <c r="W218" s="781"/>
      <c r="X218" s="781"/>
      <c r="Y218" s="781"/>
      <c r="Z218" s="781"/>
      <c r="AB218" s="781"/>
      <c r="AM218" s="781"/>
      <c r="AN218" s="781"/>
      <c r="AO218" s="781"/>
      <c r="AP218" s="781"/>
      <c r="AQ218" s="781"/>
      <c r="AR218" s="781"/>
      <c r="AS218" s="781"/>
      <c r="AT218" s="781"/>
      <c r="AU218" s="777"/>
      <c r="AV218" s="777"/>
      <c r="AW218" s="830"/>
      <c r="AX218" s="830"/>
      <c r="AY218" s="830"/>
      <c r="AZ218" s="831"/>
      <c r="BA218" s="831"/>
      <c r="BB218" s="822"/>
      <c r="BC218" s="822"/>
      <c r="BD218" s="822"/>
      <c r="BE218" s="822"/>
      <c r="BF218" s="822"/>
      <c r="BG218" s="822"/>
    </row>
    <row r="219" spans="1:59" ht="12" customHeight="1" x14ac:dyDescent="0.2">
      <c r="A219" s="781"/>
      <c r="B219" s="781"/>
      <c r="C219" s="781"/>
      <c r="D219" s="781"/>
      <c r="E219" s="781"/>
      <c r="F219" s="739"/>
      <c r="G219" s="781"/>
      <c r="H219" s="781"/>
      <c r="I219" s="781"/>
      <c r="J219" s="781"/>
      <c r="K219" s="781"/>
      <c r="L219" s="781"/>
      <c r="M219" s="829"/>
      <c r="N219" s="781"/>
      <c r="O219" s="781"/>
      <c r="P219" s="781"/>
      <c r="Q219" s="781"/>
      <c r="R219" s="781"/>
      <c r="T219" s="781"/>
      <c r="U219" s="781"/>
      <c r="V219" s="781"/>
      <c r="W219" s="781"/>
      <c r="X219" s="781"/>
      <c r="Y219" s="781"/>
      <c r="Z219" s="781"/>
      <c r="AB219" s="781"/>
      <c r="AM219" s="781"/>
      <c r="AN219" s="781"/>
      <c r="AO219" s="781"/>
      <c r="AP219" s="781"/>
      <c r="AQ219" s="781"/>
      <c r="AR219" s="781"/>
      <c r="AS219" s="781"/>
      <c r="AT219" s="781"/>
      <c r="AU219" s="777"/>
      <c r="AV219" s="777"/>
      <c r="AW219" s="830"/>
      <c r="AX219" s="830"/>
      <c r="AY219" s="830"/>
      <c r="AZ219" s="831"/>
      <c r="BA219" s="831"/>
      <c r="BB219" s="822"/>
      <c r="BC219" s="822"/>
      <c r="BD219" s="822"/>
      <c r="BE219" s="822"/>
      <c r="BF219" s="822"/>
      <c r="BG219" s="822"/>
    </row>
    <row r="220" spans="1:59" ht="12" customHeight="1" x14ac:dyDescent="0.2">
      <c r="A220" s="781"/>
      <c r="B220" s="781"/>
      <c r="C220" s="781"/>
      <c r="D220" s="781"/>
      <c r="E220" s="781"/>
      <c r="F220" s="739"/>
      <c r="G220" s="781"/>
      <c r="H220" s="781"/>
      <c r="I220" s="781"/>
      <c r="J220" s="781"/>
      <c r="K220" s="781"/>
      <c r="L220" s="781"/>
      <c r="M220" s="829"/>
      <c r="N220" s="781"/>
      <c r="O220" s="781"/>
      <c r="P220" s="781"/>
      <c r="Q220" s="781"/>
      <c r="R220" s="781"/>
      <c r="T220" s="781"/>
      <c r="U220" s="781"/>
      <c r="V220" s="781"/>
      <c r="W220" s="781"/>
      <c r="X220" s="781"/>
      <c r="Y220" s="781"/>
      <c r="Z220" s="781"/>
      <c r="AB220" s="781"/>
      <c r="AM220" s="781"/>
      <c r="AN220" s="781"/>
      <c r="AO220" s="781"/>
      <c r="AP220" s="781"/>
      <c r="AQ220" s="781"/>
      <c r="AR220" s="781"/>
      <c r="AS220" s="781"/>
      <c r="AT220" s="781"/>
      <c r="AU220" s="777"/>
      <c r="AV220" s="777"/>
      <c r="AW220" s="830"/>
      <c r="AX220" s="830"/>
      <c r="AY220" s="830"/>
      <c r="AZ220" s="831"/>
      <c r="BA220" s="831"/>
      <c r="BB220" s="822"/>
      <c r="BC220" s="822"/>
      <c r="BD220" s="822"/>
      <c r="BE220" s="822"/>
      <c r="BF220" s="822"/>
      <c r="BG220" s="822"/>
    </row>
    <row r="221" spans="1:59" ht="12" customHeight="1" x14ac:dyDescent="0.2">
      <c r="A221" s="781"/>
      <c r="B221" s="781"/>
      <c r="C221" s="781"/>
      <c r="D221" s="781"/>
      <c r="E221" s="781"/>
      <c r="F221" s="739"/>
      <c r="G221" s="781"/>
      <c r="H221" s="781"/>
      <c r="I221" s="781"/>
      <c r="J221" s="781"/>
      <c r="K221" s="781"/>
      <c r="L221" s="781"/>
      <c r="M221" s="829"/>
      <c r="N221" s="781"/>
      <c r="O221" s="781"/>
      <c r="P221" s="781"/>
      <c r="Q221" s="781"/>
      <c r="R221" s="781"/>
      <c r="T221" s="781"/>
      <c r="U221" s="781"/>
      <c r="V221" s="781"/>
      <c r="W221" s="781"/>
      <c r="X221" s="781"/>
      <c r="Y221" s="781"/>
      <c r="Z221" s="781"/>
      <c r="AB221" s="781"/>
      <c r="AM221" s="781"/>
      <c r="AN221" s="781"/>
      <c r="AO221" s="781"/>
      <c r="AP221" s="781"/>
      <c r="AQ221" s="781"/>
      <c r="AR221" s="781"/>
      <c r="AS221" s="781"/>
      <c r="AT221" s="781"/>
      <c r="AU221" s="777"/>
      <c r="AV221" s="777"/>
      <c r="AW221" s="830"/>
      <c r="AX221" s="830"/>
      <c r="AY221" s="830"/>
      <c r="AZ221" s="831"/>
      <c r="BA221" s="831"/>
      <c r="BB221" s="822"/>
      <c r="BC221" s="822"/>
      <c r="BD221" s="822"/>
      <c r="BE221" s="822"/>
      <c r="BF221" s="822"/>
      <c r="BG221" s="822"/>
    </row>
    <row r="222" spans="1:59" ht="12" customHeight="1" x14ac:dyDescent="0.2">
      <c r="A222" s="781"/>
      <c r="B222" s="781"/>
      <c r="C222" s="781"/>
      <c r="D222" s="781"/>
      <c r="E222" s="781"/>
      <c r="F222" s="739"/>
      <c r="G222" s="781"/>
      <c r="H222" s="781"/>
      <c r="I222" s="781"/>
      <c r="J222" s="781"/>
      <c r="K222" s="781"/>
      <c r="L222" s="781"/>
      <c r="M222" s="829"/>
      <c r="N222" s="781"/>
      <c r="O222" s="781"/>
      <c r="P222" s="781"/>
      <c r="Q222" s="781"/>
      <c r="R222" s="781"/>
      <c r="T222" s="781"/>
      <c r="U222" s="781"/>
      <c r="V222" s="781"/>
      <c r="W222" s="781"/>
      <c r="X222" s="781"/>
      <c r="Y222" s="781"/>
      <c r="Z222" s="781"/>
      <c r="AB222" s="781"/>
      <c r="AM222" s="781"/>
      <c r="AN222" s="781"/>
      <c r="AO222" s="781"/>
      <c r="AP222" s="781"/>
      <c r="AQ222" s="781"/>
      <c r="AR222" s="781"/>
      <c r="AS222" s="781"/>
      <c r="AT222" s="781"/>
      <c r="AU222" s="777"/>
      <c r="AV222" s="777"/>
      <c r="AW222" s="830"/>
      <c r="AX222" s="830"/>
      <c r="AY222" s="830"/>
      <c r="AZ222" s="831"/>
      <c r="BA222" s="831"/>
      <c r="BB222" s="822"/>
      <c r="BC222" s="822"/>
      <c r="BD222" s="822"/>
      <c r="BE222" s="822"/>
      <c r="BF222" s="822"/>
      <c r="BG222" s="822"/>
    </row>
    <row r="223" spans="1:59" ht="12" customHeight="1" x14ac:dyDescent="0.2">
      <c r="A223" s="781"/>
      <c r="B223" s="781"/>
      <c r="C223" s="781"/>
      <c r="D223" s="781"/>
      <c r="E223" s="781"/>
      <c r="F223" s="739"/>
      <c r="G223" s="781"/>
      <c r="H223" s="781"/>
      <c r="I223" s="781"/>
      <c r="J223" s="781"/>
      <c r="K223" s="781"/>
      <c r="L223" s="781"/>
      <c r="M223" s="829"/>
      <c r="N223" s="781"/>
      <c r="O223" s="781"/>
      <c r="P223" s="781"/>
      <c r="Q223" s="781"/>
      <c r="R223" s="781"/>
      <c r="T223" s="781"/>
      <c r="U223" s="781"/>
      <c r="V223" s="781"/>
      <c r="W223" s="781"/>
      <c r="X223" s="781"/>
      <c r="Y223" s="781"/>
      <c r="Z223" s="781"/>
      <c r="AB223" s="781"/>
      <c r="AM223" s="781"/>
      <c r="AN223" s="781"/>
      <c r="AO223" s="781"/>
      <c r="AP223" s="781"/>
      <c r="AQ223" s="781"/>
      <c r="AR223" s="781"/>
      <c r="AS223" s="781"/>
      <c r="AT223" s="781"/>
      <c r="AU223" s="777"/>
      <c r="AV223" s="777"/>
      <c r="AW223" s="830"/>
      <c r="AX223" s="830"/>
      <c r="AY223" s="830"/>
      <c r="AZ223" s="831"/>
      <c r="BA223" s="831"/>
      <c r="BB223" s="822"/>
      <c r="BC223" s="822"/>
      <c r="BD223" s="822"/>
      <c r="BE223" s="822"/>
      <c r="BF223" s="822"/>
      <c r="BG223" s="822"/>
    </row>
    <row r="224" spans="1:59" ht="12" customHeight="1" x14ac:dyDescent="0.2">
      <c r="A224" s="781"/>
      <c r="B224" s="781"/>
      <c r="C224" s="781"/>
      <c r="D224" s="781"/>
      <c r="E224" s="781"/>
      <c r="F224" s="739"/>
      <c r="G224" s="781"/>
      <c r="H224" s="781"/>
      <c r="I224" s="781"/>
      <c r="J224" s="781"/>
      <c r="K224" s="781"/>
      <c r="L224" s="781"/>
      <c r="M224" s="829"/>
      <c r="N224" s="781"/>
      <c r="O224" s="781"/>
      <c r="P224" s="781"/>
      <c r="Q224" s="781"/>
      <c r="R224" s="781"/>
      <c r="T224" s="781"/>
      <c r="U224" s="781"/>
      <c r="V224" s="781"/>
      <c r="W224" s="781"/>
      <c r="X224" s="781"/>
      <c r="Y224" s="781"/>
      <c r="Z224" s="781"/>
      <c r="AB224" s="781"/>
      <c r="AM224" s="781"/>
      <c r="AN224" s="781"/>
      <c r="AO224" s="781"/>
      <c r="AP224" s="781"/>
      <c r="AQ224" s="781"/>
      <c r="AR224" s="781"/>
      <c r="AS224" s="781"/>
      <c r="AT224" s="781"/>
      <c r="AU224" s="777"/>
      <c r="AV224" s="777"/>
      <c r="AW224" s="830"/>
      <c r="AX224" s="830"/>
      <c r="AY224" s="830"/>
      <c r="AZ224" s="831"/>
      <c r="BA224" s="831"/>
      <c r="BB224" s="822"/>
      <c r="BC224" s="822"/>
      <c r="BD224" s="822"/>
      <c r="BE224" s="822"/>
      <c r="BF224" s="822"/>
      <c r="BG224" s="822"/>
    </row>
    <row r="225" spans="1:59" ht="12" customHeight="1" x14ac:dyDescent="0.2">
      <c r="A225" s="781"/>
      <c r="B225" s="781"/>
      <c r="C225" s="781"/>
      <c r="D225" s="781"/>
      <c r="E225" s="781"/>
      <c r="F225" s="739"/>
      <c r="G225" s="781"/>
      <c r="H225" s="781"/>
      <c r="I225" s="781"/>
      <c r="J225" s="781"/>
      <c r="K225" s="781"/>
      <c r="L225" s="781"/>
      <c r="M225" s="829"/>
      <c r="N225" s="781"/>
      <c r="O225" s="781"/>
      <c r="P225" s="781"/>
      <c r="Q225" s="781"/>
      <c r="R225" s="781"/>
      <c r="T225" s="781"/>
      <c r="U225" s="781"/>
      <c r="V225" s="781"/>
      <c r="W225" s="781"/>
      <c r="X225" s="781"/>
      <c r="Y225" s="781"/>
      <c r="Z225" s="781"/>
      <c r="AB225" s="781"/>
      <c r="AM225" s="781"/>
      <c r="AN225" s="781"/>
      <c r="AO225" s="781"/>
      <c r="AP225" s="781"/>
      <c r="AQ225" s="781"/>
      <c r="AR225" s="781"/>
      <c r="AS225" s="781"/>
      <c r="AT225" s="781"/>
      <c r="AU225" s="777"/>
      <c r="AV225" s="777"/>
      <c r="AW225" s="830"/>
      <c r="AX225" s="830"/>
      <c r="AY225" s="830"/>
      <c r="AZ225" s="831"/>
      <c r="BA225" s="831"/>
      <c r="BB225" s="822"/>
      <c r="BC225" s="822"/>
      <c r="BD225" s="822"/>
      <c r="BE225" s="822"/>
      <c r="BF225" s="822"/>
      <c r="BG225" s="822"/>
    </row>
    <row r="226" spans="1:59" ht="12" customHeight="1" x14ac:dyDescent="0.2">
      <c r="A226" s="781"/>
      <c r="B226" s="781"/>
      <c r="C226" s="781"/>
      <c r="D226" s="781"/>
      <c r="E226" s="781"/>
      <c r="F226" s="739"/>
      <c r="G226" s="781"/>
      <c r="H226" s="781"/>
      <c r="I226" s="781"/>
      <c r="J226" s="781"/>
      <c r="K226" s="781"/>
      <c r="L226" s="781"/>
      <c r="M226" s="829"/>
      <c r="N226" s="781"/>
      <c r="O226" s="781"/>
      <c r="P226" s="781"/>
      <c r="Q226" s="781"/>
      <c r="R226" s="781"/>
      <c r="T226" s="781"/>
      <c r="U226" s="781"/>
      <c r="V226" s="781"/>
      <c r="W226" s="781"/>
      <c r="X226" s="781"/>
      <c r="Y226" s="781"/>
      <c r="Z226" s="781"/>
      <c r="AB226" s="781"/>
      <c r="AM226" s="781"/>
      <c r="AN226" s="781"/>
      <c r="AO226" s="781"/>
      <c r="AP226" s="781"/>
      <c r="AQ226" s="781"/>
      <c r="AR226" s="781"/>
      <c r="AS226" s="781"/>
      <c r="AT226" s="781"/>
      <c r="AU226" s="777"/>
      <c r="AV226" s="777"/>
      <c r="AW226" s="830"/>
      <c r="AX226" s="830"/>
      <c r="AY226" s="830"/>
      <c r="AZ226" s="831"/>
      <c r="BA226" s="831"/>
      <c r="BB226" s="822"/>
      <c r="BC226" s="822"/>
      <c r="BD226" s="822"/>
      <c r="BE226" s="822"/>
      <c r="BF226" s="822"/>
      <c r="BG226" s="822"/>
    </row>
    <row r="227" spans="1:59" ht="12" customHeight="1" x14ac:dyDescent="0.2">
      <c r="A227" s="781"/>
      <c r="B227" s="781"/>
      <c r="C227" s="781"/>
      <c r="D227" s="781"/>
      <c r="E227" s="781"/>
      <c r="F227" s="739"/>
      <c r="G227" s="781"/>
      <c r="H227" s="781"/>
      <c r="I227" s="781"/>
      <c r="J227" s="781"/>
      <c r="K227" s="781"/>
      <c r="L227" s="781"/>
      <c r="M227" s="829"/>
      <c r="N227" s="781"/>
      <c r="O227" s="781"/>
      <c r="P227" s="781"/>
      <c r="Q227" s="781"/>
      <c r="R227" s="781"/>
      <c r="T227" s="781"/>
      <c r="U227" s="781"/>
      <c r="V227" s="781"/>
      <c r="W227" s="781"/>
      <c r="X227" s="781"/>
      <c r="Y227" s="781"/>
      <c r="Z227" s="781"/>
      <c r="AB227" s="781"/>
      <c r="AM227" s="781"/>
      <c r="AN227" s="781"/>
      <c r="AO227" s="781"/>
      <c r="AP227" s="781"/>
      <c r="AQ227" s="781"/>
      <c r="AR227" s="781"/>
      <c r="AS227" s="781"/>
      <c r="AT227" s="781"/>
      <c r="AU227" s="777"/>
      <c r="AV227" s="777"/>
      <c r="AW227" s="830"/>
      <c r="AX227" s="830"/>
      <c r="AY227" s="830"/>
      <c r="AZ227" s="831"/>
      <c r="BA227" s="831"/>
      <c r="BB227" s="822"/>
      <c r="BC227" s="822"/>
      <c r="BD227" s="822"/>
      <c r="BE227" s="822"/>
      <c r="BF227" s="822"/>
      <c r="BG227" s="822"/>
    </row>
    <row r="228" spans="1:59" ht="12" customHeight="1" x14ac:dyDescent="0.2">
      <c r="A228" s="781"/>
      <c r="B228" s="781"/>
      <c r="C228" s="781"/>
      <c r="D228" s="781"/>
      <c r="E228" s="781"/>
      <c r="F228" s="739"/>
      <c r="G228" s="781"/>
      <c r="H228" s="781"/>
      <c r="I228" s="781"/>
      <c r="J228" s="781"/>
      <c r="K228" s="781"/>
      <c r="L228" s="781"/>
      <c r="M228" s="829"/>
      <c r="N228" s="781"/>
      <c r="O228" s="781"/>
      <c r="P228" s="781"/>
      <c r="Q228" s="781"/>
      <c r="R228" s="781"/>
      <c r="T228" s="781"/>
      <c r="U228" s="781"/>
      <c r="V228" s="781"/>
      <c r="W228" s="781"/>
      <c r="X228" s="781"/>
      <c r="Y228" s="781"/>
      <c r="Z228" s="781"/>
      <c r="AB228" s="781"/>
      <c r="AM228" s="781"/>
      <c r="AN228" s="781"/>
      <c r="AO228" s="781"/>
      <c r="AP228" s="781"/>
      <c r="AQ228" s="781"/>
      <c r="AR228" s="781"/>
      <c r="AS228" s="781"/>
      <c r="AT228" s="781"/>
      <c r="AU228" s="777"/>
      <c r="AV228" s="777"/>
      <c r="AW228" s="830"/>
      <c r="AX228" s="830"/>
      <c r="AY228" s="830"/>
      <c r="AZ228" s="831"/>
      <c r="BA228" s="831"/>
      <c r="BB228" s="822"/>
      <c r="BC228" s="822"/>
      <c r="BD228" s="822"/>
      <c r="BE228" s="822"/>
      <c r="BF228" s="822"/>
      <c r="BG228" s="822"/>
    </row>
    <row r="229" spans="1:59" ht="12" customHeight="1" x14ac:dyDescent="0.2">
      <c r="A229" s="781"/>
      <c r="B229" s="781"/>
      <c r="C229" s="781"/>
      <c r="D229" s="781"/>
      <c r="E229" s="781"/>
      <c r="F229" s="739"/>
      <c r="G229" s="781"/>
      <c r="H229" s="781"/>
      <c r="I229" s="781"/>
      <c r="J229" s="781"/>
      <c r="K229" s="781"/>
      <c r="L229" s="781"/>
      <c r="M229" s="829"/>
      <c r="N229" s="781"/>
      <c r="O229" s="781"/>
      <c r="P229" s="781"/>
      <c r="Q229" s="781"/>
      <c r="R229" s="781"/>
      <c r="T229" s="781"/>
      <c r="U229" s="781"/>
      <c r="V229" s="781"/>
      <c r="W229" s="781"/>
      <c r="X229" s="781"/>
      <c r="Y229" s="781"/>
      <c r="Z229" s="781"/>
      <c r="AB229" s="781"/>
      <c r="AM229" s="781"/>
      <c r="AN229" s="781"/>
      <c r="AO229" s="781"/>
      <c r="AP229" s="781"/>
      <c r="AQ229" s="781"/>
      <c r="AR229" s="781"/>
      <c r="AS229" s="781"/>
      <c r="AT229" s="781"/>
      <c r="AU229" s="777"/>
      <c r="AV229" s="777"/>
      <c r="AW229" s="830"/>
      <c r="AX229" s="830"/>
      <c r="AY229" s="830"/>
      <c r="AZ229" s="831"/>
      <c r="BA229" s="831"/>
      <c r="BB229" s="822"/>
      <c r="BC229" s="822"/>
      <c r="BD229" s="822"/>
      <c r="BE229" s="822"/>
      <c r="BF229" s="822"/>
      <c r="BG229" s="822"/>
    </row>
    <row r="230" spans="1:59" ht="12" customHeight="1" x14ac:dyDescent="0.2">
      <c r="A230" s="781"/>
      <c r="B230" s="781"/>
      <c r="C230" s="781"/>
      <c r="D230" s="781"/>
      <c r="E230" s="781"/>
      <c r="F230" s="739"/>
      <c r="G230" s="781"/>
      <c r="H230" s="781"/>
      <c r="I230" s="781"/>
      <c r="J230" s="781"/>
      <c r="K230" s="781"/>
      <c r="L230" s="781"/>
      <c r="M230" s="829"/>
      <c r="N230" s="781"/>
      <c r="O230" s="781"/>
      <c r="P230" s="781"/>
      <c r="Q230" s="781"/>
      <c r="R230" s="781"/>
      <c r="T230" s="781"/>
      <c r="U230" s="781"/>
      <c r="V230" s="781"/>
      <c r="W230" s="781"/>
      <c r="X230" s="781"/>
      <c r="Y230" s="781"/>
      <c r="Z230" s="781"/>
      <c r="AB230" s="781"/>
      <c r="AM230" s="781"/>
      <c r="AN230" s="781"/>
      <c r="AO230" s="781"/>
      <c r="AP230" s="781"/>
      <c r="AQ230" s="781"/>
      <c r="AR230" s="781"/>
      <c r="AS230" s="781"/>
      <c r="AT230" s="781"/>
      <c r="AU230" s="777"/>
      <c r="AV230" s="777"/>
      <c r="AW230" s="830"/>
      <c r="AX230" s="830"/>
      <c r="AY230" s="830"/>
      <c r="AZ230" s="831"/>
      <c r="BA230" s="831"/>
      <c r="BB230" s="822"/>
      <c r="BC230" s="822"/>
      <c r="BD230" s="822"/>
      <c r="BE230" s="822"/>
      <c r="BF230" s="822"/>
      <c r="BG230" s="822"/>
    </row>
    <row r="231" spans="1:59" ht="12" customHeight="1" x14ac:dyDescent="0.2">
      <c r="A231" s="781"/>
      <c r="B231" s="781"/>
      <c r="C231" s="781"/>
      <c r="D231" s="781"/>
      <c r="E231" s="781"/>
      <c r="F231" s="739"/>
      <c r="G231" s="781"/>
      <c r="H231" s="781"/>
      <c r="I231" s="781"/>
      <c r="J231" s="781"/>
      <c r="K231" s="781"/>
      <c r="L231" s="781"/>
      <c r="M231" s="829"/>
      <c r="N231" s="781"/>
      <c r="O231" s="781"/>
      <c r="P231" s="781"/>
      <c r="Q231" s="781"/>
      <c r="R231" s="781"/>
      <c r="T231" s="781"/>
      <c r="U231" s="781"/>
      <c r="V231" s="781"/>
      <c r="W231" s="781"/>
      <c r="X231" s="781"/>
      <c r="Y231" s="781"/>
      <c r="Z231" s="781"/>
      <c r="AB231" s="781"/>
      <c r="AM231" s="781"/>
      <c r="AN231" s="781"/>
      <c r="AO231" s="781"/>
      <c r="AP231" s="781"/>
      <c r="AQ231" s="781"/>
      <c r="AR231" s="781"/>
      <c r="AS231" s="781"/>
      <c r="AT231" s="781"/>
      <c r="AU231" s="777"/>
      <c r="AV231" s="777"/>
      <c r="AW231" s="830"/>
      <c r="AX231" s="830"/>
      <c r="AY231" s="830"/>
      <c r="AZ231" s="831"/>
      <c r="BA231" s="831"/>
      <c r="BB231" s="822"/>
      <c r="BC231" s="822"/>
      <c r="BD231" s="822"/>
      <c r="BE231" s="822"/>
      <c r="BF231" s="822"/>
      <c r="BG231" s="822"/>
    </row>
    <row r="232" spans="1:59" ht="12" customHeight="1" x14ac:dyDescent="0.2">
      <c r="A232" s="781"/>
      <c r="B232" s="781"/>
      <c r="C232" s="781"/>
      <c r="D232" s="781"/>
      <c r="E232" s="781"/>
      <c r="F232" s="739"/>
      <c r="G232" s="781"/>
      <c r="H232" s="781"/>
      <c r="I232" s="781"/>
      <c r="J232" s="781"/>
      <c r="K232" s="781"/>
      <c r="L232" s="781"/>
      <c r="M232" s="829"/>
      <c r="N232" s="781"/>
      <c r="O232" s="781"/>
      <c r="P232" s="781"/>
      <c r="Q232" s="781"/>
      <c r="R232" s="781"/>
      <c r="T232" s="781"/>
      <c r="U232" s="781"/>
      <c r="V232" s="781"/>
      <c r="W232" s="781"/>
      <c r="X232" s="781"/>
      <c r="Y232" s="781"/>
      <c r="Z232" s="781"/>
      <c r="AB232" s="781"/>
      <c r="AM232" s="781"/>
      <c r="AN232" s="781"/>
      <c r="AO232" s="781"/>
      <c r="AP232" s="781"/>
      <c r="AQ232" s="781"/>
      <c r="AR232" s="781"/>
      <c r="AS232" s="781"/>
      <c r="AT232" s="781"/>
      <c r="AU232" s="777"/>
      <c r="AV232" s="777"/>
      <c r="AW232" s="830"/>
      <c r="AX232" s="830"/>
      <c r="AY232" s="830"/>
      <c r="AZ232" s="831"/>
      <c r="BA232" s="831"/>
      <c r="BB232" s="822"/>
      <c r="BC232" s="822"/>
      <c r="BD232" s="822"/>
      <c r="BE232" s="822"/>
      <c r="BF232" s="822"/>
      <c r="BG232" s="822"/>
    </row>
    <row r="233" spans="1:59" ht="12" customHeight="1" x14ac:dyDescent="0.2">
      <c r="A233" s="781"/>
      <c r="B233" s="781"/>
      <c r="C233" s="781"/>
      <c r="D233" s="781"/>
      <c r="E233" s="781"/>
      <c r="F233" s="739"/>
      <c r="G233" s="781"/>
      <c r="H233" s="781"/>
      <c r="I233" s="781"/>
      <c r="J233" s="781"/>
      <c r="K233" s="781"/>
      <c r="L233" s="781"/>
      <c r="M233" s="829"/>
      <c r="N233" s="781"/>
      <c r="O233" s="781"/>
      <c r="P233" s="781"/>
      <c r="Q233" s="781"/>
      <c r="R233" s="781"/>
      <c r="T233" s="781"/>
      <c r="U233" s="781"/>
      <c r="V233" s="781"/>
      <c r="W233" s="781"/>
      <c r="X233" s="781"/>
      <c r="Y233" s="781"/>
      <c r="Z233" s="781"/>
      <c r="AB233" s="781"/>
      <c r="AM233" s="781"/>
      <c r="AN233" s="781"/>
      <c r="AO233" s="781"/>
      <c r="AP233" s="781"/>
      <c r="AQ233" s="781"/>
      <c r="AR233" s="781"/>
      <c r="AS233" s="781"/>
      <c r="AT233" s="781"/>
      <c r="AU233" s="777"/>
      <c r="AV233" s="777"/>
      <c r="AW233" s="830"/>
      <c r="AX233" s="830"/>
      <c r="AY233" s="830"/>
      <c r="AZ233" s="831"/>
      <c r="BA233" s="831"/>
      <c r="BB233" s="822"/>
      <c r="BC233" s="822"/>
      <c r="BD233" s="822"/>
      <c r="BE233" s="822"/>
      <c r="BF233" s="822"/>
      <c r="BG233" s="822"/>
    </row>
    <row r="234" spans="1:59" ht="12" customHeight="1" x14ac:dyDescent="0.2">
      <c r="A234" s="781"/>
      <c r="B234" s="781"/>
      <c r="C234" s="781"/>
      <c r="D234" s="781"/>
      <c r="E234" s="781"/>
      <c r="F234" s="739"/>
      <c r="G234" s="781"/>
      <c r="H234" s="781"/>
      <c r="I234" s="781"/>
      <c r="J234" s="781"/>
      <c r="K234" s="781"/>
      <c r="L234" s="781"/>
      <c r="M234" s="829"/>
      <c r="N234" s="781"/>
      <c r="O234" s="781"/>
      <c r="P234" s="781"/>
      <c r="Q234" s="781"/>
      <c r="R234" s="781"/>
      <c r="T234" s="781"/>
      <c r="U234" s="781"/>
      <c r="V234" s="781"/>
      <c r="W234" s="781"/>
      <c r="X234" s="781"/>
      <c r="Y234" s="781"/>
      <c r="Z234" s="781"/>
      <c r="AB234" s="781"/>
      <c r="AM234" s="781"/>
      <c r="AN234" s="781"/>
      <c r="AO234" s="781"/>
      <c r="AP234" s="781"/>
      <c r="AQ234" s="781"/>
      <c r="AR234" s="781"/>
      <c r="AS234" s="781"/>
      <c r="AT234" s="781"/>
      <c r="AU234" s="777"/>
      <c r="AV234" s="777"/>
      <c r="AW234" s="830"/>
      <c r="AX234" s="830"/>
      <c r="AY234" s="830"/>
      <c r="AZ234" s="831"/>
      <c r="BA234" s="831"/>
      <c r="BB234" s="822"/>
      <c r="BC234" s="822"/>
      <c r="BD234" s="822"/>
      <c r="BE234" s="822"/>
      <c r="BF234" s="822"/>
      <c r="BG234" s="822"/>
    </row>
    <row r="235" spans="1:59" ht="12" customHeight="1" x14ac:dyDescent="0.2">
      <c r="A235" s="781"/>
      <c r="B235" s="781"/>
      <c r="C235" s="781"/>
      <c r="D235" s="781"/>
      <c r="E235" s="781"/>
      <c r="F235" s="739"/>
      <c r="G235" s="781"/>
      <c r="H235" s="781"/>
      <c r="I235" s="781"/>
      <c r="J235" s="781"/>
      <c r="K235" s="781"/>
      <c r="L235" s="781"/>
      <c r="M235" s="829"/>
      <c r="N235" s="781"/>
      <c r="O235" s="781"/>
      <c r="P235" s="781"/>
      <c r="Q235" s="781"/>
      <c r="R235" s="781"/>
      <c r="T235" s="781"/>
      <c r="U235" s="781"/>
      <c r="V235" s="781"/>
      <c r="W235" s="781"/>
      <c r="X235" s="781"/>
      <c r="Y235" s="781"/>
      <c r="Z235" s="781"/>
      <c r="AB235" s="781"/>
      <c r="AM235" s="781"/>
      <c r="AN235" s="781"/>
      <c r="AO235" s="781"/>
      <c r="AP235" s="781"/>
      <c r="AQ235" s="781"/>
      <c r="AR235" s="781"/>
      <c r="AS235" s="781"/>
      <c r="AT235" s="781"/>
      <c r="AU235" s="777"/>
      <c r="AV235" s="777"/>
      <c r="AW235" s="830"/>
      <c r="AX235" s="830"/>
      <c r="AY235" s="830"/>
      <c r="AZ235" s="831"/>
      <c r="BA235" s="831"/>
      <c r="BB235" s="822"/>
      <c r="BC235" s="822"/>
      <c r="BD235" s="822"/>
      <c r="BE235" s="822"/>
      <c r="BF235" s="822"/>
      <c r="BG235" s="822"/>
    </row>
    <row r="236" spans="1:59" ht="12" customHeight="1" x14ac:dyDescent="0.2">
      <c r="A236" s="781"/>
      <c r="B236" s="781"/>
      <c r="C236" s="781"/>
      <c r="D236" s="781"/>
      <c r="E236" s="781"/>
      <c r="F236" s="739"/>
      <c r="G236" s="781"/>
      <c r="H236" s="781"/>
      <c r="I236" s="781"/>
      <c r="J236" s="781"/>
      <c r="K236" s="781"/>
      <c r="L236" s="781"/>
      <c r="M236" s="829"/>
      <c r="N236" s="781"/>
      <c r="O236" s="781"/>
      <c r="P236" s="781"/>
      <c r="Q236" s="781"/>
      <c r="R236" s="781"/>
      <c r="T236" s="781"/>
      <c r="U236" s="781"/>
      <c r="V236" s="781"/>
      <c r="W236" s="781"/>
      <c r="X236" s="781"/>
      <c r="Y236" s="781"/>
      <c r="Z236" s="781"/>
      <c r="AB236" s="781"/>
      <c r="AM236" s="781"/>
      <c r="AN236" s="781"/>
      <c r="AO236" s="781"/>
      <c r="AP236" s="781"/>
      <c r="AQ236" s="781"/>
      <c r="AR236" s="781"/>
      <c r="AS236" s="781"/>
      <c r="AT236" s="781"/>
      <c r="AU236" s="777"/>
      <c r="AV236" s="777"/>
      <c r="AW236" s="830"/>
      <c r="AX236" s="830"/>
      <c r="AY236" s="830"/>
      <c r="AZ236" s="831"/>
      <c r="BA236" s="831"/>
      <c r="BB236" s="822"/>
      <c r="BC236" s="822"/>
      <c r="BD236" s="822"/>
      <c r="BE236" s="822"/>
      <c r="BF236" s="822"/>
      <c r="BG236" s="822"/>
    </row>
    <row r="237" spans="1:59" ht="12" customHeight="1" x14ac:dyDescent="0.2">
      <c r="A237" s="781"/>
      <c r="B237" s="781"/>
      <c r="C237" s="781"/>
      <c r="D237" s="781"/>
      <c r="E237" s="781"/>
      <c r="F237" s="739"/>
      <c r="G237" s="781"/>
      <c r="H237" s="781"/>
      <c r="I237" s="781"/>
      <c r="J237" s="781"/>
      <c r="K237" s="781"/>
      <c r="L237" s="781"/>
      <c r="M237" s="829"/>
      <c r="N237" s="781"/>
      <c r="O237" s="781"/>
      <c r="P237" s="781"/>
      <c r="Q237" s="781"/>
      <c r="R237" s="781"/>
      <c r="T237" s="781"/>
      <c r="U237" s="781"/>
      <c r="V237" s="781"/>
      <c r="W237" s="781"/>
      <c r="X237" s="781"/>
      <c r="Y237" s="781"/>
      <c r="Z237" s="781"/>
      <c r="AB237" s="781"/>
      <c r="AM237" s="781"/>
      <c r="AN237" s="781"/>
      <c r="AO237" s="781"/>
      <c r="AP237" s="781"/>
      <c r="AQ237" s="781"/>
      <c r="AR237" s="781"/>
      <c r="AS237" s="781"/>
      <c r="AT237" s="781"/>
      <c r="AU237" s="777"/>
      <c r="AV237" s="777"/>
      <c r="AW237" s="830"/>
      <c r="AX237" s="830"/>
      <c r="AY237" s="830"/>
      <c r="AZ237" s="831"/>
      <c r="BA237" s="831"/>
      <c r="BB237" s="822"/>
      <c r="BC237" s="822"/>
      <c r="BD237" s="822"/>
      <c r="BE237" s="822"/>
      <c r="BF237" s="822"/>
      <c r="BG237" s="822"/>
    </row>
    <row r="238" spans="1:59" ht="12" customHeight="1" x14ac:dyDescent="0.2">
      <c r="A238" s="781"/>
      <c r="B238" s="781"/>
      <c r="C238" s="781"/>
      <c r="D238" s="781"/>
      <c r="E238" s="781"/>
      <c r="F238" s="739"/>
      <c r="G238" s="781"/>
      <c r="H238" s="781"/>
      <c r="I238" s="781"/>
      <c r="J238" s="781"/>
      <c r="K238" s="781"/>
      <c r="L238" s="781"/>
      <c r="M238" s="829"/>
      <c r="N238" s="781"/>
      <c r="O238" s="781"/>
      <c r="P238" s="781"/>
      <c r="Q238" s="781"/>
      <c r="R238" s="781"/>
      <c r="T238" s="781"/>
      <c r="U238" s="781"/>
      <c r="V238" s="781"/>
      <c r="W238" s="781"/>
      <c r="X238" s="781"/>
      <c r="Y238" s="781"/>
      <c r="Z238" s="781"/>
      <c r="AB238" s="781"/>
      <c r="AM238" s="781"/>
      <c r="AN238" s="781"/>
      <c r="AO238" s="781"/>
      <c r="AP238" s="781"/>
      <c r="AQ238" s="781"/>
      <c r="AR238" s="781"/>
      <c r="AS238" s="781"/>
      <c r="AT238" s="781"/>
      <c r="AU238" s="777"/>
      <c r="AV238" s="777"/>
      <c r="AW238" s="830"/>
      <c r="AX238" s="830"/>
      <c r="AY238" s="830"/>
      <c r="AZ238" s="831"/>
      <c r="BA238" s="831"/>
      <c r="BB238" s="822"/>
      <c r="BC238" s="822"/>
      <c r="BD238" s="822"/>
      <c r="BE238" s="822"/>
      <c r="BF238" s="822"/>
      <c r="BG238" s="822"/>
    </row>
    <row r="239" spans="1:59" ht="12" customHeight="1" x14ac:dyDescent="0.2">
      <c r="A239" s="781"/>
      <c r="B239" s="781"/>
      <c r="C239" s="781"/>
      <c r="D239" s="781"/>
      <c r="E239" s="781"/>
      <c r="F239" s="739"/>
      <c r="G239" s="781"/>
      <c r="H239" s="781"/>
      <c r="I239" s="781"/>
      <c r="J239" s="781"/>
      <c r="K239" s="781"/>
      <c r="L239" s="781"/>
      <c r="M239" s="829"/>
      <c r="N239" s="781"/>
      <c r="O239" s="781"/>
      <c r="P239" s="781"/>
      <c r="Q239" s="781"/>
      <c r="R239" s="781"/>
      <c r="T239" s="781"/>
      <c r="U239" s="781"/>
      <c r="V239" s="781"/>
      <c r="W239" s="781"/>
      <c r="X239" s="781"/>
      <c r="Y239" s="781"/>
      <c r="Z239" s="781"/>
      <c r="AB239" s="781"/>
      <c r="AM239" s="781"/>
      <c r="AN239" s="781"/>
      <c r="AO239" s="781"/>
      <c r="AP239" s="781"/>
      <c r="AQ239" s="781"/>
      <c r="AR239" s="781"/>
      <c r="AS239" s="781"/>
      <c r="AT239" s="781"/>
      <c r="AU239" s="777"/>
      <c r="AV239" s="777"/>
      <c r="AW239" s="830"/>
      <c r="AX239" s="830"/>
      <c r="AY239" s="830"/>
      <c r="AZ239" s="831"/>
      <c r="BA239" s="831"/>
      <c r="BB239" s="822"/>
      <c r="BC239" s="822"/>
      <c r="BD239" s="822"/>
      <c r="BE239" s="822"/>
      <c r="BF239" s="822"/>
      <c r="BG239" s="822"/>
    </row>
    <row r="240" spans="1:59" ht="12" customHeight="1" x14ac:dyDescent="0.2">
      <c r="A240" s="781"/>
      <c r="B240" s="781"/>
      <c r="C240" s="781"/>
      <c r="D240" s="781"/>
      <c r="E240" s="781"/>
      <c r="F240" s="739"/>
      <c r="G240" s="781"/>
      <c r="H240" s="781"/>
      <c r="I240" s="781"/>
      <c r="J240" s="781"/>
      <c r="K240" s="781"/>
      <c r="L240" s="781"/>
      <c r="M240" s="829"/>
      <c r="N240" s="781"/>
      <c r="O240" s="781"/>
      <c r="P240" s="781"/>
      <c r="Q240" s="781"/>
      <c r="R240" s="781"/>
      <c r="T240" s="781"/>
      <c r="U240" s="781"/>
      <c r="V240" s="781"/>
      <c r="W240" s="781"/>
      <c r="X240" s="781"/>
      <c r="Y240" s="781"/>
      <c r="Z240" s="781"/>
      <c r="AB240" s="781"/>
      <c r="AM240" s="781"/>
      <c r="AN240" s="781"/>
      <c r="AO240" s="781"/>
      <c r="AP240" s="781"/>
      <c r="AQ240" s="781"/>
      <c r="AR240" s="781"/>
      <c r="AS240" s="781"/>
      <c r="AT240" s="781"/>
      <c r="AU240" s="777"/>
      <c r="AV240" s="777"/>
      <c r="AW240" s="830"/>
      <c r="AX240" s="830"/>
      <c r="AY240" s="830"/>
      <c r="AZ240" s="831"/>
      <c r="BA240" s="831"/>
      <c r="BB240" s="822"/>
      <c r="BC240" s="822"/>
      <c r="BD240" s="822"/>
      <c r="BE240" s="822"/>
      <c r="BF240" s="822"/>
      <c r="BG240" s="822"/>
    </row>
    <row r="241" spans="1:59" ht="12" customHeight="1" x14ac:dyDescent="0.2">
      <c r="A241" s="781"/>
      <c r="B241" s="781"/>
      <c r="C241" s="781"/>
      <c r="D241" s="781"/>
      <c r="E241" s="781"/>
      <c r="F241" s="739"/>
      <c r="G241" s="735"/>
      <c r="H241" s="735"/>
      <c r="I241" s="735"/>
      <c r="J241" s="735"/>
      <c r="K241" s="735"/>
      <c r="L241" s="781"/>
      <c r="M241" s="829"/>
      <c r="N241" s="781"/>
      <c r="O241" s="781"/>
      <c r="P241" s="781"/>
      <c r="Q241" s="781"/>
      <c r="R241" s="781"/>
      <c r="T241" s="781"/>
      <c r="U241" s="781"/>
      <c r="V241" s="781"/>
      <c r="W241" s="781"/>
      <c r="X241" s="781"/>
      <c r="Y241" s="781"/>
      <c r="Z241" s="781"/>
      <c r="AB241" s="781"/>
      <c r="AM241" s="781"/>
      <c r="AN241" s="781"/>
      <c r="AO241" s="781"/>
      <c r="AP241" s="781"/>
      <c r="AQ241" s="781"/>
      <c r="AR241" s="781"/>
      <c r="AS241" s="781"/>
      <c r="AT241" s="781"/>
      <c r="AU241" s="777"/>
      <c r="AV241" s="777"/>
      <c r="AW241" s="830"/>
      <c r="AX241" s="830"/>
      <c r="AY241" s="830"/>
      <c r="AZ241" s="831"/>
      <c r="BA241" s="831"/>
      <c r="BB241" s="822"/>
      <c r="BC241" s="822"/>
      <c r="BD241" s="822"/>
      <c r="BE241" s="822"/>
      <c r="BF241" s="822"/>
      <c r="BG241" s="822"/>
    </row>
    <row r="242" spans="1:59" ht="12" customHeight="1" x14ac:dyDescent="0.2">
      <c r="A242" s="781"/>
      <c r="B242" s="781"/>
      <c r="C242" s="781"/>
      <c r="D242" s="781"/>
      <c r="E242" s="781"/>
      <c r="F242" s="739"/>
      <c r="G242" s="735"/>
      <c r="H242" s="735"/>
      <c r="I242" s="735"/>
      <c r="J242" s="833"/>
      <c r="K242" s="735"/>
      <c r="L242" s="781"/>
      <c r="M242" s="829"/>
      <c r="N242" s="781"/>
      <c r="O242" s="781"/>
      <c r="P242" s="781"/>
      <c r="Q242" s="781"/>
      <c r="R242" s="781"/>
      <c r="T242" s="781"/>
      <c r="U242" s="781"/>
      <c r="V242" s="781"/>
      <c r="W242" s="781"/>
      <c r="X242" s="781"/>
      <c r="Y242" s="781"/>
      <c r="Z242" s="781"/>
      <c r="AB242" s="781"/>
      <c r="AM242" s="781"/>
      <c r="AN242" s="781"/>
      <c r="AO242" s="781"/>
      <c r="AP242" s="781"/>
      <c r="AQ242" s="781"/>
      <c r="AR242" s="781"/>
      <c r="AS242" s="781"/>
      <c r="AT242" s="781"/>
      <c r="AU242" s="777"/>
      <c r="AV242" s="777"/>
      <c r="AW242" s="830"/>
      <c r="AX242" s="830"/>
      <c r="AY242" s="830"/>
      <c r="AZ242" s="831"/>
      <c r="BA242" s="831"/>
      <c r="BB242" s="822"/>
      <c r="BC242" s="822"/>
      <c r="BD242" s="822"/>
      <c r="BE242" s="822"/>
      <c r="BF242" s="822"/>
      <c r="BG242" s="822"/>
    </row>
    <row r="243" spans="1:59" ht="12" customHeight="1" x14ac:dyDescent="0.2">
      <c r="A243" s="781"/>
      <c r="B243" s="781"/>
      <c r="C243" s="781"/>
      <c r="D243" s="781"/>
      <c r="E243" s="781"/>
      <c r="F243" s="739"/>
      <c r="G243" s="735"/>
      <c r="H243" s="735"/>
      <c r="I243" s="735"/>
      <c r="J243" s="833"/>
      <c r="K243" s="735"/>
      <c r="L243" s="781"/>
      <c r="M243" s="829"/>
      <c r="N243" s="781"/>
      <c r="O243" s="781"/>
      <c r="P243" s="781"/>
      <c r="Q243" s="781"/>
      <c r="R243" s="781"/>
      <c r="T243" s="781"/>
      <c r="U243" s="781"/>
      <c r="V243" s="781"/>
      <c r="W243" s="781"/>
      <c r="X243" s="781"/>
      <c r="Y243" s="781"/>
      <c r="Z243" s="781"/>
      <c r="AB243" s="781"/>
      <c r="AM243" s="781"/>
      <c r="AN243" s="781"/>
      <c r="AO243" s="781"/>
      <c r="AP243" s="781"/>
      <c r="AQ243" s="781"/>
      <c r="AR243" s="781"/>
      <c r="AS243" s="781"/>
      <c r="AT243" s="781"/>
      <c r="AU243" s="777"/>
      <c r="AV243" s="777"/>
      <c r="AW243" s="830"/>
      <c r="AX243" s="830"/>
      <c r="AY243" s="830"/>
      <c r="AZ243" s="831"/>
      <c r="BA243" s="831"/>
      <c r="BB243" s="822"/>
      <c r="BC243" s="822"/>
      <c r="BD243" s="822"/>
      <c r="BE243" s="822"/>
      <c r="BF243" s="822"/>
      <c r="BG243" s="822"/>
    </row>
    <row r="244" spans="1:59" ht="12" customHeight="1" x14ac:dyDescent="0.2">
      <c r="A244" s="781"/>
      <c r="B244" s="781"/>
      <c r="C244" s="781"/>
      <c r="D244" s="781"/>
      <c r="E244" s="781"/>
      <c r="F244" s="739"/>
      <c r="G244" s="735"/>
      <c r="H244" s="735"/>
      <c r="I244" s="735"/>
      <c r="J244" s="833"/>
      <c r="K244" s="735"/>
      <c r="L244" s="781"/>
      <c r="M244" s="829"/>
      <c r="N244" s="781"/>
      <c r="O244" s="781"/>
      <c r="P244" s="781"/>
      <c r="Q244" s="781"/>
      <c r="R244" s="781"/>
      <c r="T244" s="781"/>
      <c r="U244" s="781"/>
      <c r="V244" s="781"/>
      <c r="W244" s="781"/>
      <c r="X244" s="781"/>
      <c r="Y244" s="781"/>
      <c r="Z244" s="781"/>
      <c r="AB244" s="781"/>
      <c r="AM244" s="781"/>
      <c r="AN244" s="781"/>
      <c r="AO244" s="781"/>
      <c r="AP244" s="781"/>
      <c r="AQ244" s="781"/>
      <c r="AR244" s="781"/>
      <c r="AS244" s="781"/>
      <c r="AT244" s="781"/>
      <c r="AU244" s="777"/>
      <c r="AV244" s="777"/>
      <c r="AW244" s="830"/>
      <c r="AX244" s="830"/>
      <c r="AY244" s="830"/>
      <c r="AZ244" s="831"/>
      <c r="BA244" s="831"/>
      <c r="BB244" s="822"/>
      <c r="BC244" s="822"/>
      <c r="BD244" s="822"/>
      <c r="BE244" s="822"/>
      <c r="BF244" s="822"/>
      <c r="BG244" s="822"/>
    </row>
    <row r="245" spans="1:59" ht="12" customHeight="1" x14ac:dyDescent="0.2">
      <c r="A245" s="781"/>
      <c r="B245" s="781"/>
      <c r="C245" s="781"/>
      <c r="D245" s="781"/>
      <c r="E245" s="781"/>
      <c r="F245" s="739"/>
      <c r="G245" s="735"/>
      <c r="H245" s="735"/>
      <c r="I245" s="735"/>
      <c r="J245" s="833"/>
      <c r="K245" s="735"/>
      <c r="L245" s="781"/>
      <c r="M245" s="829"/>
      <c r="N245" s="781"/>
      <c r="O245" s="781"/>
      <c r="P245" s="781"/>
      <c r="Q245" s="781"/>
      <c r="R245" s="781"/>
      <c r="T245" s="781"/>
      <c r="U245" s="781"/>
      <c r="V245" s="781"/>
      <c r="W245" s="781"/>
      <c r="X245" s="781"/>
      <c r="Y245" s="781"/>
      <c r="Z245" s="781"/>
      <c r="AB245" s="781"/>
      <c r="AM245" s="781"/>
      <c r="AN245" s="781"/>
      <c r="AO245" s="781"/>
      <c r="AP245" s="781"/>
      <c r="AQ245" s="781"/>
      <c r="AR245" s="781"/>
      <c r="AS245" s="781"/>
      <c r="AT245" s="781"/>
      <c r="AU245" s="777"/>
      <c r="AV245" s="777"/>
      <c r="AW245" s="830"/>
      <c r="AX245" s="830"/>
      <c r="AY245" s="830"/>
      <c r="AZ245" s="831"/>
      <c r="BA245" s="831"/>
      <c r="BB245" s="822"/>
      <c r="BC245" s="822"/>
      <c r="BD245" s="822"/>
      <c r="BE245" s="822"/>
      <c r="BF245" s="822"/>
      <c r="BG245" s="822"/>
    </row>
    <row r="246" spans="1:59" ht="12" customHeight="1" x14ac:dyDescent="0.2">
      <c r="A246" s="781"/>
      <c r="B246" s="781"/>
      <c r="C246" s="781"/>
      <c r="D246" s="781"/>
      <c r="E246" s="781"/>
      <c r="F246" s="739"/>
      <c r="G246" s="735"/>
      <c r="H246" s="735"/>
      <c r="I246" s="735"/>
      <c r="J246" s="833"/>
      <c r="K246" s="735"/>
      <c r="L246" s="781"/>
      <c r="M246" s="829"/>
      <c r="N246" s="781"/>
      <c r="O246" s="781"/>
      <c r="P246" s="781"/>
      <c r="Q246" s="781"/>
      <c r="R246" s="781"/>
      <c r="T246" s="781"/>
      <c r="U246" s="781"/>
      <c r="V246" s="781"/>
      <c r="W246" s="781"/>
      <c r="X246" s="781"/>
      <c r="Y246" s="781"/>
      <c r="Z246" s="781"/>
      <c r="AB246" s="781"/>
      <c r="AM246" s="781"/>
      <c r="AN246" s="781"/>
      <c r="AO246" s="781"/>
      <c r="AP246" s="781"/>
      <c r="AQ246" s="781"/>
      <c r="AR246" s="781"/>
      <c r="AS246" s="781"/>
      <c r="AT246" s="781"/>
      <c r="AU246" s="777"/>
      <c r="AV246" s="777"/>
      <c r="AW246" s="830"/>
      <c r="AX246" s="830"/>
      <c r="AY246" s="830"/>
      <c r="AZ246" s="831"/>
      <c r="BA246" s="831"/>
      <c r="BB246" s="822"/>
      <c r="BC246" s="822"/>
      <c r="BD246" s="822"/>
      <c r="BE246" s="822"/>
      <c r="BF246" s="822"/>
      <c r="BG246" s="822"/>
    </row>
    <row r="247" spans="1:59" ht="12" customHeight="1" x14ac:dyDescent="0.2">
      <c r="A247" s="781"/>
      <c r="B247" s="781"/>
      <c r="C247" s="781"/>
      <c r="D247" s="781"/>
      <c r="E247" s="781"/>
      <c r="F247" s="739"/>
      <c r="G247" s="735"/>
      <c r="H247" s="735"/>
      <c r="I247" s="735"/>
      <c r="J247" s="833"/>
      <c r="K247" s="735"/>
      <c r="L247" s="781"/>
      <c r="M247" s="829"/>
      <c r="N247" s="781"/>
      <c r="O247" s="781"/>
      <c r="P247" s="781"/>
      <c r="Q247" s="781"/>
      <c r="R247" s="781"/>
      <c r="T247" s="781"/>
      <c r="U247" s="781"/>
      <c r="V247" s="781"/>
      <c r="W247" s="781"/>
      <c r="X247" s="781"/>
      <c r="Y247" s="781"/>
      <c r="Z247" s="781"/>
      <c r="AB247" s="781"/>
      <c r="AM247" s="781"/>
      <c r="AN247" s="781"/>
      <c r="AO247" s="781"/>
      <c r="AP247" s="781"/>
      <c r="AQ247" s="781"/>
      <c r="AR247" s="781"/>
      <c r="AS247" s="781"/>
      <c r="AT247" s="781"/>
      <c r="AU247" s="777"/>
      <c r="AV247" s="777"/>
      <c r="AW247" s="830"/>
      <c r="AX247" s="830"/>
      <c r="AY247" s="830"/>
      <c r="AZ247" s="831"/>
      <c r="BA247" s="831"/>
      <c r="BB247" s="822"/>
      <c r="BC247" s="822"/>
      <c r="BD247" s="822"/>
      <c r="BE247" s="822"/>
      <c r="BF247" s="822"/>
      <c r="BG247" s="822"/>
    </row>
    <row r="248" spans="1:59" ht="12" customHeight="1" x14ac:dyDescent="0.2">
      <c r="A248" s="781"/>
      <c r="B248" s="781"/>
      <c r="C248" s="781"/>
      <c r="D248" s="781"/>
      <c r="E248" s="781"/>
      <c r="F248" s="739"/>
      <c r="G248" s="735"/>
      <c r="H248" s="735"/>
      <c r="I248" s="735"/>
      <c r="J248" s="833"/>
      <c r="K248" s="735"/>
      <c r="L248" s="781"/>
      <c r="M248" s="829"/>
      <c r="N248" s="781"/>
      <c r="O248" s="781"/>
      <c r="P248" s="781"/>
      <c r="Q248" s="781"/>
      <c r="R248" s="781"/>
      <c r="T248" s="781"/>
      <c r="U248" s="781"/>
      <c r="V248" s="781"/>
      <c r="W248" s="781"/>
      <c r="X248" s="781"/>
      <c r="Y248" s="781"/>
      <c r="Z248" s="781"/>
      <c r="AB248" s="781"/>
      <c r="AM248" s="781"/>
      <c r="AN248" s="781"/>
      <c r="AO248" s="781"/>
      <c r="AP248" s="781"/>
      <c r="AQ248" s="781"/>
      <c r="AR248" s="781"/>
      <c r="AS248" s="781"/>
      <c r="AT248" s="781"/>
      <c r="AU248" s="777"/>
      <c r="AV248" s="777"/>
      <c r="AW248" s="830"/>
      <c r="AX248" s="830"/>
      <c r="AY248" s="830"/>
      <c r="AZ248" s="831"/>
      <c r="BA248" s="831"/>
      <c r="BB248" s="822"/>
      <c r="BC248" s="822"/>
      <c r="BD248" s="822"/>
      <c r="BE248" s="822"/>
      <c r="BF248" s="822"/>
      <c r="BG248" s="822"/>
    </row>
    <row r="249" spans="1:59" ht="12" customHeight="1" x14ac:dyDescent="0.2">
      <c r="A249" s="781"/>
      <c r="B249" s="781"/>
      <c r="C249" s="781"/>
      <c r="D249" s="781"/>
      <c r="E249" s="781"/>
      <c r="F249" s="739"/>
      <c r="G249" s="735"/>
      <c r="H249" s="735"/>
      <c r="I249" s="735"/>
      <c r="J249" s="833"/>
      <c r="K249" s="735"/>
      <c r="L249" s="781"/>
      <c r="M249" s="829"/>
      <c r="N249" s="781"/>
      <c r="O249" s="781"/>
      <c r="P249" s="781"/>
      <c r="Q249" s="781"/>
      <c r="R249" s="781"/>
      <c r="T249" s="781"/>
      <c r="U249" s="781"/>
      <c r="V249" s="781"/>
      <c r="W249" s="781"/>
      <c r="X249" s="781"/>
      <c r="Y249" s="781"/>
      <c r="Z249" s="781"/>
      <c r="AB249" s="781"/>
      <c r="AM249" s="781"/>
      <c r="AN249" s="781"/>
      <c r="AO249" s="781"/>
      <c r="AP249" s="781"/>
      <c r="AQ249" s="781"/>
      <c r="AR249" s="781"/>
      <c r="AS249" s="781"/>
      <c r="AT249" s="781"/>
      <c r="AU249" s="777"/>
      <c r="AV249" s="777"/>
      <c r="AW249" s="830"/>
      <c r="AX249" s="830"/>
      <c r="AY249" s="830"/>
      <c r="AZ249" s="831"/>
      <c r="BA249" s="831"/>
      <c r="BB249" s="822"/>
      <c r="BC249" s="822"/>
      <c r="BD249" s="822"/>
      <c r="BE249" s="822"/>
      <c r="BF249" s="822"/>
      <c r="BG249" s="822"/>
    </row>
    <row r="250" spans="1:59" ht="12" customHeight="1" x14ac:dyDescent="0.2">
      <c r="A250" s="781"/>
      <c r="B250" s="781"/>
      <c r="C250" s="781"/>
      <c r="D250" s="781"/>
      <c r="E250" s="781"/>
      <c r="F250" s="739"/>
      <c r="G250" s="735"/>
      <c r="H250" s="735"/>
      <c r="I250" s="735"/>
      <c r="J250" s="833"/>
      <c r="K250" s="735"/>
      <c r="L250" s="781"/>
      <c r="M250" s="829"/>
      <c r="N250" s="781"/>
      <c r="O250" s="781"/>
      <c r="P250" s="781"/>
      <c r="Q250" s="781"/>
      <c r="R250" s="781"/>
      <c r="T250" s="781"/>
      <c r="U250" s="781"/>
      <c r="V250" s="781"/>
      <c r="W250" s="781"/>
      <c r="X250" s="781"/>
      <c r="Y250" s="781"/>
      <c r="Z250" s="781"/>
      <c r="AB250" s="781"/>
      <c r="AM250" s="781"/>
      <c r="AN250" s="781"/>
      <c r="AO250" s="781"/>
      <c r="AP250" s="781"/>
      <c r="AQ250" s="781"/>
      <c r="AR250" s="781"/>
      <c r="AS250" s="781"/>
      <c r="AT250" s="781"/>
      <c r="AU250" s="777"/>
      <c r="AV250" s="777"/>
      <c r="AW250" s="830"/>
      <c r="AX250" s="830"/>
      <c r="AY250" s="830"/>
      <c r="AZ250" s="831"/>
      <c r="BA250" s="831"/>
      <c r="BB250" s="822"/>
      <c r="BC250" s="822"/>
      <c r="BD250" s="822"/>
      <c r="BE250" s="822"/>
      <c r="BF250" s="822"/>
      <c r="BG250" s="822"/>
    </row>
    <row r="251" spans="1:59" ht="12" customHeight="1" x14ac:dyDescent="0.2">
      <c r="A251" s="781"/>
      <c r="B251" s="781"/>
      <c r="C251" s="781"/>
      <c r="D251" s="781"/>
      <c r="E251" s="781"/>
      <c r="F251" s="739"/>
      <c r="G251" s="735"/>
      <c r="H251" s="735"/>
      <c r="I251" s="735"/>
      <c r="J251" s="735"/>
      <c r="K251" s="735"/>
      <c r="L251" s="781"/>
      <c r="M251" s="829"/>
      <c r="N251" s="781"/>
      <c r="O251" s="781"/>
      <c r="P251" s="781"/>
      <c r="Q251" s="781"/>
      <c r="R251" s="781"/>
      <c r="T251" s="781"/>
      <c r="U251" s="781"/>
      <c r="V251" s="781"/>
      <c r="W251" s="781"/>
      <c r="X251" s="781"/>
      <c r="Y251" s="781"/>
      <c r="Z251" s="781"/>
      <c r="AB251" s="781"/>
      <c r="AM251" s="781"/>
      <c r="AN251" s="781"/>
      <c r="AO251" s="781"/>
      <c r="AP251" s="781"/>
      <c r="AQ251" s="781"/>
      <c r="AR251" s="781"/>
      <c r="AS251" s="781"/>
      <c r="AT251" s="781"/>
      <c r="AU251" s="777"/>
      <c r="AV251" s="777"/>
      <c r="AW251" s="830"/>
      <c r="AX251" s="830"/>
      <c r="AY251" s="830"/>
      <c r="AZ251" s="831"/>
      <c r="BA251" s="831"/>
      <c r="BB251" s="822"/>
      <c r="BC251" s="822"/>
      <c r="BD251" s="822"/>
      <c r="BE251" s="822"/>
      <c r="BF251" s="822"/>
      <c r="BG251" s="822"/>
    </row>
    <row r="252" spans="1:59" ht="12" customHeight="1" x14ac:dyDescent="0.2">
      <c r="A252" s="781"/>
      <c r="B252" s="781"/>
      <c r="C252" s="781"/>
      <c r="D252" s="781"/>
      <c r="E252" s="781"/>
      <c r="F252" s="739"/>
      <c r="G252" s="781"/>
      <c r="H252" s="781"/>
      <c r="I252" s="781"/>
      <c r="J252" s="781"/>
      <c r="K252" s="781"/>
      <c r="L252" s="781"/>
      <c r="M252" s="829"/>
      <c r="N252" s="781"/>
      <c r="O252" s="781"/>
      <c r="P252" s="781"/>
      <c r="Q252" s="781"/>
      <c r="R252" s="781"/>
      <c r="T252" s="781"/>
      <c r="U252" s="781"/>
      <c r="V252" s="781"/>
      <c r="W252" s="781"/>
      <c r="X252" s="781"/>
      <c r="Y252" s="781"/>
      <c r="Z252" s="781"/>
      <c r="AB252" s="781"/>
      <c r="AM252" s="781"/>
      <c r="AN252" s="781"/>
      <c r="AO252" s="781"/>
      <c r="AP252" s="781"/>
      <c r="AQ252" s="781"/>
      <c r="AR252" s="781"/>
      <c r="AS252" s="781"/>
      <c r="AT252" s="781"/>
      <c r="AU252" s="777"/>
      <c r="AV252" s="777"/>
      <c r="AW252" s="830"/>
      <c r="AX252" s="830"/>
      <c r="AY252" s="830"/>
      <c r="AZ252" s="831"/>
      <c r="BA252" s="831"/>
      <c r="BB252" s="822"/>
      <c r="BC252" s="822"/>
      <c r="BD252" s="822"/>
      <c r="BE252" s="822"/>
      <c r="BF252" s="822"/>
      <c r="BG252" s="822"/>
    </row>
    <row r="253" spans="1:59" ht="12" customHeight="1" x14ac:dyDescent="0.2">
      <c r="A253" s="781"/>
      <c r="B253" s="781"/>
      <c r="C253" s="781"/>
      <c r="D253" s="781"/>
      <c r="E253" s="781"/>
      <c r="F253" s="739"/>
      <c r="G253" s="781"/>
      <c r="H253" s="781"/>
      <c r="I253" s="781"/>
      <c r="J253" s="781"/>
      <c r="K253" s="781"/>
      <c r="L253" s="781"/>
      <c r="M253" s="829"/>
      <c r="N253" s="781"/>
      <c r="O253" s="781"/>
      <c r="P253" s="781"/>
      <c r="Q253" s="781"/>
      <c r="R253" s="781"/>
      <c r="T253" s="781"/>
      <c r="U253" s="781"/>
      <c r="V253" s="781"/>
      <c r="W253" s="781"/>
      <c r="X253" s="781"/>
      <c r="Y253" s="781"/>
      <c r="Z253" s="781"/>
      <c r="AB253" s="781"/>
      <c r="AM253" s="781"/>
      <c r="AN253" s="781"/>
      <c r="AO253" s="781"/>
      <c r="AP253" s="781"/>
      <c r="AQ253" s="781"/>
      <c r="AR253" s="781"/>
      <c r="AS253" s="781"/>
      <c r="AT253" s="781"/>
      <c r="AU253" s="777"/>
      <c r="AV253" s="777"/>
      <c r="AW253" s="830"/>
      <c r="AX253" s="830"/>
      <c r="AY253" s="830"/>
      <c r="AZ253" s="831"/>
      <c r="BA253" s="831"/>
      <c r="BB253" s="822"/>
      <c r="BC253" s="822"/>
      <c r="BD253" s="822"/>
      <c r="BE253" s="822"/>
      <c r="BF253" s="822"/>
      <c r="BG253" s="822"/>
    </row>
    <row r="254" spans="1:59" ht="12" customHeight="1" x14ac:dyDescent="0.2">
      <c r="A254" s="781"/>
      <c r="B254" s="781"/>
      <c r="C254" s="781"/>
      <c r="D254" s="781"/>
      <c r="E254" s="781"/>
      <c r="F254" s="739"/>
      <c r="G254" s="781"/>
      <c r="H254" s="781"/>
      <c r="I254" s="781"/>
      <c r="J254" s="781"/>
      <c r="K254" s="781"/>
      <c r="L254" s="781"/>
      <c r="M254" s="829"/>
      <c r="N254" s="781"/>
      <c r="O254" s="781"/>
      <c r="P254" s="781"/>
      <c r="Q254" s="781"/>
      <c r="R254" s="781"/>
      <c r="T254" s="781"/>
      <c r="U254" s="781"/>
      <c r="V254" s="781"/>
      <c r="W254" s="781"/>
      <c r="X254" s="781"/>
      <c r="Y254" s="781"/>
      <c r="Z254" s="781"/>
      <c r="AB254" s="781"/>
      <c r="AM254" s="781"/>
      <c r="AN254" s="781"/>
      <c r="AO254" s="781"/>
      <c r="AP254" s="781"/>
      <c r="AQ254" s="781"/>
      <c r="AR254" s="781"/>
      <c r="AS254" s="781"/>
      <c r="AT254" s="781"/>
      <c r="AU254" s="777"/>
      <c r="AV254" s="777"/>
      <c r="AW254" s="830"/>
      <c r="AX254" s="830"/>
      <c r="AY254" s="830"/>
      <c r="AZ254" s="831"/>
      <c r="BA254" s="831"/>
      <c r="BB254" s="822"/>
      <c r="BC254" s="822"/>
      <c r="BD254" s="822"/>
      <c r="BE254" s="822"/>
      <c r="BF254" s="822"/>
      <c r="BG254" s="822"/>
    </row>
    <row r="255" spans="1:59" ht="12" customHeight="1" x14ac:dyDescent="0.2">
      <c r="A255" s="781"/>
      <c r="B255" s="781"/>
      <c r="C255" s="781"/>
      <c r="D255" s="781"/>
      <c r="E255" s="781"/>
      <c r="F255" s="739"/>
      <c r="G255" s="781"/>
      <c r="H255" s="781"/>
      <c r="I255" s="781"/>
      <c r="J255" s="781"/>
      <c r="K255" s="781"/>
      <c r="L255" s="781"/>
      <c r="M255" s="829"/>
      <c r="N255" s="781"/>
      <c r="O255" s="781"/>
      <c r="P255" s="781"/>
      <c r="Q255" s="781"/>
      <c r="R255" s="781"/>
      <c r="T255" s="781"/>
      <c r="U255" s="781"/>
      <c r="V255" s="781"/>
      <c r="W255" s="781"/>
      <c r="X255" s="781"/>
      <c r="Y255" s="781"/>
      <c r="Z255" s="781"/>
      <c r="AB255" s="781"/>
      <c r="AM255" s="781"/>
      <c r="AN255" s="781"/>
      <c r="AO255" s="781"/>
      <c r="AP255" s="781"/>
      <c r="AQ255" s="781"/>
      <c r="AR255" s="781"/>
      <c r="AS255" s="781"/>
      <c r="AT255" s="781"/>
      <c r="AU255" s="777"/>
      <c r="AV255" s="777"/>
      <c r="AW255" s="830"/>
      <c r="AX255" s="830"/>
      <c r="AY255" s="830"/>
      <c r="AZ255" s="831"/>
      <c r="BA255" s="831"/>
      <c r="BB255" s="822"/>
      <c r="BC255" s="822"/>
      <c r="BD255" s="822"/>
      <c r="BE255" s="822"/>
      <c r="BF255" s="822"/>
      <c r="BG255" s="822"/>
    </row>
    <row r="256" spans="1:59" ht="12" customHeight="1" x14ac:dyDescent="0.2">
      <c r="A256" s="781"/>
      <c r="B256" s="781"/>
      <c r="C256" s="781"/>
      <c r="D256" s="781"/>
      <c r="E256" s="781"/>
      <c r="F256" s="739"/>
      <c r="G256" s="781"/>
      <c r="H256" s="781"/>
      <c r="I256" s="781"/>
      <c r="J256" s="781"/>
      <c r="K256" s="781"/>
      <c r="L256" s="781"/>
      <c r="M256" s="829"/>
      <c r="N256" s="781"/>
      <c r="O256" s="781"/>
      <c r="P256" s="781"/>
      <c r="Q256" s="781"/>
      <c r="R256" s="781"/>
      <c r="T256" s="781"/>
      <c r="U256" s="781"/>
      <c r="V256" s="781"/>
      <c r="W256" s="781"/>
      <c r="X256" s="781"/>
      <c r="Y256" s="781"/>
      <c r="Z256" s="781"/>
      <c r="AB256" s="781"/>
      <c r="AM256" s="781"/>
      <c r="AN256" s="781"/>
      <c r="AO256" s="781"/>
      <c r="AP256" s="781"/>
      <c r="AQ256" s="781"/>
      <c r="AR256" s="781"/>
      <c r="AS256" s="781"/>
      <c r="AT256" s="781"/>
      <c r="AU256" s="777"/>
      <c r="AV256" s="777"/>
      <c r="AW256" s="830"/>
      <c r="AX256" s="830"/>
      <c r="AY256" s="830"/>
      <c r="AZ256" s="831"/>
      <c r="BA256" s="831"/>
      <c r="BB256" s="822"/>
      <c r="BC256" s="822"/>
      <c r="BD256" s="822"/>
      <c r="BE256" s="822"/>
      <c r="BF256" s="822"/>
      <c r="BG256" s="822"/>
    </row>
    <row r="257" spans="1:59" ht="12" customHeight="1" x14ac:dyDescent="0.2">
      <c r="A257" s="781"/>
      <c r="B257" s="781"/>
      <c r="C257" s="781"/>
      <c r="D257" s="781"/>
      <c r="E257" s="781"/>
      <c r="F257" s="739"/>
      <c r="G257" s="781"/>
      <c r="H257" s="781"/>
      <c r="I257" s="781"/>
      <c r="J257" s="781"/>
      <c r="K257" s="781"/>
      <c r="L257" s="781"/>
      <c r="M257" s="829"/>
      <c r="N257" s="781"/>
      <c r="O257" s="781"/>
      <c r="P257" s="781"/>
      <c r="Q257" s="781"/>
      <c r="R257" s="781"/>
      <c r="T257" s="781"/>
      <c r="U257" s="781"/>
      <c r="V257" s="781"/>
      <c r="W257" s="781"/>
      <c r="X257" s="781"/>
      <c r="Y257" s="781"/>
      <c r="Z257" s="781"/>
      <c r="AB257" s="781"/>
      <c r="AM257" s="781"/>
      <c r="AN257" s="781"/>
      <c r="AO257" s="781"/>
      <c r="AP257" s="781"/>
      <c r="AQ257" s="781"/>
      <c r="AR257" s="781"/>
      <c r="AS257" s="781"/>
      <c r="AT257" s="781"/>
      <c r="AU257" s="777"/>
      <c r="AV257" s="777"/>
      <c r="AW257" s="830"/>
      <c r="AX257" s="830"/>
      <c r="AY257" s="830"/>
      <c r="AZ257" s="831"/>
      <c r="BA257" s="831"/>
      <c r="BB257" s="822"/>
      <c r="BC257" s="822"/>
      <c r="BD257" s="822"/>
      <c r="BE257" s="822"/>
      <c r="BF257" s="822"/>
      <c r="BG257" s="822"/>
    </row>
    <row r="258" spans="1:59" ht="12" customHeight="1" x14ac:dyDescent="0.2">
      <c r="A258" s="781"/>
      <c r="B258" s="781"/>
      <c r="C258" s="781"/>
      <c r="D258" s="781"/>
      <c r="E258" s="781"/>
      <c r="F258" s="739"/>
      <c r="G258" s="781"/>
      <c r="H258" s="781"/>
      <c r="I258" s="781"/>
      <c r="J258" s="781"/>
      <c r="K258" s="781"/>
      <c r="L258" s="781"/>
      <c r="M258" s="829"/>
      <c r="N258" s="781"/>
      <c r="O258" s="781"/>
      <c r="P258" s="781"/>
      <c r="Q258" s="781"/>
      <c r="R258" s="781"/>
      <c r="T258" s="781"/>
      <c r="U258" s="781"/>
      <c r="V258" s="781"/>
      <c r="W258" s="781"/>
      <c r="X258" s="781"/>
      <c r="Y258" s="781"/>
      <c r="Z258" s="781"/>
      <c r="AB258" s="781"/>
      <c r="AM258" s="781"/>
      <c r="AN258" s="781"/>
      <c r="AO258" s="781"/>
      <c r="AP258" s="781"/>
      <c r="AQ258" s="781"/>
      <c r="AR258" s="781"/>
      <c r="AS258" s="781"/>
      <c r="AT258" s="781"/>
      <c r="AU258" s="777"/>
      <c r="AV258" s="777"/>
      <c r="AW258" s="830"/>
      <c r="AX258" s="830"/>
      <c r="AY258" s="830"/>
      <c r="AZ258" s="831"/>
      <c r="BA258" s="831"/>
      <c r="BB258" s="822"/>
      <c r="BC258" s="822"/>
      <c r="BD258" s="822"/>
      <c r="BE258" s="822"/>
      <c r="BF258" s="822"/>
      <c r="BG258" s="822"/>
    </row>
    <row r="259" spans="1:59" ht="12" customHeight="1" x14ac:dyDescent="0.2">
      <c r="A259" s="781"/>
      <c r="B259" s="781"/>
      <c r="C259" s="781"/>
      <c r="D259" s="781"/>
      <c r="E259" s="781"/>
      <c r="F259" s="739"/>
      <c r="G259" s="781"/>
      <c r="H259" s="781"/>
      <c r="I259" s="781"/>
      <c r="J259" s="781"/>
      <c r="K259" s="781"/>
      <c r="L259" s="781"/>
      <c r="M259" s="829"/>
      <c r="N259" s="781"/>
      <c r="O259" s="781"/>
      <c r="P259" s="781"/>
      <c r="Q259" s="781"/>
      <c r="R259" s="781"/>
      <c r="T259" s="781"/>
      <c r="U259" s="781"/>
      <c r="V259" s="781"/>
      <c r="W259" s="781"/>
      <c r="X259" s="781"/>
      <c r="Y259" s="781"/>
      <c r="Z259" s="781"/>
      <c r="AB259" s="781"/>
      <c r="AM259" s="781"/>
      <c r="AN259" s="781"/>
      <c r="AO259" s="781"/>
      <c r="AP259" s="781"/>
      <c r="AQ259" s="781"/>
      <c r="AR259" s="781"/>
      <c r="AS259" s="781"/>
      <c r="AT259" s="781"/>
      <c r="AU259" s="777"/>
      <c r="AV259" s="777"/>
      <c r="AW259" s="830"/>
      <c r="AX259" s="830"/>
      <c r="AY259" s="830"/>
      <c r="AZ259" s="831"/>
      <c r="BA259" s="831"/>
      <c r="BB259" s="822"/>
      <c r="BC259" s="822"/>
      <c r="BD259" s="822"/>
      <c r="BE259" s="822"/>
      <c r="BF259" s="822"/>
      <c r="BG259" s="822"/>
    </row>
    <row r="260" spans="1:59" ht="12" customHeight="1" x14ac:dyDescent="0.2">
      <c r="A260" s="781"/>
      <c r="B260" s="781"/>
      <c r="C260" s="781"/>
      <c r="D260" s="781"/>
      <c r="E260" s="781"/>
      <c r="F260" s="739"/>
      <c r="G260" s="781"/>
      <c r="H260" s="781"/>
      <c r="I260" s="781"/>
      <c r="J260" s="781"/>
      <c r="K260" s="781"/>
      <c r="L260" s="781"/>
      <c r="M260" s="829"/>
      <c r="N260" s="781"/>
      <c r="O260" s="781"/>
      <c r="P260" s="781"/>
      <c r="Q260" s="781"/>
      <c r="R260" s="781"/>
      <c r="T260" s="781"/>
      <c r="U260" s="781"/>
      <c r="V260" s="781"/>
      <c r="W260" s="781"/>
      <c r="X260" s="781"/>
      <c r="Y260" s="781"/>
      <c r="Z260" s="781"/>
      <c r="AB260" s="781"/>
      <c r="AM260" s="781"/>
      <c r="AN260" s="781"/>
      <c r="AO260" s="781"/>
      <c r="AP260" s="781"/>
      <c r="AQ260" s="781"/>
      <c r="AR260" s="781"/>
      <c r="AS260" s="781"/>
      <c r="AT260" s="781"/>
      <c r="AU260" s="777"/>
      <c r="AV260" s="777"/>
      <c r="AW260" s="830"/>
      <c r="AX260" s="830"/>
      <c r="AY260" s="830"/>
      <c r="AZ260" s="831"/>
      <c r="BA260" s="831"/>
      <c r="BB260" s="822"/>
      <c r="BC260" s="822"/>
      <c r="BD260" s="822"/>
      <c r="BE260" s="822"/>
      <c r="BF260" s="822"/>
      <c r="BG260" s="822"/>
    </row>
    <row r="261" spans="1:59" ht="12" customHeight="1" x14ac:dyDescent="0.2">
      <c r="A261" s="781"/>
      <c r="B261" s="781"/>
      <c r="C261" s="781"/>
      <c r="D261" s="781"/>
      <c r="E261" s="781"/>
      <c r="F261" s="739"/>
      <c r="G261" s="781"/>
      <c r="H261" s="781"/>
      <c r="I261" s="781"/>
      <c r="J261" s="781"/>
      <c r="K261" s="781"/>
      <c r="L261" s="781"/>
      <c r="M261" s="829"/>
      <c r="N261" s="781"/>
      <c r="O261" s="781"/>
      <c r="P261" s="781"/>
      <c r="Q261" s="781"/>
      <c r="R261" s="781"/>
      <c r="T261" s="781"/>
      <c r="U261" s="781"/>
      <c r="V261" s="781"/>
      <c r="W261" s="781"/>
      <c r="X261" s="781"/>
      <c r="Y261" s="781"/>
      <c r="Z261" s="781"/>
      <c r="AB261" s="781"/>
      <c r="AM261" s="781"/>
      <c r="AN261" s="781"/>
      <c r="AO261" s="781"/>
      <c r="AP261" s="781"/>
      <c r="AQ261" s="781"/>
      <c r="AR261" s="781"/>
      <c r="AS261" s="781"/>
      <c r="AT261" s="781"/>
      <c r="AU261" s="777"/>
      <c r="AV261" s="777"/>
      <c r="AW261" s="830"/>
      <c r="AX261" s="830"/>
      <c r="AY261" s="830"/>
      <c r="AZ261" s="831"/>
      <c r="BA261" s="831"/>
      <c r="BB261" s="822"/>
      <c r="BC261" s="822"/>
      <c r="BD261" s="822"/>
      <c r="BE261" s="822"/>
      <c r="BF261" s="822"/>
      <c r="BG261" s="822"/>
    </row>
    <row r="262" spans="1:59" ht="12" customHeight="1" x14ac:dyDescent="0.2">
      <c r="A262" s="781"/>
      <c r="B262" s="781"/>
      <c r="C262" s="781"/>
      <c r="D262" s="781"/>
      <c r="E262" s="781"/>
      <c r="F262" s="739"/>
      <c r="G262" s="781"/>
      <c r="H262" s="781"/>
      <c r="I262" s="781"/>
      <c r="J262" s="781"/>
      <c r="K262" s="781"/>
      <c r="L262" s="781"/>
      <c r="M262" s="829"/>
      <c r="N262" s="781"/>
      <c r="O262" s="781"/>
      <c r="P262" s="781"/>
      <c r="Q262" s="781"/>
      <c r="R262" s="781"/>
      <c r="T262" s="781"/>
      <c r="U262" s="781"/>
      <c r="V262" s="781"/>
      <c r="W262" s="781"/>
      <c r="X262" s="781"/>
      <c r="Y262" s="781"/>
      <c r="Z262" s="781"/>
      <c r="AB262" s="781"/>
      <c r="AM262" s="781"/>
      <c r="AN262" s="781"/>
      <c r="AO262" s="781"/>
      <c r="AP262" s="781"/>
      <c r="AQ262" s="781"/>
      <c r="AR262" s="781"/>
      <c r="AS262" s="781"/>
      <c r="AT262" s="781"/>
      <c r="AU262" s="777"/>
      <c r="AV262" s="777"/>
      <c r="AW262" s="830"/>
      <c r="AX262" s="830"/>
      <c r="AY262" s="830"/>
      <c r="AZ262" s="831"/>
      <c r="BA262" s="831"/>
      <c r="BB262" s="822"/>
      <c r="BC262" s="822"/>
      <c r="BD262" s="822"/>
      <c r="BE262" s="822"/>
      <c r="BF262" s="822"/>
      <c r="BG262" s="822"/>
    </row>
    <row r="263" spans="1:59" ht="12" customHeight="1" x14ac:dyDescent="0.2">
      <c r="A263" s="781"/>
      <c r="B263" s="781"/>
      <c r="C263" s="781"/>
      <c r="D263" s="781"/>
      <c r="E263" s="781"/>
      <c r="F263" s="739"/>
      <c r="G263" s="781"/>
      <c r="H263" s="781"/>
      <c r="I263" s="781"/>
      <c r="J263" s="781"/>
      <c r="K263" s="781"/>
      <c r="L263" s="781"/>
      <c r="M263" s="829"/>
      <c r="N263" s="781"/>
      <c r="O263" s="781"/>
      <c r="P263" s="781"/>
      <c r="Q263" s="781"/>
      <c r="R263" s="781"/>
      <c r="T263" s="781"/>
      <c r="U263" s="781"/>
      <c r="V263" s="781"/>
      <c r="W263" s="781"/>
      <c r="X263" s="781"/>
      <c r="Y263" s="781"/>
      <c r="Z263" s="781"/>
      <c r="AB263" s="781"/>
      <c r="AM263" s="781"/>
      <c r="AN263" s="781"/>
      <c r="AO263" s="781"/>
      <c r="AP263" s="781"/>
      <c r="AQ263" s="781"/>
      <c r="AR263" s="781"/>
      <c r="AS263" s="781"/>
      <c r="AT263" s="781"/>
      <c r="AU263" s="777"/>
      <c r="AV263" s="777"/>
      <c r="AW263" s="830"/>
      <c r="AX263" s="830"/>
      <c r="AY263" s="830"/>
      <c r="AZ263" s="831"/>
      <c r="BA263" s="831"/>
      <c r="BB263" s="822"/>
      <c r="BC263" s="822"/>
      <c r="BD263" s="822"/>
      <c r="BE263" s="822"/>
      <c r="BF263" s="822"/>
      <c r="BG263" s="822"/>
    </row>
    <row r="264" spans="1:59" ht="12" customHeight="1" x14ac:dyDescent="0.2">
      <c r="A264" s="781"/>
      <c r="B264" s="781"/>
      <c r="C264" s="781"/>
      <c r="D264" s="781"/>
      <c r="E264" s="781"/>
      <c r="F264" s="739"/>
      <c r="G264" s="781"/>
      <c r="H264" s="781"/>
      <c r="I264" s="781"/>
      <c r="J264" s="781"/>
      <c r="K264" s="781"/>
      <c r="L264" s="781"/>
      <c r="M264" s="829"/>
      <c r="N264" s="781"/>
      <c r="O264" s="781"/>
      <c r="P264" s="781"/>
      <c r="Q264" s="781"/>
      <c r="R264" s="781"/>
      <c r="T264" s="781"/>
      <c r="U264" s="781"/>
      <c r="V264" s="781"/>
      <c r="W264" s="781"/>
      <c r="X264" s="781"/>
      <c r="Y264" s="781"/>
      <c r="Z264" s="781"/>
      <c r="AB264" s="781"/>
      <c r="AM264" s="781"/>
      <c r="AN264" s="781"/>
      <c r="AO264" s="781"/>
      <c r="AP264" s="781"/>
      <c r="AQ264" s="781"/>
      <c r="AR264" s="781"/>
      <c r="AS264" s="781"/>
      <c r="AT264" s="781"/>
      <c r="AU264" s="777"/>
      <c r="AV264" s="777"/>
      <c r="AW264" s="830"/>
      <c r="AX264" s="830"/>
      <c r="AY264" s="830"/>
      <c r="AZ264" s="831"/>
      <c r="BA264" s="831"/>
      <c r="BB264" s="822"/>
      <c r="BC264" s="822"/>
      <c r="BD264" s="822"/>
      <c r="BE264" s="822"/>
      <c r="BF264" s="822"/>
      <c r="BG264" s="822"/>
    </row>
    <row r="265" spans="1:59" ht="12" customHeight="1" x14ac:dyDescent="0.2">
      <c r="A265" s="781"/>
      <c r="B265" s="781"/>
      <c r="C265" s="781"/>
      <c r="D265" s="781"/>
      <c r="E265" s="781"/>
      <c r="F265" s="739"/>
      <c r="G265" s="781"/>
      <c r="H265" s="781"/>
      <c r="I265" s="781"/>
      <c r="J265" s="781"/>
      <c r="K265" s="781"/>
      <c r="L265" s="781"/>
      <c r="M265" s="829"/>
      <c r="N265" s="781"/>
      <c r="O265" s="781"/>
      <c r="P265" s="781"/>
      <c r="Q265" s="781"/>
      <c r="R265" s="781"/>
      <c r="T265" s="781"/>
      <c r="U265" s="781"/>
      <c r="V265" s="781"/>
      <c r="W265" s="781"/>
      <c r="X265" s="781"/>
      <c r="Y265" s="781"/>
      <c r="Z265" s="781"/>
      <c r="AB265" s="781"/>
      <c r="AM265" s="781"/>
      <c r="AN265" s="781"/>
      <c r="AO265" s="781"/>
      <c r="AP265" s="781"/>
      <c r="AQ265" s="781"/>
      <c r="AR265" s="781"/>
      <c r="AS265" s="781"/>
      <c r="AT265" s="781"/>
      <c r="AU265" s="777"/>
      <c r="AV265" s="777"/>
      <c r="AW265" s="830"/>
      <c r="AX265" s="830"/>
      <c r="AY265" s="830"/>
      <c r="AZ265" s="831"/>
      <c r="BA265" s="831"/>
      <c r="BB265" s="822"/>
      <c r="BC265" s="822"/>
      <c r="BD265" s="822"/>
      <c r="BE265" s="822"/>
      <c r="BF265" s="822"/>
      <c r="BG265" s="822"/>
    </row>
    <row r="266" spans="1:59" ht="12" customHeight="1" x14ac:dyDescent="0.2">
      <c r="A266" s="781"/>
      <c r="B266" s="781"/>
      <c r="C266" s="781"/>
      <c r="D266" s="781"/>
      <c r="E266" s="781"/>
      <c r="F266" s="739"/>
      <c r="G266" s="781"/>
      <c r="H266" s="781"/>
      <c r="I266" s="781"/>
      <c r="J266" s="781"/>
      <c r="K266" s="781"/>
      <c r="L266" s="781"/>
      <c r="M266" s="829"/>
      <c r="N266" s="781"/>
      <c r="O266" s="781"/>
      <c r="P266" s="781"/>
      <c r="Q266" s="781"/>
      <c r="R266" s="781"/>
      <c r="T266" s="781"/>
      <c r="U266" s="781"/>
      <c r="V266" s="781"/>
      <c r="W266" s="781"/>
      <c r="X266" s="781"/>
      <c r="Y266" s="781"/>
      <c r="Z266" s="781"/>
      <c r="AB266" s="781"/>
      <c r="AM266" s="781"/>
      <c r="AN266" s="781"/>
      <c r="AO266" s="781"/>
      <c r="AP266" s="781"/>
      <c r="AQ266" s="781"/>
      <c r="AR266" s="781"/>
      <c r="AS266" s="781"/>
      <c r="AT266" s="781"/>
      <c r="AU266" s="777"/>
      <c r="AV266" s="777"/>
      <c r="AW266" s="830"/>
      <c r="AX266" s="830"/>
      <c r="AY266" s="830"/>
      <c r="AZ266" s="831"/>
      <c r="BA266" s="831"/>
      <c r="BB266" s="822"/>
      <c r="BC266" s="822"/>
      <c r="BD266" s="822"/>
      <c r="BE266" s="822"/>
      <c r="BF266" s="822"/>
      <c r="BG266" s="822"/>
    </row>
    <row r="267" spans="1:59" ht="12" customHeight="1" x14ac:dyDescent="0.2">
      <c r="A267" s="781"/>
      <c r="B267" s="781"/>
      <c r="C267" s="781"/>
      <c r="D267" s="781"/>
      <c r="E267" s="781"/>
      <c r="F267" s="739"/>
      <c r="G267" s="781"/>
      <c r="H267" s="781"/>
      <c r="I267" s="781"/>
      <c r="J267" s="781"/>
      <c r="K267" s="781"/>
      <c r="L267" s="781"/>
      <c r="M267" s="829"/>
      <c r="N267" s="781"/>
      <c r="O267" s="781"/>
      <c r="P267" s="781"/>
      <c r="Q267" s="781"/>
      <c r="R267" s="781"/>
      <c r="T267" s="781"/>
      <c r="U267" s="781"/>
      <c r="V267" s="781"/>
      <c r="W267" s="781"/>
      <c r="X267" s="781"/>
      <c r="Y267" s="781"/>
      <c r="Z267" s="781"/>
      <c r="AB267" s="781"/>
      <c r="AM267" s="781"/>
      <c r="AN267" s="781"/>
      <c r="AO267" s="781"/>
      <c r="AP267" s="781"/>
      <c r="AQ267" s="781"/>
      <c r="AR267" s="781"/>
      <c r="AS267" s="781"/>
      <c r="AT267" s="781"/>
      <c r="AU267" s="777"/>
      <c r="AV267" s="777"/>
      <c r="AW267" s="830"/>
      <c r="AX267" s="830"/>
      <c r="AY267" s="830"/>
      <c r="AZ267" s="831"/>
      <c r="BA267" s="831"/>
      <c r="BB267" s="822"/>
      <c r="BC267" s="822"/>
      <c r="BD267" s="822"/>
      <c r="BE267" s="822"/>
      <c r="BF267" s="822"/>
      <c r="BG267" s="822"/>
    </row>
    <row r="268" spans="1:59" ht="12" customHeight="1" x14ac:dyDescent="0.2">
      <c r="A268" s="781"/>
      <c r="B268" s="781"/>
      <c r="C268" s="781"/>
      <c r="D268" s="781"/>
      <c r="E268" s="781"/>
      <c r="F268" s="739"/>
      <c r="G268" s="781"/>
      <c r="H268" s="781"/>
      <c r="I268" s="781"/>
      <c r="J268" s="781"/>
      <c r="K268" s="781"/>
      <c r="L268" s="781"/>
      <c r="M268" s="829"/>
      <c r="N268" s="781"/>
      <c r="O268" s="781"/>
      <c r="P268" s="781"/>
      <c r="Q268" s="781"/>
      <c r="R268" s="781"/>
      <c r="T268" s="781"/>
      <c r="U268" s="781"/>
      <c r="V268" s="781"/>
      <c r="W268" s="781"/>
      <c r="X268" s="781"/>
      <c r="Y268" s="781"/>
      <c r="Z268" s="781"/>
      <c r="AB268" s="781"/>
      <c r="AM268" s="781"/>
      <c r="AN268" s="781"/>
      <c r="AO268" s="781"/>
      <c r="AP268" s="781"/>
      <c r="AQ268" s="781"/>
      <c r="AR268" s="781"/>
      <c r="AS268" s="781"/>
      <c r="AT268" s="781"/>
      <c r="AU268" s="777"/>
      <c r="AV268" s="777"/>
      <c r="AW268" s="830"/>
      <c r="AX268" s="830"/>
      <c r="AY268" s="830"/>
      <c r="AZ268" s="831"/>
      <c r="BA268" s="831"/>
      <c r="BB268" s="822"/>
      <c r="BC268" s="822"/>
      <c r="BD268" s="822"/>
      <c r="BE268" s="822"/>
      <c r="BF268" s="822"/>
      <c r="BG268" s="822"/>
    </row>
    <row r="269" spans="1:59" ht="12" customHeight="1" x14ac:dyDescent="0.2">
      <c r="A269" s="781"/>
      <c r="B269" s="781"/>
      <c r="C269" s="781"/>
      <c r="D269" s="781"/>
      <c r="E269" s="781"/>
      <c r="F269" s="739"/>
      <c r="G269" s="781"/>
      <c r="H269" s="781"/>
      <c r="I269" s="781"/>
      <c r="J269" s="781"/>
      <c r="K269" s="781"/>
      <c r="L269" s="781"/>
      <c r="M269" s="829"/>
      <c r="N269" s="781"/>
      <c r="O269" s="781"/>
      <c r="P269" s="781"/>
      <c r="Q269" s="781"/>
      <c r="R269" s="781"/>
      <c r="T269" s="781"/>
      <c r="U269" s="781"/>
      <c r="V269" s="781"/>
      <c r="W269" s="781"/>
      <c r="X269" s="781"/>
      <c r="Y269" s="781"/>
      <c r="Z269" s="781"/>
      <c r="AB269" s="781"/>
      <c r="AM269" s="781"/>
      <c r="AN269" s="781"/>
      <c r="AO269" s="781"/>
      <c r="AP269" s="781"/>
      <c r="AQ269" s="781"/>
      <c r="AR269" s="781"/>
      <c r="AS269" s="781"/>
      <c r="AT269" s="781"/>
      <c r="AU269" s="777"/>
      <c r="AV269" s="777"/>
      <c r="AW269" s="830"/>
      <c r="AX269" s="830"/>
      <c r="AY269" s="830"/>
      <c r="AZ269" s="831"/>
      <c r="BA269" s="831"/>
      <c r="BB269" s="822"/>
      <c r="BC269" s="822"/>
      <c r="BD269" s="822"/>
      <c r="BE269" s="822"/>
      <c r="BF269" s="822"/>
      <c r="BG269" s="822"/>
    </row>
    <row r="270" spans="1:59" ht="12" customHeight="1" x14ac:dyDescent="0.2">
      <c r="A270" s="781"/>
      <c r="B270" s="781"/>
      <c r="C270" s="781"/>
      <c r="D270" s="781"/>
      <c r="E270" s="781"/>
      <c r="F270" s="739"/>
      <c r="G270" s="781"/>
      <c r="H270" s="781"/>
      <c r="I270" s="781"/>
      <c r="J270" s="781"/>
      <c r="K270" s="781"/>
      <c r="L270" s="781"/>
      <c r="M270" s="829"/>
      <c r="N270" s="781"/>
      <c r="O270" s="781"/>
      <c r="P270" s="781"/>
      <c r="Q270" s="781"/>
      <c r="R270" s="781"/>
      <c r="T270" s="781"/>
      <c r="U270" s="781"/>
      <c r="V270" s="781"/>
      <c r="W270" s="781"/>
      <c r="X270" s="781"/>
      <c r="Y270" s="781"/>
      <c r="Z270" s="781"/>
      <c r="AB270" s="781"/>
      <c r="AM270" s="781"/>
      <c r="AN270" s="781"/>
      <c r="AO270" s="781"/>
      <c r="AP270" s="781"/>
      <c r="AQ270" s="781"/>
      <c r="AR270" s="781"/>
      <c r="AS270" s="781"/>
      <c r="AT270" s="781"/>
      <c r="AU270" s="777"/>
      <c r="AV270" s="777"/>
      <c r="AW270" s="830"/>
      <c r="AX270" s="830"/>
      <c r="AY270" s="830"/>
      <c r="AZ270" s="831"/>
      <c r="BA270" s="831"/>
      <c r="BB270" s="822"/>
      <c r="BC270" s="822"/>
      <c r="BD270" s="822"/>
      <c r="BE270" s="822"/>
      <c r="BF270" s="822"/>
      <c r="BG270" s="822"/>
    </row>
    <row r="271" spans="1:59" ht="12" customHeight="1" x14ac:dyDescent="0.2">
      <c r="A271" s="781"/>
      <c r="B271" s="781"/>
      <c r="C271" s="781"/>
      <c r="D271" s="781"/>
      <c r="E271" s="781"/>
      <c r="F271" s="739"/>
      <c r="G271" s="781"/>
      <c r="H271" s="781"/>
      <c r="I271" s="781"/>
      <c r="J271" s="781"/>
      <c r="K271" s="781"/>
      <c r="L271" s="781"/>
      <c r="M271" s="829"/>
      <c r="N271" s="781"/>
      <c r="O271" s="781"/>
      <c r="P271" s="781"/>
      <c r="Q271" s="781"/>
      <c r="R271" s="781"/>
      <c r="T271" s="781"/>
      <c r="U271" s="781"/>
      <c r="V271" s="781"/>
      <c r="W271" s="781"/>
      <c r="X271" s="781"/>
      <c r="Y271" s="781"/>
      <c r="Z271" s="781"/>
      <c r="AB271" s="781"/>
      <c r="AM271" s="781"/>
      <c r="AN271" s="781"/>
      <c r="AO271" s="781"/>
      <c r="AP271" s="781"/>
      <c r="AQ271" s="781"/>
      <c r="AR271" s="781"/>
      <c r="AS271" s="781"/>
      <c r="AT271" s="781"/>
      <c r="AU271" s="777"/>
      <c r="AV271" s="777"/>
      <c r="AW271" s="830"/>
      <c r="AX271" s="830"/>
      <c r="AY271" s="830"/>
      <c r="AZ271" s="831"/>
      <c r="BA271" s="831"/>
      <c r="BB271" s="822"/>
      <c r="BC271" s="822"/>
      <c r="BD271" s="822"/>
      <c r="BE271" s="822"/>
      <c r="BF271" s="822"/>
      <c r="BG271" s="822"/>
    </row>
    <row r="272" spans="1:59" ht="12" customHeight="1" x14ac:dyDescent="0.2">
      <c r="A272" s="781"/>
      <c r="B272" s="781"/>
      <c r="C272" s="781"/>
      <c r="D272" s="781"/>
      <c r="E272" s="781"/>
      <c r="F272" s="739"/>
      <c r="G272" s="781"/>
      <c r="H272" s="781"/>
      <c r="I272" s="781"/>
      <c r="J272" s="781"/>
      <c r="K272" s="781"/>
      <c r="L272" s="781"/>
      <c r="M272" s="829"/>
      <c r="N272" s="781"/>
      <c r="O272" s="781"/>
      <c r="P272" s="781"/>
      <c r="Q272" s="781"/>
      <c r="R272" s="781"/>
      <c r="T272" s="781"/>
      <c r="U272" s="781"/>
      <c r="V272" s="781"/>
      <c r="W272" s="781"/>
      <c r="X272" s="781"/>
      <c r="Y272" s="781"/>
      <c r="Z272" s="781"/>
      <c r="AB272" s="781"/>
      <c r="AM272" s="781"/>
      <c r="AN272" s="781"/>
      <c r="AO272" s="781"/>
      <c r="AP272" s="781"/>
      <c r="AQ272" s="781"/>
      <c r="AR272" s="781"/>
      <c r="AS272" s="781"/>
      <c r="AT272" s="781"/>
      <c r="AU272" s="777"/>
      <c r="AV272" s="777"/>
      <c r="AW272" s="830"/>
      <c r="AX272" s="830"/>
      <c r="AY272" s="830"/>
      <c r="AZ272" s="831"/>
      <c r="BA272" s="831"/>
      <c r="BB272" s="822"/>
      <c r="BC272" s="822"/>
      <c r="BD272" s="822"/>
      <c r="BE272" s="822"/>
      <c r="BF272" s="822"/>
      <c r="BG272" s="822"/>
    </row>
    <row r="273" spans="1:59" ht="12" customHeight="1" x14ac:dyDescent="0.2">
      <c r="A273" s="781"/>
      <c r="B273" s="781"/>
      <c r="C273" s="781"/>
      <c r="D273" s="781"/>
      <c r="E273" s="781"/>
      <c r="F273" s="739"/>
      <c r="G273" s="781"/>
      <c r="H273" s="781"/>
      <c r="I273" s="781"/>
      <c r="J273" s="781"/>
      <c r="K273" s="781"/>
      <c r="L273" s="781"/>
      <c r="M273" s="829"/>
      <c r="N273" s="781"/>
      <c r="O273" s="781"/>
      <c r="P273" s="781"/>
      <c r="Q273" s="781"/>
      <c r="R273" s="781"/>
      <c r="T273" s="781"/>
      <c r="U273" s="781"/>
      <c r="V273" s="781"/>
      <c r="W273" s="781"/>
      <c r="X273" s="781"/>
      <c r="Y273" s="781"/>
      <c r="Z273" s="781"/>
      <c r="AB273" s="781"/>
      <c r="AM273" s="781"/>
      <c r="AN273" s="781"/>
      <c r="AO273" s="781"/>
      <c r="AP273" s="781"/>
      <c r="AQ273" s="781"/>
      <c r="AR273" s="781"/>
      <c r="AS273" s="781"/>
      <c r="AT273" s="781"/>
      <c r="AU273" s="777"/>
      <c r="AV273" s="777"/>
      <c r="AW273" s="830"/>
      <c r="AX273" s="830"/>
      <c r="AY273" s="830"/>
      <c r="AZ273" s="831"/>
      <c r="BA273" s="831"/>
      <c r="BB273" s="822"/>
      <c r="BC273" s="822"/>
      <c r="BD273" s="822"/>
      <c r="BE273" s="822"/>
      <c r="BF273" s="822"/>
      <c r="BG273" s="822"/>
    </row>
    <row r="274" spans="1:59" ht="12" customHeight="1" x14ac:dyDescent="0.2">
      <c r="A274" s="781"/>
      <c r="B274" s="781"/>
      <c r="C274" s="781"/>
      <c r="D274" s="781"/>
      <c r="E274" s="781"/>
      <c r="F274" s="739"/>
      <c r="G274" s="781"/>
      <c r="H274" s="781"/>
      <c r="I274" s="781"/>
      <c r="J274" s="781"/>
      <c r="K274" s="781"/>
      <c r="L274" s="781"/>
      <c r="M274" s="829"/>
      <c r="N274" s="781"/>
      <c r="O274" s="781"/>
      <c r="P274" s="781"/>
      <c r="Q274" s="781"/>
      <c r="R274" s="781"/>
      <c r="T274" s="781"/>
      <c r="U274" s="781"/>
      <c r="V274" s="781"/>
      <c r="W274" s="781"/>
      <c r="X274" s="781"/>
      <c r="Y274" s="781"/>
      <c r="Z274" s="781"/>
      <c r="AB274" s="781"/>
      <c r="AM274" s="781"/>
      <c r="AN274" s="781"/>
      <c r="AO274" s="781"/>
      <c r="AP274" s="781"/>
      <c r="AQ274" s="781"/>
      <c r="AR274" s="781"/>
      <c r="AS274" s="781"/>
      <c r="AT274" s="781"/>
      <c r="AU274" s="777"/>
      <c r="AV274" s="777"/>
      <c r="AW274" s="830"/>
      <c r="AX274" s="830"/>
      <c r="AY274" s="830"/>
      <c r="AZ274" s="831"/>
      <c r="BA274" s="831"/>
      <c r="BB274" s="822"/>
      <c r="BC274" s="822"/>
      <c r="BD274" s="822"/>
      <c r="BE274" s="822"/>
      <c r="BF274" s="822"/>
      <c r="BG274" s="822"/>
    </row>
    <row r="275" spans="1:59" ht="12" customHeight="1" x14ac:dyDescent="0.2">
      <c r="A275" s="781"/>
      <c r="B275" s="781"/>
      <c r="C275" s="781"/>
      <c r="D275" s="781"/>
      <c r="E275" s="781"/>
      <c r="F275" s="739"/>
      <c r="G275" s="781"/>
      <c r="H275" s="781"/>
      <c r="I275" s="781"/>
      <c r="J275" s="781"/>
      <c r="K275" s="781"/>
      <c r="L275" s="781"/>
      <c r="M275" s="829"/>
      <c r="N275" s="781"/>
      <c r="O275" s="781"/>
      <c r="P275" s="781"/>
      <c r="Q275" s="781"/>
      <c r="R275" s="781"/>
      <c r="T275" s="834"/>
      <c r="U275" s="834"/>
      <c r="V275" s="781"/>
      <c r="W275" s="781"/>
      <c r="X275" s="781"/>
      <c r="Y275" s="781"/>
      <c r="Z275" s="781"/>
      <c r="AB275" s="781"/>
      <c r="AM275" s="781"/>
      <c r="AN275" s="781"/>
      <c r="AO275" s="781"/>
      <c r="AP275" s="781"/>
      <c r="AQ275" s="781"/>
      <c r="AR275" s="781"/>
      <c r="AS275" s="781"/>
      <c r="AT275" s="781"/>
      <c r="AU275" s="777"/>
      <c r="AV275" s="777"/>
      <c r="AW275" s="830"/>
      <c r="AX275" s="830"/>
      <c r="AY275" s="830"/>
      <c r="AZ275" s="831"/>
      <c r="BA275" s="831"/>
      <c r="BB275" s="822"/>
      <c r="BC275" s="822"/>
      <c r="BD275" s="822"/>
      <c r="BE275" s="822"/>
      <c r="BF275" s="822"/>
      <c r="BG275" s="822"/>
    </row>
    <row r="276" spans="1:59" ht="12" customHeight="1" x14ac:dyDescent="0.2">
      <c r="A276" s="781"/>
      <c r="B276" s="781"/>
      <c r="C276" s="781"/>
      <c r="D276" s="781"/>
      <c r="E276" s="781"/>
      <c r="F276" s="739"/>
      <c r="G276" s="781"/>
      <c r="H276" s="781"/>
      <c r="I276" s="781"/>
      <c r="J276" s="781"/>
      <c r="K276" s="781"/>
      <c r="L276" s="781"/>
      <c r="M276" s="829"/>
      <c r="N276" s="781"/>
      <c r="O276" s="781"/>
      <c r="P276" s="781"/>
      <c r="Q276" s="781"/>
      <c r="R276" s="781"/>
      <c r="T276" s="834"/>
      <c r="U276" s="834"/>
      <c r="V276" s="781"/>
      <c r="W276" s="781"/>
      <c r="X276" s="781"/>
      <c r="Y276" s="781"/>
      <c r="Z276" s="781"/>
      <c r="AB276" s="781"/>
      <c r="AM276" s="781"/>
      <c r="AN276" s="781"/>
      <c r="AO276" s="781"/>
      <c r="AP276" s="781"/>
      <c r="AQ276" s="781"/>
      <c r="AR276" s="781"/>
      <c r="AS276" s="781"/>
      <c r="AT276" s="781"/>
      <c r="AU276" s="777"/>
      <c r="AV276" s="777"/>
      <c r="AW276" s="830"/>
      <c r="AX276" s="830"/>
      <c r="AY276" s="830"/>
      <c r="AZ276" s="831"/>
      <c r="BA276" s="831"/>
      <c r="BB276" s="822"/>
      <c r="BC276" s="822"/>
      <c r="BD276" s="822"/>
      <c r="BE276" s="822"/>
      <c r="BF276" s="822"/>
      <c r="BG276" s="822"/>
    </row>
    <row r="277" spans="1:59" ht="12" customHeight="1" x14ac:dyDescent="0.2">
      <c r="A277" s="781"/>
      <c r="B277" s="781"/>
      <c r="C277" s="781"/>
      <c r="D277" s="781"/>
      <c r="E277" s="781"/>
      <c r="F277" s="739"/>
      <c r="G277" s="781"/>
      <c r="H277" s="781"/>
      <c r="I277" s="781"/>
      <c r="J277" s="781"/>
      <c r="K277" s="781"/>
      <c r="L277" s="781"/>
      <c r="M277" s="829"/>
      <c r="N277" s="781"/>
      <c r="O277" s="781"/>
      <c r="P277" s="781"/>
      <c r="Q277" s="781"/>
      <c r="R277" s="781"/>
      <c r="T277" s="834"/>
      <c r="U277" s="834"/>
      <c r="V277" s="781"/>
      <c r="W277" s="781"/>
      <c r="X277" s="781"/>
      <c r="Y277" s="781"/>
      <c r="Z277" s="781"/>
      <c r="AB277" s="781"/>
      <c r="AM277" s="781"/>
      <c r="AN277" s="781"/>
      <c r="AO277" s="781"/>
      <c r="AP277" s="781"/>
      <c r="AQ277" s="781"/>
      <c r="AR277" s="781"/>
      <c r="AS277" s="781"/>
      <c r="AT277" s="781"/>
      <c r="AU277" s="777"/>
      <c r="AV277" s="777"/>
      <c r="AW277" s="830"/>
      <c r="AX277" s="830"/>
      <c r="AY277" s="830"/>
      <c r="AZ277" s="831"/>
      <c r="BA277" s="831"/>
      <c r="BB277" s="822"/>
      <c r="BC277" s="822"/>
      <c r="BD277" s="822"/>
      <c r="BE277" s="822"/>
      <c r="BF277" s="822"/>
      <c r="BG277" s="822"/>
    </row>
    <row r="278" spans="1:59" ht="12" customHeight="1" x14ac:dyDescent="0.2">
      <c r="A278" s="781"/>
      <c r="B278" s="781"/>
      <c r="C278" s="781"/>
      <c r="D278" s="781"/>
      <c r="E278" s="781"/>
      <c r="F278" s="739"/>
      <c r="G278" s="781"/>
      <c r="H278" s="781"/>
      <c r="I278" s="781"/>
      <c r="J278" s="781"/>
      <c r="K278" s="781"/>
      <c r="L278" s="781"/>
      <c r="M278" s="829"/>
      <c r="N278" s="781"/>
      <c r="O278" s="781"/>
      <c r="P278" s="781"/>
      <c r="Q278" s="781"/>
      <c r="R278" s="781"/>
      <c r="T278" s="834"/>
      <c r="U278" s="834"/>
      <c r="V278" s="781"/>
      <c r="W278" s="781"/>
      <c r="X278" s="781"/>
      <c r="Y278" s="781"/>
      <c r="Z278" s="781"/>
      <c r="AB278" s="781"/>
      <c r="AM278" s="781"/>
      <c r="AN278" s="781"/>
      <c r="AO278" s="781"/>
      <c r="AP278" s="781"/>
      <c r="AQ278" s="781"/>
      <c r="AR278" s="781"/>
      <c r="AS278" s="781"/>
      <c r="AT278" s="781"/>
      <c r="AU278" s="777"/>
      <c r="AV278" s="777"/>
      <c r="AW278" s="830"/>
      <c r="AX278" s="830"/>
      <c r="AY278" s="830"/>
      <c r="AZ278" s="831"/>
      <c r="BA278" s="831"/>
      <c r="BB278" s="822"/>
      <c r="BC278" s="822"/>
      <c r="BD278" s="822"/>
      <c r="BE278" s="822"/>
      <c r="BF278" s="822"/>
      <c r="BG278" s="822"/>
    </row>
    <row r="279" spans="1:59" ht="12" customHeight="1" x14ac:dyDescent="0.2">
      <c r="A279" s="781"/>
      <c r="B279" s="781"/>
      <c r="C279" s="781"/>
      <c r="D279" s="781"/>
      <c r="E279" s="781"/>
      <c r="F279" s="739"/>
      <c r="G279" s="781"/>
      <c r="H279" s="781"/>
      <c r="I279" s="781"/>
      <c r="J279" s="781"/>
      <c r="K279" s="781"/>
      <c r="L279" s="781"/>
      <c r="M279" s="829"/>
      <c r="N279" s="781"/>
      <c r="O279" s="781"/>
      <c r="P279" s="781"/>
      <c r="Q279" s="781"/>
      <c r="R279" s="781"/>
      <c r="T279" s="834"/>
      <c r="U279" s="834"/>
      <c r="V279" s="781"/>
      <c r="W279" s="781"/>
      <c r="X279" s="781"/>
      <c r="Y279" s="781"/>
      <c r="Z279" s="781"/>
      <c r="AB279" s="781"/>
      <c r="AM279" s="781"/>
      <c r="AN279" s="781"/>
      <c r="AO279" s="781"/>
      <c r="AP279" s="781"/>
      <c r="AQ279" s="781"/>
      <c r="AR279" s="781"/>
      <c r="AS279" s="781"/>
      <c r="AT279" s="781"/>
      <c r="AU279" s="777"/>
      <c r="AV279" s="777"/>
      <c r="AW279" s="830"/>
      <c r="AX279" s="830"/>
      <c r="AY279" s="830"/>
      <c r="AZ279" s="831"/>
      <c r="BA279" s="831"/>
      <c r="BB279" s="822"/>
      <c r="BC279" s="822"/>
      <c r="BD279" s="822"/>
      <c r="BE279" s="822"/>
      <c r="BF279" s="822"/>
      <c r="BG279" s="822"/>
    </row>
    <row r="280" spans="1:59" ht="12" customHeight="1" x14ac:dyDescent="0.2">
      <c r="A280" s="781"/>
      <c r="B280" s="781"/>
      <c r="C280" s="781"/>
      <c r="D280" s="781"/>
      <c r="E280" s="781"/>
      <c r="F280" s="739"/>
      <c r="G280" s="781"/>
      <c r="H280" s="781"/>
      <c r="I280" s="781"/>
      <c r="J280" s="781"/>
      <c r="K280" s="781"/>
      <c r="L280" s="781"/>
      <c r="M280" s="829"/>
      <c r="N280" s="781"/>
      <c r="O280" s="781"/>
      <c r="P280" s="781"/>
      <c r="Q280" s="781"/>
      <c r="R280" s="781"/>
      <c r="T280" s="834"/>
      <c r="U280" s="834"/>
      <c r="V280" s="781"/>
      <c r="W280" s="781"/>
      <c r="X280" s="781"/>
      <c r="Y280" s="781"/>
      <c r="Z280" s="781"/>
      <c r="AB280" s="781"/>
      <c r="AM280" s="781"/>
      <c r="AN280" s="781"/>
      <c r="AO280" s="781"/>
      <c r="AP280" s="781"/>
      <c r="AQ280" s="781"/>
      <c r="AR280" s="781"/>
      <c r="AS280" s="781"/>
      <c r="AT280" s="781"/>
      <c r="AU280" s="777"/>
      <c r="AV280" s="777"/>
      <c r="AW280" s="830"/>
      <c r="AX280" s="830"/>
      <c r="AY280" s="830"/>
      <c r="AZ280" s="831"/>
      <c r="BA280" s="831"/>
      <c r="BB280" s="822"/>
      <c r="BC280" s="822"/>
      <c r="BD280" s="822"/>
      <c r="BE280" s="822"/>
      <c r="BF280" s="822"/>
      <c r="BG280" s="822"/>
    </row>
    <row r="281" spans="1:59" ht="12" customHeight="1" x14ac:dyDescent="0.2">
      <c r="A281" s="781"/>
      <c r="B281" s="781"/>
      <c r="C281" s="781"/>
      <c r="D281" s="781"/>
      <c r="E281" s="781"/>
      <c r="F281" s="739"/>
      <c r="G281" s="781"/>
      <c r="H281" s="781"/>
      <c r="I281" s="781"/>
      <c r="J281" s="781"/>
      <c r="K281" s="781"/>
      <c r="L281" s="781"/>
      <c r="M281" s="829"/>
      <c r="N281" s="781"/>
      <c r="O281" s="781"/>
      <c r="P281" s="781"/>
      <c r="Q281" s="781"/>
      <c r="R281" s="781"/>
      <c r="T281" s="834"/>
      <c r="U281" s="834"/>
      <c r="V281" s="781"/>
      <c r="W281" s="781"/>
      <c r="X281" s="781"/>
      <c r="Y281" s="781"/>
      <c r="Z281" s="781"/>
      <c r="AB281" s="781"/>
      <c r="AM281" s="781"/>
      <c r="AN281" s="781"/>
      <c r="AO281" s="781"/>
      <c r="AP281" s="781"/>
      <c r="AQ281" s="781"/>
      <c r="AR281" s="781"/>
      <c r="AS281" s="781"/>
      <c r="AT281" s="781"/>
      <c r="AU281" s="777"/>
      <c r="AV281" s="777"/>
      <c r="AW281" s="830"/>
      <c r="AX281" s="830"/>
      <c r="AY281" s="830"/>
      <c r="AZ281" s="831"/>
      <c r="BA281" s="831"/>
      <c r="BB281" s="822"/>
      <c r="BC281" s="822"/>
      <c r="BD281" s="822"/>
      <c r="BE281" s="822"/>
      <c r="BF281" s="822"/>
      <c r="BG281" s="822"/>
    </row>
    <row r="282" spans="1:59" ht="12" customHeight="1" x14ac:dyDescent="0.2">
      <c r="A282" s="781"/>
      <c r="B282" s="781"/>
      <c r="C282" s="781"/>
      <c r="D282" s="781"/>
      <c r="E282" s="781"/>
      <c r="F282" s="739"/>
      <c r="G282" s="781"/>
      <c r="H282" s="781"/>
      <c r="I282" s="781"/>
      <c r="J282" s="781"/>
      <c r="K282" s="781"/>
      <c r="L282" s="781"/>
      <c r="M282" s="829"/>
      <c r="N282" s="781"/>
      <c r="O282" s="781"/>
      <c r="P282" s="781"/>
      <c r="Q282" s="781"/>
      <c r="R282" s="781"/>
      <c r="T282" s="834"/>
      <c r="U282" s="834"/>
      <c r="V282" s="781"/>
      <c r="W282" s="781"/>
      <c r="X282" s="781"/>
      <c r="Y282" s="781"/>
      <c r="Z282" s="781"/>
      <c r="AB282" s="781"/>
      <c r="AM282" s="781"/>
      <c r="AN282" s="781"/>
      <c r="AO282" s="781"/>
      <c r="AP282" s="781"/>
      <c r="AQ282" s="781"/>
      <c r="AR282" s="781"/>
      <c r="AS282" s="781"/>
      <c r="AT282" s="781"/>
      <c r="AU282" s="777"/>
      <c r="AV282" s="777"/>
      <c r="AW282" s="830"/>
      <c r="AX282" s="830"/>
      <c r="AY282" s="830"/>
      <c r="AZ282" s="831"/>
      <c r="BA282" s="831"/>
      <c r="BB282" s="822"/>
      <c r="BC282" s="822"/>
      <c r="BD282" s="822"/>
      <c r="BE282" s="822"/>
      <c r="BF282" s="822"/>
      <c r="BG282" s="822"/>
    </row>
    <row r="283" spans="1:59" ht="12" customHeight="1" x14ac:dyDescent="0.2">
      <c r="A283" s="781"/>
      <c r="B283" s="781"/>
      <c r="C283" s="781"/>
      <c r="D283" s="781"/>
      <c r="E283" s="781"/>
      <c r="F283" s="739"/>
      <c r="G283" s="781"/>
      <c r="H283" s="781"/>
      <c r="I283" s="781"/>
      <c r="J283" s="781"/>
      <c r="K283" s="781"/>
      <c r="L283" s="781"/>
      <c r="M283" s="829"/>
      <c r="N283" s="781"/>
      <c r="O283" s="781"/>
      <c r="P283" s="781"/>
      <c r="Q283" s="781"/>
      <c r="R283" s="781"/>
      <c r="T283" s="834"/>
      <c r="U283" s="834"/>
      <c r="V283" s="781"/>
      <c r="W283" s="781"/>
      <c r="X283" s="781"/>
      <c r="Y283" s="781"/>
      <c r="Z283" s="781"/>
      <c r="AB283" s="781"/>
      <c r="AM283" s="781"/>
      <c r="AN283" s="781"/>
      <c r="AO283" s="781"/>
      <c r="AP283" s="781"/>
      <c r="AQ283" s="781"/>
      <c r="AR283" s="781"/>
      <c r="AS283" s="781"/>
      <c r="AT283" s="781"/>
      <c r="AU283" s="777"/>
      <c r="AV283" s="777"/>
      <c r="AW283" s="830"/>
      <c r="AX283" s="830"/>
      <c r="AY283" s="830"/>
      <c r="AZ283" s="831"/>
      <c r="BA283" s="831"/>
      <c r="BB283" s="822"/>
      <c r="BC283" s="822"/>
      <c r="BD283" s="822"/>
      <c r="BE283" s="822"/>
      <c r="BF283" s="822"/>
      <c r="BG283" s="822"/>
    </row>
    <row r="284" spans="1:59" ht="12" customHeight="1" x14ac:dyDescent="0.2">
      <c r="A284" s="781"/>
      <c r="B284" s="781"/>
      <c r="C284" s="781"/>
      <c r="D284" s="781"/>
      <c r="E284" s="781"/>
      <c r="F284" s="739"/>
      <c r="G284" s="781"/>
      <c r="H284" s="781"/>
      <c r="I284" s="781"/>
      <c r="J284" s="781"/>
      <c r="K284" s="781"/>
      <c r="L284" s="781"/>
      <c r="M284" s="829"/>
      <c r="N284" s="781"/>
      <c r="O284" s="781"/>
      <c r="P284" s="781"/>
      <c r="Q284" s="781"/>
      <c r="R284" s="781"/>
      <c r="T284" s="834"/>
      <c r="U284" s="834"/>
      <c r="V284" s="781"/>
      <c r="W284" s="781"/>
      <c r="X284" s="781"/>
      <c r="Y284" s="781"/>
      <c r="Z284" s="781"/>
      <c r="AB284" s="781"/>
      <c r="AM284" s="781"/>
      <c r="AN284" s="781"/>
      <c r="AO284" s="781"/>
      <c r="AP284" s="781"/>
      <c r="AQ284" s="781"/>
      <c r="AR284" s="781"/>
      <c r="AS284" s="781"/>
      <c r="AT284" s="781"/>
      <c r="AU284" s="777"/>
      <c r="AV284" s="777"/>
      <c r="AW284" s="830"/>
      <c r="AX284" s="830"/>
      <c r="AY284" s="830"/>
      <c r="AZ284" s="831"/>
      <c r="BA284" s="831"/>
      <c r="BB284" s="822"/>
      <c r="BC284" s="822"/>
      <c r="BD284" s="822"/>
      <c r="BE284" s="822"/>
      <c r="BF284" s="822"/>
      <c r="BG284" s="822"/>
    </row>
    <row r="285" spans="1:59" ht="12" customHeight="1" x14ac:dyDescent="0.2">
      <c r="A285" s="781"/>
      <c r="B285" s="781"/>
      <c r="C285" s="781"/>
      <c r="D285" s="781"/>
      <c r="E285" s="781"/>
      <c r="F285" s="739"/>
      <c r="G285" s="781"/>
      <c r="H285" s="781"/>
      <c r="I285" s="781"/>
      <c r="J285" s="781"/>
      <c r="K285" s="781"/>
      <c r="L285" s="781"/>
      <c r="M285" s="829"/>
      <c r="N285" s="781"/>
      <c r="O285" s="781"/>
      <c r="P285" s="781"/>
      <c r="Q285" s="781"/>
      <c r="R285" s="781"/>
      <c r="T285" s="834"/>
      <c r="U285" s="834"/>
      <c r="V285" s="781"/>
      <c r="W285" s="781"/>
      <c r="X285" s="781"/>
      <c r="Y285" s="781"/>
      <c r="Z285" s="781"/>
      <c r="AB285" s="781"/>
      <c r="AM285" s="781"/>
      <c r="AN285" s="781"/>
      <c r="AO285" s="781"/>
      <c r="AP285" s="781"/>
      <c r="AQ285" s="781"/>
      <c r="AR285" s="781"/>
      <c r="AS285" s="781"/>
      <c r="AT285" s="781"/>
      <c r="AU285" s="777"/>
      <c r="AV285" s="777"/>
      <c r="AW285" s="830"/>
      <c r="AX285" s="830"/>
      <c r="AY285" s="830"/>
      <c r="AZ285" s="831"/>
      <c r="BA285" s="831"/>
      <c r="BB285" s="822"/>
      <c r="BC285" s="822"/>
      <c r="BD285" s="822"/>
      <c r="BE285" s="822"/>
      <c r="BF285" s="822"/>
      <c r="BG285" s="822"/>
    </row>
    <row r="286" spans="1:59" ht="12" customHeight="1" x14ac:dyDescent="0.2">
      <c r="A286" s="781"/>
      <c r="B286" s="781"/>
      <c r="C286" s="781"/>
      <c r="D286" s="781"/>
      <c r="E286" s="781"/>
      <c r="F286" s="739"/>
      <c r="G286" s="781"/>
      <c r="H286" s="781"/>
      <c r="I286" s="781"/>
      <c r="J286" s="781"/>
      <c r="K286" s="781"/>
      <c r="L286" s="781"/>
      <c r="M286" s="829"/>
      <c r="N286" s="781"/>
      <c r="O286" s="781"/>
      <c r="P286" s="781"/>
      <c r="Q286" s="781"/>
      <c r="R286" s="781"/>
      <c r="T286" s="834"/>
      <c r="U286" s="834"/>
      <c r="V286" s="781"/>
      <c r="W286" s="781"/>
      <c r="X286" s="781"/>
      <c r="Y286" s="781"/>
      <c r="Z286" s="781"/>
      <c r="AB286" s="781"/>
      <c r="AM286" s="781"/>
      <c r="AN286" s="781"/>
      <c r="AO286" s="781"/>
      <c r="AP286" s="781"/>
      <c r="AQ286" s="781"/>
      <c r="AR286" s="781"/>
      <c r="AS286" s="781"/>
      <c r="AT286" s="781"/>
      <c r="AU286" s="777"/>
      <c r="AV286" s="777"/>
      <c r="AW286" s="830"/>
      <c r="AX286" s="830"/>
      <c r="AY286" s="830"/>
      <c r="AZ286" s="831"/>
      <c r="BA286" s="831"/>
      <c r="BB286" s="822"/>
      <c r="BC286" s="822"/>
      <c r="BD286" s="822"/>
      <c r="BE286" s="822"/>
      <c r="BF286" s="822"/>
      <c r="BG286" s="822"/>
    </row>
    <row r="287" spans="1:59" ht="12" customHeight="1" x14ac:dyDescent="0.2">
      <c r="A287" s="781"/>
      <c r="B287" s="781"/>
      <c r="C287" s="781"/>
      <c r="D287" s="781"/>
      <c r="E287" s="781"/>
      <c r="F287" s="739"/>
      <c r="G287" s="781"/>
      <c r="H287" s="781"/>
      <c r="I287" s="781"/>
      <c r="J287" s="781"/>
      <c r="K287" s="781"/>
      <c r="L287" s="781"/>
      <c r="M287" s="829"/>
      <c r="N287" s="781"/>
      <c r="O287" s="781"/>
      <c r="P287" s="781"/>
      <c r="Q287" s="781"/>
      <c r="R287" s="781"/>
      <c r="T287" s="835"/>
      <c r="U287" s="835"/>
      <c r="V287" s="781"/>
      <c r="W287" s="781"/>
      <c r="X287" s="781"/>
      <c r="Y287" s="781"/>
      <c r="Z287" s="781"/>
      <c r="AB287" s="781"/>
      <c r="AM287" s="781"/>
      <c r="AN287" s="781"/>
      <c r="AO287" s="781"/>
      <c r="AP287" s="781"/>
      <c r="AQ287" s="781"/>
      <c r="AR287" s="781"/>
      <c r="AS287" s="781"/>
      <c r="AT287" s="781"/>
      <c r="AU287" s="777"/>
      <c r="AV287" s="777"/>
      <c r="AW287" s="830"/>
      <c r="AX287" s="830"/>
      <c r="AY287" s="830"/>
      <c r="AZ287" s="831"/>
      <c r="BA287" s="831"/>
      <c r="BB287" s="822"/>
      <c r="BC287" s="822"/>
      <c r="BD287" s="822"/>
      <c r="BE287" s="822"/>
      <c r="BF287" s="822"/>
      <c r="BG287" s="822"/>
    </row>
    <row r="288" spans="1:59" ht="12" customHeight="1" x14ac:dyDescent="0.2">
      <c r="A288" s="781"/>
      <c r="B288" s="781"/>
      <c r="C288" s="781"/>
      <c r="D288" s="781"/>
      <c r="E288" s="781"/>
      <c r="F288" s="739"/>
      <c r="G288" s="781"/>
      <c r="H288" s="781"/>
      <c r="I288" s="781"/>
      <c r="J288" s="781"/>
      <c r="K288" s="781"/>
      <c r="L288" s="781"/>
      <c r="M288" s="829"/>
      <c r="N288" s="781"/>
      <c r="O288" s="781"/>
      <c r="P288" s="781"/>
      <c r="Q288" s="781"/>
      <c r="R288" s="781"/>
      <c r="T288" s="781"/>
      <c r="U288" s="781"/>
      <c r="V288" s="781"/>
      <c r="W288" s="781"/>
      <c r="X288" s="781"/>
      <c r="Y288" s="781"/>
      <c r="Z288" s="781"/>
      <c r="AB288" s="781"/>
      <c r="AM288" s="781"/>
      <c r="AN288" s="781"/>
      <c r="AO288" s="781"/>
      <c r="AP288" s="781"/>
      <c r="AQ288" s="781"/>
      <c r="AR288" s="781"/>
      <c r="AS288" s="781"/>
      <c r="AT288" s="781"/>
      <c r="AU288" s="777"/>
      <c r="AV288" s="777"/>
      <c r="AW288" s="830"/>
      <c r="AX288" s="830"/>
      <c r="AY288" s="830"/>
      <c r="AZ288" s="831"/>
      <c r="BA288" s="831"/>
      <c r="BB288" s="822"/>
      <c r="BC288" s="822"/>
      <c r="BD288" s="822"/>
      <c r="BE288" s="822"/>
      <c r="BF288" s="822"/>
      <c r="BG288" s="822"/>
    </row>
    <row r="289" spans="1:59" ht="12" customHeight="1" x14ac:dyDescent="0.2">
      <c r="A289" s="781"/>
      <c r="B289" s="781"/>
      <c r="C289" s="781"/>
      <c r="D289" s="781"/>
      <c r="E289" s="781"/>
      <c r="F289" s="739"/>
      <c r="G289" s="781"/>
      <c r="H289" s="781"/>
      <c r="I289" s="781"/>
      <c r="J289" s="781"/>
      <c r="K289" s="781"/>
      <c r="L289" s="781"/>
      <c r="M289" s="829"/>
      <c r="N289" s="781"/>
      <c r="O289" s="781"/>
      <c r="P289" s="781"/>
      <c r="Q289" s="781"/>
      <c r="R289" s="781"/>
      <c r="T289" s="781"/>
      <c r="U289" s="781"/>
      <c r="V289" s="781"/>
      <c r="W289" s="781"/>
      <c r="X289" s="781"/>
      <c r="Y289" s="781"/>
      <c r="Z289" s="781"/>
      <c r="AB289" s="781"/>
      <c r="AM289" s="781"/>
      <c r="AN289" s="781"/>
      <c r="AO289" s="781"/>
      <c r="AP289" s="781"/>
      <c r="AQ289" s="781"/>
      <c r="AR289" s="781"/>
      <c r="AS289" s="781"/>
      <c r="AT289" s="781"/>
      <c r="AU289" s="777"/>
      <c r="AV289" s="777"/>
      <c r="AW289" s="830"/>
      <c r="AX289" s="830"/>
      <c r="AY289" s="830"/>
      <c r="AZ289" s="831"/>
      <c r="BA289" s="831"/>
      <c r="BB289" s="822"/>
      <c r="BC289" s="822"/>
      <c r="BD289" s="822"/>
      <c r="BE289" s="822"/>
      <c r="BF289" s="822"/>
      <c r="BG289" s="822"/>
    </row>
    <row r="290" spans="1:59" ht="12" customHeight="1" x14ac:dyDescent="0.2">
      <c r="A290" s="781"/>
      <c r="B290" s="781"/>
      <c r="C290" s="781"/>
      <c r="D290" s="781"/>
      <c r="E290" s="781"/>
      <c r="F290" s="739"/>
      <c r="G290" s="781"/>
      <c r="H290" s="781"/>
      <c r="I290" s="781"/>
      <c r="J290" s="781"/>
      <c r="K290" s="781"/>
      <c r="L290" s="781"/>
      <c r="M290" s="829"/>
      <c r="N290" s="781"/>
      <c r="O290" s="781"/>
      <c r="P290" s="781"/>
      <c r="Q290" s="781"/>
      <c r="R290" s="781"/>
      <c r="T290" s="781"/>
      <c r="U290" s="781"/>
      <c r="V290" s="781"/>
      <c r="W290" s="781"/>
      <c r="X290" s="781"/>
      <c r="Y290" s="781"/>
      <c r="Z290" s="781"/>
      <c r="AB290" s="781"/>
      <c r="AM290" s="781"/>
      <c r="AN290" s="781"/>
      <c r="AO290" s="781"/>
      <c r="AP290" s="781"/>
      <c r="AQ290" s="781"/>
      <c r="AR290" s="781"/>
      <c r="AS290" s="781"/>
      <c r="AT290" s="781"/>
      <c r="AU290" s="777"/>
      <c r="AV290" s="777"/>
      <c r="AW290" s="830"/>
      <c r="AX290" s="830"/>
      <c r="AY290" s="830"/>
      <c r="AZ290" s="831"/>
      <c r="BA290" s="831"/>
      <c r="BB290" s="822"/>
      <c r="BC290" s="822"/>
      <c r="BD290" s="822"/>
      <c r="BE290" s="822"/>
      <c r="BF290" s="822"/>
      <c r="BG290" s="822"/>
    </row>
    <row r="291" spans="1:59" ht="12" customHeight="1" x14ac:dyDescent="0.2">
      <c r="A291" s="781"/>
      <c r="B291" s="781"/>
      <c r="C291" s="781"/>
      <c r="D291" s="781"/>
      <c r="E291" s="781"/>
      <c r="F291" s="739"/>
      <c r="G291" s="781"/>
      <c r="H291" s="781"/>
      <c r="I291" s="781"/>
      <c r="J291" s="781"/>
      <c r="K291" s="781"/>
      <c r="L291" s="781"/>
      <c r="M291" s="829"/>
      <c r="N291" s="781"/>
      <c r="O291" s="781"/>
      <c r="P291" s="781"/>
      <c r="Q291" s="781"/>
      <c r="R291" s="781"/>
      <c r="T291" s="781"/>
      <c r="U291" s="781"/>
      <c r="V291" s="781"/>
      <c r="W291" s="781"/>
      <c r="X291" s="781"/>
      <c r="Y291" s="781"/>
      <c r="Z291" s="781"/>
      <c r="AB291" s="781"/>
      <c r="AM291" s="781"/>
      <c r="AN291" s="781"/>
      <c r="AO291" s="781"/>
      <c r="AP291" s="781"/>
      <c r="AQ291" s="781"/>
      <c r="AR291" s="781"/>
      <c r="AS291" s="781"/>
      <c r="AT291" s="781"/>
      <c r="AU291" s="777"/>
      <c r="AV291" s="777"/>
      <c r="AW291" s="830"/>
      <c r="AX291" s="830"/>
      <c r="AY291" s="830"/>
      <c r="AZ291" s="831"/>
      <c r="BA291" s="831"/>
      <c r="BB291" s="822"/>
      <c r="BC291" s="822"/>
      <c r="BD291" s="822"/>
      <c r="BE291" s="822"/>
      <c r="BF291" s="822"/>
      <c r="BG291" s="822"/>
    </row>
    <row r="292" spans="1:59" ht="12" customHeight="1" x14ac:dyDescent="0.2">
      <c r="A292" s="781"/>
      <c r="B292" s="781"/>
      <c r="C292" s="781"/>
      <c r="D292" s="781"/>
      <c r="E292" s="781"/>
      <c r="F292" s="739"/>
      <c r="G292" s="781"/>
      <c r="H292" s="781"/>
      <c r="I292" s="781"/>
      <c r="J292" s="781"/>
      <c r="K292" s="781"/>
      <c r="L292" s="781"/>
      <c r="M292" s="829"/>
      <c r="N292" s="781"/>
      <c r="O292" s="781"/>
      <c r="P292" s="781"/>
      <c r="Q292" s="781"/>
      <c r="R292" s="781"/>
      <c r="T292" s="781"/>
      <c r="U292" s="781"/>
      <c r="V292" s="781"/>
      <c r="W292" s="781"/>
      <c r="X292" s="781"/>
      <c r="Y292" s="781"/>
      <c r="Z292" s="781"/>
      <c r="AB292" s="781"/>
      <c r="AM292" s="781"/>
      <c r="AN292" s="781"/>
      <c r="AO292" s="781"/>
      <c r="AP292" s="781"/>
      <c r="AQ292" s="781"/>
      <c r="AR292" s="781"/>
      <c r="AS292" s="781"/>
      <c r="AT292" s="781"/>
      <c r="AU292" s="777"/>
      <c r="AV292" s="777"/>
      <c r="AW292" s="830"/>
      <c r="AX292" s="830"/>
      <c r="AY292" s="830"/>
      <c r="AZ292" s="831"/>
      <c r="BA292" s="831"/>
      <c r="BB292" s="822"/>
      <c r="BC292" s="822"/>
      <c r="BD292" s="822"/>
      <c r="BE292" s="822"/>
      <c r="BF292" s="822"/>
      <c r="BG292" s="822"/>
    </row>
    <row r="293" spans="1:59" ht="12" customHeight="1" x14ac:dyDescent="0.2">
      <c r="A293" s="781"/>
      <c r="B293" s="781"/>
      <c r="C293" s="781"/>
      <c r="D293" s="781"/>
      <c r="E293" s="781"/>
      <c r="F293" s="739"/>
      <c r="G293" s="781"/>
      <c r="H293" s="781"/>
      <c r="I293" s="781"/>
      <c r="J293" s="781"/>
      <c r="K293" s="781"/>
      <c r="L293" s="781"/>
      <c r="M293" s="829"/>
      <c r="N293" s="781"/>
      <c r="O293" s="781"/>
      <c r="P293" s="781"/>
      <c r="Q293" s="781"/>
      <c r="R293" s="781"/>
      <c r="T293" s="781"/>
      <c r="U293" s="781"/>
      <c r="V293" s="781"/>
      <c r="W293" s="781"/>
      <c r="X293" s="781"/>
      <c r="Y293" s="781"/>
      <c r="Z293" s="781"/>
      <c r="AB293" s="781"/>
      <c r="AM293" s="781"/>
      <c r="AN293" s="781"/>
      <c r="AO293" s="781"/>
      <c r="AP293" s="781"/>
      <c r="AQ293" s="781"/>
      <c r="AR293" s="781"/>
      <c r="AS293" s="781"/>
      <c r="AT293" s="781"/>
      <c r="AU293" s="777"/>
      <c r="AV293" s="777"/>
      <c r="AW293" s="830"/>
      <c r="AX293" s="830"/>
      <c r="AY293" s="830"/>
      <c r="AZ293" s="831"/>
      <c r="BA293" s="831"/>
      <c r="BB293" s="822"/>
      <c r="BC293" s="822"/>
      <c r="BD293" s="822"/>
      <c r="BE293" s="822"/>
      <c r="BF293" s="822"/>
      <c r="BG293" s="822"/>
    </row>
    <row r="294" spans="1:59" ht="12" customHeight="1" x14ac:dyDescent="0.2">
      <c r="A294" s="781"/>
      <c r="B294" s="781"/>
      <c r="C294" s="781"/>
      <c r="D294" s="781"/>
      <c r="E294" s="781"/>
      <c r="F294" s="739"/>
      <c r="G294" s="781"/>
      <c r="H294" s="781"/>
      <c r="I294" s="781"/>
      <c r="J294" s="781"/>
      <c r="K294" s="781"/>
      <c r="L294" s="781"/>
      <c r="M294" s="829"/>
      <c r="N294" s="781"/>
      <c r="O294" s="781"/>
      <c r="P294" s="781"/>
      <c r="Q294" s="781"/>
      <c r="R294" s="781"/>
      <c r="T294" s="781"/>
      <c r="U294" s="781"/>
      <c r="V294" s="781"/>
      <c r="W294" s="781"/>
      <c r="X294" s="781"/>
      <c r="Y294" s="781"/>
      <c r="Z294" s="781"/>
      <c r="AB294" s="781"/>
      <c r="AM294" s="781"/>
      <c r="AN294" s="781"/>
      <c r="AO294" s="781"/>
      <c r="AP294" s="781"/>
      <c r="AQ294" s="781"/>
      <c r="AR294" s="781"/>
      <c r="AS294" s="781"/>
      <c r="AT294" s="781"/>
      <c r="AU294" s="777"/>
      <c r="AV294" s="777"/>
      <c r="AW294" s="830"/>
      <c r="AX294" s="830"/>
      <c r="AY294" s="830"/>
      <c r="AZ294" s="831"/>
      <c r="BA294" s="831"/>
      <c r="BB294" s="822"/>
      <c r="BC294" s="822"/>
      <c r="BD294" s="822"/>
      <c r="BE294" s="822"/>
      <c r="BF294" s="822"/>
      <c r="BG294" s="822"/>
    </row>
    <row r="295" spans="1:59" ht="12" customHeight="1" x14ac:dyDescent="0.2">
      <c r="A295" s="781"/>
      <c r="B295" s="781"/>
      <c r="C295" s="781"/>
      <c r="D295" s="781"/>
      <c r="E295" s="781"/>
      <c r="F295" s="739"/>
      <c r="G295" s="781"/>
      <c r="H295" s="781"/>
      <c r="I295" s="781"/>
      <c r="J295" s="781"/>
      <c r="K295" s="781"/>
      <c r="L295" s="781"/>
      <c r="M295" s="829"/>
      <c r="N295" s="781"/>
      <c r="O295" s="781"/>
      <c r="P295" s="781"/>
      <c r="Q295" s="781"/>
      <c r="R295" s="781"/>
      <c r="T295" s="781"/>
      <c r="U295" s="781"/>
      <c r="V295" s="781"/>
      <c r="W295" s="781"/>
      <c r="X295" s="781"/>
      <c r="Y295" s="781"/>
      <c r="Z295" s="781"/>
      <c r="AB295" s="781"/>
      <c r="AM295" s="781"/>
      <c r="AN295" s="781"/>
      <c r="AO295" s="781"/>
      <c r="AP295" s="781"/>
      <c r="AQ295" s="781"/>
      <c r="AR295" s="781"/>
      <c r="AS295" s="781"/>
      <c r="AT295" s="781"/>
      <c r="AU295" s="777"/>
      <c r="AV295" s="777"/>
      <c r="AW295" s="830"/>
      <c r="AX295" s="830"/>
      <c r="AY295" s="830"/>
      <c r="AZ295" s="831"/>
      <c r="BA295" s="831"/>
      <c r="BB295" s="822"/>
      <c r="BC295" s="822"/>
      <c r="BD295" s="822"/>
      <c r="BE295" s="822"/>
      <c r="BF295" s="822"/>
      <c r="BG295" s="822"/>
    </row>
    <row r="296" spans="1:59" ht="12" customHeight="1" x14ac:dyDescent="0.2">
      <c r="A296" s="781"/>
      <c r="B296" s="781"/>
      <c r="C296" s="781"/>
      <c r="D296" s="781"/>
      <c r="E296" s="781"/>
      <c r="F296" s="739"/>
      <c r="G296" s="781"/>
      <c r="H296" s="781"/>
      <c r="I296" s="781"/>
      <c r="J296" s="781"/>
      <c r="K296" s="781"/>
      <c r="L296" s="781"/>
      <c r="M296" s="829"/>
      <c r="N296" s="781"/>
      <c r="O296" s="781"/>
      <c r="P296" s="781"/>
      <c r="Q296" s="781"/>
      <c r="R296" s="781"/>
      <c r="T296" s="781"/>
      <c r="U296" s="781"/>
      <c r="V296" s="781"/>
      <c r="W296" s="781"/>
      <c r="X296" s="781"/>
      <c r="Y296" s="781"/>
      <c r="Z296" s="781"/>
      <c r="AB296" s="781"/>
      <c r="AM296" s="781"/>
      <c r="AN296" s="781"/>
      <c r="AO296" s="781"/>
      <c r="AP296" s="781"/>
      <c r="AQ296" s="781"/>
      <c r="AR296" s="781"/>
      <c r="AS296" s="781"/>
      <c r="AT296" s="781"/>
      <c r="AU296" s="777"/>
      <c r="AV296" s="777"/>
      <c r="AW296" s="830"/>
      <c r="AX296" s="830"/>
      <c r="AY296" s="830"/>
      <c r="AZ296" s="831"/>
      <c r="BA296" s="831"/>
      <c r="BB296" s="822"/>
      <c r="BC296" s="822"/>
      <c r="BD296" s="822"/>
      <c r="BE296" s="822"/>
      <c r="BF296" s="822"/>
      <c r="BG296" s="822"/>
    </row>
    <row r="297" spans="1:59" ht="12" customHeight="1" x14ac:dyDescent="0.2">
      <c r="A297" s="781"/>
      <c r="B297" s="781"/>
      <c r="C297" s="781"/>
      <c r="D297" s="781"/>
      <c r="E297" s="781"/>
      <c r="F297" s="739"/>
      <c r="G297" s="781"/>
      <c r="H297" s="781"/>
      <c r="I297" s="781"/>
      <c r="J297" s="781"/>
      <c r="K297" s="781"/>
      <c r="L297" s="781"/>
      <c r="M297" s="829"/>
      <c r="N297" s="781"/>
      <c r="O297" s="781"/>
      <c r="P297" s="781"/>
      <c r="Q297" s="781"/>
      <c r="R297" s="781"/>
      <c r="T297" s="781"/>
      <c r="U297" s="781"/>
      <c r="V297" s="781"/>
      <c r="W297" s="781"/>
      <c r="X297" s="781"/>
      <c r="Y297" s="781"/>
      <c r="Z297" s="781"/>
      <c r="AB297" s="781"/>
      <c r="AM297" s="781"/>
      <c r="AN297" s="781"/>
      <c r="AO297" s="781"/>
      <c r="AP297" s="781"/>
      <c r="AQ297" s="781"/>
      <c r="AR297" s="781"/>
      <c r="AS297" s="781"/>
      <c r="AT297" s="781"/>
      <c r="AU297" s="777"/>
      <c r="AV297" s="777"/>
      <c r="AW297" s="830"/>
      <c r="AX297" s="830"/>
      <c r="AY297" s="830"/>
      <c r="AZ297" s="831"/>
      <c r="BA297" s="831"/>
      <c r="BB297" s="822"/>
      <c r="BC297" s="822"/>
      <c r="BD297" s="822"/>
      <c r="BE297" s="822"/>
      <c r="BF297" s="822"/>
      <c r="BG297" s="822"/>
    </row>
    <row r="298" spans="1:59" ht="12" customHeight="1" x14ac:dyDescent="0.2">
      <c r="A298" s="781"/>
      <c r="B298" s="781"/>
      <c r="C298" s="781"/>
      <c r="D298" s="781"/>
      <c r="E298" s="781"/>
      <c r="F298" s="739"/>
      <c r="G298" s="781"/>
      <c r="H298" s="781"/>
      <c r="I298" s="781"/>
      <c r="J298" s="781"/>
      <c r="K298" s="781"/>
      <c r="L298" s="781"/>
      <c r="M298" s="829"/>
      <c r="N298" s="781"/>
      <c r="O298" s="781"/>
      <c r="P298" s="781"/>
      <c r="Q298" s="781"/>
      <c r="R298" s="781"/>
      <c r="T298" s="781"/>
      <c r="U298" s="781"/>
      <c r="V298" s="781"/>
      <c r="W298" s="781"/>
      <c r="X298" s="781"/>
      <c r="Y298" s="781"/>
      <c r="Z298" s="781"/>
      <c r="AB298" s="781"/>
      <c r="AM298" s="781"/>
      <c r="AN298" s="781"/>
      <c r="AO298" s="781"/>
      <c r="AP298" s="781"/>
      <c r="AQ298" s="781"/>
      <c r="AR298" s="781"/>
      <c r="AS298" s="781"/>
      <c r="AT298" s="781"/>
      <c r="AU298" s="777"/>
      <c r="AV298" s="777"/>
      <c r="AW298" s="830"/>
      <c r="AX298" s="830"/>
      <c r="AY298" s="830"/>
      <c r="AZ298" s="831"/>
      <c r="BA298" s="831"/>
      <c r="BB298" s="822"/>
      <c r="BC298" s="822"/>
      <c r="BD298" s="822"/>
      <c r="BE298" s="822"/>
      <c r="BF298" s="822"/>
      <c r="BG298" s="822"/>
    </row>
    <row r="299" spans="1:59" ht="12" customHeight="1" x14ac:dyDescent="0.2">
      <c r="A299" s="781"/>
      <c r="B299" s="781"/>
      <c r="C299" s="781"/>
      <c r="D299" s="781"/>
      <c r="E299" s="781"/>
      <c r="F299" s="739"/>
      <c r="G299" s="781"/>
      <c r="H299" s="781"/>
      <c r="I299" s="781"/>
      <c r="J299" s="781"/>
      <c r="K299" s="781"/>
      <c r="L299" s="781"/>
      <c r="M299" s="829"/>
      <c r="N299" s="781"/>
      <c r="O299" s="781"/>
      <c r="P299" s="781"/>
      <c r="Q299" s="781"/>
      <c r="R299" s="781"/>
      <c r="T299" s="781"/>
      <c r="U299" s="781"/>
      <c r="V299" s="781"/>
      <c r="W299" s="781"/>
      <c r="X299" s="781"/>
      <c r="Y299" s="781"/>
      <c r="Z299" s="781"/>
      <c r="AB299" s="781"/>
      <c r="AM299" s="781"/>
      <c r="AN299" s="781"/>
      <c r="AO299" s="781"/>
      <c r="AP299" s="781"/>
      <c r="AQ299" s="781"/>
      <c r="AR299" s="781"/>
      <c r="AS299" s="781"/>
      <c r="AT299" s="781"/>
      <c r="AU299" s="777"/>
      <c r="AV299" s="777"/>
      <c r="AW299" s="830"/>
      <c r="AX299" s="830"/>
      <c r="AY299" s="830"/>
      <c r="AZ299" s="831"/>
      <c r="BA299" s="831"/>
      <c r="BB299" s="822"/>
      <c r="BC299" s="822"/>
      <c r="BD299" s="822"/>
      <c r="BE299" s="822"/>
      <c r="BF299" s="822"/>
      <c r="BG299" s="822"/>
    </row>
    <row r="300" spans="1:59" ht="12" customHeight="1" x14ac:dyDescent="0.2">
      <c r="A300" s="781"/>
      <c r="B300" s="781"/>
      <c r="C300" s="781"/>
      <c r="D300" s="781"/>
      <c r="E300" s="781"/>
      <c r="F300" s="739"/>
      <c r="G300" s="781"/>
      <c r="H300" s="781"/>
      <c r="I300" s="781"/>
      <c r="J300" s="781"/>
      <c r="K300" s="781"/>
      <c r="L300" s="781"/>
      <c r="M300" s="829"/>
      <c r="N300" s="781"/>
      <c r="O300" s="781"/>
      <c r="P300" s="781"/>
      <c r="Q300" s="781"/>
      <c r="R300" s="781"/>
      <c r="T300" s="781"/>
      <c r="U300" s="781"/>
      <c r="V300" s="781"/>
      <c r="W300" s="781"/>
      <c r="X300" s="781"/>
      <c r="Y300" s="781"/>
      <c r="Z300" s="781"/>
      <c r="AB300" s="781"/>
      <c r="AM300" s="781"/>
      <c r="AN300" s="781"/>
      <c r="AO300" s="781"/>
      <c r="AP300" s="781"/>
      <c r="AQ300" s="781"/>
      <c r="AR300" s="781"/>
      <c r="AS300" s="781"/>
      <c r="AT300" s="781"/>
      <c r="AU300" s="777"/>
      <c r="AV300" s="777"/>
      <c r="AW300" s="830"/>
      <c r="AX300" s="830"/>
      <c r="AY300" s="830"/>
      <c r="AZ300" s="831"/>
      <c r="BA300" s="831"/>
      <c r="BB300" s="822"/>
      <c r="BC300" s="822"/>
      <c r="BD300" s="822"/>
      <c r="BE300" s="822"/>
      <c r="BF300" s="822"/>
      <c r="BG300" s="822"/>
    </row>
    <row r="301" spans="1:59" ht="12" customHeight="1" x14ac:dyDescent="0.2">
      <c r="A301" s="781"/>
      <c r="B301" s="781"/>
      <c r="C301" s="781"/>
      <c r="D301" s="781"/>
      <c r="E301" s="781"/>
      <c r="F301" s="739"/>
      <c r="G301" s="781"/>
      <c r="H301" s="781"/>
      <c r="I301" s="781"/>
      <c r="J301" s="781"/>
      <c r="K301" s="781"/>
      <c r="L301" s="781"/>
      <c r="M301" s="829"/>
      <c r="N301" s="781"/>
      <c r="O301" s="781"/>
      <c r="P301" s="781"/>
      <c r="Q301" s="781"/>
      <c r="R301" s="781"/>
      <c r="T301" s="781"/>
      <c r="U301" s="781"/>
      <c r="V301" s="781"/>
      <c r="W301" s="781"/>
      <c r="X301" s="781"/>
      <c r="Y301" s="781"/>
      <c r="Z301" s="781"/>
      <c r="AB301" s="781"/>
      <c r="AM301" s="781"/>
      <c r="AN301" s="781"/>
      <c r="AO301" s="781"/>
      <c r="AP301" s="781"/>
      <c r="AQ301" s="781"/>
      <c r="AR301" s="781"/>
      <c r="AS301" s="781"/>
      <c r="AT301" s="781"/>
      <c r="AU301" s="777"/>
      <c r="AV301" s="777"/>
      <c r="AW301" s="830"/>
      <c r="AX301" s="830"/>
      <c r="AY301" s="830"/>
      <c r="AZ301" s="831"/>
      <c r="BA301" s="831"/>
      <c r="BB301" s="822"/>
      <c r="BC301" s="822"/>
      <c r="BD301" s="822"/>
      <c r="BE301" s="822"/>
      <c r="BF301" s="822"/>
      <c r="BG301" s="822"/>
    </row>
    <row r="302" spans="1:59" ht="12" customHeight="1" x14ac:dyDescent="0.2">
      <c r="A302" s="781"/>
      <c r="B302" s="781"/>
      <c r="C302" s="781"/>
      <c r="D302" s="781"/>
      <c r="E302" s="781"/>
      <c r="F302" s="739"/>
      <c r="G302" s="781"/>
      <c r="H302" s="781"/>
      <c r="I302" s="781"/>
      <c r="J302" s="781"/>
      <c r="K302" s="781"/>
      <c r="L302" s="781"/>
      <c r="M302" s="829"/>
      <c r="N302" s="781"/>
      <c r="O302" s="781"/>
      <c r="P302" s="781"/>
      <c r="Q302" s="781"/>
      <c r="R302" s="781"/>
      <c r="T302" s="781"/>
      <c r="U302" s="781"/>
      <c r="V302" s="781"/>
      <c r="W302" s="781"/>
      <c r="X302" s="781"/>
      <c r="Y302" s="781"/>
      <c r="Z302" s="781"/>
      <c r="AB302" s="781"/>
      <c r="AM302" s="781"/>
      <c r="AN302" s="781"/>
      <c r="AO302" s="781"/>
      <c r="AP302" s="781"/>
      <c r="AQ302" s="781"/>
      <c r="AR302" s="781"/>
      <c r="AS302" s="781"/>
      <c r="AT302" s="781"/>
      <c r="AU302" s="777"/>
      <c r="AV302" s="777"/>
      <c r="AW302" s="830"/>
      <c r="AX302" s="830"/>
      <c r="AY302" s="830"/>
      <c r="AZ302" s="831"/>
      <c r="BA302" s="831"/>
      <c r="BB302" s="822"/>
      <c r="BC302" s="822"/>
      <c r="BD302" s="822"/>
      <c r="BE302" s="822"/>
      <c r="BF302" s="822"/>
      <c r="BG302" s="822"/>
    </row>
    <row r="303" spans="1:59" ht="12" customHeight="1" x14ac:dyDescent="0.2">
      <c r="A303" s="781"/>
      <c r="B303" s="781"/>
      <c r="C303" s="781"/>
      <c r="D303" s="781"/>
      <c r="E303" s="781"/>
      <c r="F303" s="739"/>
      <c r="G303" s="781"/>
      <c r="H303" s="781"/>
      <c r="I303" s="781"/>
      <c r="J303" s="781"/>
      <c r="K303" s="781"/>
      <c r="L303" s="781"/>
      <c r="M303" s="829"/>
      <c r="N303" s="781"/>
      <c r="O303" s="781"/>
      <c r="P303" s="781"/>
      <c r="Q303" s="781"/>
      <c r="R303" s="781"/>
      <c r="T303" s="781"/>
      <c r="U303" s="781"/>
      <c r="V303" s="781"/>
      <c r="W303" s="781"/>
      <c r="X303" s="781"/>
      <c r="Y303" s="781"/>
      <c r="Z303" s="781"/>
      <c r="AB303" s="781"/>
      <c r="AM303" s="781"/>
      <c r="AN303" s="781"/>
      <c r="AO303" s="781"/>
      <c r="AP303" s="781"/>
      <c r="AQ303" s="781"/>
      <c r="AR303" s="781"/>
      <c r="AS303" s="781"/>
      <c r="AT303" s="781"/>
      <c r="AU303" s="777"/>
      <c r="AV303" s="777"/>
      <c r="AW303" s="830"/>
      <c r="AX303" s="830"/>
      <c r="AY303" s="830"/>
      <c r="AZ303" s="831"/>
      <c r="BA303" s="831"/>
      <c r="BB303" s="822"/>
      <c r="BC303" s="822"/>
      <c r="BD303" s="822"/>
      <c r="BE303" s="822"/>
      <c r="BF303" s="822"/>
      <c r="BG303" s="822"/>
    </row>
    <row r="304" spans="1:59" ht="12" customHeight="1" x14ac:dyDescent="0.2">
      <c r="A304" s="781"/>
      <c r="B304" s="781"/>
      <c r="C304" s="781"/>
      <c r="D304" s="781"/>
      <c r="E304" s="781"/>
      <c r="F304" s="739"/>
      <c r="G304" s="781"/>
      <c r="H304" s="781"/>
      <c r="I304" s="781"/>
      <c r="J304" s="781"/>
      <c r="K304" s="781"/>
      <c r="L304" s="781"/>
      <c r="M304" s="829"/>
      <c r="N304" s="781"/>
      <c r="O304" s="781"/>
      <c r="P304" s="781"/>
      <c r="Q304" s="781"/>
      <c r="R304" s="781"/>
      <c r="T304" s="781"/>
      <c r="U304" s="781"/>
      <c r="V304" s="781"/>
      <c r="W304" s="781"/>
      <c r="X304" s="781"/>
      <c r="Y304" s="781"/>
      <c r="Z304" s="781"/>
      <c r="AB304" s="781"/>
      <c r="AM304" s="781"/>
      <c r="AN304" s="781"/>
      <c r="AO304" s="781"/>
      <c r="AP304" s="781"/>
      <c r="AQ304" s="781"/>
      <c r="AR304" s="781"/>
      <c r="AS304" s="781"/>
      <c r="AT304" s="781"/>
      <c r="AU304" s="777"/>
      <c r="AV304" s="777"/>
      <c r="AW304" s="830"/>
      <c r="AX304" s="830"/>
      <c r="AY304" s="830"/>
      <c r="AZ304" s="831"/>
      <c r="BA304" s="831"/>
      <c r="BB304" s="822"/>
      <c r="BC304" s="822"/>
      <c r="BD304" s="822"/>
      <c r="BE304" s="822"/>
      <c r="BF304" s="822"/>
      <c r="BG304" s="822"/>
    </row>
    <row r="305" spans="1:59" ht="12" customHeight="1" x14ac:dyDescent="0.2">
      <c r="A305" s="781"/>
      <c r="B305" s="781"/>
      <c r="C305" s="781"/>
      <c r="D305" s="781"/>
      <c r="E305" s="781"/>
      <c r="F305" s="739"/>
      <c r="G305" s="781"/>
      <c r="H305" s="781"/>
      <c r="I305" s="781"/>
      <c r="J305" s="781"/>
      <c r="K305" s="781"/>
      <c r="L305" s="781"/>
      <c r="M305" s="829"/>
      <c r="N305" s="781"/>
      <c r="O305" s="781"/>
      <c r="P305" s="781"/>
      <c r="Q305" s="781"/>
      <c r="R305" s="781"/>
      <c r="T305" s="781"/>
      <c r="U305" s="781"/>
      <c r="V305" s="781"/>
      <c r="W305" s="781"/>
      <c r="X305" s="781"/>
      <c r="Y305" s="781"/>
      <c r="Z305" s="781"/>
      <c r="AB305" s="781"/>
      <c r="AM305" s="781"/>
      <c r="AN305" s="781"/>
      <c r="AO305" s="781"/>
      <c r="AP305" s="781"/>
      <c r="AQ305" s="781"/>
      <c r="AR305" s="781"/>
      <c r="AS305" s="781"/>
      <c r="AT305" s="781"/>
      <c r="AU305" s="777"/>
      <c r="AV305" s="777"/>
      <c r="AW305" s="830"/>
      <c r="AX305" s="830"/>
      <c r="AY305" s="830"/>
      <c r="AZ305" s="831"/>
      <c r="BA305" s="831"/>
      <c r="BB305" s="822"/>
      <c r="BC305" s="822"/>
      <c r="BD305" s="822"/>
      <c r="BE305" s="822"/>
      <c r="BF305" s="822"/>
      <c r="BG305" s="822"/>
    </row>
    <row r="306" spans="1:59" ht="12" customHeight="1" x14ac:dyDescent="0.2">
      <c r="A306" s="781"/>
      <c r="B306" s="781"/>
      <c r="C306" s="781"/>
      <c r="D306" s="781"/>
      <c r="E306" s="781"/>
      <c r="F306" s="739"/>
      <c r="G306" s="781"/>
      <c r="H306" s="781"/>
      <c r="I306" s="781"/>
      <c r="J306" s="781"/>
      <c r="K306" s="781"/>
      <c r="L306" s="781"/>
      <c r="M306" s="829"/>
      <c r="N306" s="781"/>
      <c r="O306" s="781"/>
      <c r="P306" s="781"/>
      <c r="Q306" s="781"/>
      <c r="R306" s="781"/>
      <c r="T306" s="781"/>
      <c r="U306" s="781"/>
      <c r="V306" s="781"/>
      <c r="W306" s="781"/>
      <c r="X306" s="781"/>
      <c r="Y306" s="781"/>
      <c r="Z306" s="781"/>
      <c r="AB306" s="781"/>
      <c r="AM306" s="781"/>
      <c r="AN306" s="781"/>
      <c r="AO306" s="781"/>
      <c r="AP306" s="781"/>
      <c r="AQ306" s="781"/>
      <c r="AR306" s="781"/>
      <c r="AS306" s="781"/>
      <c r="AT306" s="781"/>
      <c r="AU306" s="777"/>
      <c r="AV306" s="777"/>
      <c r="AW306" s="830"/>
      <c r="AX306" s="830"/>
      <c r="AY306" s="830"/>
      <c r="AZ306" s="831"/>
      <c r="BA306" s="831"/>
      <c r="BB306" s="822"/>
      <c r="BC306" s="822"/>
      <c r="BD306" s="822"/>
      <c r="BE306" s="822"/>
      <c r="BF306" s="822"/>
      <c r="BG306" s="822"/>
    </row>
    <row r="307" spans="1:59" ht="12" customHeight="1" x14ac:dyDescent="0.2">
      <c r="A307" s="781"/>
      <c r="B307" s="781"/>
      <c r="C307" s="781"/>
      <c r="D307" s="781"/>
      <c r="E307" s="781"/>
      <c r="F307" s="739"/>
      <c r="G307" s="781"/>
      <c r="H307" s="781"/>
      <c r="I307" s="781"/>
      <c r="J307" s="781"/>
      <c r="K307" s="781"/>
      <c r="L307" s="781"/>
      <c r="M307" s="829"/>
      <c r="N307" s="781"/>
      <c r="O307" s="781"/>
      <c r="P307" s="781"/>
      <c r="Q307" s="781"/>
      <c r="R307" s="781"/>
      <c r="T307" s="781"/>
      <c r="U307" s="781"/>
      <c r="V307" s="781"/>
      <c r="W307" s="781"/>
      <c r="X307" s="781"/>
      <c r="Y307" s="781"/>
      <c r="Z307" s="781"/>
      <c r="AB307" s="781"/>
      <c r="AM307" s="781"/>
      <c r="AN307" s="781"/>
      <c r="AO307" s="781"/>
      <c r="AP307" s="781"/>
      <c r="AQ307" s="781"/>
      <c r="AR307" s="781"/>
      <c r="AS307" s="781"/>
      <c r="AT307" s="781"/>
      <c r="AU307" s="777"/>
      <c r="AV307" s="777"/>
      <c r="AW307" s="830"/>
      <c r="AX307" s="830"/>
      <c r="AY307" s="830"/>
      <c r="AZ307" s="831"/>
      <c r="BA307" s="831"/>
      <c r="BB307" s="822"/>
      <c r="BC307" s="822"/>
      <c r="BD307" s="822"/>
      <c r="BE307" s="822"/>
      <c r="BF307" s="822"/>
      <c r="BG307" s="822"/>
    </row>
    <row r="308" spans="1:59" ht="12" customHeight="1" x14ac:dyDescent="0.2">
      <c r="A308" s="781"/>
      <c r="B308" s="781"/>
      <c r="C308" s="781"/>
      <c r="D308" s="781"/>
      <c r="E308" s="781"/>
      <c r="F308" s="739"/>
      <c r="G308" s="781"/>
      <c r="H308" s="781"/>
      <c r="I308" s="781"/>
      <c r="J308" s="781"/>
      <c r="K308" s="781"/>
      <c r="L308" s="781"/>
      <c r="M308" s="829"/>
      <c r="N308" s="781"/>
      <c r="O308" s="781"/>
      <c r="P308" s="781"/>
      <c r="Q308" s="781"/>
      <c r="R308" s="781"/>
      <c r="T308" s="781"/>
      <c r="U308" s="781"/>
      <c r="V308" s="781"/>
      <c r="W308" s="781"/>
      <c r="X308" s="781"/>
      <c r="Y308" s="781"/>
      <c r="Z308" s="781"/>
      <c r="AB308" s="781"/>
      <c r="AM308" s="781"/>
      <c r="AN308" s="781"/>
      <c r="AO308" s="781"/>
      <c r="AP308" s="781"/>
      <c r="AQ308" s="781"/>
      <c r="AR308" s="781"/>
      <c r="AS308" s="781"/>
      <c r="AT308" s="781"/>
      <c r="AU308" s="777"/>
      <c r="AV308" s="777"/>
      <c r="AW308" s="830"/>
      <c r="AX308" s="830"/>
      <c r="AY308" s="830"/>
      <c r="AZ308" s="831"/>
      <c r="BA308" s="831"/>
      <c r="BB308" s="822"/>
      <c r="BC308" s="822"/>
      <c r="BD308" s="822"/>
      <c r="BE308" s="822"/>
      <c r="BF308" s="822"/>
      <c r="BG308" s="822"/>
    </row>
    <row r="309" spans="1:59" ht="12" customHeight="1" x14ac:dyDescent="0.2">
      <c r="A309" s="781"/>
      <c r="B309" s="781"/>
      <c r="C309" s="781"/>
      <c r="D309" s="781"/>
      <c r="E309" s="781"/>
      <c r="F309" s="739"/>
      <c r="G309" s="781"/>
      <c r="H309" s="781"/>
      <c r="I309" s="781"/>
      <c r="J309" s="781"/>
      <c r="K309" s="781"/>
      <c r="L309" s="781"/>
      <c r="M309" s="829"/>
      <c r="N309" s="781"/>
      <c r="O309" s="781"/>
      <c r="P309" s="781"/>
      <c r="Q309" s="781"/>
      <c r="R309" s="781"/>
      <c r="T309" s="781"/>
      <c r="U309" s="781"/>
      <c r="V309" s="781"/>
      <c r="W309" s="781"/>
      <c r="X309" s="781"/>
      <c r="Y309" s="781"/>
      <c r="Z309" s="781"/>
      <c r="AB309" s="781"/>
      <c r="AM309" s="781"/>
      <c r="AN309" s="781"/>
      <c r="AO309" s="781"/>
      <c r="AP309" s="781"/>
      <c r="AQ309" s="781"/>
      <c r="AR309" s="781"/>
      <c r="AS309" s="781"/>
      <c r="AT309" s="781"/>
      <c r="AU309" s="777"/>
      <c r="AV309" s="777"/>
      <c r="AW309" s="830"/>
      <c r="AX309" s="830"/>
      <c r="AY309" s="830"/>
      <c r="AZ309" s="831"/>
      <c r="BA309" s="831"/>
      <c r="BB309" s="822"/>
      <c r="BC309" s="822"/>
      <c r="BD309" s="822"/>
      <c r="BE309" s="822"/>
      <c r="BF309" s="822"/>
      <c r="BG309" s="822"/>
    </row>
    <row r="310" spans="1:59" ht="12" customHeight="1" x14ac:dyDescent="0.2">
      <c r="A310" s="781"/>
      <c r="B310" s="781"/>
      <c r="C310" s="781"/>
      <c r="D310" s="781"/>
      <c r="E310" s="781"/>
      <c r="F310" s="739"/>
      <c r="G310" s="781"/>
      <c r="H310" s="781"/>
      <c r="I310" s="781"/>
      <c r="J310" s="781"/>
      <c r="K310" s="781"/>
      <c r="L310" s="781"/>
      <c r="M310" s="829"/>
      <c r="N310" s="781"/>
      <c r="O310" s="781"/>
      <c r="P310" s="781"/>
      <c r="Q310" s="781"/>
      <c r="R310" s="781"/>
      <c r="T310" s="781"/>
      <c r="U310" s="781"/>
      <c r="V310" s="781"/>
      <c r="W310" s="781"/>
      <c r="X310" s="781"/>
      <c r="Y310" s="781"/>
      <c r="Z310" s="781"/>
      <c r="AB310" s="781"/>
      <c r="AM310" s="781"/>
      <c r="AN310" s="781"/>
      <c r="AO310" s="781"/>
      <c r="AP310" s="781"/>
      <c r="AQ310" s="781"/>
      <c r="AR310" s="781"/>
      <c r="AS310" s="781"/>
      <c r="AT310" s="781"/>
      <c r="AU310" s="777"/>
      <c r="AV310" s="777"/>
      <c r="AW310" s="830"/>
      <c r="AX310" s="830"/>
      <c r="AY310" s="830"/>
      <c r="AZ310" s="831"/>
      <c r="BA310" s="831"/>
      <c r="BB310" s="822"/>
      <c r="BC310" s="822"/>
      <c r="BD310" s="822"/>
      <c r="BE310" s="822"/>
      <c r="BF310" s="822"/>
      <c r="BG310" s="822"/>
    </row>
    <row r="311" spans="1:59" ht="12" customHeight="1" x14ac:dyDescent="0.2">
      <c r="A311" s="781"/>
      <c r="B311" s="781"/>
      <c r="C311" s="781"/>
      <c r="D311" s="781"/>
      <c r="E311" s="781"/>
      <c r="F311" s="739"/>
      <c r="G311" s="781"/>
      <c r="H311" s="781"/>
      <c r="I311" s="781"/>
      <c r="J311" s="781"/>
      <c r="K311" s="781"/>
      <c r="L311" s="781"/>
      <c r="M311" s="829"/>
      <c r="N311" s="781"/>
      <c r="O311" s="781"/>
      <c r="P311" s="781"/>
      <c r="Q311" s="781"/>
      <c r="R311" s="781"/>
      <c r="T311" s="781"/>
      <c r="U311" s="781"/>
      <c r="V311" s="781"/>
      <c r="W311" s="781"/>
      <c r="X311" s="781"/>
      <c r="Y311" s="781"/>
      <c r="Z311" s="781"/>
      <c r="AB311" s="781"/>
      <c r="AM311" s="781"/>
      <c r="AN311" s="781"/>
      <c r="AO311" s="781"/>
      <c r="AP311" s="781"/>
      <c r="AQ311" s="781"/>
      <c r="AR311" s="781"/>
      <c r="AS311" s="781"/>
      <c r="AT311" s="781"/>
      <c r="AU311" s="777"/>
      <c r="AV311" s="777"/>
      <c r="AW311" s="830"/>
      <c r="AX311" s="830"/>
      <c r="AY311" s="830"/>
      <c r="AZ311" s="831"/>
      <c r="BA311" s="831"/>
      <c r="BB311" s="822"/>
      <c r="BC311" s="822"/>
      <c r="BD311" s="822"/>
      <c r="BE311" s="822"/>
      <c r="BF311" s="822"/>
      <c r="BG311" s="822"/>
    </row>
    <row r="312" spans="1:59" ht="12" customHeight="1" x14ac:dyDescent="0.2">
      <c r="A312" s="781"/>
      <c r="B312" s="781"/>
      <c r="C312" s="781"/>
      <c r="D312" s="781"/>
      <c r="E312" s="781"/>
      <c r="F312" s="739"/>
      <c r="G312" s="781"/>
      <c r="H312" s="781"/>
      <c r="I312" s="781"/>
      <c r="J312" s="781"/>
      <c r="K312" s="781"/>
      <c r="L312" s="781"/>
      <c r="M312" s="829"/>
      <c r="N312" s="781"/>
      <c r="O312" s="781"/>
      <c r="P312" s="781"/>
      <c r="Q312" s="781"/>
      <c r="R312" s="781"/>
      <c r="T312" s="781"/>
      <c r="U312" s="781"/>
      <c r="V312" s="781"/>
      <c r="W312" s="781"/>
      <c r="X312" s="781"/>
      <c r="Y312" s="781"/>
      <c r="Z312" s="781"/>
      <c r="AB312" s="781"/>
      <c r="AM312" s="781"/>
      <c r="AN312" s="781"/>
      <c r="AO312" s="781"/>
      <c r="AP312" s="781"/>
      <c r="AQ312" s="781"/>
      <c r="AR312" s="781"/>
      <c r="AS312" s="781"/>
      <c r="AT312" s="781"/>
      <c r="AU312" s="777"/>
      <c r="AV312" s="777"/>
      <c r="AW312" s="830"/>
      <c r="AX312" s="830"/>
      <c r="AY312" s="830"/>
      <c r="AZ312" s="831"/>
      <c r="BA312" s="831"/>
      <c r="BB312" s="822"/>
      <c r="BC312" s="822"/>
      <c r="BD312" s="822"/>
      <c r="BE312" s="822"/>
      <c r="BF312" s="822"/>
      <c r="BG312" s="822"/>
    </row>
    <row r="313" spans="1:59" ht="12" customHeight="1" x14ac:dyDescent="0.2">
      <c r="A313" s="781"/>
      <c r="B313" s="781"/>
      <c r="C313" s="781"/>
      <c r="D313" s="781"/>
      <c r="E313" s="781"/>
      <c r="F313" s="781"/>
      <c r="G313" s="781"/>
      <c r="H313" s="781"/>
      <c r="I313" s="781"/>
      <c r="J313" s="781"/>
      <c r="K313" s="781"/>
      <c r="L313" s="781"/>
      <c r="M313" s="829"/>
      <c r="N313" s="781"/>
      <c r="O313" s="781"/>
      <c r="P313" s="781"/>
      <c r="Q313" s="781"/>
      <c r="R313" s="781"/>
      <c r="T313" s="781"/>
      <c r="U313" s="781"/>
      <c r="V313" s="781"/>
      <c r="W313" s="781"/>
      <c r="X313" s="781"/>
      <c r="Y313" s="781"/>
      <c r="Z313" s="781"/>
      <c r="AB313" s="781"/>
      <c r="AM313" s="781"/>
      <c r="AN313" s="781"/>
      <c r="AO313" s="781"/>
      <c r="AP313" s="781"/>
      <c r="AQ313" s="781"/>
      <c r="AR313" s="781"/>
      <c r="AS313" s="781"/>
      <c r="AT313" s="781"/>
      <c r="AU313" s="777"/>
      <c r="AV313" s="777"/>
      <c r="AW313" s="830"/>
      <c r="AX313" s="830"/>
      <c r="AY313" s="830"/>
      <c r="AZ313" s="831"/>
      <c r="BA313" s="831"/>
      <c r="BB313" s="822"/>
      <c r="BC313" s="822"/>
      <c r="BD313" s="822"/>
      <c r="BE313" s="822"/>
      <c r="BF313" s="822"/>
      <c r="BG313" s="822"/>
    </row>
    <row r="314" spans="1:59" ht="12" customHeight="1" x14ac:dyDescent="0.2">
      <c r="A314" s="781"/>
      <c r="B314" s="781"/>
      <c r="C314" s="781"/>
      <c r="D314" s="781"/>
      <c r="E314" s="781"/>
      <c r="F314" s="781"/>
      <c r="G314" s="781"/>
      <c r="H314" s="781"/>
      <c r="I314" s="781"/>
      <c r="J314" s="781"/>
      <c r="K314" s="781"/>
      <c r="L314" s="781"/>
      <c r="M314" s="829"/>
      <c r="N314" s="781"/>
      <c r="O314" s="781"/>
      <c r="P314" s="781"/>
      <c r="Q314" s="781"/>
      <c r="R314" s="781"/>
      <c r="T314" s="781"/>
      <c r="U314" s="781"/>
      <c r="V314" s="781"/>
      <c r="W314" s="781"/>
      <c r="X314" s="781"/>
      <c r="Y314" s="781"/>
      <c r="Z314" s="781"/>
      <c r="AB314" s="781"/>
      <c r="AM314" s="781"/>
      <c r="AN314" s="781"/>
      <c r="AO314" s="781"/>
      <c r="AP314" s="781"/>
      <c r="AQ314" s="781"/>
      <c r="AR314" s="781"/>
      <c r="AS314" s="781"/>
      <c r="AT314" s="781"/>
      <c r="AU314" s="777"/>
      <c r="AV314" s="777"/>
      <c r="AW314" s="830"/>
      <c r="AX314" s="830"/>
      <c r="AY314" s="830"/>
      <c r="AZ314" s="831"/>
      <c r="BA314" s="831"/>
      <c r="BB314" s="822"/>
      <c r="BC314" s="822"/>
      <c r="BD314" s="822"/>
      <c r="BE314" s="822"/>
      <c r="BF314" s="822"/>
      <c r="BG314" s="822"/>
    </row>
    <row r="315" spans="1:59" ht="12" customHeight="1" x14ac:dyDescent="0.2">
      <c r="A315" s="781"/>
      <c r="B315" s="781"/>
      <c r="C315" s="781"/>
      <c r="D315" s="781"/>
      <c r="E315" s="781"/>
      <c r="F315" s="781"/>
      <c r="G315" s="781"/>
      <c r="H315" s="781"/>
      <c r="I315" s="781"/>
      <c r="J315" s="781"/>
      <c r="K315" s="781"/>
      <c r="L315" s="781"/>
      <c r="M315" s="829"/>
      <c r="N315" s="781"/>
      <c r="O315" s="781"/>
      <c r="P315" s="781"/>
      <c r="Q315" s="781"/>
      <c r="R315" s="781"/>
      <c r="T315" s="781"/>
      <c r="U315" s="781"/>
      <c r="V315" s="781"/>
      <c r="W315" s="781"/>
      <c r="X315" s="781"/>
      <c r="Y315" s="781"/>
      <c r="Z315" s="781"/>
      <c r="AB315" s="781"/>
      <c r="AM315" s="781"/>
      <c r="AN315" s="781"/>
      <c r="AO315" s="781"/>
      <c r="AP315" s="781"/>
      <c r="AQ315" s="781"/>
      <c r="AR315" s="781"/>
      <c r="AS315" s="781"/>
      <c r="AT315" s="781"/>
      <c r="AU315" s="777"/>
      <c r="AV315" s="777"/>
      <c r="AW315" s="830"/>
      <c r="AX315" s="830"/>
      <c r="AY315" s="830"/>
      <c r="AZ315" s="831"/>
      <c r="BA315" s="831"/>
      <c r="BB315" s="822"/>
      <c r="BC315" s="822"/>
      <c r="BD315" s="822"/>
      <c r="BE315" s="822"/>
      <c r="BF315" s="822"/>
      <c r="BG315" s="822"/>
    </row>
    <row r="316" spans="1:59" ht="12" customHeight="1" x14ac:dyDescent="0.2">
      <c r="A316" s="781"/>
      <c r="B316" s="781"/>
      <c r="C316" s="781"/>
      <c r="D316" s="781"/>
      <c r="E316" s="781"/>
      <c r="F316" s="781"/>
      <c r="G316" s="781"/>
      <c r="H316" s="781"/>
      <c r="I316" s="781"/>
      <c r="J316" s="781"/>
      <c r="K316" s="781"/>
      <c r="L316" s="781"/>
      <c r="M316" s="829"/>
      <c r="N316" s="781"/>
      <c r="O316" s="781"/>
      <c r="P316" s="781"/>
      <c r="Q316" s="781"/>
      <c r="R316" s="781"/>
      <c r="T316" s="781"/>
      <c r="U316" s="781"/>
      <c r="V316" s="781"/>
      <c r="W316" s="781"/>
      <c r="X316" s="781"/>
      <c r="Y316" s="781"/>
      <c r="Z316" s="781"/>
      <c r="AB316" s="781"/>
      <c r="AM316" s="781"/>
      <c r="AN316" s="781"/>
      <c r="AO316" s="781"/>
      <c r="AP316" s="781"/>
      <c r="AQ316" s="781"/>
      <c r="AR316" s="781"/>
      <c r="AS316" s="781"/>
      <c r="AT316" s="781"/>
      <c r="AU316" s="777"/>
      <c r="AV316" s="777"/>
      <c r="AW316" s="830"/>
      <c r="AX316" s="830"/>
      <c r="AY316" s="830"/>
      <c r="AZ316" s="831"/>
      <c r="BA316" s="831"/>
      <c r="BB316" s="822"/>
      <c r="BC316" s="822"/>
      <c r="BD316" s="822"/>
      <c r="BE316" s="822"/>
      <c r="BF316" s="822"/>
      <c r="BG316" s="822"/>
    </row>
    <row r="317" spans="1:59" ht="12" customHeight="1" x14ac:dyDescent="0.2">
      <c r="A317" s="781"/>
      <c r="B317" s="781"/>
      <c r="C317" s="781"/>
      <c r="D317" s="781"/>
      <c r="E317" s="781"/>
      <c r="F317" s="781"/>
      <c r="G317" s="781"/>
      <c r="H317" s="781"/>
      <c r="I317" s="781"/>
      <c r="J317" s="781"/>
      <c r="K317" s="781"/>
      <c r="L317" s="781"/>
      <c r="M317" s="829"/>
      <c r="N317" s="781"/>
      <c r="O317" s="781"/>
      <c r="P317" s="781"/>
      <c r="Q317" s="781"/>
      <c r="R317" s="781"/>
      <c r="T317" s="781"/>
      <c r="U317" s="781"/>
      <c r="V317" s="781"/>
      <c r="W317" s="781"/>
      <c r="X317" s="781"/>
      <c r="Y317" s="781"/>
      <c r="Z317" s="781"/>
      <c r="AB317" s="781"/>
      <c r="AM317" s="781"/>
      <c r="AN317" s="781"/>
      <c r="AO317" s="781"/>
      <c r="AP317" s="781"/>
      <c r="AQ317" s="781"/>
      <c r="AR317" s="781"/>
      <c r="AS317" s="781"/>
      <c r="AT317" s="781"/>
      <c r="AU317" s="777"/>
      <c r="AV317" s="777"/>
      <c r="AW317" s="830"/>
      <c r="AX317" s="830"/>
      <c r="AY317" s="830"/>
      <c r="AZ317" s="831"/>
      <c r="BA317" s="831"/>
      <c r="BB317" s="822"/>
      <c r="BC317" s="822"/>
      <c r="BD317" s="822"/>
      <c r="BE317" s="822"/>
      <c r="BF317" s="822"/>
      <c r="BG317" s="822"/>
    </row>
    <row r="318" spans="1:59" ht="12" customHeight="1" x14ac:dyDescent="0.2">
      <c r="A318" s="781"/>
      <c r="B318" s="781"/>
      <c r="C318" s="781"/>
      <c r="D318" s="781"/>
      <c r="E318" s="781"/>
      <c r="F318" s="781"/>
      <c r="G318" s="781"/>
      <c r="H318" s="781"/>
      <c r="I318" s="781"/>
      <c r="J318" s="781"/>
      <c r="K318" s="781"/>
      <c r="L318" s="781"/>
      <c r="M318" s="829"/>
      <c r="N318" s="781"/>
      <c r="O318" s="781"/>
      <c r="P318" s="781"/>
      <c r="Q318" s="781"/>
      <c r="R318" s="781"/>
      <c r="T318" s="781"/>
      <c r="U318" s="781"/>
      <c r="V318" s="781"/>
      <c r="W318" s="781"/>
      <c r="X318" s="781"/>
      <c r="Y318" s="781"/>
      <c r="Z318" s="781"/>
      <c r="AB318" s="781"/>
      <c r="AM318" s="781"/>
      <c r="AN318" s="781"/>
      <c r="AO318" s="781"/>
      <c r="AP318" s="781"/>
      <c r="AQ318" s="781"/>
      <c r="AR318" s="781"/>
      <c r="AS318" s="781"/>
      <c r="AT318" s="781"/>
      <c r="AU318" s="777"/>
      <c r="AV318" s="777"/>
      <c r="AW318" s="830"/>
      <c r="AX318" s="830"/>
      <c r="AY318" s="830"/>
      <c r="AZ318" s="831"/>
      <c r="BA318" s="831"/>
      <c r="BB318" s="822"/>
      <c r="BC318" s="822"/>
      <c r="BD318" s="822"/>
      <c r="BE318" s="822"/>
      <c r="BF318" s="822"/>
      <c r="BG318" s="822"/>
    </row>
    <row r="319" spans="1:59" ht="12" customHeight="1" x14ac:dyDescent="0.2">
      <c r="A319" s="781"/>
      <c r="B319" s="781"/>
      <c r="C319" s="781"/>
      <c r="D319" s="781"/>
      <c r="E319" s="781"/>
      <c r="F319" s="781"/>
      <c r="G319" s="781"/>
      <c r="H319" s="781"/>
      <c r="I319" s="781"/>
      <c r="J319" s="781"/>
      <c r="K319" s="781"/>
      <c r="L319" s="781"/>
      <c r="M319" s="829"/>
      <c r="N319" s="781"/>
      <c r="O319" s="781"/>
      <c r="P319" s="781"/>
      <c r="Q319" s="781"/>
      <c r="R319" s="781"/>
      <c r="T319" s="781"/>
      <c r="U319" s="781"/>
      <c r="V319" s="781"/>
      <c r="W319" s="781"/>
      <c r="X319" s="781"/>
      <c r="Y319" s="781"/>
      <c r="Z319" s="781"/>
      <c r="AB319" s="781"/>
      <c r="AM319" s="781"/>
      <c r="AN319" s="781"/>
      <c r="AO319" s="781"/>
      <c r="AP319" s="781"/>
      <c r="AQ319" s="781"/>
      <c r="AR319" s="781"/>
      <c r="AS319" s="781"/>
      <c r="AT319" s="781"/>
      <c r="AU319" s="777"/>
      <c r="AV319" s="777"/>
      <c r="AW319" s="830"/>
      <c r="AX319" s="830"/>
      <c r="AY319" s="830"/>
      <c r="AZ319" s="831"/>
      <c r="BA319" s="831"/>
      <c r="BB319" s="822"/>
      <c r="BC319" s="822"/>
      <c r="BD319" s="822"/>
      <c r="BE319" s="822"/>
      <c r="BF319" s="822"/>
      <c r="BG319" s="822"/>
    </row>
    <row r="320" spans="1:59" ht="12" customHeight="1" x14ac:dyDescent="0.2">
      <c r="A320" s="781"/>
      <c r="B320" s="781"/>
      <c r="C320" s="781"/>
      <c r="D320" s="781"/>
      <c r="E320" s="781"/>
      <c r="F320" s="781"/>
      <c r="G320" s="781"/>
      <c r="H320" s="781"/>
      <c r="I320" s="781"/>
      <c r="J320" s="781"/>
      <c r="K320" s="781"/>
      <c r="L320" s="781"/>
      <c r="M320" s="829"/>
      <c r="N320" s="781"/>
      <c r="O320" s="781"/>
      <c r="P320" s="781"/>
      <c r="Q320" s="781"/>
      <c r="R320" s="781"/>
      <c r="T320" s="781"/>
      <c r="U320" s="781"/>
      <c r="V320" s="781"/>
      <c r="W320" s="781"/>
      <c r="X320" s="781"/>
      <c r="Y320" s="781"/>
      <c r="Z320" s="781"/>
      <c r="AB320" s="781"/>
      <c r="AM320" s="781"/>
      <c r="AN320" s="781"/>
      <c r="AO320" s="781"/>
      <c r="AP320" s="781"/>
      <c r="AQ320" s="781"/>
      <c r="AR320" s="781"/>
      <c r="AS320" s="781"/>
      <c r="AT320" s="781"/>
      <c r="AU320" s="777"/>
      <c r="AV320" s="777"/>
      <c r="AW320" s="830"/>
      <c r="AX320" s="830"/>
      <c r="AY320" s="830"/>
      <c r="AZ320" s="831"/>
      <c r="BA320" s="831"/>
      <c r="BB320" s="822"/>
      <c r="BC320" s="822"/>
      <c r="BD320" s="822"/>
      <c r="BE320" s="822"/>
      <c r="BF320" s="822"/>
      <c r="BG320" s="822"/>
    </row>
    <row r="321" spans="1:59" ht="12" customHeight="1" x14ac:dyDescent="0.2">
      <c r="A321" s="781"/>
      <c r="B321" s="781"/>
      <c r="C321" s="781"/>
      <c r="D321" s="781"/>
      <c r="E321" s="781"/>
      <c r="F321" s="739"/>
      <c r="G321" s="781"/>
      <c r="H321" s="781"/>
      <c r="I321" s="781"/>
      <c r="J321" s="781"/>
      <c r="K321" s="781"/>
      <c r="L321" s="781"/>
      <c r="M321" s="829"/>
      <c r="N321" s="781"/>
      <c r="O321" s="781"/>
      <c r="P321" s="781"/>
      <c r="Q321" s="781"/>
      <c r="R321" s="781"/>
      <c r="T321" s="781"/>
      <c r="U321" s="781"/>
      <c r="V321" s="781"/>
      <c r="W321" s="781"/>
      <c r="X321" s="781"/>
      <c r="Y321" s="781"/>
      <c r="Z321" s="781"/>
      <c r="AB321" s="781"/>
      <c r="AM321" s="781"/>
      <c r="AN321" s="781"/>
      <c r="AO321" s="781"/>
      <c r="AP321" s="781"/>
      <c r="AQ321" s="781"/>
      <c r="AR321" s="781"/>
      <c r="AS321" s="781"/>
      <c r="AT321" s="781"/>
      <c r="AU321" s="777"/>
      <c r="AV321" s="777"/>
      <c r="AW321" s="830"/>
      <c r="AX321" s="830"/>
      <c r="AY321" s="830"/>
      <c r="AZ321" s="831"/>
      <c r="BA321" s="831"/>
      <c r="BB321" s="822"/>
      <c r="BC321" s="822"/>
      <c r="BD321" s="822"/>
      <c r="BE321" s="822"/>
      <c r="BF321" s="822"/>
      <c r="BG321" s="822"/>
    </row>
    <row r="322" spans="1:59" ht="12" customHeight="1" x14ac:dyDescent="0.2">
      <c r="A322" s="781"/>
      <c r="B322" s="781"/>
      <c r="C322" s="781"/>
      <c r="D322" s="781"/>
      <c r="E322" s="781"/>
      <c r="F322" s="739"/>
      <c r="G322" s="781"/>
      <c r="H322" s="781"/>
      <c r="I322" s="781"/>
      <c r="J322" s="781"/>
      <c r="K322" s="781"/>
      <c r="L322" s="781"/>
      <c r="M322" s="829"/>
      <c r="N322" s="781"/>
      <c r="O322" s="781"/>
      <c r="P322" s="781"/>
      <c r="Q322" s="781"/>
      <c r="R322" s="781"/>
      <c r="T322" s="781"/>
      <c r="U322" s="781"/>
      <c r="V322" s="781"/>
      <c r="W322" s="781"/>
      <c r="X322" s="781"/>
      <c r="Y322" s="781"/>
      <c r="Z322" s="781"/>
      <c r="AB322" s="781"/>
      <c r="AM322" s="781"/>
      <c r="AN322" s="781"/>
      <c r="AO322" s="781"/>
      <c r="AP322" s="781"/>
      <c r="AQ322" s="781"/>
      <c r="AR322" s="781"/>
      <c r="AS322" s="781"/>
      <c r="AT322" s="781"/>
      <c r="AU322" s="777"/>
      <c r="AV322" s="777"/>
      <c r="AW322" s="830"/>
      <c r="AX322" s="830"/>
      <c r="AY322" s="830"/>
      <c r="AZ322" s="831"/>
      <c r="BA322" s="831"/>
      <c r="BB322" s="822"/>
      <c r="BC322" s="822"/>
      <c r="BD322" s="822"/>
      <c r="BE322" s="822"/>
      <c r="BF322" s="822"/>
      <c r="BG322" s="822"/>
    </row>
    <row r="323" spans="1:59" ht="12" customHeight="1" x14ac:dyDescent="0.2">
      <c r="A323" s="781"/>
      <c r="B323" s="781"/>
      <c r="C323" s="781"/>
      <c r="D323" s="781"/>
      <c r="E323" s="781"/>
      <c r="F323" s="739"/>
      <c r="G323" s="781"/>
      <c r="H323" s="781"/>
      <c r="I323" s="781"/>
      <c r="J323" s="781"/>
      <c r="K323" s="781"/>
      <c r="L323" s="781"/>
      <c r="M323" s="829"/>
      <c r="N323" s="781"/>
      <c r="O323" s="781"/>
      <c r="P323" s="781"/>
      <c r="Q323" s="781"/>
      <c r="R323" s="781"/>
      <c r="T323" s="781"/>
      <c r="U323" s="781"/>
      <c r="V323" s="781"/>
      <c r="W323" s="781"/>
      <c r="X323" s="781"/>
      <c r="Y323" s="781"/>
      <c r="Z323" s="781"/>
      <c r="AB323" s="781"/>
      <c r="AM323" s="781"/>
      <c r="AN323" s="781"/>
      <c r="AO323" s="781"/>
      <c r="AP323" s="781"/>
      <c r="AQ323" s="781"/>
      <c r="AR323" s="781"/>
      <c r="AS323" s="781"/>
      <c r="AT323" s="781"/>
      <c r="AU323" s="777"/>
      <c r="AV323" s="777"/>
      <c r="AW323" s="830"/>
      <c r="AX323" s="830"/>
      <c r="AY323" s="830"/>
      <c r="AZ323" s="831"/>
      <c r="BA323" s="831"/>
      <c r="BB323" s="822"/>
      <c r="BC323" s="822"/>
      <c r="BD323" s="822"/>
      <c r="BE323" s="822"/>
      <c r="BF323" s="822"/>
      <c r="BG323" s="822"/>
    </row>
    <row r="324" spans="1:59" ht="12" customHeight="1" x14ac:dyDescent="0.2">
      <c r="A324" s="781"/>
      <c r="B324" s="781"/>
      <c r="C324" s="781"/>
      <c r="D324" s="781"/>
      <c r="E324" s="781"/>
      <c r="F324" s="739"/>
      <c r="G324" s="781"/>
      <c r="H324" s="781"/>
      <c r="I324" s="781"/>
      <c r="J324" s="781"/>
      <c r="K324" s="781"/>
      <c r="L324" s="781"/>
      <c r="M324" s="829"/>
      <c r="N324" s="781"/>
      <c r="O324" s="781"/>
      <c r="P324" s="781"/>
      <c r="Q324" s="781"/>
      <c r="R324" s="781"/>
      <c r="T324" s="781"/>
      <c r="U324" s="781"/>
      <c r="V324" s="781"/>
      <c r="W324" s="781"/>
      <c r="X324" s="781"/>
      <c r="Y324" s="781"/>
      <c r="Z324" s="781"/>
      <c r="AB324" s="781"/>
      <c r="AM324" s="781"/>
      <c r="AN324" s="781"/>
      <c r="AO324" s="781"/>
      <c r="AP324" s="781"/>
      <c r="AQ324" s="781"/>
      <c r="AR324" s="781"/>
      <c r="AS324" s="781"/>
      <c r="AT324" s="781"/>
      <c r="AU324" s="777"/>
      <c r="AV324" s="777"/>
      <c r="AW324" s="830"/>
      <c r="AX324" s="830"/>
      <c r="AY324" s="830"/>
      <c r="AZ324" s="831"/>
      <c r="BA324" s="831"/>
      <c r="BB324" s="822"/>
      <c r="BC324" s="822"/>
      <c r="BD324" s="822"/>
      <c r="BE324" s="822"/>
      <c r="BF324" s="822"/>
      <c r="BG324" s="822"/>
    </row>
    <row r="325" spans="1:59" ht="12" customHeight="1" x14ac:dyDescent="0.2">
      <c r="A325" s="781"/>
      <c r="B325" s="781"/>
      <c r="C325" s="781"/>
      <c r="D325" s="781"/>
      <c r="E325" s="781"/>
      <c r="F325" s="739"/>
      <c r="G325" s="781"/>
      <c r="H325" s="781"/>
      <c r="I325" s="781"/>
      <c r="J325" s="781"/>
      <c r="K325" s="781"/>
      <c r="L325" s="781"/>
      <c r="M325" s="829"/>
      <c r="N325" s="781"/>
      <c r="O325" s="781"/>
      <c r="P325" s="781"/>
      <c r="Q325" s="781"/>
      <c r="R325" s="781"/>
      <c r="T325" s="781"/>
      <c r="U325" s="781"/>
      <c r="V325" s="781"/>
      <c r="W325" s="781"/>
      <c r="X325" s="781"/>
      <c r="Y325" s="781"/>
      <c r="Z325" s="781"/>
      <c r="AB325" s="781"/>
      <c r="AM325" s="781"/>
      <c r="AN325" s="781"/>
      <c r="AO325" s="781"/>
      <c r="AP325" s="781"/>
      <c r="AQ325" s="781"/>
      <c r="AR325" s="781"/>
      <c r="AS325" s="781"/>
      <c r="AT325" s="781"/>
      <c r="AU325" s="777"/>
      <c r="AV325" s="777"/>
      <c r="AW325" s="830"/>
      <c r="AX325" s="830"/>
      <c r="AY325" s="830"/>
      <c r="AZ325" s="831"/>
      <c r="BA325" s="831"/>
      <c r="BB325" s="822"/>
      <c r="BC325" s="822"/>
      <c r="BD325" s="822"/>
      <c r="BE325" s="822"/>
      <c r="BF325" s="822"/>
      <c r="BG325" s="822"/>
    </row>
    <row r="326" spans="1:59" ht="12" customHeight="1" x14ac:dyDescent="0.2">
      <c r="A326" s="781"/>
      <c r="B326" s="781"/>
      <c r="C326" s="781"/>
      <c r="D326" s="781"/>
      <c r="E326" s="781"/>
      <c r="F326" s="739"/>
      <c r="G326" s="781"/>
      <c r="H326" s="781"/>
      <c r="I326" s="781"/>
      <c r="J326" s="781"/>
      <c r="K326" s="781"/>
      <c r="L326" s="781"/>
      <c r="M326" s="829"/>
      <c r="N326" s="781"/>
      <c r="O326" s="781"/>
      <c r="P326" s="781"/>
      <c r="Q326" s="781"/>
      <c r="R326" s="781"/>
      <c r="T326" s="781"/>
      <c r="U326" s="781"/>
      <c r="V326" s="781"/>
      <c r="W326" s="781"/>
      <c r="X326" s="781"/>
      <c r="Y326" s="781"/>
      <c r="Z326" s="781"/>
      <c r="AB326" s="781"/>
      <c r="AM326" s="781"/>
      <c r="AN326" s="781"/>
      <c r="AO326" s="781"/>
      <c r="AP326" s="781"/>
      <c r="AQ326" s="781"/>
      <c r="AR326" s="781"/>
      <c r="AS326" s="781"/>
      <c r="AT326" s="781"/>
      <c r="AU326" s="777"/>
      <c r="AV326" s="777"/>
      <c r="AW326" s="830"/>
      <c r="AX326" s="830"/>
      <c r="AY326" s="830"/>
      <c r="AZ326" s="831"/>
      <c r="BA326" s="831"/>
      <c r="BB326" s="822"/>
      <c r="BC326" s="822"/>
      <c r="BD326" s="822"/>
      <c r="BE326" s="822"/>
      <c r="BF326" s="822"/>
      <c r="BG326" s="822"/>
    </row>
    <row r="327" spans="1:59" ht="12" customHeight="1" x14ac:dyDescent="0.2">
      <c r="A327" s="781"/>
      <c r="B327" s="781"/>
      <c r="C327" s="781"/>
      <c r="D327" s="781"/>
      <c r="E327" s="781"/>
      <c r="F327" s="739"/>
      <c r="G327" s="781"/>
      <c r="H327" s="781"/>
      <c r="I327" s="781"/>
      <c r="J327" s="781"/>
      <c r="K327" s="781"/>
      <c r="L327" s="781"/>
      <c r="M327" s="829"/>
      <c r="N327" s="781"/>
      <c r="O327" s="781"/>
      <c r="P327" s="781"/>
      <c r="Q327" s="781"/>
      <c r="R327" s="781"/>
      <c r="T327" s="781"/>
      <c r="U327" s="781"/>
      <c r="V327" s="781"/>
      <c r="W327" s="781"/>
      <c r="X327" s="781"/>
      <c r="Y327" s="781"/>
      <c r="Z327" s="781"/>
      <c r="AB327" s="781"/>
      <c r="AM327" s="781"/>
      <c r="AN327" s="781"/>
      <c r="AO327" s="781"/>
      <c r="AP327" s="781"/>
      <c r="AQ327" s="781"/>
      <c r="AR327" s="781"/>
      <c r="AS327" s="781"/>
      <c r="AT327" s="781"/>
      <c r="AU327" s="777"/>
      <c r="AV327" s="777"/>
      <c r="AW327" s="830"/>
      <c r="AX327" s="830"/>
      <c r="AY327" s="830"/>
      <c r="AZ327" s="831"/>
      <c r="BA327" s="831"/>
      <c r="BB327" s="822"/>
      <c r="BC327" s="822"/>
      <c r="BD327" s="822"/>
      <c r="BE327" s="822"/>
      <c r="BF327" s="822"/>
      <c r="BG327" s="822"/>
    </row>
    <row r="328" spans="1:59" ht="12" customHeight="1" x14ac:dyDescent="0.2">
      <c r="A328" s="781"/>
      <c r="B328" s="781"/>
      <c r="C328" s="781"/>
      <c r="D328" s="781"/>
      <c r="E328" s="781"/>
      <c r="F328" s="739"/>
      <c r="G328" s="781"/>
      <c r="H328" s="781"/>
      <c r="I328" s="781"/>
      <c r="J328" s="781"/>
      <c r="K328" s="781"/>
      <c r="L328" s="781"/>
      <c r="M328" s="829"/>
      <c r="N328" s="781"/>
      <c r="O328" s="781"/>
      <c r="P328" s="781"/>
      <c r="Q328" s="781"/>
      <c r="R328" s="781"/>
      <c r="T328" s="781"/>
      <c r="U328" s="781"/>
      <c r="V328" s="781"/>
      <c r="W328" s="781"/>
      <c r="X328" s="781"/>
      <c r="Y328" s="781"/>
      <c r="Z328" s="781"/>
      <c r="AB328" s="781"/>
      <c r="AM328" s="781"/>
      <c r="AN328" s="781"/>
      <c r="AO328" s="781"/>
      <c r="AP328" s="781"/>
      <c r="AQ328" s="781"/>
      <c r="AR328" s="781"/>
      <c r="AS328" s="781"/>
      <c r="AT328" s="781"/>
      <c r="AU328" s="777"/>
      <c r="AV328" s="777"/>
      <c r="AW328" s="830"/>
      <c r="AX328" s="830"/>
      <c r="AY328" s="830"/>
      <c r="AZ328" s="831"/>
      <c r="BA328" s="831"/>
      <c r="BB328" s="822"/>
      <c r="BC328" s="822"/>
      <c r="BD328" s="822"/>
      <c r="BE328" s="822"/>
      <c r="BF328" s="822"/>
      <c r="BG328" s="822"/>
    </row>
    <row r="329" spans="1:59" ht="12" customHeight="1" x14ac:dyDescent="0.2">
      <c r="A329" s="781"/>
      <c r="B329" s="781"/>
      <c r="C329" s="781"/>
      <c r="D329" s="781"/>
      <c r="E329" s="781"/>
      <c r="F329" s="739"/>
      <c r="G329" s="781"/>
      <c r="H329" s="781"/>
      <c r="I329" s="781"/>
      <c r="J329" s="781"/>
      <c r="K329" s="781"/>
      <c r="L329" s="781"/>
      <c r="M329" s="829"/>
      <c r="N329" s="781"/>
      <c r="O329" s="781"/>
      <c r="P329" s="781"/>
      <c r="Q329" s="781"/>
      <c r="R329" s="781"/>
      <c r="T329" s="781"/>
      <c r="U329" s="781"/>
      <c r="V329" s="781"/>
      <c r="W329" s="781"/>
      <c r="X329" s="781"/>
      <c r="Y329" s="781"/>
      <c r="Z329" s="781"/>
      <c r="AB329" s="781"/>
      <c r="AM329" s="781"/>
      <c r="AN329" s="781"/>
      <c r="AO329" s="781"/>
      <c r="AP329" s="781"/>
      <c r="AQ329" s="781"/>
      <c r="AR329" s="781"/>
      <c r="AS329" s="781"/>
      <c r="AT329" s="781"/>
      <c r="AU329" s="777"/>
      <c r="AV329" s="777"/>
      <c r="AW329" s="830"/>
      <c r="AX329" s="830"/>
      <c r="AY329" s="830"/>
      <c r="AZ329" s="831"/>
      <c r="BA329" s="831"/>
      <c r="BB329" s="822"/>
      <c r="BC329" s="822"/>
      <c r="BD329" s="822"/>
      <c r="BE329" s="822"/>
      <c r="BF329" s="822"/>
      <c r="BG329" s="822"/>
    </row>
    <row r="330" spans="1:59" ht="12" customHeight="1" x14ac:dyDescent="0.2">
      <c r="A330" s="781"/>
      <c r="B330" s="781"/>
      <c r="C330" s="781"/>
      <c r="D330" s="781"/>
      <c r="E330" s="781"/>
      <c r="F330" s="739"/>
      <c r="G330" s="781"/>
      <c r="H330" s="781"/>
      <c r="I330" s="781"/>
      <c r="J330" s="781"/>
      <c r="K330" s="781"/>
      <c r="L330" s="781"/>
      <c r="M330" s="829"/>
      <c r="N330" s="781"/>
      <c r="O330" s="781"/>
      <c r="P330" s="781"/>
      <c r="Q330" s="781"/>
      <c r="R330" s="781"/>
      <c r="T330" s="781"/>
      <c r="U330" s="781"/>
      <c r="V330" s="781"/>
      <c r="W330" s="781"/>
      <c r="X330" s="781"/>
      <c r="Y330" s="781"/>
      <c r="Z330" s="781"/>
      <c r="AB330" s="781"/>
      <c r="AM330" s="781"/>
      <c r="AN330" s="781"/>
      <c r="AO330" s="781"/>
      <c r="AP330" s="781"/>
      <c r="AQ330" s="781"/>
      <c r="AR330" s="781"/>
      <c r="AS330" s="781"/>
      <c r="AT330" s="781"/>
      <c r="AU330" s="777"/>
      <c r="AV330" s="777"/>
      <c r="AW330" s="830"/>
      <c r="AX330" s="830"/>
      <c r="AY330" s="830"/>
      <c r="AZ330" s="831"/>
      <c r="BA330" s="831"/>
      <c r="BB330" s="822"/>
      <c r="BC330" s="822"/>
      <c r="BD330" s="822"/>
      <c r="BE330" s="822"/>
      <c r="BF330" s="822"/>
      <c r="BG330" s="822"/>
    </row>
    <row r="331" spans="1:59" ht="12" customHeight="1" x14ac:dyDescent="0.2">
      <c r="A331" s="781"/>
      <c r="B331" s="781"/>
      <c r="C331" s="781"/>
      <c r="D331" s="781"/>
      <c r="E331" s="781"/>
      <c r="F331" s="739"/>
      <c r="G331" s="781"/>
      <c r="H331" s="781"/>
      <c r="I331" s="781"/>
      <c r="J331" s="781"/>
      <c r="K331" s="781"/>
      <c r="L331" s="781"/>
      <c r="M331" s="829"/>
      <c r="N331" s="781"/>
      <c r="O331" s="781"/>
      <c r="P331" s="781"/>
      <c r="Q331" s="781"/>
      <c r="R331" s="781"/>
      <c r="T331" s="781"/>
      <c r="U331" s="781"/>
      <c r="V331" s="781"/>
      <c r="W331" s="781"/>
      <c r="X331" s="781"/>
      <c r="Y331" s="781"/>
      <c r="Z331" s="781"/>
      <c r="AB331" s="781"/>
      <c r="AM331" s="781"/>
      <c r="AN331" s="781"/>
      <c r="AO331" s="781"/>
      <c r="AP331" s="781"/>
      <c r="AQ331" s="781"/>
      <c r="AR331" s="781"/>
      <c r="AS331" s="781"/>
      <c r="AT331" s="781"/>
      <c r="AU331" s="777"/>
      <c r="AV331" s="777"/>
      <c r="AW331" s="830"/>
      <c r="AX331" s="830"/>
      <c r="AY331" s="830"/>
      <c r="AZ331" s="831"/>
      <c r="BA331" s="831"/>
      <c r="BB331" s="822"/>
      <c r="BC331" s="822"/>
      <c r="BD331" s="822"/>
      <c r="BE331" s="822"/>
      <c r="BF331" s="822"/>
      <c r="BG331" s="822"/>
    </row>
    <row r="332" spans="1:59" ht="12" customHeight="1" x14ac:dyDescent="0.2">
      <c r="A332" s="781"/>
      <c r="B332" s="781"/>
      <c r="C332" s="781"/>
      <c r="D332" s="781"/>
      <c r="E332" s="781"/>
      <c r="F332" s="739"/>
      <c r="G332" s="781"/>
      <c r="H332" s="781"/>
      <c r="I332" s="781"/>
      <c r="J332" s="781"/>
      <c r="K332" s="781"/>
      <c r="L332" s="781"/>
      <c r="M332" s="829"/>
      <c r="N332" s="781"/>
      <c r="O332" s="781"/>
      <c r="P332" s="781"/>
      <c r="Q332" s="781"/>
      <c r="R332" s="781"/>
      <c r="T332" s="781"/>
      <c r="U332" s="781"/>
      <c r="V332" s="781"/>
      <c r="W332" s="781"/>
      <c r="X332" s="781"/>
      <c r="Y332" s="781"/>
      <c r="Z332" s="781"/>
      <c r="AB332" s="781"/>
      <c r="AM332" s="781"/>
      <c r="AN332" s="781"/>
      <c r="AO332" s="781"/>
      <c r="AP332" s="781"/>
      <c r="AQ332" s="781"/>
      <c r="AR332" s="781"/>
      <c r="AS332" s="781"/>
      <c r="AT332" s="781"/>
      <c r="AU332" s="777"/>
      <c r="AV332" s="777"/>
      <c r="AW332" s="830"/>
      <c r="AX332" s="830"/>
      <c r="AY332" s="830"/>
      <c r="AZ332" s="831"/>
      <c r="BA332" s="831"/>
      <c r="BB332" s="822"/>
      <c r="BC332" s="822"/>
      <c r="BD332" s="822"/>
      <c r="BE332" s="822"/>
      <c r="BF332" s="822"/>
      <c r="BG332" s="822"/>
    </row>
    <row r="333" spans="1:59" ht="12" customHeight="1" x14ac:dyDescent="0.2">
      <c r="A333" s="781"/>
      <c r="B333" s="781"/>
      <c r="C333" s="781"/>
      <c r="D333" s="781"/>
      <c r="E333" s="781"/>
      <c r="F333" s="739"/>
      <c r="G333" s="781"/>
      <c r="H333" s="781"/>
      <c r="I333" s="781"/>
      <c r="J333" s="781"/>
      <c r="K333" s="781"/>
      <c r="L333" s="781"/>
      <c r="M333" s="829"/>
      <c r="N333" s="781"/>
      <c r="O333" s="781"/>
      <c r="P333" s="781"/>
      <c r="Q333" s="781"/>
      <c r="R333" s="781"/>
      <c r="T333" s="781"/>
      <c r="U333" s="781"/>
      <c r="V333" s="781"/>
      <c r="W333" s="781"/>
      <c r="X333" s="781"/>
      <c r="Y333" s="781"/>
      <c r="Z333" s="781"/>
      <c r="AB333" s="781"/>
      <c r="AM333" s="781"/>
      <c r="AN333" s="781"/>
      <c r="AO333" s="781"/>
      <c r="AP333" s="781"/>
      <c r="AQ333" s="781"/>
      <c r="AR333" s="781"/>
      <c r="AS333" s="781"/>
      <c r="AT333" s="781"/>
      <c r="AU333" s="777"/>
      <c r="AV333" s="777"/>
      <c r="AW333" s="830"/>
      <c r="AX333" s="830"/>
      <c r="AY333" s="830"/>
      <c r="AZ333" s="831"/>
      <c r="BA333" s="831"/>
      <c r="BB333" s="822"/>
      <c r="BC333" s="822"/>
      <c r="BD333" s="822"/>
      <c r="BE333" s="822"/>
      <c r="BF333" s="822"/>
      <c r="BG333" s="822"/>
    </row>
    <row r="334" spans="1:59" ht="12" customHeight="1" x14ac:dyDescent="0.2">
      <c r="A334" s="781"/>
      <c r="B334" s="781"/>
      <c r="C334" s="781"/>
      <c r="D334" s="781"/>
      <c r="E334" s="781"/>
      <c r="F334" s="739"/>
      <c r="G334" s="781"/>
      <c r="H334" s="781"/>
      <c r="I334" s="781"/>
      <c r="J334" s="781"/>
      <c r="K334" s="781"/>
      <c r="L334" s="781"/>
      <c r="M334" s="829"/>
      <c r="N334" s="781"/>
      <c r="O334" s="781"/>
      <c r="P334" s="781"/>
      <c r="Q334" s="781"/>
      <c r="R334" s="781"/>
      <c r="T334" s="781"/>
      <c r="U334" s="781"/>
      <c r="V334" s="781"/>
      <c r="W334" s="781"/>
      <c r="X334" s="781"/>
      <c r="Y334" s="781"/>
      <c r="Z334" s="781"/>
      <c r="AB334" s="781"/>
      <c r="AM334" s="781"/>
      <c r="AN334" s="781"/>
      <c r="AO334" s="781"/>
      <c r="AP334" s="781"/>
      <c r="AQ334" s="781"/>
      <c r="AR334" s="781"/>
      <c r="AS334" s="781"/>
      <c r="AT334" s="781"/>
      <c r="AU334" s="777"/>
      <c r="AV334" s="777"/>
      <c r="AW334" s="830"/>
      <c r="AX334" s="830"/>
      <c r="AY334" s="830"/>
      <c r="AZ334" s="831"/>
      <c r="BA334" s="831"/>
      <c r="BB334" s="822"/>
      <c r="BC334" s="822"/>
      <c r="BD334" s="822"/>
      <c r="BE334" s="822"/>
      <c r="BF334" s="822"/>
      <c r="BG334" s="822"/>
    </row>
    <row r="335" spans="1:59" ht="12" customHeight="1" x14ac:dyDescent="0.2">
      <c r="A335" s="781"/>
      <c r="B335" s="781"/>
      <c r="C335" s="781"/>
      <c r="D335" s="781"/>
      <c r="E335" s="781"/>
      <c r="F335" s="739"/>
      <c r="G335" s="781"/>
      <c r="H335" s="781"/>
      <c r="I335" s="781"/>
      <c r="J335" s="781"/>
      <c r="K335" s="781"/>
      <c r="L335" s="781"/>
      <c r="M335" s="829"/>
      <c r="N335" s="781"/>
      <c r="O335" s="781"/>
      <c r="P335" s="781"/>
      <c r="Q335" s="781"/>
      <c r="R335" s="781"/>
      <c r="T335" s="781"/>
      <c r="U335" s="781"/>
      <c r="V335" s="781"/>
      <c r="W335" s="781"/>
      <c r="X335" s="781"/>
      <c r="Y335" s="781"/>
      <c r="Z335" s="781"/>
      <c r="AB335" s="781"/>
      <c r="AM335" s="781"/>
      <c r="AN335" s="781"/>
      <c r="AO335" s="781"/>
      <c r="AP335" s="781"/>
      <c r="AQ335" s="781"/>
      <c r="AR335" s="781"/>
      <c r="AS335" s="781"/>
      <c r="AT335" s="781"/>
      <c r="AU335" s="777"/>
      <c r="AV335" s="777"/>
      <c r="AW335" s="830"/>
      <c r="AX335" s="830"/>
      <c r="AY335" s="830"/>
      <c r="AZ335" s="831"/>
      <c r="BA335" s="831"/>
      <c r="BB335" s="822"/>
      <c r="BC335" s="822"/>
      <c r="BD335" s="822"/>
      <c r="BE335" s="822"/>
      <c r="BF335" s="822"/>
      <c r="BG335" s="822"/>
    </row>
    <row r="336" spans="1:59" ht="12" customHeight="1" x14ac:dyDescent="0.2">
      <c r="A336" s="781"/>
      <c r="B336" s="781"/>
      <c r="C336" s="781"/>
      <c r="D336" s="781"/>
      <c r="E336" s="781"/>
      <c r="F336" s="739"/>
      <c r="G336" s="781"/>
      <c r="H336" s="781"/>
      <c r="I336" s="781"/>
      <c r="J336" s="781"/>
      <c r="K336" s="781"/>
      <c r="L336" s="781"/>
      <c r="M336" s="829"/>
      <c r="N336" s="781"/>
      <c r="O336" s="781"/>
      <c r="P336" s="781"/>
      <c r="Q336" s="781"/>
      <c r="R336" s="781"/>
      <c r="T336" s="781"/>
      <c r="U336" s="781"/>
      <c r="V336" s="781"/>
      <c r="W336" s="781"/>
      <c r="X336" s="781"/>
      <c r="Y336" s="781"/>
      <c r="Z336" s="781"/>
      <c r="AB336" s="781"/>
      <c r="AM336" s="781"/>
      <c r="AN336" s="781"/>
      <c r="AO336" s="781"/>
      <c r="AP336" s="781"/>
      <c r="AQ336" s="781"/>
      <c r="AR336" s="781"/>
      <c r="AS336" s="781"/>
      <c r="AT336" s="781"/>
      <c r="AU336" s="777"/>
      <c r="AV336" s="777"/>
      <c r="AW336" s="830"/>
      <c r="AX336" s="830"/>
      <c r="AY336" s="830"/>
      <c r="AZ336" s="831"/>
      <c r="BA336" s="831"/>
      <c r="BB336" s="822"/>
      <c r="BC336" s="822"/>
      <c r="BD336" s="822"/>
      <c r="BE336" s="822"/>
      <c r="BF336" s="822"/>
      <c r="BG336" s="822"/>
    </row>
    <row r="337" spans="1:59" ht="12" customHeight="1" x14ac:dyDescent="0.2">
      <c r="A337" s="781"/>
      <c r="B337" s="781"/>
      <c r="C337" s="781"/>
      <c r="D337" s="781"/>
      <c r="E337" s="781"/>
      <c r="F337" s="739"/>
      <c r="G337" s="781"/>
      <c r="H337" s="781"/>
      <c r="I337" s="781"/>
      <c r="J337" s="781"/>
      <c r="K337" s="781"/>
      <c r="L337" s="781"/>
      <c r="M337" s="829"/>
      <c r="N337" s="781"/>
      <c r="O337" s="781"/>
      <c r="P337" s="781"/>
      <c r="Q337" s="781"/>
      <c r="R337" s="781"/>
      <c r="T337" s="781"/>
      <c r="U337" s="781"/>
      <c r="V337" s="781"/>
      <c r="W337" s="781"/>
      <c r="X337" s="781"/>
      <c r="Y337" s="781"/>
      <c r="Z337" s="781"/>
      <c r="AB337" s="781"/>
      <c r="AM337" s="781"/>
      <c r="AN337" s="781"/>
      <c r="AO337" s="781"/>
      <c r="AP337" s="781"/>
      <c r="AQ337" s="781"/>
      <c r="AR337" s="781"/>
      <c r="AS337" s="781"/>
      <c r="AT337" s="781"/>
      <c r="AU337" s="777"/>
      <c r="AV337" s="777"/>
      <c r="AW337" s="830"/>
      <c r="AX337" s="830"/>
      <c r="AY337" s="830"/>
      <c r="AZ337" s="831"/>
      <c r="BA337" s="831"/>
      <c r="BB337" s="822"/>
      <c r="BC337" s="822"/>
      <c r="BD337" s="822"/>
      <c r="BE337" s="822"/>
      <c r="BF337" s="822"/>
      <c r="BG337" s="822"/>
    </row>
    <row r="338" spans="1:59" ht="12" customHeight="1" x14ac:dyDescent="0.2">
      <c r="A338" s="781"/>
      <c r="B338" s="781"/>
      <c r="C338" s="781"/>
      <c r="D338" s="781"/>
      <c r="E338" s="781"/>
      <c r="F338" s="739"/>
      <c r="G338" s="781"/>
      <c r="H338" s="781"/>
      <c r="I338" s="781"/>
      <c r="J338" s="781"/>
      <c r="K338" s="781"/>
      <c r="L338" s="781"/>
      <c r="M338" s="829"/>
      <c r="N338" s="781"/>
      <c r="O338" s="781"/>
      <c r="P338" s="781"/>
      <c r="Q338" s="781"/>
      <c r="R338" s="781"/>
      <c r="T338" s="781"/>
      <c r="U338" s="781"/>
      <c r="V338" s="781"/>
      <c r="W338" s="781"/>
      <c r="X338" s="781"/>
      <c r="Y338" s="781"/>
      <c r="Z338" s="781"/>
      <c r="AB338" s="781"/>
      <c r="AM338" s="781"/>
      <c r="AN338" s="781"/>
      <c r="AO338" s="781"/>
      <c r="AP338" s="781"/>
      <c r="AQ338" s="781"/>
      <c r="AR338" s="781"/>
      <c r="AS338" s="781"/>
      <c r="AT338" s="781"/>
      <c r="AU338" s="777"/>
      <c r="AV338" s="777"/>
      <c r="AW338" s="830"/>
      <c r="AX338" s="830"/>
      <c r="AY338" s="830"/>
      <c r="AZ338" s="831"/>
      <c r="BA338" s="831"/>
      <c r="BB338" s="822"/>
      <c r="BC338" s="822"/>
      <c r="BD338" s="822"/>
      <c r="BE338" s="822"/>
      <c r="BF338" s="822"/>
      <c r="BG338" s="822"/>
    </row>
    <row r="339" spans="1:59" ht="12" customHeight="1" x14ac:dyDescent="0.2">
      <c r="B339" s="834"/>
      <c r="C339" s="834"/>
      <c r="D339" s="834"/>
      <c r="E339" s="834"/>
      <c r="F339" s="836"/>
      <c r="G339" s="834"/>
      <c r="H339" s="834"/>
      <c r="I339" s="834"/>
      <c r="J339" s="834"/>
      <c r="K339" s="834"/>
      <c r="L339" s="834"/>
      <c r="M339" s="835"/>
      <c r="N339" s="834"/>
      <c r="O339" s="834"/>
      <c r="P339" s="834"/>
      <c r="Q339" s="834"/>
      <c r="R339" s="834"/>
      <c r="S339" s="834"/>
      <c r="T339" s="834"/>
      <c r="U339" s="834"/>
      <c r="V339" s="834"/>
      <c r="W339" s="834"/>
      <c r="X339" s="834"/>
      <c r="Y339" s="834"/>
      <c r="Z339" s="834"/>
      <c r="AB339" s="834"/>
      <c r="AN339" s="777"/>
      <c r="AO339" s="777"/>
      <c r="AP339" s="777"/>
      <c r="AQ339" s="777"/>
      <c r="AR339" s="777"/>
      <c r="AS339" s="777"/>
      <c r="AT339" s="777"/>
      <c r="AU339" s="777"/>
      <c r="AV339" s="777"/>
      <c r="AW339" s="830"/>
      <c r="AX339" s="830"/>
      <c r="AY339" s="830"/>
      <c r="AZ339" s="831"/>
      <c r="BA339" s="831"/>
      <c r="BB339" s="822"/>
      <c r="BC339" s="822"/>
      <c r="BD339" s="822"/>
      <c r="BE339" s="822"/>
      <c r="BF339" s="822"/>
      <c r="BG339" s="822"/>
    </row>
    <row r="340" spans="1:59" ht="12" customHeight="1" x14ac:dyDescent="0.2">
      <c r="B340" s="834"/>
      <c r="C340" s="834"/>
      <c r="D340" s="834"/>
      <c r="E340" s="834"/>
      <c r="F340" s="836"/>
      <c r="G340" s="834"/>
      <c r="H340" s="834"/>
      <c r="I340" s="834"/>
      <c r="J340" s="834"/>
      <c r="K340" s="834"/>
      <c r="L340" s="834"/>
      <c r="M340" s="835"/>
      <c r="N340" s="834"/>
      <c r="O340" s="834"/>
      <c r="P340" s="834"/>
      <c r="Q340" s="834"/>
      <c r="R340" s="834"/>
      <c r="S340" s="834"/>
      <c r="T340" s="834"/>
      <c r="U340" s="834"/>
      <c r="V340" s="834"/>
      <c r="W340" s="834"/>
      <c r="X340" s="834"/>
      <c r="Y340" s="834"/>
      <c r="Z340" s="834"/>
      <c r="AB340" s="834"/>
      <c r="AN340" s="777"/>
      <c r="AO340" s="777"/>
      <c r="AP340" s="777"/>
      <c r="AQ340" s="777"/>
      <c r="AR340" s="777"/>
      <c r="AS340" s="777"/>
      <c r="AT340" s="777"/>
      <c r="AU340" s="777"/>
      <c r="AV340" s="777"/>
      <c r="AW340" s="830"/>
      <c r="AX340" s="830"/>
      <c r="AY340" s="830"/>
      <c r="AZ340" s="831"/>
      <c r="BA340" s="831"/>
      <c r="BB340" s="822"/>
      <c r="BC340" s="822"/>
      <c r="BD340" s="822"/>
      <c r="BE340" s="822"/>
      <c r="BF340" s="822"/>
      <c r="BG340" s="822"/>
    </row>
    <row r="341" spans="1:59" ht="12" customHeight="1" x14ac:dyDescent="0.2">
      <c r="B341" s="834"/>
      <c r="C341" s="834"/>
      <c r="D341" s="834"/>
      <c r="E341" s="834"/>
      <c r="F341" s="836"/>
      <c r="G341" s="834"/>
      <c r="H341" s="834"/>
      <c r="I341" s="834"/>
      <c r="J341" s="834"/>
      <c r="K341" s="834"/>
      <c r="L341" s="834"/>
      <c r="M341" s="835"/>
      <c r="N341" s="834"/>
      <c r="O341" s="834"/>
      <c r="P341" s="834"/>
      <c r="Q341" s="834"/>
      <c r="R341" s="834"/>
      <c r="S341" s="834"/>
      <c r="T341" s="834"/>
      <c r="U341" s="834"/>
      <c r="V341" s="834"/>
      <c r="W341" s="834"/>
      <c r="X341" s="834"/>
      <c r="Y341" s="834"/>
      <c r="Z341" s="834"/>
      <c r="AB341" s="834"/>
      <c r="AN341" s="777"/>
      <c r="AO341" s="777"/>
      <c r="AP341" s="777"/>
      <c r="AQ341" s="777"/>
      <c r="AR341" s="777"/>
      <c r="AS341" s="777"/>
      <c r="AT341" s="777"/>
      <c r="AU341" s="777"/>
      <c r="AV341" s="777"/>
      <c r="AW341" s="830"/>
      <c r="AX341" s="830"/>
      <c r="AY341" s="830"/>
      <c r="AZ341" s="831"/>
      <c r="BA341" s="831"/>
      <c r="BB341" s="822"/>
      <c r="BC341" s="822"/>
      <c r="BD341" s="822"/>
      <c r="BE341" s="822"/>
      <c r="BF341" s="822"/>
      <c r="BG341" s="822"/>
    </row>
    <row r="342" spans="1:59" ht="12" customHeight="1" x14ac:dyDescent="0.2">
      <c r="B342" s="834"/>
      <c r="C342" s="834"/>
      <c r="D342" s="834"/>
      <c r="E342" s="834"/>
      <c r="F342" s="836"/>
      <c r="G342" s="834"/>
      <c r="H342" s="834"/>
      <c r="I342" s="834"/>
      <c r="J342" s="834"/>
      <c r="K342" s="834"/>
      <c r="L342" s="834"/>
      <c r="M342" s="835"/>
      <c r="N342" s="834"/>
      <c r="O342" s="834"/>
      <c r="P342" s="834"/>
      <c r="Q342" s="834"/>
      <c r="R342" s="834"/>
      <c r="S342" s="834"/>
      <c r="T342" s="834"/>
      <c r="U342" s="834"/>
      <c r="V342" s="834"/>
      <c r="W342" s="834"/>
      <c r="X342" s="834"/>
      <c r="Y342" s="834"/>
      <c r="Z342" s="834"/>
      <c r="AB342" s="834"/>
      <c r="AN342" s="777"/>
      <c r="AO342" s="777"/>
      <c r="AP342" s="777"/>
      <c r="AQ342" s="777"/>
      <c r="AR342" s="777"/>
      <c r="AS342" s="777"/>
      <c r="AT342" s="777"/>
      <c r="AU342" s="777"/>
      <c r="AV342" s="777"/>
      <c r="AW342" s="830"/>
      <c r="AX342" s="830"/>
      <c r="AY342" s="830"/>
      <c r="AZ342" s="831"/>
      <c r="BA342" s="831"/>
      <c r="BB342" s="822"/>
      <c r="BC342" s="822"/>
      <c r="BD342" s="822"/>
      <c r="BE342" s="822"/>
      <c r="BF342" s="822"/>
      <c r="BG342" s="822"/>
    </row>
    <row r="343" spans="1:59" ht="12" customHeight="1" x14ac:dyDescent="0.2">
      <c r="B343" s="834"/>
      <c r="C343" s="834"/>
      <c r="D343" s="834"/>
      <c r="E343" s="834"/>
      <c r="F343" s="836"/>
      <c r="G343" s="834"/>
      <c r="H343" s="834"/>
      <c r="I343" s="834"/>
      <c r="J343" s="834"/>
      <c r="K343" s="834"/>
      <c r="L343" s="834"/>
      <c r="M343" s="835"/>
      <c r="N343" s="834"/>
      <c r="O343" s="834"/>
      <c r="P343" s="834"/>
      <c r="Q343" s="834"/>
      <c r="R343" s="834"/>
      <c r="S343" s="834"/>
      <c r="T343" s="834"/>
      <c r="U343" s="834"/>
      <c r="V343" s="834"/>
      <c r="W343" s="834"/>
      <c r="X343" s="834"/>
      <c r="Y343" s="834"/>
      <c r="Z343" s="834"/>
      <c r="AB343" s="834"/>
      <c r="AN343" s="777"/>
      <c r="AO343" s="777"/>
      <c r="AP343" s="777"/>
      <c r="AQ343" s="777"/>
      <c r="AR343" s="777"/>
      <c r="AS343" s="777"/>
      <c r="AT343" s="777"/>
      <c r="AU343" s="777"/>
      <c r="AV343" s="777"/>
      <c r="AW343" s="830"/>
      <c r="AX343" s="830"/>
      <c r="AY343" s="830"/>
      <c r="AZ343" s="831"/>
      <c r="BA343" s="831"/>
      <c r="BB343" s="822"/>
      <c r="BC343" s="822"/>
      <c r="BD343" s="822"/>
      <c r="BE343" s="822"/>
      <c r="BF343" s="822"/>
      <c r="BG343" s="822"/>
    </row>
    <row r="344" spans="1:59" ht="12" customHeight="1" x14ac:dyDescent="0.2">
      <c r="B344" s="834"/>
      <c r="C344" s="834"/>
      <c r="D344" s="834"/>
      <c r="E344" s="834"/>
      <c r="F344" s="836"/>
      <c r="G344" s="834"/>
      <c r="H344" s="834"/>
      <c r="I344" s="834"/>
      <c r="J344" s="834"/>
      <c r="K344" s="834"/>
      <c r="L344" s="834"/>
      <c r="M344" s="835"/>
      <c r="N344" s="834"/>
      <c r="O344" s="834"/>
      <c r="P344" s="834"/>
      <c r="Q344" s="834"/>
      <c r="R344" s="834"/>
      <c r="S344" s="834"/>
      <c r="T344" s="834"/>
      <c r="U344" s="834"/>
      <c r="V344" s="834"/>
      <c r="W344" s="834"/>
      <c r="X344" s="834"/>
      <c r="Y344" s="834"/>
      <c r="Z344" s="834"/>
      <c r="AB344" s="834"/>
      <c r="AN344" s="777"/>
      <c r="AO344" s="777"/>
      <c r="AP344" s="777"/>
      <c r="AQ344" s="777"/>
      <c r="AR344" s="777"/>
      <c r="AS344" s="777"/>
      <c r="AT344" s="777"/>
      <c r="AU344" s="777"/>
      <c r="AV344" s="777"/>
      <c r="AW344" s="830"/>
      <c r="AX344" s="830"/>
      <c r="AY344" s="830"/>
      <c r="AZ344" s="831"/>
      <c r="BA344" s="831"/>
      <c r="BB344" s="822"/>
      <c r="BC344" s="822"/>
      <c r="BD344" s="822"/>
      <c r="BE344" s="822"/>
      <c r="BF344" s="822"/>
      <c r="BG344" s="822"/>
    </row>
    <row r="345" spans="1:59" ht="12" customHeight="1" x14ac:dyDescent="0.2">
      <c r="B345" s="834"/>
      <c r="C345" s="834"/>
      <c r="D345" s="834"/>
      <c r="E345" s="834"/>
      <c r="F345" s="836"/>
      <c r="G345" s="834"/>
      <c r="H345" s="834"/>
      <c r="I345" s="834"/>
      <c r="J345" s="834"/>
      <c r="K345" s="834"/>
      <c r="L345" s="834"/>
      <c r="M345" s="835"/>
      <c r="N345" s="834"/>
      <c r="O345" s="834"/>
      <c r="P345" s="834"/>
      <c r="Q345" s="834"/>
      <c r="R345" s="834"/>
      <c r="S345" s="834"/>
      <c r="T345" s="834"/>
      <c r="U345" s="834"/>
      <c r="V345" s="834"/>
      <c r="W345" s="834"/>
      <c r="X345" s="834"/>
      <c r="Y345" s="834"/>
      <c r="Z345" s="834"/>
      <c r="AB345" s="834"/>
      <c r="AN345" s="777"/>
      <c r="AO345" s="777"/>
      <c r="AP345" s="777"/>
      <c r="AQ345" s="777"/>
      <c r="AR345" s="777"/>
      <c r="AS345" s="777"/>
      <c r="AT345" s="777"/>
      <c r="AU345" s="777"/>
      <c r="AV345" s="777"/>
      <c r="AW345" s="830"/>
      <c r="AX345" s="830"/>
      <c r="AY345" s="830"/>
      <c r="AZ345" s="831"/>
      <c r="BA345" s="831"/>
      <c r="BB345" s="822"/>
      <c r="BC345" s="822"/>
      <c r="BD345" s="822"/>
      <c r="BE345" s="822"/>
      <c r="BF345" s="822"/>
      <c r="BG345" s="822"/>
    </row>
    <row r="346" spans="1:59" ht="12" customHeight="1" x14ac:dyDescent="0.2">
      <c r="B346" s="834"/>
      <c r="C346" s="834"/>
      <c r="D346" s="834"/>
      <c r="E346" s="834"/>
      <c r="F346" s="836"/>
      <c r="G346" s="834"/>
      <c r="H346" s="834"/>
      <c r="I346" s="834"/>
      <c r="J346" s="834"/>
      <c r="K346" s="834"/>
      <c r="L346" s="834"/>
      <c r="M346" s="835"/>
      <c r="N346" s="834"/>
      <c r="O346" s="834"/>
      <c r="P346" s="834"/>
      <c r="Q346" s="834"/>
      <c r="R346" s="834"/>
      <c r="S346" s="834"/>
      <c r="T346" s="834"/>
      <c r="U346" s="834"/>
      <c r="V346" s="834"/>
      <c r="W346" s="834"/>
      <c r="X346" s="834"/>
      <c r="Y346" s="834"/>
      <c r="Z346" s="834"/>
      <c r="AB346" s="834"/>
      <c r="AN346" s="777"/>
      <c r="AO346" s="777"/>
      <c r="AP346" s="777"/>
      <c r="AQ346" s="777"/>
      <c r="AR346" s="777"/>
      <c r="AS346" s="777"/>
      <c r="AT346" s="777"/>
      <c r="AU346" s="777"/>
      <c r="AV346" s="777"/>
      <c r="AW346" s="830"/>
      <c r="AX346" s="830"/>
      <c r="AY346" s="830"/>
      <c r="AZ346" s="831"/>
      <c r="BA346" s="831"/>
      <c r="BB346" s="822"/>
      <c r="BC346" s="822"/>
      <c r="BD346" s="822"/>
      <c r="BE346" s="822"/>
      <c r="BF346" s="822"/>
      <c r="BG346" s="822"/>
    </row>
    <row r="347" spans="1:59" ht="12" customHeight="1" x14ac:dyDescent="0.2">
      <c r="B347" s="834"/>
      <c r="C347" s="834"/>
      <c r="D347" s="834"/>
      <c r="E347" s="834"/>
      <c r="F347" s="836"/>
      <c r="G347" s="834"/>
      <c r="H347" s="834"/>
      <c r="I347" s="834"/>
      <c r="J347" s="834"/>
      <c r="K347" s="834"/>
      <c r="L347" s="834"/>
      <c r="M347" s="835"/>
      <c r="N347" s="834"/>
      <c r="O347" s="834"/>
      <c r="P347" s="834"/>
      <c r="Q347" s="834"/>
      <c r="R347" s="834"/>
      <c r="S347" s="834"/>
      <c r="T347" s="834"/>
      <c r="U347" s="834"/>
      <c r="V347" s="834"/>
      <c r="W347" s="834"/>
      <c r="X347" s="834"/>
      <c r="Y347" s="834"/>
      <c r="Z347" s="834"/>
      <c r="AB347" s="834"/>
      <c r="AN347" s="777"/>
      <c r="AO347" s="777"/>
      <c r="AP347" s="777"/>
      <c r="AQ347" s="777"/>
      <c r="AR347" s="777"/>
      <c r="AS347" s="777"/>
      <c r="AT347" s="777"/>
      <c r="AU347" s="777"/>
      <c r="AV347" s="777"/>
      <c r="AW347" s="830"/>
      <c r="AX347" s="830"/>
      <c r="AY347" s="830"/>
      <c r="AZ347" s="831"/>
      <c r="BA347" s="831"/>
      <c r="BB347" s="822"/>
      <c r="BC347" s="822"/>
      <c r="BD347" s="822"/>
      <c r="BE347" s="822"/>
      <c r="BF347" s="822"/>
      <c r="BG347" s="822"/>
    </row>
    <row r="348" spans="1:59" ht="12" customHeight="1" x14ac:dyDescent="0.2">
      <c r="B348" s="834"/>
      <c r="C348" s="834"/>
      <c r="D348" s="834"/>
      <c r="E348" s="834"/>
      <c r="F348" s="836"/>
      <c r="G348" s="834"/>
      <c r="H348" s="834"/>
      <c r="I348" s="834"/>
      <c r="J348" s="834"/>
      <c r="K348" s="834"/>
      <c r="L348" s="834"/>
      <c r="M348" s="835"/>
      <c r="N348" s="834"/>
      <c r="O348" s="834"/>
      <c r="P348" s="834"/>
      <c r="Q348" s="834"/>
      <c r="R348" s="834"/>
      <c r="S348" s="834"/>
      <c r="T348" s="834"/>
      <c r="U348" s="834"/>
      <c r="V348" s="834"/>
      <c r="W348" s="834"/>
      <c r="X348" s="834"/>
      <c r="Y348" s="834"/>
      <c r="Z348" s="834"/>
      <c r="AB348" s="834"/>
      <c r="AN348" s="777"/>
      <c r="AO348" s="777"/>
      <c r="AP348" s="777"/>
      <c r="AQ348" s="777"/>
      <c r="AR348" s="777"/>
      <c r="AS348" s="777"/>
      <c r="AT348" s="777"/>
      <c r="AU348" s="777"/>
      <c r="AV348" s="777"/>
      <c r="AW348" s="830"/>
      <c r="AX348" s="830"/>
      <c r="AY348" s="830"/>
      <c r="AZ348" s="831"/>
      <c r="BA348" s="831"/>
      <c r="BB348" s="822"/>
      <c r="BC348" s="822"/>
      <c r="BD348" s="822"/>
      <c r="BE348" s="822"/>
      <c r="BF348" s="822"/>
      <c r="BG348" s="822"/>
    </row>
    <row r="349" spans="1:59" ht="12" customHeight="1" x14ac:dyDescent="0.2">
      <c r="B349" s="834"/>
      <c r="C349" s="834"/>
      <c r="D349" s="834"/>
      <c r="E349" s="834"/>
      <c r="F349" s="836"/>
      <c r="G349" s="834"/>
      <c r="H349" s="834"/>
      <c r="I349" s="834"/>
      <c r="J349" s="834"/>
      <c r="K349" s="834"/>
      <c r="L349" s="834"/>
      <c r="M349" s="835"/>
      <c r="N349" s="834"/>
      <c r="O349" s="834"/>
      <c r="P349" s="834"/>
      <c r="Q349" s="834"/>
      <c r="R349" s="834"/>
      <c r="S349" s="834"/>
      <c r="T349" s="834"/>
      <c r="U349" s="834"/>
      <c r="V349" s="834"/>
      <c r="W349" s="834"/>
      <c r="X349" s="834"/>
      <c r="Y349" s="834"/>
      <c r="Z349" s="834"/>
      <c r="AB349" s="834"/>
      <c r="AN349" s="777"/>
      <c r="AO349" s="777"/>
      <c r="AP349" s="777"/>
      <c r="AQ349" s="777"/>
      <c r="AR349" s="777"/>
      <c r="AS349" s="777"/>
      <c r="AT349" s="777"/>
      <c r="AU349" s="777"/>
      <c r="AV349" s="777"/>
      <c r="AW349" s="830"/>
      <c r="AX349" s="830"/>
      <c r="AY349" s="830"/>
      <c r="AZ349" s="831"/>
      <c r="BA349" s="831"/>
      <c r="BB349" s="822"/>
      <c r="BC349" s="822"/>
      <c r="BD349" s="822"/>
      <c r="BE349" s="822"/>
      <c r="BF349" s="822"/>
      <c r="BG349" s="822"/>
    </row>
    <row r="350" spans="1:59" ht="12" customHeight="1" x14ac:dyDescent="0.2">
      <c r="B350" s="834"/>
      <c r="C350" s="834"/>
      <c r="D350" s="834"/>
      <c r="E350" s="834"/>
      <c r="F350" s="836"/>
      <c r="G350" s="834"/>
      <c r="H350" s="834"/>
      <c r="I350" s="834"/>
      <c r="J350" s="834"/>
      <c r="K350" s="834"/>
      <c r="L350" s="834"/>
      <c r="M350" s="835"/>
      <c r="N350" s="834"/>
      <c r="O350" s="834"/>
      <c r="P350" s="834"/>
      <c r="Q350" s="834"/>
      <c r="R350" s="834"/>
      <c r="S350" s="834"/>
      <c r="T350" s="834"/>
      <c r="U350" s="834"/>
      <c r="V350" s="834"/>
      <c r="W350" s="834"/>
      <c r="X350" s="834"/>
      <c r="Y350" s="834"/>
      <c r="Z350" s="834"/>
      <c r="AB350" s="834"/>
      <c r="AN350" s="777"/>
      <c r="AO350" s="777"/>
      <c r="AP350" s="777"/>
      <c r="AQ350" s="777"/>
      <c r="AR350" s="777"/>
      <c r="AS350" s="777"/>
      <c r="AT350" s="777"/>
      <c r="AU350" s="777"/>
      <c r="AV350" s="777"/>
      <c r="AW350" s="830"/>
      <c r="AX350" s="830"/>
      <c r="AY350" s="830"/>
      <c r="AZ350" s="831"/>
      <c r="BA350" s="831"/>
      <c r="BB350" s="822"/>
      <c r="BC350" s="822"/>
      <c r="BD350" s="822"/>
      <c r="BE350" s="822"/>
      <c r="BF350" s="822"/>
      <c r="BG350" s="822"/>
    </row>
    <row r="351" spans="1:59" ht="12" customHeight="1" x14ac:dyDescent="0.2">
      <c r="B351" s="834"/>
      <c r="C351" s="834"/>
      <c r="D351" s="834"/>
      <c r="E351" s="834"/>
      <c r="F351" s="836"/>
      <c r="G351" s="834"/>
      <c r="H351" s="834"/>
      <c r="I351" s="834"/>
      <c r="J351" s="834"/>
      <c r="K351" s="834"/>
      <c r="L351" s="834"/>
      <c r="M351" s="835"/>
      <c r="N351" s="834"/>
      <c r="O351" s="835"/>
      <c r="P351" s="835"/>
      <c r="Q351" s="835"/>
      <c r="R351" s="835"/>
      <c r="S351" s="835"/>
      <c r="T351" s="834"/>
      <c r="U351" s="835"/>
      <c r="V351" s="835"/>
      <c r="W351" s="835"/>
      <c r="X351" s="835"/>
      <c r="Y351" s="835"/>
      <c r="Z351" s="835"/>
      <c r="AB351" s="834"/>
      <c r="AN351" s="830"/>
      <c r="AO351" s="830"/>
      <c r="AP351" s="830"/>
      <c r="AQ351" s="830"/>
      <c r="AR351" s="830"/>
      <c r="AS351" s="830"/>
      <c r="AT351" s="830"/>
      <c r="AU351" s="830"/>
      <c r="AV351" s="830"/>
      <c r="AW351" s="830"/>
      <c r="AX351" s="830"/>
      <c r="AY351" s="830"/>
      <c r="AZ351" s="831"/>
      <c r="BA351" s="831"/>
      <c r="BB351" s="822"/>
      <c r="BC351" s="822"/>
      <c r="BD351" s="822"/>
      <c r="BE351" s="822"/>
      <c r="BF351" s="822"/>
      <c r="BG351" s="822"/>
    </row>
    <row r="352" spans="1:59" ht="12" customHeight="1" x14ac:dyDescent="0.2">
      <c r="B352" s="834"/>
      <c r="C352" s="834"/>
      <c r="D352" s="834"/>
      <c r="E352" s="834"/>
      <c r="F352" s="836"/>
      <c r="G352" s="834"/>
      <c r="H352" s="834"/>
      <c r="I352" s="834"/>
      <c r="J352" s="834"/>
      <c r="K352" s="834"/>
      <c r="L352" s="834"/>
      <c r="M352" s="835"/>
      <c r="N352" s="834"/>
      <c r="O352" s="835"/>
      <c r="P352" s="835"/>
      <c r="Q352" s="835"/>
      <c r="R352" s="835"/>
      <c r="S352" s="835"/>
      <c r="T352" s="834"/>
      <c r="U352" s="835"/>
      <c r="V352" s="835"/>
      <c r="W352" s="835"/>
      <c r="X352" s="835"/>
      <c r="Y352" s="835"/>
      <c r="Z352" s="835"/>
      <c r="AB352" s="834"/>
      <c r="AN352" s="830"/>
      <c r="AO352" s="830"/>
      <c r="AP352" s="830"/>
      <c r="AQ352" s="830"/>
      <c r="AR352" s="830"/>
      <c r="AS352" s="830"/>
      <c r="AT352" s="830"/>
      <c r="AU352" s="830"/>
      <c r="AV352" s="830"/>
      <c r="AW352" s="830"/>
      <c r="AX352" s="830"/>
      <c r="AY352" s="830"/>
      <c r="AZ352" s="831"/>
      <c r="BA352" s="831"/>
      <c r="BB352" s="822"/>
      <c r="BC352" s="822"/>
      <c r="BD352" s="822"/>
      <c r="BE352" s="822"/>
      <c r="BF352" s="822"/>
      <c r="BG352" s="822"/>
    </row>
    <row r="353" spans="2:59" ht="12" customHeight="1" x14ac:dyDescent="0.2">
      <c r="B353" s="834"/>
      <c r="C353" s="834"/>
      <c r="D353" s="834"/>
      <c r="E353" s="834"/>
      <c r="F353" s="836"/>
      <c r="G353" s="834"/>
      <c r="H353" s="834"/>
      <c r="I353" s="834"/>
      <c r="J353" s="834"/>
      <c r="K353" s="834"/>
      <c r="L353" s="834"/>
      <c r="M353" s="835"/>
      <c r="N353" s="834"/>
      <c r="O353" s="835"/>
      <c r="P353" s="835"/>
      <c r="Q353" s="835"/>
      <c r="R353" s="835"/>
      <c r="S353" s="835"/>
      <c r="T353" s="834"/>
      <c r="U353" s="835"/>
      <c r="V353" s="835"/>
      <c r="W353" s="835"/>
      <c r="X353" s="835"/>
      <c r="Y353" s="835"/>
      <c r="Z353" s="835"/>
      <c r="AB353" s="834"/>
      <c r="AN353" s="830"/>
      <c r="AO353" s="830"/>
      <c r="AP353" s="830"/>
      <c r="AQ353" s="830"/>
      <c r="AR353" s="830"/>
      <c r="AS353" s="830"/>
      <c r="AT353" s="830"/>
      <c r="AU353" s="830"/>
      <c r="AV353" s="830"/>
      <c r="AW353" s="830"/>
      <c r="AX353" s="830"/>
      <c r="AY353" s="830"/>
      <c r="AZ353" s="831"/>
      <c r="BA353" s="831"/>
      <c r="BB353" s="822"/>
      <c r="BC353" s="822"/>
      <c r="BD353" s="822"/>
      <c r="BE353" s="822"/>
      <c r="BF353" s="822"/>
      <c r="BG353" s="822"/>
    </row>
    <row r="354" spans="2:59" ht="12" customHeight="1" x14ac:dyDescent="0.2">
      <c r="B354" s="834"/>
      <c r="C354" s="834"/>
      <c r="D354" s="834"/>
      <c r="E354" s="834"/>
      <c r="F354" s="836"/>
      <c r="G354" s="834"/>
      <c r="H354" s="834"/>
      <c r="I354" s="834"/>
      <c r="J354" s="834"/>
      <c r="K354" s="834"/>
      <c r="L354" s="834"/>
      <c r="M354" s="835"/>
      <c r="N354" s="834"/>
      <c r="O354" s="835"/>
      <c r="P354" s="835"/>
      <c r="Q354" s="835"/>
      <c r="R354" s="835"/>
      <c r="S354" s="835"/>
      <c r="T354" s="834"/>
      <c r="U354" s="835"/>
      <c r="V354" s="835"/>
      <c r="W354" s="835"/>
      <c r="X354" s="835"/>
      <c r="Y354" s="835"/>
      <c r="Z354" s="835"/>
      <c r="AB354" s="834"/>
      <c r="AN354" s="830"/>
      <c r="AO354" s="830"/>
      <c r="AP354" s="830"/>
      <c r="AQ354" s="830"/>
      <c r="AR354" s="830"/>
      <c r="AS354" s="830"/>
      <c r="AT354" s="830"/>
      <c r="AU354" s="830"/>
      <c r="AV354" s="830"/>
      <c r="AW354" s="830"/>
      <c r="AX354" s="830"/>
      <c r="AY354" s="830"/>
      <c r="AZ354" s="831"/>
      <c r="BA354" s="831"/>
      <c r="BB354" s="822"/>
      <c r="BC354" s="822"/>
      <c r="BD354" s="822"/>
      <c r="BE354" s="822"/>
      <c r="BF354" s="822"/>
      <c r="BG354" s="822"/>
    </row>
    <row r="355" spans="2:59" ht="12" customHeight="1" x14ac:dyDescent="0.2">
      <c r="B355" s="834"/>
      <c r="C355" s="834"/>
      <c r="D355" s="834"/>
      <c r="E355" s="834"/>
      <c r="F355" s="836"/>
      <c r="G355" s="834"/>
      <c r="H355" s="834"/>
      <c r="I355" s="834"/>
      <c r="J355" s="834"/>
      <c r="K355" s="834"/>
      <c r="L355" s="834"/>
      <c r="M355" s="835"/>
      <c r="N355" s="834"/>
      <c r="O355" s="835"/>
      <c r="P355" s="835"/>
      <c r="Q355" s="835"/>
      <c r="R355" s="835"/>
      <c r="S355" s="835"/>
      <c r="T355" s="834"/>
      <c r="U355" s="835"/>
      <c r="V355" s="835"/>
      <c r="W355" s="835"/>
      <c r="X355" s="835"/>
      <c r="Y355" s="835"/>
      <c r="Z355" s="835"/>
      <c r="AB355" s="834"/>
      <c r="AN355" s="830"/>
      <c r="AO355" s="830"/>
      <c r="AP355" s="830"/>
      <c r="AQ355" s="830"/>
      <c r="AR355" s="830"/>
      <c r="AS355" s="830"/>
      <c r="AT355" s="830"/>
      <c r="AU355" s="830"/>
      <c r="AV355" s="830"/>
      <c r="AW355" s="830"/>
      <c r="AX355" s="830"/>
      <c r="AY355" s="830"/>
      <c r="AZ355" s="831"/>
      <c r="BA355" s="831"/>
      <c r="BB355" s="822"/>
      <c r="BC355" s="822"/>
      <c r="BD355" s="822"/>
      <c r="BE355" s="822"/>
      <c r="BF355" s="822"/>
      <c r="BG355" s="822"/>
    </row>
    <row r="356" spans="2:59" ht="12" customHeight="1" x14ac:dyDescent="0.2">
      <c r="B356" s="834"/>
      <c r="C356" s="834"/>
      <c r="D356" s="834"/>
      <c r="E356" s="834"/>
      <c r="F356" s="836"/>
      <c r="G356" s="834"/>
      <c r="H356" s="834"/>
      <c r="I356" s="834"/>
      <c r="J356" s="834"/>
      <c r="K356" s="834"/>
      <c r="L356" s="834"/>
      <c r="M356" s="835"/>
      <c r="N356" s="834"/>
      <c r="O356" s="835"/>
      <c r="P356" s="835"/>
      <c r="Q356" s="835"/>
      <c r="R356" s="835"/>
      <c r="S356" s="835"/>
      <c r="T356" s="834"/>
      <c r="U356" s="835"/>
      <c r="V356" s="835"/>
      <c r="W356" s="835"/>
      <c r="X356" s="835"/>
      <c r="Y356" s="835"/>
      <c r="Z356" s="835"/>
      <c r="AB356" s="834"/>
      <c r="AN356" s="830"/>
      <c r="AO356" s="830"/>
      <c r="AP356" s="830"/>
      <c r="AQ356" s="830"/>
      <c r="AR356" s="830"/>
      <c r="AS356" s="830"/>
      <c r="AT356" s="830"/>
      <c r="AU356" s="830"/>
      <c r="AV356" s="830"/>
      <c r="AW356" s="830"/>
      <c r="AX356" s="830"/>
      <c r="AY356" s="830"/>
      <c r="AZ356" s="831"/>
      <c r="BA356" s="831"/>
      <c r="BB356" s="822"/>
      <c r="BC356" s="822"/>
      <c r="BD356" s="822"/>
      <c r="BE356" s="822"/>
      <c r="BF356" s="822"/>
      <c r="BG356" s="822"/>
    </row>
    <row r="357" spans="2:59" ht="12" customHeight="1" x14ac:dyDescent="0.2">
      <c r="B357" s="834"/>
      <c r="C357" s="834"/>
      <c r="D357" s="834"/>
      <c r="E357" s="834"/>
      <c r="F357" s="836"/>
      <c r="G357" s="834"/>
      <c r="H357" s="834"/>
      <c r="I357" s="834"/>
      <c r="J357" s="834"/>
      <c r="K357" s="834"/>
      <c r="L357" s="834"/>
      <c r="M357" s="835"/>
      <c r="N357" s="834"/>
      <c r="O357" s="835"/>
      <c r="P357" s="835"/>
      <c r="Q357" s="835"/>
      <c r="R357" s="835"/>
      <c r="S357" s="835"/>
      <c r="T357" s="834"/>
      <c r="U357" s="835"/>
      <c r="V357" s="835"/>
      <c r="W357" s="835"/>
      <c r="X357" s="835"/>
      <c r="Y357" s="835"/>
      <c r="Z357" s="835"/>
      <c r="AB357" s="834"/>
      <c r="AN357" s="830"/>
      <c r="AO357" s="830"/>
      <c r="AP357" s="830"/>
      <c r="AQ357" s="830"/>
      <c r="AR357" s="830"/>
      <c r="AS357" s="830"/>
      <c r="AT357" s="830"/>
      <c r="AU357" s="830"/>
      <c r="AV357" s="830"/>
      <c r="AW357" s="830"/>
      <c r="AX357" s="830"/>
      <c r="AY357" s="830"/>
      <c r="AZ357" s="831"/>
      <c r="BA357" s="831"/>
      <c r="BB357" s="822"/>
      <c r="BC357" s="822"/>
      <c r="BD357" s="822"/>
      <c r="BE357" s="822"/>
      <c r="BF357" s="822"/>
      <c r="BG357" s="822"/>
    </row>
    <row r="358" spans="2:59" ht="12" customHeight="1" x14ac:dyDescent="0.2">
      <c r="B358" s="834"/>
      <c r="C358" s="834"/>
      <c r="D358" s="834"/>
      <c r="E358" s="834"/>
      <c r="F358" s="836"/>
      <c r="G358" s="834"/>
      <c r="H358" s="834"/>
      <c r="I358" s="834"/>
      <c r="J358" s="834"/>
      <c r="K358" s="834"/>
      <c r="L358" s="834"/>
      <c r="M358" s="835"/>
      <c r="N358" s="834"/>
      <c r="O358" s="835"/>
      <c r="P358" s="835"/>
      <c r="Q358" s="835"/>
      <c r="R358" s="835"/>
      <c r="S358" s="835"/>
      <c r="T358" s="834"/>
      <c r="U358" s="835"/>
      <c r="V358" s="835"/>
      <c r="W358" s="835"/>
      <c r="X358" s="835"/>
      <c r="Y358" s="835"/>
      <c r="Z358" s="835"/>
      <c r="AB358" s="834"/>
      <c r="AN358" s="830"/>
      <c r="AO358" s="830"/>
      <c r="AP358" s="830"/>
      <c r="AQ358" s="830"/>
      <c r="AR358" s="830"/>
      <c r="AS358" s="830"/>
      <c r="AT358" s="830"/>
      <c r="AU358" s="830"/>
      <c r="AV358" s="830"/>
      <c r="AW358" s="830"/>
      <c r="AX358" s="830"/>
      <c r="AY358" s="830"/>
      <c r="AZ358" s="831"/>
      <c r="BA358" s="831"/>
      <c r="BB358" s="822"/>
      <c r="BC358" s="822"/>
      <c r="BD358" s="822"/>
      <c r="BE358" s="822"/>
      <c r="BF358" s="822"/>
      <c r="BG358" s="822"/>
    </row>
    <row r="359" spans="2:59" ht="12" customHeight="1" x14ac:dyDescent="0.2">
      <c r="B359" s="834"/>
      <c r="C359" s="834"/>
      <c r="D359" s="834"/>
      <c r="E359" s="834"/>
      <c r="F359" s="836"/>
      <c r="G359" s="834"/>
      <c r="H359" s="834"/>
      <c r="I359" s="834"/>
      <c r="J359" s="834"/>
      <c r="K359" s="834"/>
      <c r="L359" s="834"/>
      <c r="M359" s="835"/>
      <c r="N359" s="834"/>
      <c r="O359" s="835"/>
      <c r="P359" s="835"/>
      <c r="Q359" s="835"/>
      <c r="R359" s="835"/>
      <c r="S359" s="835"/>
      <c r="T359" s="834"/>
      <c r="U359" s="835"/>
      <c r="V359" s="835"/>
      <c r="W359" s="835"/>
      <c r="X359" s="835"/>
      <c r="Y359" s="835"/>
      <c r="Z359" s="835"/>
      <c r="AB359" s="834"/>
      <c r="AN359" s="830"/>
      <c r="AO359" s="830"/>
      <c r="AP359" s="830"/>
      <c r="AQ359" s="830"/>
      <c r="AR359" s="830"/>
      <c r="AS359" s="830"/>
      <c r="AT359" s="830"/>
      <c r="AU359" s="830"/>
      <c r="AV359" s="830"/>
      <c r="AW359" s="830"/>
      <c r="AX359" s="830"/>
      <c r="AY359" s="830"/>
      <c r="AZ359" s="831"/>
      <c r="BA359" s="831"/>
      <c r="BB359" s="822"/>
      <c r="BC359" s="822"/>
      <c r="BD359" s="822"/>
      <c r="BE359" s="822"/>
      <c r="BF359" s="822"/>
      <c r="BG359" s="822"/>
    </row>
    <row r="360" spans="2:59" ht="12" customHeight="1" x14ac:dyDescent="0.2">
      <c r="F360" s="739"/>
      <c r="M360" s="830"/>
      <c r="O360" s="830"/>
      <c r="P360" s="830"/>
      <c r="Q360" s="830"/>
      <c r="R360" s="830"/>
      <c r="S360" s="830"/>
      <c r="U360" s="830"/>
      <c r="V360" s="830"/>
      <c r="W360" s="830"/>
      <c r="X360" s="830"/>
      <c r="Y360" s="830"/>
      <c r="Z360" s="830"/>
      <c r="AN360" s="830"/>
      <c r="AO360" s="830"/>
      <c r="AP360" s="830"/>
      <c r="AQ360" s="830"/>
      <c r="AR360" s="830"/>
      <c r="AS360" s="830"/>
      <c r="AT360" s="830"/>
      <c r="AU360" s="830"/>
      <c r="AV360" s="830"/>
      <c r="AW360" s="830"/>
      <c r="AX360" s="830"/>
      <c r="AY360" s="830"/>
      <c r="AZ360" s="831"/>
      <c r="BA360" s="831"/>
      <c r="BB360" s="822"/>
      <c r="BC360" s="822"/>
      <c r="BD360" s="822"/>
      <c r="BE360" s="822"/>
      <c r="BF360" s="822"/>
      <c r="BG360" s="822"/>
    </row>
    <row r="361" spans="2:59" ht="12" customHeight="1" x14ac:dyDescent="0.2">
      <c r="F361" s="739"/>
      <c r="M361" s="830"/>
      <c r="O361" s="830"/>
      <c r="P361" s="830"/>
      <c r="Q361" s="830"/>
      <c r="R361" s="830"/>
      <c r="S361" s="830"/>
      <c r="U361" s="830"/>
      <c r="V361" s="830"/>
      <c r="W361" s="830"/>
      <c r="X361" s="830"/>
      <c r="Y361" s="830"/>
      <c r="Z361" s="830"/>
      <c r="AN361" s="830"/>
      <c r="AO361" s="830"/>
      <c r="AP361" s="830"/>
      <c r="AQ361" s="830"/>
      <c r="AR361" s="830"/>
      <c r="AS361" s="830"/>
      <c r="AT361" s="830"/>
      <c r="AU361" s="830"/>
      <c r="AV361" s="830"/>
      <c r="AW361" s="830"/>
      <c r="AX361" s="830"/>
      <c r="AY361" s="830"/>
      <c r="AZ361" s="831"/>
      <c r="BA361" s="831"/>
      <c r="BB361" s="822"/>
      <c r="BC361" s="822"/>
      <c r="BD361" s="822"/>
      <c r="BE361" s="822"/>
      <c r="BF361" s="822"/>
      <c r="BG361" s="822"/>
    </row>
    <row r="362" spans="2:59" ht="12" customHeight="1" x14ac:dyDescent="0.2">
      <c r="F362" s="739"/>
      <c r="M362" s="830"/>
      <c r="O362" s="830"/>
      <c r="P362" s="830"/>
      <c r="Q362" s="830"/>
      <c r="R362" s="830"/>
      <c r="S362" s="830"/>
      <c r="U362" s="830"/>
      <c r="V362" s="830"/>
      <c r="W362" s="830"/>
      <c r="X362" s="830"/>
      <c r="Y362" s="830"/>
      <c r="Z362" s="830"/>
      <c r="AN362" s="830"/>
      <c r="AO362" s="830"/>
      <c r="AP362" s="830"/>
      <c r="AQ362" s="830"/>
      <c r="AR362" s="830"/>
      <c r="AS362" s="830"/>
      <c r="AT362" s="830"/>
      <c r="AU362" s="830"/>
      <c r="AV362" s="830"/>
      <c r="AW362" s="830"/>
      <c r="AX362" s="830"/>
      <c r="AY362" s="830"/>
      <c r="AZ362" s="831"/>
      <c r="BA362" s="831"/>
      <c r="BB362" s="822"/>
      <c r="BC362" s="822"/>
      <c r="BD362" s="822"/>
      <c r="BE362" s="822"/>
      <c r="BF362" s="822"/>
      <c r="BG362" s="822"/>
    </row>
    <row r="363" spans="2:59" ht="12" customHeight="1" x14ac:dyDescent="0.2">
      <c r="F363" s="739"/>
      <c r="M363" s="830"/>
      <c r="O363" s="830"/>
      <c r="P363" s="830"/>
      <c r="Q363" s="830"/>
      <c r="R363" s="830"/>
      <c r="S363" s="830"/>
      <c r="U363" s="830"/>
      <c r="V363" s="830"/>
      <c r="W363" s="830"/>
      <c r="X363" s="830"/>
      <c r="Y363" s="830"/>
      <c r="Z363" s="830"/>
      <c r="AN363" s="830"/>
      <c r="AO363" s="830"/>
      <c r="AP363" s="830"/>
      <c r="AQ363" s="830"/>
      <c r="AR363" s="830"/>
      <c r="AS363" s="830"/>
      <c r="AT363" s="830"/>
      <c r="AU363" s="830"/>
      <c r="AV363" s="830"/>
      <c r="AW363" s="830"/>
      <c r="AX363" s="830"/>
      <c r="AY363" s="830"/>
      <c r="AZ363" s="831"/>
      <c r="BA363" s="831"/>
      <c r="BB363" s="822"/>
      <c r="BC363" s="822"/>
      <c r="BD363" s="822"/>
      <c r="BE363" s="822"/>
      <c r="BF363" s="822"/>
      <c r="BG363" s="822"/>
    </row>
    <row r="364" spans="2:59" ht="12" customHeight="1" x14ac:dyDescent="0.2">
      <c r="F364" s="739"/>
      <c r="M364" s="830"/>
      <c r="O364" s="830"/>
      <c r="P364" s="830"/>
      <c r="Q364" s="830"/>
      <c r="R364" s="830"/>
      <c r="S364" s="830"/>
      <c r="U364" s="830"/>
      <c r="V364" s="830"/>
      <c r="W364" s="830"/>
      <c r="X364" s="830"/>
      <c r="Y364" s="830"/>
      <c r="Z364" s="830"/>
      <c r="AN364" s="830"/>
      <c r="AO364" s="830"/>
      <c r="AP364" s="830"/>
      <c r="AQ364" s="830"/>
      <c r="AR364" s="830"/>
      <c r="AS364" s="830"/>
      <c r="AT364" s="830"/>
      <c r="AU364" s="830"/>
      <c r="AV364" s="830"/>
      <c r="AW364" s="830"/>
      <c r="AX364" s="830"/>
      <c r="AY364" s="830"/>
      <c r="AZ364" s="831"/>
      <c r="BA364" s="831"/>
      <c r="BB364" s="822"/>
      <c r="BC364" s="822"/>
      <c r="BD364" s="822"/>
      <c r="BE364" s="822"/>
      <c r="BF364" s="822"/>
      <c r="BG364" s="822"/>
    </row>
    <row r="365" spans="2:59" ht="12" customHeight="1" x14ac:dyDescent="0.2">
      <c r="F365" s="739"/>
      <c r="M365" s="830"/>
      <c r="O365" s="830"/>
      <c r="P365" s="830"/>
      <c r="Q365" s="830"/>
      <c r="R365" s="830"/>
      <c r="S365" s="830"/>
      <c r="U365" s="830"/>
      <c r="V365" s="830"/>
      <c r="W365" s="830"/>
      <c r="X365" s="830"/>
      <c r="Y365" s="830"/>
      <c r="Z365" s="830"/>
      <c r="AN365" s="830"/>
      <c r="AO365" s="830"/>
      <c r="AP365" s="830"/>
      <c r="AQ365" s="830"/>
      <c r="AR365" s="830"/>
      <c r="AS365" s="830"/>
      <c r="AT365" s="830"/>
      <c r="AU365" s="830"/>
      <c r="AV365" s="830"/>
      <c r="AW365" s="830"/>
      <c r="AX365" s="830"/>
      <c r="AY365" s="830"/>
      <c r="AZ365" s="831"/>
      <c r="BA365" s="831"/>
      <c r="BB365" s="822"/>
      <c r="BC365" s="822"/>
      <c r="BD365" s="822"/>
      <c r="BE365" s="822"/>
      <c r="BF365" s="822"/>
      <c r="BG365" s="822"/>
    </row>
    <row r="366" spans="2:59" ht="12" customHeight="1" x14ac:dyDescent="0.2">
      <c r="F366" s="739"/>
      <c r="M366" s="830"/>
      <c r="O366" s="830"/>
      <c r="P366" s="830"/>
      <c r="Q366" s="830"/>
      <c r="R366" s="830"/>
      <c r="S366" s="830"/>
      <c r="U366" s="830"/>
      <c r="V366" s="830"/>
      <c r="W366" s="830"/>
      <c r="X366" s="830"/>
      <c r="Y366" s="830"/>
      <c r="Z366" s="830"/>
      <c r="AN366" s="830"/>
      <c r="AO366" s="830"/>
      <c r="AP366" s="830"/>
      <c r="AQ366" s="830"/>
      <c r="AR366" s="830"/>
      <c r="AS366" s="830"/>
      <c r="AT366" s="830"/>
      <c r="AU366" s="830"/>
      <c r="AV366" s="830"/>
      <c r="AW366" s="830"/>
      <c r="AX366" s="830"/>
      <c r="AY366" s="830"/>
      <c r="AZ366" s="831"/>
      <c r="BA366" s="831"/>
      <c r="BB366" s="822"/>
      <c r="BC366" s="822"/>
      <c r="BD366" s="822"/>
      <c r="BE366" s="822"/>
      <c r="BF366" s="822"/>
      <c r="BG366" s="822"/>
    </row>
    <row r="367" spans="2:59" ht="12" customHeight="1" x14ac:dyDescent="0.2">
      <c r="F367" s="739"/>
      <c r="M367" s="830"/>
      <c r="O367" s="830"/>
      <c r="P367" s="830"/>
      <c r="Q367" s="830"/>
      <c r="R367" s="830"/>
      <c r="S367" s="830"/>
      <c r="U367" s="830"/>
      <c r="V367" s="830"/>
      <c r="W367" s="830"/>
      <c r="X367" s="830"/>
      <c r="Y367" s="830"/>
      <c r="Z367" s="830"/>
      <c r="AN367" s="830"/>
      <c r="AO367" s="830"/>
      <c r="AP367" s="830"/>
      <c r="AQ367" s="830"/>
      <c r="AR367" s="830"/>
      <c r="AS367" s="830"/>
      <c r="AT367" s="830"/>
      <c r="AU367" s="830"/>
      <c r="AV367" s="830"/>
      <c r="AW367" s="830"/>
      <c r="AX367" s="830"/>
      <c r="AY367" s="830"/>
      <c r="AZ367" s="831"/>
      <c r="BA367" s="831"/>
      <c r="BB367" s="822"/>
      <c r="BC367" s="822"/>
      <c r="BD367" s="822"/>
      <c r="BE367" s="822"/>
      <c r="BF367" s="822"/>
      <c r="BG367" s="822"/>
    </row>
    <row r="368" spans="2:59" ht="12" customHeight="1" x14ac:dyDescent="0.2">
      <c r="F368" s="739"/>
      <c r="M368" s="830"/>
      <c r="O368" s="830"/>
      <c r="P368" s="830"/>
      <c r="Q368" s="830"/>
      <c r="R368" s="830"/>
      <c r="S368" s="830"/>
      <c r="U368" s="830"/>
      <c r="V368" s="830"/>
      <c r="W368" s="830"/>
      <c r="X368" s="830"/>
      <c r="Y368" s="830"/>
      <c r="Z368" s="830"/>
      <c r="AN368" s="830"/>
      <c r="AO368" s="830"/>
      <c r="AP368" s="830"/>
      <c r="AQ368" s="830"/>
      <c r="AR368" s="830"/>
      <c r="AS368" s="830"/>
      <c r="AT368" s="830"/>
      <c r="AU368" s="830"/>
      <c r="AV368" s="830"/>
      <c r="AW368" s="830"/>
      <c r="AX368" s="830"/>
      <c r="AY368" s="830"/>
      <c r="AZ368" s="831"/>
      <c r="BA368" s="831"/>
      <c r="BB368" s="822"/>
      <c r="BC368" s="822"/>
      <c r="BD368" s="822"/>
      <c r="BE368" s="822"/>
      <c r="BF368" s="822"/>
      <c r="BG368" s="822"/>
    </row>
    <row r="369" spans="6:59" ht="12" customHeight="1" x14ac:dyDescent="0.2">
      <c r="F369" s="739"/>
      <c r="M369" s="830"/>
      <c r="O369" s="830"/>
      <c r="P369" s="830"/>
      <c r="Q369" s="830"/>
      <c r="R369" s="830"/>
      <c r="S369" s="830"/>
      <c r="U369" s="830"/>
      <c r="V369" s="830"/>
      <c r="W369" s="830"/>
      <c r="X369" s="830"/>
      <c r="Y369" s="830"/>
      <c r="Z369" s="830"/>
      <c r="AN369" s="830"/>
      <c r="AO369" s="830"/>
      <c r="AP369" s="830"/>
      <c r="AQ369" s="830"/>
      <c r="AR369" s="830"/>
      <c r="AS369" s="830"/>
      <c r="AT369" s="830"/>
      <c r="AU369" s="830"/>
      <c r="AV369" s="830"/>
      <c r="AW369" s="830"/>
      <c r="AX369" s="830"/>
      <c r="AY369" s="830"/>
      <c r="AZ369" s="831"/>
      <c r="BA369" s="831"/>
      <c r="BB369" s="822"/>
      <c r="BC369" s="822"/>
      <c r="BD369" s="822"/>
      <c r="BE369" s="822"/>
      <c r="BF369" s="822"/>
      <c r="BG369" s="822"/>
    </row>
    <row r="370" spans="6:59" ht="12" customHeight="1" x14ac:dyDescent="0.2">
      <c r="F370" s="739"/>
      <c r="M370" s="830"/>
      <c r="O370" s="830"/>
      <c r="P370" s="830"/>
      <c r="Q370" s="830"/>
      <c r="R370" s="830"/>
      <c r="S370" s="830"/>
      <c r="U370" s="830"/>
      <c r="V370" s="830"/>
      <c r="W370" s="830"/>
      <c r="X370" s="830"/>
      <c r="Y370" s="830"/>
      <c r="Z370" s="830"/>
      <c r="AN370" s="830"/>
      <c r="AO370" s="830"/>
      <c r="AP370" s="830"/>
      <c r="AQ370" s="830"/>
      <c r="AR370" s="830"/>
      <c r="AS370" s="830"/>
      <c r="AT370" s="830"/>
      <c r="AU370" s="830"/>
      <c r="AV370" s="830"/>
      <c r="AW370" s="830"/>
      <c r="AX370" s="830"/>
      <c r="AY370" s="830"/>
      <c r="AZ370" s="831"/>
      <c r="BA370" s="831"/>
      <c r="BB370" s="822"/>
      <c r="BC370" s="822"/>
      <c r="BD370" s="822"/>
      <c r="BE370" s="822"/>
      <c r="BF370" s="822"/>
      <c r="BG370" s="822"/>
    </row>
    <row r="371" spans="6:59" ht="12" customHeight="1" x14ac:dyDescent="0.2">
      <c r="F371" s="739"/>
      <c r="M371" s="830"/>
      <c r="O371" s="830"/>
      <c r="P371" s="830"/>
      <c r="Q371" s="830"/>
      <c r="R371" s="830"/>
      <c r="S371" s="830"/>
      <c r="U371" s="830"/>
      <c r="V371" s="830"/>
      <c r="W371" s="830"/>
      <c r="X371" s="830"/>
      <c r="Y371" s="830"/>
      <c r="Z371" s="830"/>
      <c r="AN371" s="830"/>
      <c r="AO371" s="830"/>
      <c r="AP371" s="830"/>
      <c r="AQ371" s="830"/>
      <c r="AR371" s="830"/>
      <c r="AS371" s="830"/>
      <c r="AT371" s="830"/>
      <c r="AU371" s="830"/>
      <c r="AV371" s="830"/>
      <c r="AW371" s="830"/>
      <c r="AX371" s="830"/>
      <c r="AY371" s="830"/>
      <c r="AZ371" s="831"/>
      <c r="BA371" s="831"/>
      <c r="BB371" s="822"/>
      <c r="BC371" s="822"/>
      <c r="BD371" s="822"/>
      <c r="BE371" s="822"/>
      <c r="BF371" s="822"/>
      <c r="BG371" s="822"/>
    </row>
    <row r="372" spans="6:59" ht="12" customHeight="1" x14ac:dyDescent="0.2">
      <c r="F372" s="739"/>
      <c r="M372" s="830"/>
      <c r="O372" s="830"/>
      <c r="P372" s="830"/>
      <c r="Q372" s="830"/>
      <c r="R372" s="830"/>
      <c r="S372" s="830"/>
      <c r="U372" s="830"/>
      <c r="V372" s="830"/>
      <c r="W372" s="830"/>
      <c r="X372" s="830"/>
      <c r="Y372" s="830"/>
      <c r="Z372" s="830"/>
      <c r="AN372" s="830"/>
      <c r="AO372" s="830"/>
      <c r="AP372" s="830"/>
      <c r="AQ372" s="830"/>
      <c r="AR372" s="830"/>
      <c r="AS372" s="830"/>
      <c r="AT372" s="830"/>
      <c r="AU372" s="830"/>
      <c r="AV372" s="830"/>
      <c r="AW372" s="830"/>
      <c r="AX372" s="830"/>
      <c r="AY372" s="830"/>
      <c r="AZ372" s="831"/>
      <c r="BA372" s="831"/>
      <c r="BB372" s="822"/>
      <c r="BC372" s="822"/>
      <c r="BD372" s="822"/>
      <c r="BE372" s="822"/>
      <c r="BF372" s="822"/>
      <c r="BG372" s="822"/>
    </row>
    <row r="373" spans="6:59" ht="12" customHeight="1" x14ac:dyDescent="0.2">
      <c r="F373" s="739"/>
      <c r="M373" s="830"/>
      <c r="O373" s="830"/>
      <c r="P373" s="830"/>
      <c r="Q373" s="830"/>
      <c r="R373" s="830"/>
      <c r="S373" s="830"/>
      <c r="U373" s="830"/>
      <c r="V373" s="830"/>
      <c r="W373" s="830"/>
      <c r="X373" s="830"/>
      <c r="Y373" s="830"/>
      <c r="Z373" s="830"/>
      <c r="AN373" s="830"/>
      <c r="AO373" s="830"/>
      <c r="AP373" s="830"/>
      <c r="AQ373" s="830"/>
      <c r="AR373" s="830"/>
      <c r="AS373" s="830"/>
      <c r="AT373" s="830"/>
      <c r="AU373" s="830"/>
      <c r="AV373" s="830"/>
      <c r="AW373" s="830"/>
      <c r="AX373" s="830"/>
      <c r="AY373" s="830"/>
      <c r="AZ373" s="831"/>
      <c r="BA373" s="831"/>
      <c r="BB373" s="822"/>
      <c r="BC373" s="822"/>
      <c r="BD373" s="822"/>
      <c r="BE373" s="822"/>
      <c r="BF373" s="822"/>
      <c r="BG373" s="822"/>
    </row>
    <row r="374" spans="6:59" ht="12" customHeight="1" x14ac:dyDescent="0.2">
      <c r="F374" s="739"/>
      <c r="M374" s="830"/>
      <c r="O374" s="830"/>
      <c r="P374" s="830"/>
      <c r="Q374" s="830"/>
      <c r="R374" s="830"/>
      <c r="S374" s="830"/>
      <c r="U374" s="830"/>
      <c r="V374" s="830"/>
      <c r="W374" s="830"/>
      <c r="X374" s="830"/>
      <c r="Y374" s="830"/>
      <c r="Z374" s="830"/>
      <c r="AN374" s="830"/>
      <c r="AO374" s="830"/>
      <c r="AP374" s="830"/>
      <c r="AQ374" s="830"/>
      <c r="AR374" s="830"/>
      <c r="AS374" s="830"/>
      <c r="AT374" s="830"/>
      <c r="AU374" s="830"/>
      <c r="AV374" s="830"/>
      <c r="AW374" s="830"/>
      <c r="AX374" s="830"/>
      <c r="AY374" s="830"/>
      <c r="AZ374" s="831"/>
      <c r="BA374" s="831"/>
      <c r="BB374" s="822"/>
      <c r="BC374" s="822"/>
      <c r="BD374" s="822"/>
      <c r="BE374" s="822"/>
      <c r="BF374" s="822"/>
      <c r="BG374" s="822"/>
    </row>
    <row r="375" spans="6:59" ht="12" customHeight="1" x14ac:dyDescent="0.2">
      <c r="F375" s="739"/>
      <c r="M375" s="830"/>
      <c r="O375" s="830"/>
      <c r="P375" s="830"/>
      <c r="Q375" s="830"/>
      <c r="R375" s="830"/>
      <c r="S375" s="830"/>
      <c r="U375" s="830"/>
      <c r="V375" s="830"/>
      <c r="W375" s="830"/>
      <c r="X375" s="830"/>
      <c r="Y375" s="830"/>
      <c r="Z375" s="830"/>
      <c r="AN375" s="830"/>
      <c r="AO375" s="830"/>
      <c r="AP375" s="830"/>
      <c r="AQ375" s="830"/>
      <c r="AR375" s="830"/>
      <c r="AS375" s="830"/>
      <c r="AT375" s="830"/>
      <c r="AU375" s="830"/>
      <c r="AV375" s="830"/>
      <c r="AW375" s="830"/>
      <c r="AX375" s="830"/>
      <c r="AY375" s="830"/>
      <c r="AZ375" s="831"/>
      <c r="BA375" s="831"/>
      <c r="BB375" s="822"/>
      <c r="BC375" s="822"/>
      <c r="BD375" s="822"/>
      <c r="BE375" s="822"/>
      <c r="BF375" s="822"/>
      <c r="BG375" s="822"/>
    </row>
    <row r="376" spans="6:59" ht="12" customHeight="1" x14ac:dyDescent="0.2">
      <c r="F376" s="739"/>
      <c r="M376" s="830"/>
      <c r="O376" s="830"/>
      <c r="P376" s="830"/>
      <c r="Q376" s="830"/>
      <c r="R376" s="830"/>
      <c r="S376" s="830"/>
      <c r="U376" s="830"/>
      <c r="V376" s="830"/>
      <c r="W376" s="830"/>
      <c r="X376" s="830"/>
      <c r="Y376" s="830"/>
      <c r="Z376" s="830"/>
      <c r="AN376" s="830"/>
      <c r="AO376" s="830"/>
      <c r="AP376" s="830"/>
      <c r="AQ376" s="830"/>
      <c r="AR376" s="830"/>
      <c r="AS376" s="830"/>
      <c r="AT376" s="830"/>
      <c r="AU376" s="830"/>
      <c r="AV376" s="830"/>
      <c r="AW376" s="830"/>
      <c r="AX376" s="830"/>
      <c r="AY376" s="830"/>
      <c r="AZ376" s="831"/>
      <c r="BA376" s="831"/>
      <c r="BB376" s="822"/>
      <c r="BC376" s="822"/>
      <c r="BD376" s="822"/>
      <c r="BE376" s="822"/>
      <c r="BF376" s="822"/>
      <c r="BG376" s="822"/>
    </row>
    <row r="377" spans="6:59" ht="12" customHeight="1" x14ac:dyDescent="0.2">
      <c r="F377" s="739"/>
      <c r="M377" s="830"/>
      <c r="O377" s="830"/>
      <c r="P377" s="830"/>
      <c r="Q377" s="830"/>
      <c r="R377" s="830"/>
      <c r="S377" s="830"/>
      <c r="U377" s="830"/>
      <c r="V377" s="830"/>
      <c r="W377" s="830"/>
      <c r="X377" s="830"/>
      <c r="Y377" s="830"/>
      <c r="Z377" s="830"/>
      <c r="AN377" s="830"/>
      <c r="AO377" s="830"/>
      <c r="AP377" s="830"/>
      <c r="AQ377" s="830"/>
      <c r="AR377" s="830"/>
      <c r="AS377" s="830"/>
      <c r="AT377" s="830"/>
      <c r="AU377" s="830"/>
      <c r="AV377" s="830"/>
      <c r="AW377" s="830"/>
      <c r="AX377" s="830"/>
      <c r="AY377" s="830"/>
      <c r="AZ377" s="831"/>
      <c r="BA377" s="831"/>
      <c r="BB377" s="822"/>
      <c r="BC377" s="822"/>
      <c r="BD377" s="822"/>
      <c r="BE377" s="822"/>
      <c r="BF377" s="822"/>
      <c r="BG377" s="822"/>
    </row>
    <row r="378" spans="6:59" ht="12" customHeight="1" x14ac:dyDescent="0.2">
      <c r="F378" s="739"/>
      <c r="M378" s="830"/>
      <c r="O378" s="830"/>
      <c r="P378" s="830"/>
      <c r="Q378" s="830"/>
      <c r="R378" s="830"/>
      <c r="S378" s="830"/>
      <c r="U378" s="830"/>
      <c r="V378" s="830"/>
      <c r="W378" s="830"/>
      <c r="X378" s="830"/>
      <c r="Y378" s="830"/>
      <c r="Z378" s="830"/>
      <c r="AN378" s="830"/>
      <c r="AO378" s="830"/>
      <c r="AP378" s="830"/>
      <c r="AQ378" s="830"/>
      <c r="AR378" s="830"/>
      <c r="AS378" s="830"/>
      <c r="AT378" s="830"/>
      <c r="AU378" s="830"/>
      <c r="AV378" s="830"/>
      <c r="AW378" s="830"/>
      <c r="AX378" s="830"/>
      <c r="AY378" s="830"/>
      <c r="AZ378" s="831"/>
      <c r="BA378" s="831"/>
      <c r="BB378" s="822"/>
      <c r="BC378" s="822"/>
      <c r="BD378" s="822"/>
      <c r="BE378" s="822"/>
      <c r="BF378" s="822"/>
      <c r="BG378" s="822"/>
    </row>
    <row r="379" spans="6:59" ht="12" customHeight="1" x14ac:dyDescent="0.2">
      <c r="F379" s="739"/>
      <c r="M379" s="830"/>
      <c r="O379" s="830"/>
      <c r="P379" s="830"/>
      <c r="Q379" s="830"/>
      <c r="R379" s="830"/>
      <c r="S379" s="830"/>
      <c r="U379" s="830"/>
      <c r="V379" s="830"/>
      <c r="W379" s="830"/>
      <c r="X379" s="830"/>
      <c r="Y379" s="830"/>
      <c r="Z379" s="830"/>
      <c r="AN379" s="830"/>
      <c r="AO379" s="830"/>
      <c r="AP379" s="830"/>
      <c r="AQ379" s="830"/>
      <c r="AR379" s="830"/>
      <c r="AS379" s="830"/>
      <c r="AT379" s="830"/>
      <c r="AU379" s="830"/>
      <c r="AV379" s="830"/>
      <c r="AW379" s="830"/>
      <c r="AX379" s="830"/>
      <c r="AY379" s="830"/>
      <c r="AZ379" s="831"/>
      <c r="BA379" s="831"/>
      <c r="BB379" s="822"/>
      <c r="BC379" s="822"/>
      <c r="BD379" s="822"/>
      <c r="BE379" s="822"/>
      <c r="BF379" s="822"/>
      <c r="BG379" s="822"/>
    </row>
    <row r="380" spans="6:59" ht="12" customHeight="1" x14ac:dyDescent="0.2">
      <c r="F380" s="739"/>
      <c r="M380" s="830"/>
      <c r="O380" s="830"/>
      <c r="P380" s="830"/>
      <c r="Q380" s="830"/>
      <c r="R380" s="830"/>
      <c r="S380" s="830"/>
      <c r="U380" s="830"/>
      <c r="V380" s="830"/>
      <c r="W380" s="830"/>
      <c r="X380" s="830"/>
      <c r="Y380" s="830"/>
      <c r="Z380" s="830"/>
      <c r="AN380" s="830"/>
      <c r="AO380" s="830"/>
      <c r="AP380" s="830"/>
      <c r="AQ380" s="830"/>
      <c r="AR380" s="830"/>
      <c r="AS380" s="830"/>
      <c r="AT380" s="830"/>
      <c r="AU380" s="830"/>
      <c r="AV380" s="830"/>
      <c r="AW380" s="830"/>
      <c r="AX380" s="830"/>
      <c r="AY380" s="830"/>
      <c r="AZ380" s="831"/>
      <c r="BA380" s="831"/>
      <c r="BB380" s="822"/>
      <c r="BC380" s="822"/>
      <c r="BD380" s="822"/>
      <c r="BE380" s="822"/>
      <c r="BF380" s="822"/>
      <c r="BG380" s="822"/>
    </row>
    <row r="381" spans="6:59" ht="12" customHeight="1" x14ac:dyDescent="0.2">
      <c r="F381" s="739"/>
      <c r="M381" s="830"/>
      <c r="O381" s="830"/>
      <c r="P381" s="830"/>
      <c r="Q381" s="830"/>
      <c r="R381" s="830"/>
      <c r="S381" s="830"/>
      <c r="U381" s="830"/>
      <c r="V381" s="830"/>
      <c r="W381" s="830"/>
      <c r="X381" s="830"/>
      <c r="Y381" s="830"/>
      <c r="Z381" s="830"/>
      <c r="AN381" s="830"/>
      <c r="AO381" s="830"/>
      <c r="AP381" s="830"/>
      <c r="AQ381" s="830"/>
      <c r="AR381" s="830"/>
      <c r="AS381" s="830"/>
      <c r="AT381" s="830"/>
      <c r="AU381" s="830"/>
      <c r="AV381" s="830"/>
      <c r="AW381" s="830"/>
      <c r="AX381" s="830"/>
      <c r="AY381" s="830"/>
      <c r="AZ381" s="831"/>
      <c r="BA381" s="831"/>
      <c r="BB381" s="822"/>
      <c r="BC381" s="822"/>
      <c r="BD381" s="822"/>
      <c r="BE381" s="822"/>
      <c r="BF381" s="822"/>
      <c r="BG381" s="822"/>
    </row>
    <row r="382" spans="6:59" ht="12" customHeight="1" x14ac:dyDescent="0.2">
      <c r="F382" s="739"/>
      <c r="M382" s="830"/>
      <c r="O382" s="830"/>
      <c r="P382" s="830"/>
      <c r="Q382" s="830"/>
      <c r="R382" s="830"/>
      <c r="S382" s="830"/>
      <c r="U382" s="830"/>
      <c r="V382" s="830"/>
      <c r="W382" s="830"/>
      <c r="X382" s="830"/>
      <c r="Y382" s="830"/>
      <c r="Z382" s="830"/>
      <c r="AN382" s="830"/>
      <c r="AO382" s="830"/>
      <c r="AP382" s="830"/>
      <c r="AQ382" s="830"/>
      <c r="AR382" s="830"/>
      <c r="AS382" s="830"/>
      <c r="AT382" s="830"/>
      <c r="AU382" s="830"/>
      <c r="AV382" s="830"/>
      <c r="AW382" s="830"/>
      <c r="AX382" s="830"/>
      <c r="AY382" s="830"/>
      <c r="AZ382" s="831"/>
      <c r="BA382" s="831"/>
      <c r="BB382" s="822"/>
      <c r="BC382" s="822"/>
      <c r="BD382" s="822"/>
      <c r="BE382" s="822"/>
      <c r="BF382" s="822"/>
      <c r="BG382" s="822"/>
    </row>
    <row r="383" spans="6:59" ht="12" customHeight="1" x14ac:dyDescent="0.2">
      <c r="F383" s="739"/>
      <c r="M383" s="830"/>
      <c r="O383" s="830"/>
      <c r="P383" s="830"/>
      <c r="Q383" s="830"/>
      <c r="R383" s="830"/>
      <c r="S383" s="830"/>
      <c r="U383" s="830"/>
      <c r="V383" s="830"/>
      <c r="W383" s="830"/>
      <c r="X383" s="830"/>
      <c r="Y383" s="830"/>
      <c r="Z383" s="830"/>
      <c r="AN383" s="830"/>
      <c r="AO383" s="830"/>
      <c r="AP383" s="830"/>
      <c r="AQ383" s="830"/>
      <c r="AR383" s="830"/>
      <c r="AS383" s="830"/>
      <c r="AT383" s="830"/>
      <c r="AU383" s="830"/>
      <c r="AV383" s="830"/>
      <c r="AW383" s="830"/>
      <c r="AX383" s="830"/>
      <c r="AY383" s="830"/>
      <c r="AZ383" s="831"/>
      <c r="BA383" s="831"/>
      <c r="BB383" s="822"/>
      <c r="BC383" s="822"/>
      <c r="BD383" s="822"/>
      <c r="BE383" s="822"/>
      <c r="BF383" s="822"/>
      <c r="BG383" s="822"/>
    </row>
    <row r="384" spans="6:59" ht="12" customHeight="1" x14ac:dyDescent="0.2">
      <c r="F384" s="739"/>
      <c r="M384" s="830"/>
      <c r="O384" s="830"/>
      <c r="P384" s="830"/>
      <c r="Q384" s="830"/>
      <c r="R384" s="830"/>
      <c r="S384" s="830"/>
      <c r="U384" s="830"/>
      <c r="V384" s="830"/>
      <c r="W384" s="830"/>
      <c r="X384" s="830"/>
      <c r="Y384" s="830"/>
      <c r="Z384" s="830"/>
      <c r="AN384" s="830"/>
      <c r="AO384" s="830"/>
      <c r="AP384" s="830"/>
      <c r="AQ384" s="830"/>
      <c r="AR384" s="830"/>
      <c r="AS384" s="830"/>
      <c r="AT384" s="830"/>
      <c r="AU384" s="830"/>
      <c r="AV384" s="830"/>
      <c r="AW384" s="830"/>
      <c r="AX384" s="830"/>
      <c r="AY384" s="830"/>
      <c r="AZ384" s="831"/>
      <c r="BA384" s="831"/>
      <c r="BB384" s="822"/>
      <c r="BC384" s="822"/>
      <c r="BD384" s="822"/>
      <c r="BE384" s="822"/>
      <c r="BF384" s="822"/>
      <c r="BG384" s="822"/>
    </row>
    <row r="385" spans="6:59" ht="12" customHeight="1" x14ac:dyDescent="0.2">
      <c r="F385" s="739"/>
      <c r="M385" s="830"/>
      <c r="O385" s="830"/>
      <c r="P385" s="830"/>
      <c r="Q385" s="830"/>
      <c r="R385" s="830"/>
      <c r="S385" s="830"/>
      <c r="U385" s="830"/>
      <c r="V385" s="830"/>
      <c r="W385" s="830"/>
      <c r="X385" s="830"/>
      <c r="Y385" s="830"/>
      <c r="Z385" s="830"/>
      <c r="AN385" s="830"/>
      <c r="AO385" s="830"/>
      <c r="AP385" s="830"/>
      <c r="AQ385" s="830"/>
      <c r="AR385" s="830"/>
      <c r="AS385" s="830"/>
      <c r="AT385" s="830"/>
      <c r="AU385" s="830"/>
      <c r="AV385" s="830"/>
      <c r="AW385" s="830"/>
      <c r="AX385" s="830"/>
      <c r="AY385" s="830"/>
      <c r="AZ385" s="831"/>
      <c r="BA385" s="831"/>
      <c r="BB385" s="822"/>
      <c r="BC385" s="822"/>
      <c r="BD385" s="822"/>
      <c r="BE385" s="822"/>
      <c r="BF385" s="822"/>
      <c r="BG385" s="822"/>
    </row>
    <row r="386" spans="6:59" ht="12" customHeight="1" x14ac:dyDescent="0.2">
      <c r="F386" s="739"/>
      <c r="M386" s="830"/>
      <c r="O386" s="830"/>
      <c r="P386" s="830"/>
      <c r="Q386" s="830"/>
      <c r="R386" s="830"/>
      <c r="S386" s="830"/>
      <c r="U386" s="830"/>
      <c r="V386" s="830"/>
      <c r="W386" s="830"/>
      <c r="X386" s="830"/>
      <c r="Y386" s="830"/>
      <c r="Z386" s="830"/>
      <c r="AN386" s="830"/>
      <c r="AO386" s="830"/>
      <c r="AP386" s="830"/>
      <c r="AQ386" s="830"/>
      <c r="AR386" s="830"/>
      <c r="AS386" s="830"/>
      <c r="AT386" s="830"/>
      <c r="AU386" s="830"/>
      <c r="AV386" s="830"/>
      <c r="AW386" s="830"/>
      <c r="AX386" s="830"/>
      <c r="AY386" s="830"/>
      <c r="AZ386" s="831"/>
      <c r="BA386" s="831"/>
      <c r="BB386" s="822"/>
      <c r="BC386" s="822"/>
      <c r="BD386" s="822"/>
      <c r="BE386" s="822"/>
      <c r="BF386" s="822"/>
      <c r="BG386" s="822"/>
    </row>
    <row r="387" spans="6:59" ht="12" customHeight="1" x14ac:dyDescent="0.2">
      <c r="F387" s="739"/>
      <c r="M387" s="830"/>
      <c r="O387" s="830"/>
      <c r="P387" s="830"/>
      <c r="Q387" s="830"/>
      <c r="R387" s="830"/>
      <c r="S387" s="830"/>
      <c r="U387" s="830"/>
      <c r="V387" s="830"/>
      <c r="W387" s="830"/>
      <c r="X387" s="830"/>
      <c r="Y387" s="830"/>
      <c r="Z387" s="830"/>
      <c r="AN387" s="830"/>
      <c r="AO387" s="830"/>
      <c r="AP387" s="830"/>
      <c r="AQ387" s="830"/>
      <c r="AR387" s="830"/>
      <c r="AS387" s="830"/>
      <c r="AT387" s="830"/>
      <c r="AU387" s="830"/>
      <c r="AV387" s="830"/>
      <c r="AW387" s="830"/>
      <c r="AX387" s="830"/>
      <c r="AY387" s="830"/>
      <c r="AZ387" s="831"/>
      <c r="BA387" s="831"/>
      <c r="BB387" s="822"/>
      <c r="BC387" s="822"/>
      <c r="BD387" s="822"/>
      <c r="BE387" s="822"/>
      <c r="BF387" s="822"/>
      <c r="BG387" s="822"/>
    </row>
    <row r="388" spans="6:59" ht="12" customHeight="1" x14ac:dyDescent="0.2">
      <c r="F388" s="739"/>
      <c r="M388" s="830"/>
      <c r="O388" s="830"/>
      <c r="P388" s="830"/>
      <c r="Q388" s="830"/>
      <c r="R388" s="830"/>
      <c r="S388" s="830"/>
      <c r="U388" s="830"/>
      <c r="V388" s="830"/>
      <c r="W388" s="830"/>
      <c r="X388" s="830"/>
      <c r="Y388" s="830"/>
      <c r="Z388" s="830"/>
      <c r="AN388" s="830"/>
      <c r="AO388" s="830"/>
      <c r="AP388" s="830"/>
      <c r="AQ388" s="830"/>
      <c r="AR388" s="830"/>
      <c r="AS388" s="830"/>
      <c r="AT388" s="830"/>
      <c r="AU388" s="830"/>
      <c r="AV388" s="830"/>
      <c r="AW388" s="830"/>
      <c r="AX388" s="830"/>
      <c r="AY388" s="830"/>
      <c r="AZ388" s="831"/>
      <c r="BA388" s="831"/>
      <c r="BB388" s="822"/>
      <c r="BC388" s="822"/>
      <c r="BD388" s="822"/>
      <c r="BE388" s="822"/>
      <c r="BF388" s="822"/>
      <c r="BG388" s="822"/>
    </row>
    <row r="389" spans="6:59" ht="12" customHeight="1" x14ac:dyDescent="0.2">
      <c r="F389" s="739"/>
      <c r="M389" s="830"/>
      <c r="O389" s="830"/>
      <c r="P389" s="830"/>
      <c r="Q389" s="830"/>
      <c r="R389" s="830"/>
      <c r="S389" s="830"/>
      <c r="U389" s="830"/>
      <c r="V389" s="830"/>
      <c r="W389" s="830"/>
      <c r="X389" s="830"/>
      <c r="Y389" s="830"/>
      <c r="Z389" s="830"/>
      <c r="AN389" s="830"/>
      <c r="AO389" s="830"/>
      <c r="AP389" s="830"/>
      <c r="AQ389" s="830"/>
      <c r="AR389" s="830"/>
      <c r="AS389" s="830"/>
      <c r="AT389" s="830"/>
      <c r="AU389" s="830"/>
      <c r="AV389" s="830"/>
      <c r="AW389" s="830"/>
      <c r="AX389" s="830"/>
      <c r="AY389" s="830"/>
      <c r="AZ389" s="831"/>
      <c r="BA389" s="831"/>
      <c r="BB389" s="822"/>
      <c r="BC389" s="822"/>
      <c r="BD389" s="822"/>
      <c r="BE389" s="822"/>
      <c r="BF389" s="822"/>
      <c r="BG389" s="822"/>
    </row>
    <row r="390" spans="6:59" ht="12" customHeight="1" x14ac:dyDescent="0.2">
      <c r="F390" s="739"/>
      <c r="M390" s="830"/>
      <c r="O390" s="830"/>
      <c r="P390" s="830"/>
      <c r="Q390" s="830"/>
      <c r="R390" s="830"/>
      <c r="S390" s="830"/>
      <c r="U390" s="830"/>
      <c r="V390" s="830"/>
      <c r="W390" s="830"/>
      <c r="X390" s="830"/>
      <c r="Y390" s="830"/>
      <c r="Z390" s="830"/>
      <c r="AN390" s="830"/>
      <c r="AO390" s="830"/>
      <c r="AP390" s="830"/>
      <c r="AQ390" s="830"/>
      <c r="AR390" s="830"/>
      <c r="AS390" s="830"/>
      <c r="AT390" s="830"/>
      <c r="AU390" s="830"/>
      <c r="AV390" s="830"/>
      <c r="AW390" s="830"/>
      <c r="AX390" s="830"/>
      <c r="AY390" s="830"/>
      <c r="AZ390" s="831"/>
      <c r="BA390" s="831"/>
      <c r="BB390" s="822"/>
      <c r="BC390" s="822"/>
      <c r="BD390" s="822"/>
      <c r="BE390" s="822"/>
      <c r="BF390" s="822"/>
      <c r="BG390" s="822"/>
    </row>
    <row r="391" spans="6:59" ht="12" customHeight="1" x14ac:dyDescent="0.2">
      <c r="F391" s="739"/>
      <c r="M391" s="830"/>
      <c r="O391" s="830"/>
      <c r="P391" s="830"/>
      <c r="Q391" s="830"/>
      <c r="R391" s="830"/>
      <c r="S391" s="830"/>
      <c r="U391" s="830"/>
      <c r="V391" s="830"/>
      <c r="W391" s="830"/>
      <c r="X391" s="830"/>
      <c r="Y391" s="830"/>
      <c r="Z391" s="830"/>
      <c r="AN391" s="830"/>
      <c r="AO391" s="830"/>
      <c r="AP391" s="830"/>
      <c r="AQ391" s="830"/>
      <c r="AR391" s="830"/>
      <c r="AS391" s="830"/>
      <c r="AT391" s="830"/>
      <c r="AU391" s="830"/>
      <c r="AV391" s="830"/>
      <c r="AW391" s="830"/>
      <c r="AX391" s="830"/>
      <c r="AY391" s="830"/>
      <c r="AZ391" s="831"/>
      <c r="BA391" s="831"/>
      <c r="BB391" s="822"/>
      <c r="BC391" s="822"/>
      <c r="BD391" s="822"/>
      <c r="BE391" s="822"/>
      <c r="BF391" s="822"/>
      <c r="BG391" s="822"/>
    </row>
    <row r="392" spans="6:59" ht="12" customHeight="1" x14ac:dyDescent="0.2">
      <c r="F392" s="739"/>
      <c r="M392" s="830"/>
      <c r="O392" s="830"/>
      <c r="P392" s="830"/>
      <c r="Q392" s="830"/>
      <c r="R392" s="830"/>
      <c r="S392" s="830"/>
      <c r="U392" s="830"/>
      <c r="V392" s="830"/>
      <c r="W392" s="830"/>
      <c r="X392" s="830"/>
      <c r="Y392" s="830"/>
      <c r="Z392" s="830"/>
      <c r="AN392" s="830"/>
      <c r="AO392" s="830"/>
      <c r="AP392" s="830"/>
      <c r="AQ392" s="830"/>
      <c r="AR392" s="830"/>
      <c r="AS392" s="830"/>
      <c r="AT392" s="830"/>
      <c r="AU392" s="830"/>
      <c r="AV392" s="830"/>
      <c r="AW392" s="830"/>
      <c r="AX392" s="830"/>
      <c r="AY392" s="830"/>
      <c r="AZ392" s="831"/>
      <c r="BA392" s="831"/>
      <c r="BB392" s="822"/>
      <c r="BC392" s="822"/>
      <c r="BD392" s="822"/>
      <c r="BE392" s="822"/>
      <c r="BF392" s="822"/>
      <c r="BG392" s="822"/>
    </row>
    <row r="393" spans="6:59" ht="12" customHeight="1" x14ac:dyDescent="0.2">
      <c r="F393" s="739"/>
      <c r="M393" s="830"/>
      <c r="O393" s="830"/>
      <c r="P393" s="830"/>
      <c r="Q393" s="830"/>
      <c r="R393" s="830"/>
      <c r="S393" s="830"/>
      <c r="U393" s="830"/>
      <c r="V393" s="830"/>
      <c r="W393" s="830"/>
      <c r="X393" s="830"/>
      <c r="Y393" s="830"/>
      <c r="Z393" s="830"/>
      <c r="AN393" s="830"/>
      <c r="AO393" s="830"/>
      <c r="AP393" s="830"/>
      <c r="AQ393" s="830"/>
      <c r="AR393" s="830"/>
      <c r="AS393" s="830"/>
      <c r="AT393" s="830"/>
      <c r="AU393" s="830"/>
      <c r="AV393" s="830"/>
      <c r="AW393" s="830"/>
      <c r="AX393" s="830"/>
      <c r="AY393" s="830"/>
      <c r="AZ393" s="831"/>
      <c r="BA393" s="831"/>
      <c r="BB393" s="822"/>
      <c r="BC393" s="822"/>
      <c r="BD393" s="822"/>
      <c r="BE393" s="822"/>
      <c r="BF393" s="822"/>
      <c r="BG393" s="822"/>
    </row>
    <row r="394" spans="6:59" ht="12" customHeight="1" x14ac:dyDescent="0.2">
      <c r="F394" s="739"/>
      <c r="M394" s="830"/>
      <c r="O394" s="830"/>
      <c r="P394" s="830"/>
      <c r="Q394" s="830"/>
      <c r="R394" s="830"/>
      <c r="S394" s="830"/>
      <c r="U394" s="830"/>
      <c r="V394" s="830"/>
      <c r="W394" s="830"/>
      <c r="X394" s="830"/>
      <c r="Y394" s="830"/>
      <c r="Z394" s="830"/>
      <c r="AN394" s="830"/>
      <c r="AO394" s="830"/>
      <c r="AP394" s="830"/>
      <c r="AQ394" s="830"/>
      <c r="AR394" s="830"/>
      <c r="AS394" s="830"/>
      <c r="AT394" s="830"/>
      <c r="AU394" s="830"/>
      <c r="AV394" s="830"/>
      <c r="AW394" s="830"/>
      <c r="AX394" s="830"/>
      <c r="AY394" s="830"/>
      <c r="AZ394" s="831"/>
      <c r="BA394" s="831"/>
      <c r="BB394" s="822"/>
      <c r="BC394" s="822"/>
      <c r="BD394" s="822"/>
      <c r="BE394" s="822"/>
      <c r="BF394" s="822"/>
      <c r="BG394" s="822"/>
    </row>
    <row r="395" spans="6:59" ht="12" customHeight="1" x14ac:dyDescent="0.2">
      <c r="F395" s="739"/>
      <c r="M395" s="830"/>
      <c r="O395" s="830"/>
      <c r="P395" s="830"/>
      <c r="Q395" s="830"/>
      <c r="R395" s="830"/>
      <c r="S395" s="830"/>
      <c r="U395" s="830"/>
      <c r="V395" s="830"/>
      <c r="W395" s="830"/>
      <c r="X395" s="830"/>
      <c r="Y395" s="830"/>
      <c r="Z395" s="830"/>
      <c r="AN395" s="830"/>
      <c r="AO395" s="830"/>
      <c r="AP395" s="830"/>
      <c r="AQ395" s="830"/>
      <c r="AR395" s="830"/>
      <c r="AS395" s="830"/>
      <c r="AT395" s="830"/>
      <c r="AU395" s="830"/>
      <c r="AV395" s="830"/>
      <c r="AW395" s="830"/>
      <c r="AX395" s="830"/>
      <c r="AY395" s="830"/>
      <c r="AZ395" s="831"/>
      <c r="BA395" s="831"/>
      <c r="BB395" s="822"/>
      <c r="BC395" s="822"/>
      <c r="BD395" s="822"/>
      <c r="BE395" s="822"/>
      <c r="BF395" s="822"/>
      <c r="BG395" s="822"/>
    </row>
    <row r="396" spans="6:59" ht="12" customHeight="1" x14ac:dyDescent="0.2">
      <c r="F396" s="739"/>
      <c r="M396" s="830"/>
      <c r="O396" s="830"/>
      <c r="P396" s="830"/>
      <c r="Q396" s="830"/>
      <c r="R396" s="830"/>
      <c r="S396" s="830"/>
      <c r="U396" s="830"/>
      <c r="V396" s="830"/>
      <c r="W396" s="830"/>
      <c r="X396" s="830"/>
      <c r="Y396" s="830"/>
      <c r="Z396" s="830"/>
      <c r="AN396" s="830"/>
      <c r="AO396" s="830"/>
      <c r="AP396" s="830"/>
      <c r="AQ396" s="830"/>
      <c r="AR396" s="830"/>
      <c r="AS396" s="830"/>
      <c r="AT396" s="830"/>
      <c r="AU396" s="830"/>
      <c r="AV396" s="830"/>
      <c r="AW396" s="830"/>
      <c r="AX396" s="830"/>
      <c r="AY396" s="830"/>
      <c r="AZ396" s="831"/>
      <c r="BA396" s="831"/>
      <c r="BB396" s="822"/>
      <c r="BC396" s="822"/>
      <c r="BD396" s="822"/>
      <c r="BE396" s="822"/>
      <c r="BF396" s="822"/>
      <c r="BG396" s="822"/>
    </row>
    <row r="397" spans="6:59" ht="12" customHeight="1" x14ac:dyDescent="0.2">
      <c r="F397" s="739"/>
      <c r="M397" s="830"/>
      <c r="O397" s="830"/>
      <c r="P397" s="830"/>
      <c r="Q397" s="830"/>
      <c r="R397" s="830"/>
      <c r="S397" s="830"/>
      <c r="U397" s="830"/>
      <c r="V397" s="830"/>
      <c r="W397" s="830"/>
      <c r="X397" s="830"/>
      <c r="Y397" s="830"/>
      <c r="Z397" s="830"/>
      <c r="AN397" s="830"/>
      <c r="AO397" s="830"/>
      <c r="AP397" s="830"/>
      <c r="AQ397" s="830"/>
      <c r="AR397" s="830"/>
      <c r="AS397" s="830"/>
      <c r="AT397" s="830"/>
      <c r="AU397" s="830"/>
      <c r="AV397" s="830"/>
      <c r="AW397" s="830"/>
      <c r="AX397" s="830"/>
      <c r="AY397" s="830"/>
      <c r="AZ397" s="831"/>
      <c r="BA397" s="831"/>
      <c r="BB397" s="822"/>
      <c r="BC397" s="822"/>
      <c r="BD397" s="822"/>
      <c r="BE397" s="822"/>
      <c r="BF397" s="822"/>
      <c r="BG397" s="822"/>
    </row>
    <row r="398" spans="6:59" ht="12" customHeight="1" x14ac:dyDescent="0.2">
      <c r="F398" s="739"/>
      <c r="M398" s="830"/>
      <c r="O398" s="830"/>
      <c r="P398" s="830"/>
      <c r="Q398" s="830"/>
      <c r="R398" s="830"/>
      <c r="S398" s="830"/>
      <c r="U398" s="830"/>
      <c r="V398" s="830"/>
      <c r="W398" s="830"/>
      <c r="X398" s="830"/>
      <c r="Y398" s="830"/>
      <c r="Z398" s="830"/>
      <c r="AN398" s="830"/>
      <c r="AO398" s="830"/>
      <c r="AP398" s="830"/>
      <c r="AQ398" s="830"/>
      <c r="AR398" s="830"/>
      <c r="AS398" s="830"/>
      <c r="AT398" s="830"/>
      <c r="AU398" s="830"/>
      <c r="AV398" s="830"/>
      <c r="AW398" s="830"/>
      <c r="AX398" s="830"/>
      <c r="AY398" s="830"/>
      <c r="AZ398" s="831"/>
      <c r="BA398" s="831"/>
      <c r="BB398" s="822"/>
      <c r="BC398" s="822"/>
      <c r="BD398" s="822"/>
      <c r="BE398" s="822"/>
      <c r="BF398" s="822"/>
      <c r="BG398" s="822"/>
    </row>
    <row r="399" spans="6:59" ht="12" customHeight="1" x14ac:dyDescent="0.2">
      <c r="F399" s="739"/>
      <c r="M399" s="830"/>
      <c r="O399" s="830"/>
      <c r="P399" s="830"/>
      <c r="Q399" s="830"/>
      <c r="R399" s="830"/>
      <c r="S399" s="830"/>
      <c r="U399" s="830"/>
      <c r="V399" s="830"/>
      <c r="W399" s="830"/>
      <c r="X399" s="830"/>
      <c r="Y399" s="830"/>
      <c r="Z399" s="830"/>
      <c r="AN399" s="830"/>
      <c r="AO399" s="830"/>
      <c r="AP399" s="830"/>
      <c r="AQ399" s="830"/>
      <c r="AR399" s="830"/>
      <c r="AS399" s="830"/>
      <c r="AT399" s="830"/>
      <c r="AU399" s="830"/>
      <c r="AV399" s="830"/>
      <c r="AW399" s="830"/>
      <c r="AX399" s="830"/>
      <c r="AY399" s="830"/>
      <c r="AZ399" s="831"/>
      <c r="BA399" s="831"/>
      <c r="BB399" s="822"/>
      <c r="BC399" s="822"/>
      <c r="BD399" s="822"/>
      <c r="BE399" s="822"/>
      <c r="BF399" s="822"/>
      <c r="BG399" s="822"/>
    </row>
    <row r="400" spans="6:59" ht="12" customHeight="1" x14ac:dyDescent="0.2">
      <c r="F400" s="739"/>
      <c r="M400" s="830"/>
      <c r="O400" s="830"/>
      <c r="P400" s="830"/>
      <c r="Q400" s="830"/>
      <c r="R400" s="830"/>
      <c r="S400" s="830"/>
      <c r="U400" s="830"/>
      <c r="V400" s="830"/>
      <c r="W400" s="830"/>
      <c r="X400" s="830"/>
      <c r="Y400" s="830"/>
      <c r="Z400" s="830"/>
      <c r="AN400" s="830"/>
      <c r="AO400" s="830"/>
      <c r="AP400" s="830"/>
      <c r="AQ400" s="830"/>
      <c r="AR400" s="830"/>
      <c r="AS400" s="830"/>
      <c r="AT400" s="830"/>
      <c r="AU400" s="830"/>
      <c r="AV400" s="830"/>
      <c r="AW400" s="830"/>
      <c r="AX400" s="830"/>
      <c r="AY400" s="830"/>
      <c r="AZ400" s="831"/>
      <c r="BA400" s="831"/>
      <c r="BB400" s="822"/>
      <c r="BC400" s="822"/>
      <c r="BD400" s="822"/>
      <c r="BE400" s="822"/>
      <c r="BF400" s="822"/>
      <c r="BG400" s="822"/>
    </row>
    <row r="401" spans="6:59" ht="12" customHeight="1" x14ac:dyDescent="0.2">
      <c r="F401" s="739"/>
      <c r="M401" s="830"/>
      <c r="O401" s="830"/>
      <c r="P401" s="830"/>
      <c r="Q401" s="830"/>
      <c r="R401" s="830"/>
      <c r="S401" s="830"/>
      <c r="U401" s="830"/>
      <c r="V401" s="830"/>
      <c r="W401" s="830"/>
      <c r="X401" s="830"/>
      <c r="Y401" s="830"/>
      <c r="Z401" s="830"/>
      <c r="AN401" s="830"/>
      <c r="AO401" s="830"/>
      <c r="AP401" s="830"/>
      <c r="AQ401" s="830"/>
      <c r="AR401" s="830"/>
      <c r="AS401" s="830"/>
      <c r="AT401" s="830"/>
      <c r="AU401" s="830"/>
      <c r="AV401" s="830"/>
      <c r="AW401" s="830"/>
      <c r="AX401" s="830"/>
      <c r="AY401" s="830"/>
      <c r="AZ401" s="831"/>
      <c r="BA401" s="831"/>
      <c r="BB401" s="822"/>
      <c r="BC401" s="822"/>
      <c r="BD401" s="822"/>
      <c r="BE401" s="822"/>
      <c r="BF401" s="822"/>
      <c r="BG401" s="822"/>
    </row>
    <row r="402" spans="6:59" ht="12" customHeight="1" x14ac:dyDescent="0.2">
      <c r="F402" s="739"/>
      <c r="M402" s="830"/>
      <c r="O402" s="830"/>
      <c r="P402" s="830"/>
      <c r="Q402" s="830"/>
      <c r="R402" s="830"/>
      <c r="S402" s="830"/>
      <c r="U402" s="830"/>
      <c r="V402" s="830"/>
      <c r="W402" s="830"/>
      <c r="X402" s="830"/>
      <c r="Y402" s="830"/>
      <c r="Z402" s="830"/>
      <c r="AN402" s="830"/>
      <c r="AO402" s="830"/>
      <c r="AP402" s="830"/>
      <c r="AQ402" s="830"/>
      <c r="AR402" s="830"/>
      <c r="AS402" s="830"/>
      <c r="AT402" s="830"/>
      <c r="AU402" s="830"/>
      <c r="AV402" s="830"/>
      <c r="AW402" s="830"/>
      <c r="AX402" s="830"/>
      <c r="AY402" s="830"/>
      <c r="AZ402" s="831"/>
      <c r="BA402" s="831"/>
      <c r="BB402" s="822"/>
      <c r="BC402" s="822"/>
      <c r="BD402" s="822"/>
      <c r="BE402" s="822"/>
      <c r="BF402" s="822"/>
      <c r="BG402" s="822"/>
    </row>
    <row r="403" spans="6:59" ht="12" customHeight="1" x14ac:dyDescent="0.2">
      <c r="F403" s="739"/>
      <c r="M403" s="830"/>
      <c r="O403" s="830"/>
      <c r="P403" s="830"/>
      <c r="Q403" s="830"/>
      <c r="R403" s="830"/>
      <c r="S403" s="830"/>
      <c r="U403" s="830"/>
      <c r="V403" s="830"/>
      <c r="W403" s="830"/>
      <c r="X403" s="830"/>
      <c r="Y403" s="830"/>
      <c r="Z403" s="830"/>
      <c r="AN403" s="830"/>
      <c r="AO403" s="830"/>
      <c r="AP403" s="830"/>
      <c r="AQ403" s="830"/>
      <c r="AR403" s="830"/>
      <c r="AS403" s="830"/>
      <c r="AT403" s="830"/>
      <c r="AU403" s="830"/>
      <c r="AV403" s="830"/>
      <c r="AW403" s="830"/>
      <c r="AX403" s="830"/>
      <c r="AY403" s="830"/>
      <c r="AZ403" s="831"/>
      <c r="BA403" s="831"/>
      <c r="BB403" s="822"/>
      <c r="BC403" s="822"/>
      <c r="BD403" s="822"/>
      <c r="BE403" s="822"/>
      <c r="BF403" s="822"/>
      <c r="BG403" s="822"/>
    </row>
    <row r="404" spans="6:59" ht="12" customHeight="1" x14ac:dyDescent="0.2">
      <c r="F404" s="739"/>
      <c r="M404" s="830"/>
      <c r="O404" s="830"/>
      <c r="P404" s="830"/>
      <c r="Q404" s="830"/>
      <c r="R404" s="830"/>
      <c r="S404" s="830"/>
      <c r="U404" s="830"/>
      <c r="V404" s="830"/>
      <c r="W404" s="830"/>
      <c r="X404" s="830"/>
      <c r="Y404" s="830"/>
      <c r="Z404" s="830"/>
      <c r="AN404" s="830"/>
      <c r="AO404" s="830"/>
      <c r="AP404" s="830"/>
      <c r="AQ404" s="830"/>
      <c r="AR404" s="830"/>
      <c r="AS404" s="830"/>
      <c r="AT404" s="830"/>
      <c r="AU404" s="830"/>
      <c r="AV404" s="830"/>
      <c r="AW404" s="830"/>
      <c r="AX404" s="830"/>
      <c r="AY404" s="830"/>
      <c r="AZ404" s="831"/>
      <c r="BA404" s="831"/>
      <c r="BB404" s="822"/>
      <c r="BC404" s="822"/>
      <c r="BD404" s="822"/>
      <c r="BE404" s="822"/>
      <c r="BF404" s="822"/>
      <c r="BG404" s="822"/>
    </row>
    <row r="405" spans="6:59" ht="12" customHeight="1" x14ac:dyDescent="0.2">
      <c r="F405" s="739"/>
      <c r="M405" s="830"/>
      <c r="O405" s="830"/>
      <c r="P405" s="830"/>
      <c r="Q405" s="830"/>
      <c r="R405" s="830"/>
      <c r="S405" s="830"/>
      <c r="U405" s="830"/>
      <c r="V405" s="830"/>
      <c r="W405" s="830"/>
      <c r="X405" s="830"/>
      <c r="Y405" s="830"/>
      <c r="Z405" s="830"/>
      <c r="AN405" s="830"/>
      <c r="AO405" s="830"/>
      <c r="AP405" s="830"/>
      <c r="AQ405" s="830"/>
      <c r="AR405" s="830"/>
      <c r="AS405" s="830"/>
      <c r="AT405" s="830"/>
      <c r="AU405" s="830"/>
      <c r="AV405" s="830"/>
      <c r="AW405" s="830"/>
      <c r="AX405" s="830"/>
      <c r="AY405" s="830"/>
      <c r="AZ405" s="831"/>
      <c r="BA405" s="831"/>
      <c r="BB405" s="822"/>
      <c r="BC405" s="822"/>
      <c r="BD405" s="822"/>
      <c r="BE405" s="822"/>
      <c r="BF405" s="822"/>
      <c r="BG405" s="822"/>
    </row>
    <row r="406" spans="6:59" ht="12" customHeight="1" x14ac:dyDescent="0.2">
      <c r="F406" s="739"/>
      <c r="M406" s="830"/>
      <c r="O406" s="830"/>
      <c r="P406" s="830"/>
      <c r="Q406" s="830"/>
      <c r="R406" s="830"/>
      <c r="S406" s="830"/>
      <c r="U406" s="830"/>
      <c r="V406" s="830"/>
      <c r="W406" s="830"/>
      <c r="X406" s="830"/>
      <c r="Y406" s="830"/>
      <c r="Z406" s="830"/>
      <c r="AN406" s="830"/>
      <c r="AO406" s="830"/>
      <c r="AP406" s="830"/>
      <c r="AQ406" s="830"/>
      <c r="AR406" s="830"/>
      <c r="AS406" s="830"/>
      <c r="AT406" s="830"/>
      <c r="AU406" s="830"/>
      <c r="AV406" s="830"/>
      <c r="AW406" s="830"/>
      <c r="AX406" s="830"/>
      <c r="AY406" s="830"/>
      <c r="AZ406" s="831"/>
      <c r="BA406" s="831"/>
      <c r="BB406" s="822"/>
      <c r="BC406" s="822"/>
      <c r="BD406" s="822"/>
      <c r="BE406" s="822"/>
      <c r="BF406" s="822"/>
      <c r="BG406" s="822"/>
    </row>
    <row r="407" spans="6:59" ht="12" customHeight="1" x14ac:dyDescent="0.2">
      <c r="F407" s="739"/>
      <c r="M407" s="830"/>
      <c r="O407" s="830"/>
      <c r="P407" s="830"/>
      <c r="Q407" s="830"/>
      <c r="R407" s="830"/>
      <c r="S407" s="830"/>
      <c r="U407" s="830"/>
      <c r="V407" s="830"/>
      <c r="W407" s="830"/>
      <c r="X407" s="830"/>
      <c r="Y407" s="830"/>
      <c r="Z407" s="830"/>
      <c r="AN407" s="830"/>
      <c r="AO407" s="830"/>
      <c r="AP407" s="830"/>
      <c r="AQ407" s="830"/>
      <c r="AR407" s="830"/>
      <c r="AS407" s="830"/>
      <c r="AT407" s="830"/>
      <c r="AU407" s="830"/>
      <c r="AV407" s="830"/>
      <c r="AW407" s="830"/>
      <c r="AX407" s="830"/>
      <c r="AY407" s="830"/>
      <c r="AZ407" s="831"/>
      <c r="BA407" s="831"/>
      <c r="BB407" s="822"/>
      <c r="BC407" s="822"/>
      <c r="BD407" s="822"/>
      <c r="BE407" s="822"/>
      <c r="BF407" s="822"/>
      <c r="BG407" s="822"/>
    </row>
    <row r="408" spans="6:59" ht="12" customHeight="1" x14ac:dyDescent="0.2">
      <c r="F408" s="739"/>
      <c r="M408" s="830"/>
      <c r="O408" s="830"/>
      <c r="P408" s="830"/>
      <c r="Q408" s="830"/>
      <c r="R408" s="830"/>
      <c r="S408" s="830"/>
      <c r="U408" s="830"/>
      <c r="V408" s="830"/>
      <c r="W408" s="830"/>
      <c r="X408" s="830"/>
      <c r="Y408" s="830"/>
      <c r="Z408" s="830"/>
      <c r="AN408" s="830"/>
      <c r="AO408" s="830"/>
      <c r="AP408" s="830"/>
      <c r="AQ408" s="830"/>
      <c r="AR408" s="830"/>
      <c r="AS408" s="830"/>
      <c r="AT408" s="830"/>
      <c r="AU408" s="830"/>
      <c r="AV408" s="830"/>
      <c r="AW408" s="830"/>
      <c r="AX408" s="830"/>
      <c r="AY408" s="830"/>
      <c r="AZ408" s="831"/>
      <c r="BA408" s="831"/>
      <c r="BB408" s="822"/>
      <c r="BC408" s="822"/>
      <c r="BD408" s="822"/>
      <c r="BE408" s="822"/>
      <c r="BF408" s="822"/>
      <c r="BG408" s="822"/>
    </row>
    <row r="409" spans="6:59" ht="12" customHeight="1" x14ac:dyDescent="0.2">
      <c r="F409" s="739"/>
      <c r="M409" s="830"/>
      <c r="O409" s="830"/>
      <c r="P409" s="830"/>
      <c r="Q409" s="830"/>
      <c r="R409" s="830"/>
      <c r="S409" s="830"/>
      <c r="U409" s="830"/>
      <c r="V409" s="830"/>
      <c r="W409" s="830"/>
      <c r="X409" s="830"/>
      <c r="Y409" s="830"/>
      <c r="Z409" s="830"/>
      <c r="AN409" s="830"/>
      <c r="AO409" s="830"/>
      <c r="AP409" s="830"/>
      <c r="AQ409" s="830"/>
      <c r="AR409" s="830"/>
      <c r="AS409" s="830"/>
      <c r="AT409" s="830"/>
      <c r="AU409" s="830"/>
      <c r="AV409" s="830"/>
      <c r="AW409" s="830"/>
      <c r="AX409" s="830"/>
      <c r="AY409" s="830"/>
      <c r="AZ409" s="831"/>
      <c r="BA409" s="831"/>
      <c r="BB409" s="822"/>
      <c r="BC409" s="822"/>
      <c r="BD409" s="822"/>
      <c r="BE409" s="822"/>
      <c r="BF409" s="822"/>
      <c r="BG409" s="822"/>
    </row>
    <row r="410" spans="6:59" ht="12" customHeight="1" x14ac:dyDescent="0.2">
      <c r="F410" s="739"/>
      <c r="M410" s="830"/>
      <c r="O410" s="830"/>
      <c r="P410" s="830"/>
      <c r="Q410" s="830"/>
      <c r="R410" s="830"/>
      <c r="S410" s="830"/>
      <c r="U410" s="830"/>
      <c r="V410" s="830"/>
      <c r="W410" s="830"/>
      <c r="X410" s="830"/>
      <c r="Y410" s="830"/>
      <c r="Z410" s="830"/>
      <c r="AN410" s="830"/>
      <c r="AO410" s="830"/>
      <c r="AP410" s="830"/>
      <c r="AQ410" s="830"/>
      <c r="AR410" s="830"/>
      <c r="AS410" s="830"/>
      <c r="AT410" s="830"/>
      <c r="AU410" s="830"/>
      <c r="AV410" s="830"/>
      <c r="AW410" s="830"/>
      <c r="AX410" s="830"/>
      <c r="AY410" s="830"/>
      <c r="AZ410" s="831"/>
      <c r="BA410" s="831"/>
      <c r="BB410" s="822"/>
      <c r="BC410" s="822"/>
      <c r="BD410" s="822"/>
      <c r="BE410" s="822"/>
      <c r="BF410" s="822"/>
      <c r="BG410" s="822"/>
    </row>
    <row r="411" spans="6:59" ht="12" customHeight="1" x14ac:dyDescent="0.2">
      <c r="F411" s="739"/>
      <c r="M411" s="830"/>
      <c r="O411" s="830"/>
      <c r="P411" s="830"/>
      <c r="Q411" s="830"/>
      <c r="R411" s="830"/>
      <c r="S411" s="830"/>
      <c r="U411" s="830"/>
      <c r="V411" s="830"/>
      <c r="W411" s="830"/>
      <c r="X411" s="830"/>
      <c r="Y411" s="830"/>
      <c r="Z411" s="830"/>
      <c r="AN411" s="830"/>
      <c r="AO411" s="830"/>
      <c r="AP411" s="830"/>
      <c r="AQ411" s="830"/>
      <c r="AR411" s="830"/>
      <c r="AS411" s="830"/>
      <c r="AT411" s="830"/>
      <c r="AU411" s="830"/>
      <c r="AV411" s="830"/>
      <c r="AW411" s="830"/>
      <c r="AX411" s="830"/>
      <c r="AY411" s="830"/>
      <c r="AZ411" s="831"/>
      <c r="BA411" s="831"/>
      <c r="BB411" s="822"/>
      <c r="BC411" s="822"/>
      <c r="BD411" s="822"/>
      <c r="BE411" s="822"/>
      <c r="BF411" s="822"/>
      <c r="BG411" s="822"/>
    </row>
    <row r="412" spans="6:59" ht="12" customHeight="1" x14ac:dyDescent="0.2">
      <c r="F412" s="739"/>
      <c r="M412" s="830"/>
      <c r="O412" s="830"/>
      <c r="P412" s="830"/>
      <c r="Q412" s="830"/>
      <c r="R412" s="830"/>
      <c r="S412" s="830"/>
      <c r="U412" s="830"/>
      <c r="V412" s="830"/>
      <c r="W412" s="830"/>
      <c r="X412" s="830"/>
      <c r="Y412" s="830"/>
      <c r="Z412" s="830"/>
      <c r="AN412" s="830"/>
      <c r="AO412" s="830"/>
      <c r="AP412" s="830"/>
      <c r="AQ412" s="830"/>
      <c r="AR412" s="830"/>
      <c r="AS412" s="830"/>
      <c r="AT412" s="830"/>
      <c r="AU412" s="830"/>
      <c r="AV412" s="830"/>
      <c r="AW412" s="830"/>
      <c r="AX412" s="830"/>
      <c r="AY412" s="830"/>
      <c r="AZ412" s="831"/>
      <c r="BA412" s="831"/>
      <c r="BB412" s="822"/>
      <c r="BC412" s="822"/>
      <c r="BD412" s="822"/>
      <c r="BE412" s="822"/>
      <c r="BF412" s="822"/>
      <c r="BG412" s="822"/>
    </row>
    <row r="413" spans="6:59" ht="12" customHeight="1" x14ac:dyDescent="0.2">
      <c r="F413" s="739"/>
      <c r="M413" s="830"/>
      <c r="O413" s="830"/>
      <c r="P413" s="830"/>
      <c r="Q413" s="830"/>
      <c r="R413" s="830"/>
      <c r="S413" s="830"/>
      <c r="U413" s="830"/>
      <c r="V413" s="830"/>
      <c r="W413" s="830"/>
      <c r="X413" s="830"/>
      <c r="Y413" s="830"/>
      <c r="Z413" s="830"/>
      <c r="AN413" s="830"/>
      <c r="AO413" s="830"/>
      <c r="AP413" s="830"/>
      <c r="AQ413" s="830"/>
      <c r="AR413" s="830"/>
      <c r="AS413" s="830"/>
      <c r="AT413" s="830"/>
      <c r="AU413" s="830"/>
      <c r="AV413" s="830"/>
      <c r="AW413" s="830"/>
      <c r="AX413" s="830"/>
      <c r="AY413" s="830"/>
      <c r="AZ413" s="831"/>
      <c r="BA413" s="831"/>
      <c r="BB413" s="822"/>
      <c r="BC413" s="822"/>
      <c r="BD413" s="822"/>
      <c r="BE413" s="822"/>
      <c r="BF413" s="822"/>
      <c r="BG413" s="822"/>
    </row>
    <row r="414" spans="6:59" ht="12" customHeight="1" x14ac:dyDescent="0.2">
      <c r="F414" s="739"/>
      <c r="M414" s="830"/>
      <c r="O414" s="830"/>
      <c r="P414" s="830"/>
      <c r="Q414" s="830"/>
      <c r="R414" s="830"/>
      <c r="S414" s="830"/>
      <c r="U414" s="830"/>
      <c r="V414" s="830"/>
      <c r="W414" s="830"/>
      <c r="X414" s="830"/>
      <c r="Y414" s="830"/>
      <c r="Z414" s="830"/>
      <c r="AN414" s="830"/>
      <c r="AO414" s="830"/>
      <c r="AP414" s="830"/>
      <c r="AQ414" s="830"/>
      <c r="AR414" s="830"/>
      <c r="AS414" s="830"/>
      <c r="AT414" s="830"/>
      <c r="AU414" s="830"/>
      <c r="AV414" s="830"/>
      <c r="AW414" s="830"/>
      <c r="AX414" s="830"/>
      <c r="AY414" s="830"/>
      <c r="AZ414" s="831"/>
      <c r="BA414" s="831"/>
      <c r="BB414" s="822"/>
      <c r="BC414" s="822"/>
      <c r="BD414" s="822"/>
      <c r="BE414" s="822"/>
      <c r="BF414" s="822"/>
      <c r="BG414" s="822"/>
    </row>
    <row r="415" spans="6:59" ht="12" customHeight="1" x14ac:dyDescent="0.2">
      <c r="F415" s="739"/>
      <c r="M415" s="830"/>
      <c r="O415" s="830"/>
      <c r="P415" s="830"/>
      <c r="Q415" s="830"/>
      <c r="R415" s="830"/>
      <c r="S415" s="830"/>
      <c r="U415" s="830"/>
      <c r="V415" s="830"/>
      <c r="W415" s="830"/>
      <c r="X415" s="830"/>
      <c r="Y415" s="830"/>
      <c r="Z415" s="830"/>
      <c r="AN415" s="830"/>
      <c r="AO415" s="830"/>
      <c r="AP415" s="830"/>
      <c r="AQ415" s="830"/>
      <c r="AR415" s="830"/>
      <c r="AS415" s="830"/>
      <c r="AT415" s="830"/>
      <c r="AU415" s="830"/>
      <c r="AV415" s="830"/>
      <c r="AW415" s="830"/>
      <c r="AX415" s="830"/>
      <c r="AY415" s="830"/>
      <c r="AZ415" s="831"/>
      <c r="BA415" s="831"/>
      <c r="BB415" s="822"/>
      <c r="BC415" s="822"/>
      <c r="BD415" s="822"/>
      <c r="BE415" s="822"/>
      <c r="BF415" s="822"/>
      <c r="BG415" s="822"/>
    </row>
    <row r="416" spans="6:59" ht="12" customHeight="1" x14ac:dyDescent="0.2">
      <c r="F416" s="739"/>
      <c r="M416" s="830"/>
      <c r="O416" s="830"/>
      <c r="P416" s="830"/>
      <c r="Q416" s="830"/>
      <c r="R416" s="830"/>
      <c r="S416" s="830"/>
      <c r="U416" s="830"/>
      <c r="V416" s="830"/>
      <c r="W416" s="830"/>
      <c r="X416" s="830"/>
      <c r="Y416" s="830"/>
      <c r="Z416" s="830"/>
      <c r="AN416" s="830"/>
      <c r="AO416" s="830"/>
      <c r="AP416" s="830"/>
      <c r="AQ416" s="830"/>
      <c r="AR416" s="830"/>
      <c r="AS416" s="830"/>
      <c r="AT416" s="830"/>
      <c r="AU416" s="830"/>
      <c r="AV416" s="830"/>
      <c r="AW416" s="830"/>
      <c r="AX416" s="830"/>
      <c r="AY416" s="830"/>
      <c r="AZ416" s="831"/>
      <c r="BA416" s="831"/>
      <c r="BB416" s="822"/>
      <c r="BC416" s="822"/>
      <c r="BD416" s="822"/>
      <c r="BE416" s="822"/>
      <c r="BF416" s="822"/>
      <c r="BG416" s="822"/>
    </row>
    <row r="417" spans="6:59" ht="12" customHeight="1" x14ac:dyDescent="0.2">
      <c r="F417" s="739"/>
      <c r="M417" s="830"/>
      <c r="O417" s="830"/>
      <c r="P417" s="830"/>
      <c r="Q417" s="830"/>
      <c r="R417" s="830"/>
      <c r="S417" s="830"/>
      <c r="U417" s="830"/>
      <c r="V417" s="830"/>
      <c r="W417" s="830"/>
      <c r="X417" s="830"/>
      <c r="Y417" s="830"/>
      <c r="Z417" s="830"/>
      <c r="AN417" s="830"/>
      <c r="AO417" s="830"/>
      <c r="AP417" s="830"/>
      <c r="AQ417" s="830"/>
      <c r="AR417" s="830"/>
      <c r="AS417" s="830"/>
      <c r="AT417" s="830"/>
      <c r="AU417" s="830"/>
      <c r="AV417" s="830"/>
      <c r="AW417" s="830"/>
      <c r="AX417" s="830"/>
      <c r="AY417" s="830"/>
      <c r="AZ417" s="831"/>
      <c r="BA417" s="831"/>
      <c r="BB417" s="822"/>
      <c r="BC417" s="822"/>
      <c r="BD417" s="822"/>
      <c r="BE417" s="822"/>
      <c r="BF417" s="822"/>
      <c r="BG417" s="822"/>
    </row>
    <row r="418" spans="6:59" ht="12" customHeight="1" x14ac:dyDescent="0.2">
      <c r="F418" s="739"/>
      <c r="M418" s="830"/>
      <c r="O418" s="830"/>
      <c r="P418" s="830"/>
      <c r="Q418" s="830"/>
      <c r="R418" s="830"/>
      <c r="S418" s="830"/>
      <c r="U418" s="830"/>
      <c r="V418" s="830"/>
      <c r="W418" s="830"/>
      <c r="X418" s="830"/>
      <c r="Y418" s="830"/>
      <c r="Z418" s="830"/>
      <c r="AN418" s="830"/>
      <c r="AO418" s="830"/>
      <c r="AP418" s="830"/>
      <c r="AQ418" s="830"/>
      <c r="AR418" s="830"/>
      <c r="AS418" s="830"/>
      <c r="AT418" s="830"/>
      <c r="AU418" s="830"/>
      <c r="AV418" s="830"/>
      <c r="AW418" s="830"/>
      <c r="AX418" s="830"/>
      <c r="AY418" s="830"/>
      <c r="AZ418" s="831"/>
      <c r="BA418" s="831"/>
      <c r="BB418" s="822"/>
      <c r="BC418" s="822"/>
      <c r="BD418" s="822"/>
      <c r="BE418" s="822"/>
      <c r="BF418" s="822"/>
      <c r="BG418" s="822"/>
    </row>
    <row r="419" spans="6:59" ht="12" customHeight="1" x14ac:dyDescent="0.2">
      <c r="F419" s="739"/>
      <c r="M419" s="830"/>
      <c r="O419" s="830"/>
      <c r="P419" s="830"/>
      <c r="Q419" s="830"/>
      <c r="R419" s="830"/>
      <c r="S419" s="830"/>
      <c r="U419" s="830"/>
      <c r="V419" s="830"/>
      <c r="W419" s="830"/>
      <c r="X419" s="830"/>
      <c r="Y419" s="830"/>
      <c r="Z419" s="830"/>
      <c r="AN419" s="830"/>
      <c r="AO419" s="830"/>
      <c r="AP419" s="830"/>
      <c r="AQ419" s="830"/>
      <c r="AR419" s="830"/>
      <c r="AS419" s="830"/>
      <c r="AT419" s="830"/>
      <c r="AU419" s="830"/>
      <c r="AV419" s="830"/>
      <c r="AW419" s="830"/>
      <c r="AX419" s="830"/>
      <c r="AY419" s="830"/>
      <c r="AZ419" s="831"/>
      <c r="BA419" s="831"/>
      <c r="BB419" s="822"/>
      <c r="BC419" s="822"/>
      <c r="BD419" s="822"/>
      <c r="BE419" s="822"/>
      <c r="BF419" s="822"/>
      <c r="BG419" s="822"/>
    </row>
    <row r="420" spans="6:59" ht="12" customHeight="1" x14ac:dyDescent="0.2">
      <c r="F420" s="739"/>
      <c r="M420" s="830"/>
      <c r="O420" s="830"/>
      <c r="P420" s="830"/>
      <c r="Q420" s="830"/>
      <c r="R420" s="830"/>
      <c r="S420" s="830"/>
      <c r="U420" s="830"/>
      <c r="V420" s="830"/>
      <c r="W420" s="830"/>
      <c r="X420" s="830"/>
      <c r="Y420" s="830"/>
      <c r="Z420" s="830"/>
      <c r="AN420" s="830"/>
      <c r="AO420" s="830"/>
      <c r="AP420" s="830"/>
      <c r="AQ420" s="830"/>
      <c r="AR420" s="830"/>
      <c r="AS420" s="830"/>
      <c r="AT420" s="830"/>
      <c r="AU420" s="830"/>
      <c r="AV420" s="830"/>
      <c r="AW420" s="830"/>
      <c r="AX420" s="830"/>
      <c r="AY420" s="830"/>
      <c r="AZ420" s="831"/>
      <c r="BA420" s="831"/>
      <c r="BB420" s="822"/>
      <c r="BC420" s="822"/>
      <c r="BD420" s="822"/>
      <c r="BE420" s="822"/>
      <c r="BF420" s="822"/>
      <c r="BG420" s="822"/>
    </row>
    <row r="421" spans="6:59" ht="12" customHeight="1" x14ac:dyDescent="0.2">
      <c r="F421" s="739"/>
      <c r="M421" s="830"/>
      <c r="O421" s="830"/>
      <c r="P421" s="830"/>
      <c r="Q421" s="830"/>
      <c r="R421" s="830"/>
      <c r="S421" s="830"/>
      <c r="U421" s="830"/>
      <c r="V421" s="830"/>
      <c r="W421" s="830"/>
      <c r="X421" s="830"/>
      <c r="Y421" s="830"/>
      <c r="Z421" s="830"/>
      <c r="AN421" s="830"/>
      <c r="AO421" s="830"/>
      <c r="AP421" s="830"/>
      <c r="AQ421" s="830"/>
      <c r="AR421" s="830"/>
      <c r="AS421" s="830"/>
      <c r="AT421" s="830"/>
      <c r="AU421" s="830"/>
      <c r="AV421" s="830"/>
      <c r="AW421" s="830"/>
      <c r="AX421" s="830"/>
      <c r="AY421" s="830"/>
      <c r="AZ421" s="831"/>
      <c r="BA421" s="831"/>
      <c r="BB421" s="822"/>
      <c r="BC421" s="822"/>
      <c r="BD421" s="822"/>
      <c r="BE421" s="822"/>
      <c r="BF421" s="822"/>
      <c r="BG421" s="822"/>
    </row>
    <row r="422" spans="6:59" ht="12" customHeight="1" x14ac:dyDescent="0.2">
      <c r="F422" s="739"/>
      <c r="M422" s="830"/>
      <c r="O422" s="830"/>
      <c r="P422" s="830"/>
      <c r="Q422" s="830"/>
      <c r="R422" s="830"/>
      <c r="S422" s="830"/>
      <c r="U422" s="830"/>
      <c r="V422" s="830"/>
      <c r="W422" s="830"/>
      <c r="X422" s="830"/>
      <c r="Y422" s="830"/>
      <c r="Z422" s="830"/>
      <c r="AN422" s="830"/>
      <c r="AO422" s="830"/>
      <c r="AP422" s="830"/>
      <c r="AQ422" s="830"/>
      <c r="AR422" s="830"/>
      <c r="AS422" s="830"/>
      <c r="AT422" s="830"/>
      <c r="AU422" s="830"/>
      <c r="AV422" s="830"/>
      <c r="AW422" s="830"/>
      <c r="AX422" s="830"/>
      <c r="AY422" s="830"/>
      <c r="AZ422" s="831"/>
      <c r="BA422" s="831"/>
      <c r="BB422" s="822"/>
      <c r="BC422" s="822"/>
      <c r="BD422" s="822"/>
      <c r="BE422" s="822"/>
      <c r="BF422" s="822"/>
      <c r="BG422" s="822"/>
    </row>
    <row r="423" spans="6:59" ht="12" customHeight="1" x14ac:dyDescent="0.2">
      <c r="F423" s="739"/>
      <c r="M423" s="830"/>
      <c r="O423" s="830"/>
      <c r="P423" s="830"/>
      <c r="Q423" s="830"/>
      <c r="R423" s="830"/>
      <c r="S423" s="830"/>
      <c r="U423" s="830"/>
      <c r="V423" s="830"/>
      <c r="W423" s="830"/>
      <c r="X423" s="830"/>
      <c r="Y423" s="830"/>
      <c r="Z423" s="830"/>
      <c r="AN423" s="830"/>
      <c r="AO423" s="830"/>
      <c r="AP423" s="830"/>
      <c r="AQ423" s="830"/>
      <c r="AR423" s="830"/>
      <c r="AS423" s="830"/>
      <c r="AT423" s="830"/>
      <c r="AU423" s="830"/>
      <c r="AV423" s="830"/>
      <c r="AW423" s="830"/>
      <c r="AX423" s="830"/>
      <c r="AY423" s="830"/>
      <c r="AZ423" s="831"/>
      <c r="BA423" s="831"/>
      <c r="BB423" s="822"/>
      <c r="BC423" s="822"/>
      <c r="BD423" s="822"/>
      <c r="BE423" s="822"/>
      <c r="BF423" s="822"/>
      <c r="BG423" s="822"/>
    </row>
    <row r="424" spans="6:59" ht="12" customHeight="1" x14ac:dyDescent="0.2">
      <c r="F424" s="739"/>
      <c r="M424" s="830"/>
      <c r="O424" s="830"/>
      <c r="P424" s="830"/>
      <c r="Q424" s="830"/>
      <c r="R424" s="830"/>
      <c r="S424" s="830"/>
      <c r="U424" s="830"/>
      <c r="V424" s="830"/>
      <c r="W424" s="830"/>
      <c r="X424" s="830"/>
      <c r="Y424" s="830"/>
      <c r="Z424" s="830"/>
      <c r="AN424" s="830"/>
      <c r="AO424" s="830"/>
      <c r="AP424" s="830"/>
      <c r="AQ424" s="830"/>
      <c r="AR424" s="830"/>
      <c r="AS424" s="830"/>
      <c r="AT424" s="830"/>
      <c r="AU424" s="830"/>
      <c r="AV424" s="830"/>
      <c r="AW424" s="830"/>
      <c r="AX424" s="830"/>
      <c r="AY424" s="830"/>
      <c r="AZ424" s="831"/>
      <c r="BA424" s="831"/>
      <c r="BB424" s="822"/>
      <c r="BC424" s="822"/>
      <c r="BD424" s="822"/>
      <c r="BE424" s="822"/>
      <c r="BF424" s="822"/>
      <c r="BG424" s="822"/>
    </row>
    <row r="425" spans="6:59" ht="12" customHeight="1" x14ac:dyDescent="0.2">
      <c r="F425" s="739"/>
      <c r="M425" s="830"/>
      <c r="O425" s="830"/>
      <c r="P425" s="830"/>
      <c r="Q425" s="830"/>
      <c r="R425" s="830"/>
      <c r="S425" s="830"/>
      <c r="U425" s="830"/>
      <c r="V425" s="830"/>
      <c r="W425" s="830"/>
      <c r="X425" s="830"/>
      <c r="Y425" s="830"/>
      <c r="Z425" s="830"/>
      <c r="AN425" s="830"/>
      <c r="AO425" s="830"/>
      <c r="AP425" s="830"/>
      <c r="AQ425" s="830"/>
      <c r="AR425" s="830"/>
      <c r="AS425" s="830"/>
      <c r="AT425" s="830"/>
      <c r="AU425" s="830"/>
      <c r="AV425" s="830"/>
      <c r="AW425" s="830"/>
      <c r="AX425" s="830"/>
      <c r="AY425" s="830"/>
      <c r="AZ425" s="831"/>
      <c r="BA425" s="831"/>
      <c r="BB425" s="822"/>
      <c r="BC425" s="822"/>
      <c r="BD425" s="822"/>
      <c r="BE425" s="822"/>
      <c r="BF425" s="822"/>
      <c r="BG425" s="822"/>
    </row>
    <row r="426" spans="6:59" ht="12" customHeight="1" x14ac:dyDescent="0.2">
      <c r="F426" s="739"/>
      <c r="M426" s="830"/>
      <c r="O426" s="830"/>
      <c r="P426" s="830"/>
      <c r="Q426" s="830"/>
      <c r="R426" s="830"/>
      <c r="S426" s="830"/>
      <c r="U426" s="830"/>
      <c r="V426" s="830"/>
      <c r="W426" s="830"/>
      <c r="X426" s="830"/>
      <c r="Y426" s="830"/>
      <c r="Z426" s="830"/>
      <c r="AN426" s="830"/>
      <c r="AO426" s="830"/>
      <c r="AP426" s="830"/>
      <c r="AQ426" s="830"/>
      <c r="AR426" s="830"/>
      <c r="AS426" s="830"/>
      <c r="AT426" s="830"/>
      <c r="AU426" s="830"/>
      <c r="AV426" s="830"/>
      <c r="AW426" s="830"/>
      <c r="AX426" s="830"/>
      <c r="AY426" s="830"/>
      <c r="AZ426" s="831"/>
      <c r="BA426" s="831"/>
      <c r="BB426" s="822"/>
      <c r="BC426" s="822"/>
      <c r="BD426" s="822"/>
      <c r="BE426" s="822"/>
      <c r="BF426" s="822"/>
      <c r="BG426" s="822"/>
    </row>
    <row r="427" spans="6:59" ht="12" customHeight="1" x14ac:dyDescent="0.2">
      <c r="F427" s="739"/>
      <c r="M427" s="830"/>
      <c r="O427" s="830"/>
      <c r="P427" s="830"/>
      <c r="Q427" s="830"/>
      <c r="R427" s="830"/>
      <c r="S427" s="830"/>
      <c r="U427" s="830"/>
      <c r="V427" s="830"/>
      <c r="W427" s="830"/>
      <c r="X427" s="830"/>
      <c r="Y427" s="830"/>
      <c r="Z427" s="830"/>
      <c r="AN427" s="830"/>
      <c r="AO427" s="830"/>
      <c r="AP427" s="830"/>
      <c r="AQ427" s="830"/>
      <c r="AR427" s="830"/>
      <c r="AS427" s="830"/>
      <c r="AT427" s="830"/>
      <c r="AU427" s="830"/>
      <c r="AV427" s="830"/>
      <c r="AW427" s="830"/>
      <c r="AX427" s="830"/>
      <c r="AY427" s="830"/>
      <c r="AZ427" s="831"/>
      <c r="BA427" s="831"/>
      <c r="BB427" s="822"/>
      <c r="BC427" s="822"/>
      <c r="BD427" s="822"/>
      <c r="BE427" s="822"/>
      <c r="BF427" s="822"/>
      <c r="BG427" s="822"/>
    </row>
    <row r="428" spans="6:59" ht="12" customHeight="1" x14ac:dyDescent="0.2">
      <c r="F428" s="739"/>
      <c r="M428" s="830"/>
      <c r="O428" s="830"/>
      <c r="P428" s="830"/>
      <c r="Q428" s="830"/>
      <c r="R428" s="830"/>
      <c r="S428" s="830"/>
      <c r="U428" s="830"/>
      <c r="V428" s="830"/>
      <c r="W428" s="830"/>
      <c r="X428" s="830"/>
      <c r="Y428" s="830"/>
      <c r="Z428" s="830"/>
      <c r="AN428" s="830"/>
      <c r="AO428" s="830"/>
      <c r="AP428" s="830"/>
      <c r="AQ428" s="830"/>
      <c r="AR428" s="830"/>
      <c r="AS428" s="830"/>
      <c r="AT428" s="830"/>
      <c r="AU428" s="830"/>
      <c r="AV428" s="830"/>
      <c r="AW428" s="830"/>
      <c r="AX428" s="830"/>
      <c r="AY428" s="830"/>
      <c r="AZ428" s="831"/>
      <c r="BA428" s="831"/>
      <c r="BB428" s="822"/>
      <c r="BC428" s="822"/>
      <c r="BD428" s="822"/>
      <c r="BE428" s="822"/>
      <c r="BF428" s="822"/>
      <c r="BG428" s="822"/>
    </row>
    <row r="429" spans="6:59" ht="12" customHeight="1" x14ac:dyDescent="0.2">
      <c r="F429" s="739"/>
      <c r="M429" s="830"/>
      <c r="O429" s="830"/>
      <c r="P429" s="830"/>
      <c r="Q429" s="830"/>
      <c r="R429" s="830"/>
      <c r="S429" s="830"/>
      <c r="U429" s="830"/>
      <c r="V429" s="830"/>
      <c r="W429" s="830"/>
      <c r="X429" s="830"/>
      <c r="Y429" s="830"/>
      <c r="Z429" s="830"/>
      <c r="AN429" s="830"/>
      <c r="AO429" s="830"/>
      <c r="AP429" s="830"/>
      <c r="AQ429" s="830"/>
      <c r="AR429" s="830"/>
      <c r="AS429" s="830"/>
      <c r="AT429" s="830"/>
      <c r="AU429" s="830"/>
      <c r="AV429" s="830"/>
      <c r="AW429" s="830"/>
      <c r="AX429" s="830"/>
      <c r="AY429" s="830"/>
      <c r="AZ429" s="831"/>
      <c r="BA429" s="831"/>
      <c r="BB429" s="822"/>
      <c r="BC429" s="822"/>
      <c r="BD429" s="822"/>
      <c r="BE429" s="822"/>
      <c r="BF429" s="822"/>
      <c r="BG429" s="822"/>
    </row>
    <row r="430" spans="6:59" ht="12" customHeight="1" x14ac:dyDescent="0.2">
      <c r="F430" s="739"/>
      <c r="M430" s="830"/>
      <c r="O430" s="830"/>
      <c r="P430" s="830"/>
      <c r="Q430" s="830"/>
      <c r="R430" s="830"/>
      <c r="S430" s="830"/>
      <c r="U430" s="830"/>
      <c r="V430" s="830"/>
      <c r="W430" s="830"/>
      <c r="X430" s="830"/>
      <c r="Y430" s="830"/>
      <c r="Z430" s="830"/>
      <c r="AN430" s="830"/>
      <c r="AO430" s="830"/>
      <c r="AP430" s="830"/>
      <c r="AQ430" s="830"/>
      <c r="AR430" s="830"/>
      <c r="AS430" s="830"/>
      <c r="AT430" s="830"/>
      <c r="AU430" s="830"/>
      <c r="AV430" s="830"/>
      <c r="AW430" s="830"/>
      <c r="AX430" s="830"/>
      <c r="AY430" s="830"/>
      <c r="AZ430" s="831"/>
      <c r="BA430" s="831"/>
      <c r="BB430" s="822"/>
      <c r="BC430" s="822"/>
      <c r="BD430" s="822"/>
      <c r="BE430" s="822"/>
      <c r="BF430" s="822"/>
      <c r="BG430" s="822"/>
    </row>
    <row r="431" spans="6:59" ht="12" customHeight="1" x14ac:dyDescent="0.2">
      <c r="F431" s="739"/>
      <c r="M431" s="830"/>
      <c r="O431" s="830"/>
      <c r="P431" s="830"/>
      <c r="Q431" s="830"/>
      <c r="R431" s="830"/>
      <c r="S431" s="830"/>
      <c r="U431" s="830"/>
      <c r="V431" s="830"/>
      <c r="W431" s="830"/>
      <c r="X431" s="830"/>
      <c r="Y431" s="830"/>
      <c r="Z431" s="830"/>
      <c r="AN431" s="830"/>
      <c r="AO431" s="830"/>
      <c r="AP431" s="830"/>
      <c r="AQ431" s="830"/>
      <c r="AR431" s="830"/>
      <c r="AS431" s="830"/>
      <c r="AT431" s="830"/>
      <c r="AU431" s="830"/>
      <c r="AV431" s="830"/>
      <c r="AW431" s="830"/>
      <c r="AX431" s="830"/>
      <c r="AY431" s="830"/>
      <c r="AZ431" s="831"/>
      <c r="BA431" s="831"/>
      <c r="BB431" s="822"/>
      <c r="BC431" s="822"/>
      <c r="BD431" s="822"/>
      <c r="BE431" s="822"/>
      <c r="BF431" s="822"/>
      <c r="BG431" s="822"/>
    </row>
    <row r="432" spans="6:59" ht="12" customHeight="1" x14ac:dyDescent="0.2">
      <c r="F432" s="739"/>
      <c r="M432" s="830"/>
      <c r="O432" s="830"/>
      <c r="P432" s="830"/>
      <c r="Q432" s="830"/>
      <c r="R432" s="830"/>
      <c r="S432" s="830"/>
      <c r="U432" s="830"/>
      <c r="V432" s="830"/>
      <c r="W432" s="830"/>
      <c r="X432" s="830"/>
      <c r="Y432" s="830"/>
      <c r="Z432" s="830"/>
      <c r="AN432" s="830"/>
      <c r="AO432" s="830"/>
      <c r="AP432" s="830"/>
      <c r="AQ432" s="830"/>
      <c r="AR432" s="830"/>
      <c r="AS432" s="830"/>
      <c r="AT432" s="830"/>
      <c r="AU432" s="830"/>
      <c r="AV432" s="830"/>
      <c r="AW432" s="830"/>
      <c r="AX432" s="830"/>
      <c r="AY432" s="830"/>
      <c r="AZ432" s="831"/>
      <c r="BA432" s="831"/>
      <c r="BB432" s="822"/>
      <c r="BC432" s="822"/>
      <c r="BD432" s="822"/>
      <c r="BE432" s="822"/>
      <c r="BF432" s="822"/>
      <c r="BG432" s="822"/>
    </row>
    <row r="433" spans="6:59" ht="12" customHeight="1" x14ac:dyDescent="0.2">
      <c r="F433" s="739"/>
      <c r="M433" s="830"/>
      <c r="O433" s="830"/>
      <c r="P433" s="830"/>
      <c r="Q433" s="830"/>
      <c r="R433" s="830"/>
      <c r="S433" s="830"/>
      <c r="U433" s="830"/>
      <c r="V433" s="830"/>
      <c r="W433" s="830"/>
      <c r="X433" s="830"/>
      <c r="Y433" s="830"/>
      <c r="Z433" s="830"/>
      <c r="AN433" s="830"/>
      <c r="AO433" s="830"/>
      <c r="AP433" s="830"/>
      <c r="AQ433" s="830"/>
      <c r="AR433" s="830"/>
      <c r="AS433" s="830"/>
      <c r="AT433" s="830"/>
      <c r="AU433" s="830"/>
      <c r="AV433" s="830"/>
      <c r="AW433" s="830"/>
      <c r="AX433" s="830"/>
      <c r="AY433" s="830"/>
      <c r="AZ433" s="831"/>
      <c r="BA433" s="831"/>
      <c r="BB433" s="822"/>
      <c r="BC433" s="822"/>
      <c r="BD433" s="822"/>
      <c r="BE433" s="822"/>
      <c r="BF433" s="822"/>
      <c r="BG433" s="822"/>
    </row>
    <row r="434" spans="6:59" ht="12" customHeight="1" x14ac:dyDescent="0.2">
      <c r="F434" s="739"/>
      <c r="M434" s="830"/>
      <c r="O434" s="830"/>
      <c r="P434" s="830"/>
      <c r="Q434" s="830"/>
      <c r="R434" s="830"/>
      <c r="S434" s="830"/>
      <c r="U434" s="830"/>
      <c r="V434" s="830"/>
      <c r="W434" s="830"/>
      <c r="X434" s="830"/>
      <c r="Y434" s="830"/>
      <c r="Z434" s="830"/>
      <c r="AN434" s="830"/>
      <c r="AO434" s="830"/>
      <c r="AP434" s="830"/>
      <c r="AQ434" s="830"/>
      <c r="AR434" s="830"/>
      <c r="AS434" s="830"/>
      <c r="AT434" s="830"/>
      <c r="AU434" s="830"/>
      <c r="AV434" s="830"/>
      <c r="AW434" s="830"/>
      <c r="AX434" s="830"/>
      <c r="AY434" s="830"/>
      <c r="AZ434" s="831"/>
      <c r="BA434" s="831"/>
      <c r="BB434" s="822"/>
      <c r="BC434" s="822"/>
      <c r="BD434" s="822"/>
      <c r="BE434" s="822"/>
      <c r="BF434" s="822"/>
      <c r="BG434" s="822"/>
    </row>
    <row r="435" spans="6:59" ht="12" customHeight="1" x14ac:dyDescent="0.2">
      <c r="F435" s="739"/>
      <c r="M435" s="830"/>
      <c r="O435" s="830"/>
      <c r="P435" s="830"/>
      <c r="Q435" s="830"/>
      <c r="R435" s="830"/>
      <c r="S435" s="830"/>
      <c r="U435" s="830"/>
      <c r="V435" s="830"/>
      <c r="W435" s="830"/>
      <c r="X435" s="830"/>
      <c r="Y435" s="830"/>
      <c r="Z435" s="830"/>
      <c r="AN435" s="830"/>
      <c r="AO435" s="830"/>
      <c r="AP435" s="830"/>
      <c r="AQ435" s="830"/>
      <c r="AR435" s="830"/>
      <c r="AS435" s="830"/>
      <c r="AT435" s="830"/>
      <c r="AU435" s="830"/>
      <c r="AV435" s="830"/>
      <c r="AW435" s="830"/>
      <c r="AX435" s="830"/>
      <c r="AY435" s="830"/>
      <c r="AZ435" s="831"/>
      <c r="BA435" s="831"/>
      <c r="BB435" s="822"/>
      <c r="BC435" s="822"/>
      <c r="BD435" s="822"/>
      <c r="BE435" s="822"/>
      <c r="BF435" s="822"/>
      <c r="BG435" s="822"/>
    </row>
    <row r="436" spans="6:59" ht="12" customHeight="1" x14ac:dyDescent="0.2">
      <c r="F436" s="739"/>
      <c r="M436" s="830"/>
      <c r="O436" s="830"/>
      <c r="P436" s="830"/>
      <c r="Q436" s="830"/>
      <c r="R436" s="830"/>
      <c r="S436" s="830"/>
      <c r="U436" s="830"/>
      <c r="V436" s="830"/>
      <c r="W436" s="830"/>
      <c r="X436" s="830"/>
      <c r="Y436" s="830"/>
      <c r="Z436" s="830"/>
      <c r="AN436" s="830"/>
      <c r="AO436" s="830"/>
      <c r="AP436" s="830"/>
      <c r="AQ436" s="830"/>
      <c r="AR436" s="830"/>
      <c r="AS436" s="830"/>
      <c r="AT436" s="830"/>
      <c r="AU436" s="830"/>
      <c r="AV436" s="830"/>
      <c r="AW436" s="830"/>
      <c r="AX436" s="830"/>
      <c r="AY436" s="830"/>
      <c r="AZ436" s="831"/>
      <c r="BA436" s="831"/>
      <c r="BB436" s="822"/>
      <c r="BC436" s="822"/>
      <c r="BD436" s="822"/>
      <c r="BE436" s="822"/>
      <c r="BF436" s="822"/>
      <c r="BG436" s="822"/>
    </row>
    <row r="437" spans="6:59" ht="12" customHeight="1" x14ac:dyDescent="0.2">
      <c r="F437" s="739"/>
      <c r="M437" s="830"/>
      <c r="O437" s="830"/>
      <c r="P437" s="830"/>
      <c r="Q437" s="830"/>
      <c r="R437" s="830"/>
      <c r="S437" s="830"/>
      <c r="U437" s="830"/>
      <c r="V437" s="830"/>
      <c r="W437" s="830"/>
      <c r="X437" s="830"/>
      <c r="Y437" s="830"/>
      <c r="Z437" s="830"/>
      <c r="AN437" s="830"/>
      <c r="AO437" s="830"/>
      <c r="AP437" s="830"/>
      <c r="AQ437" s="830"/>
      <c r="AR437" s="830"/>
      <c r="AS437" s="830"/>
      <c r="AT437" s="830"/>
      <c r="AU437" s="830"/>
      <c r="AV437" s="830"/>
      <c r="AW437" s="830"/>
      <c r="AX437" s="830"/>
      <c r="AY437" s="830"/>
      <c r="AZ437" s="831"/>
      <c r="BA437" s="831"/>
      <c r="BB437" s="822"/>
      <c r="BC437" s="822"/>
      <c r="BD437" s="822"/>
      <c r="BE437" s="822"/>
      <c r="BF437" s="822"/>
      <c r="BG437" s="822"/>
    </row>
    <row r="438" spans="6:59" ht="12" customHeight="1" x14ac:dyDescent="0.2">
      <c r="F438" s="739"/>
      <c r="M438" s="830"/>
      <c r="O438" s="830"/>
      <c r="P438" s="830"/>
      <c r="Q438" s="830"/>
      <c r="R438" s="830"/>
      <c r="S438" s="830"/>
      <c r="U438" s="830"/>
      <c r="V438" s="830"/>
      <c r="W438" s="830"/>
      <c r="X438" s="830"/>
      <c r="Y438" s="830"/>
      <c r="Z438" s="830"/>
      <c r="AN438" s="830"/>
      <c r="AO438" s="830"/>
      <c r="AP438" s="830"/>
      <c r="AQ438" s="830"/>
      <c r="AR438" s="830"/>
      <c r="AS438" s="830"/>
      <c r="AT438" s="830"/>
      <c r="AU438" s="830"/>
      <c r="AV438" s="830"/>
      <c r="AW438" s="830"/>
      <c r="AX438" s="830"/>
      <c r="AY438" s="830"/>
      <c r="AZ438" s="831"/>
      <c r="BA438" s="831"/>
      <c r="BB438" s="822"/>
      <c r="BC438" s="822"/>
      <c r="BD438" s="822"/>
      <c r="BE438" s="822"/>
      <c r="BF438" s="822"/>
      <c r="BG438" s="822"/>
    </row>
    <row r="439" spans="6:59" ht="12" customHeight="1" x14ac:dyDescent="0.2">
      <c r="F439" s="739"/>
      <c r="M439" s="830"/>
      <c r="O439" s="830"/>
      <c r="P439" s="830"/>
      <c r="Q439" s="830"/>
      <c r="R439" s="830"/>
      <c r="S439" s="830"/>
      <c r="U439" s="830"/>
      <c r="V439" s="830"/>
      <c r="W439" s="830"/>
      <c r="X439" s="830"/>
      <c r="Y439" s="830"/>
      <c r="Z439" s="830"/>
      <c r="AN439" s="830"/>
      <c r="AO439" s="830"/>
      <c r="AP439" s="830"/>
      <c r="AQ439" s="830"/>
      <c r="AR439" s="830"/>
      <c r="AS439" s="830"/>
      <c r="AT439" s="830"/>
      <c r="AU439" s="830"/>
      <c r="AV439" s="830"/>
      <c r="AW439" s="830"/>
      <c r="AX439" s="830"/>
      <c r="AY439" s="830"/>
      <c r="AZ439" s="831"/>
      <c r="BA439" s="831"/>
      <c r="BB439" s="822"/>
      <c r="BC439" s="822"/>
      <c r="BD439" s="822"/>
      <c r="BE439" s="822"/>
      <c r="BF439" s="822"/>
      <c r="BG439" s="822"/>
    </row>
    <row r="440" spans="6:59" ht="12" customHeight="1" x14ac:dyDescent="0.2">
      <c r="F440" s="739"/>
      <c r="M440" s="830"/>
      <c r="O440" s="830"/>
      <c r="P440" s="830"/>
      <c r="Q440" s="830"/>
      <c r="R440" s="830"/>
      <c r="S440" s="830"/>
      <c r="U440" s="830"/>
      <c r="V440" s="830"/>
      <c r="W440" s="830"/>
      <c r="X440" s="830"/>
      <c r="Y440" s="830"/>
      <c r="Z440" s="830"/>
      <c r="AN440" s="830"/>
      <c r="AO440" s="830"/>
      <c r="AP440" s="830"/>
      <c r="AQ440" s="830"/>
      <c r="AR440" s="830"/>
      <c r="AS440" s="830"/>
      <c r="AT440" s="830"/>
      <c r="AU440" s="830"/>
      <c r="AV440" s="830"/>
      <c r="AW440" s="830"/>
      <c r="AX440" s="830"/>
      <c r="AY440" s="830"/>
      <c r="AZ440" s="831"/>
      <c r="BA440" s="831"/>
      <c r="BB440" s="822"/>
      <c r="BC440" s="822"/>
      <c r="BD440" s="822"/>
      <c r="BE440" s="822"/>
      <c r="BF440" s="822"/>
      <c r="BG440" s="822"/>
    </row>
    <row r="441" spans="6:59" ht="12" customHeight="1" x14ac:dyDescent="0.2">
      <c r="F441" s="739"/>
      <c r="M441" s="830"/>
      <c r="O441" s="830"/>
      <c r="P441" s="830"/>
      <c r="Q441" s="830"/>
      <c r="R441" s="830"/>
      <c r="S441" s="830"/>
      <c r="U441" s="830"/>
      <c r="V441" s="830"/>
      <c r="W441" s="830"/>
      <c r="X441" s="830"/>
      <c r="Y441" s="830"/>
      <c r="Z441" s="830"/>
      <c r="AN441" s="830"/>
      <c r="AO441" s="830"/>
      <c r="AP441" s="830"/>
      <c r="AQ441" s="830"/>
      <c r="AR441" s="830"/>
      <c r="AS441" s="830"/>
      <c r="AT441" s="830"/>
      <c r="AU441" s="830"/>
      <c r="AV441" s="830"/>
      <c r="AW441" s="830"/>
      <c r="AX441" s="830"/>
      <c r="AY441" s="830"/>
      <c r="AZ441" s="831"/>
      <c r="BA441" s="831"/>
      <c r="BB441" s="822"/>
      <c r="BC441" s="822"/>
      <c r="BD441" s="822"/>
      <c r="BE441" s="822"/>
      <c r="BF441" s="822"/>
      <c r="BG441" s="822"/>
    </row>
    <row r="442" spans="6:59" ht="12" customHeight="1" x14ac:dyDescent="0.2">
      <c r="F442" s="739"/>
      <c r="M442" s="830"/>
      <c r="O442" s="830"/>
      <c r="P442" s="830"/>
      <c r="Q442" s="830"/>
      <c r="R442" s="830"/>
      <c r="S442" s="830"/>
      <c r="U442" s="830"/>
      <c r="V442" s="830"/>
      <c r="W442" s="830"/>
      <c r="X442" s="830"/>
      <c r="Y442" s="830"/>
      <c r="Z442" s="830"/>
      <c r="AN442" s="830"/>
      <c r="AO442" s="830"/>
      <c r="AP442" s="830"/>
      <c r="AQ442" s="830"/>
      <c r="AR442" s="830"/>
      <c r="AS442" s="830"/>
      <c r="AT442" s="830"/>
      <c r="AU442" s="830"/>
      <c r="AV442" s="830"/>
      <c r="AW442" s="830"/>
      <c r="AX442" s="830"/>
      <c r="AY442" s="830"/>
      <c r="AZ442" s="831"/>
      <c r="BA442" s="831"/>
      <c r="BB442" s="822"/>
      <c r="BC442" s="822"/>
      <c r="BD442" s="822"/>
      <c r="BE442" s="822"/>
      <c r="BF442" s="822"/>
      <c r="BG442" s="822"/>
    </row>
    <row r="443" spans="6:59" ht="12" customHeight="1" x14ac:dyDescent="0.2">
      <c r="F443" s="739"/>
      <c r="M443" s="830"/>
      <c r="O443" s="830"/>
      <c r="P443" s="830"/>
      <c r="Q443" s="830"/>
      <c r="R443" s="830"/>
      <c r="S443" s="830"/>
      <c r="U443" s="830"/>
      <c r="V443" s="830"/>
      <c r="W443" s="830"/>
      <c r="X443" s="830"/>
      <c r="Y443" s="830"/>
      <c r="Z443" s="830"/>
      <c r="AN443" s="830"/>
      <c r="AO443" s="830"/>
      <c r="AP443" s="830"/>
      <c r="AQ443" s="830"/>
      <c r="AR443" s="830"/>
      <c r="AS443" s="830"/>
      <c r="AT443" s="830"/>
      <c r="AU443" s="830"/>
      <c r="AV443" s="830"/>
      <c r="AW443" s="830"/>
      <c r="AX443" s="830"/>
      <c r="AY443" s="830"/>
      <c r="AZ443" s="831"/>
      <c r="BA443" s="831"/>
      <c r="BB443" s="822"/>
      <c r="BC443" s="822"/>
      <c r="BD443" s="822"/>
      <c r="BE443" s="822"/>
      <c r="BF443" s="822"/>
      <c r="BG443" s="822"/>
    </row>
    <row r="444" spans="6:59" ht="12" customHeight="1" x14ac:dyDescent="0.2">
      <c r="F444" s="739"/>
      <c r="M444" s="830"/>
      <c r="O444" s="830"/>
      <c r="P444" s="830"/>
      <c r="Q444" s="830"/>
      <c r="R444" s="830"/>
      <c r="S444" s="830"/>
      <c r="U444" s="830"/>
      <c r="V444" s="830"/>
      <c r="W444" s="830"/>
      <c r="X444" s="830"/>
      <c r="Y444" s="830"/>
      <c r="Z444" s="830"/>
      <c r="AN444" s="830"/>
      <c r="AO444" s="830"/>
      <c r="AP444" s="830"/>
      <c r="AQ444" s="830"/>
      <c r="AR444" s="830"/>
      <c r="AS444" s="830"/>
      <c r="AT444" s="830"/>
      <c r="AU444" s="830"/>
      <c r="AV444" s="830"/>
      <c r="AW444" s="830"/>
      <c r="AX444" s="830"/>
      <c r="AY444" s="830"/>
      <c r="AZ444" s="831"/>
      <c r="BA444" s="831"/>
      <c r="BB444" s="822"/>
      <c r="BC444" s="822"/>
      <c r="BD444" s="822"/>
      <c r="BE444" s="822"/>
      <c r="BF444" s="822"/>
      <c r="BG444" s="822"/>
    </row>
    <row r="445" spans="6:59" ht="12" customHeight="1" x14ac:dyDescent="0.2">
      <c r="F445" s="739"/>
      <c r="M445" s="830"/>
      <c r="O445" s="830"/>
      <c r="P445" s="830"/>
      <c r="Q445" s="830"/>
      <c r="R445" s="830"/>
      <c r="S445" s="830"/>
      <c r="U445" s="830"/>
      <c r="V445" s="830"/>
      <c r="W445" s="830"/>
      <c r="X445" s="830"/>
      <c r="Y445" s="830"/>
      <c r="Z445" s="830"/>
      <c r="AN445" s="830"/>
      <c r="AO445" s="830"/>
      <c r="AP445" s="830"/>
      <c r="AQ445" s="830"/>
      <c r="AR445" s="830"/>
      <c r="AS445" s="830"/>
      <c r="AT445" s="830"/>
      <c r="AU445" s="830"/>
      <c r="AV445" s="830"/>
      <c r="AW445" s="830"/>
      <c r="AX445" s="830"/>
      <c r="AY445" s="830"/>
      <c r="AZ445" s="831"/>
      <c r="BA445" s="831"/>
      <c r="BB445" s="822"/>
      <c r="BC445" s="822"/>
      <c r="BD445" s="822"/>
      <c r="BE445" s="822"/>
      <c r="BF445" s="822"/>
      <c r="BG445" s="822"/>
    </row>
    <row r="446" spans="6:59" ht="12" customHeight="1" x14ac:dyDescent="0.2">
      <c r="F446" s="739"/>
      <c r="M446" s="830"/>
      <c r="O446" s="830"/>
      <c r="P446" s="830"/>
      <c r="Q446" s="830"/>
      <c r="R446" s="830"/>
      <c r="S446" s="830"/>
      <c r="U446" s="830"/>
      <c r="V446" s="830"/>
      <c r="W446" s="830"/>
      <c r="X446" s="830"/>
      <c r="Y446" s="830"/>
      <c r="Z446" s="830"/>
      <c r="AN446" s="830"/>
      <c r="AO446" s="830"/>
      <c r="AP446" s="830"/>
      <c r="AQ446" s="830"/>
      <c r="AR446" s="830"/>
      <c r="AS446" s="830"/>
      <c r="AT446" s="830"/>
      <c r="AU446" s="830"/>
      <c r="AV446" s="830"/>
      <c r="AW446" s="830"/>
      <c r="AX446" s="830"/>
      <c r="AY446" s="830"/>
      <c r="AZ446" s="831"/>
      <c r="BA446" s="831"/>
      <c r="BB446" s="822"/>
      <c r="BC446" s="822"/>
      <c r="BD446" s="822"/>
      <c r="BE446" s="822"/>
      <c r="BF446" s="822"/>
      <c r="BG446" s="822"/>
    </row>
    <row r="447" spans="6:59" ht="12" customHeight="1" x14ac:dyDescent="0.2">
      <c r="F447" s="739"/>
      <c r="M447" s="830"/>
      <c r="O447" s="830"/>
      <c r="P447" s="830"/>
      <c r="Q447" s="830"/>
      <c r="R447" s="830"/>
      <c r="S447" s="830"/>
      <c r="U447" s="830"/>
      <c r="V447" s="830"/>
      <c r="W447" s="830"/>
      <c r="X447" s="830"/>
      <c r="Y447" s="830"/>
      <c r="Z447" s="830"/>
      <c r="AN447" s="830"/>
      <c r="AO447" s="830"/>
      <c r="AP447" s="830"/>
      <c r="AQ447" s="830"/>
      <c r="AR447" s="830"/>
      <c r="AS447" s="830"/>
      <c r="AT447" s="830"/>
      <c r="AU447" s="830"/>
      <c r="AV447" s="830"/>
      <c r="AW447" s="830"/>
      <c r="AX447" s="830"/>
      <c r="AY447" s="830"/>
      <c r="AZ447" s="831"/>
      <c r="BA447" s="831"/>
      <c r="BB447" s="822"/>
      <c r="BC447" s="822"/>
      <c r="BD447" s="822"/>
      <c r="BE447" s="822"/>
      <c r="BF447" s="822"/>
      <c r="BG447" s="822"/>
    </row>
    <row r="448" spans="6:59" ht="12" customHeight="1" x14ac:dyDescent="0.2">
      <c r="F448" s="739"/>
      <c r="M448" s="830"/>
      <c r="O448" s="830"/>
      <c r="P448" s="830"/>
      <c r="Q448" s="830"/>
      <c r="R448" s="830"/>
      <c r="S448" s="830"/>
      <c r="U448" s="830"/>
      <c r="V448" s="830"/>
      <c r="W448" s="830"/>
      <c r="X448" s="830"/>
      <c r="Y448" s="830"/>
      <c r="Z448" s="830"/>
      <c r="AN448" s="830"/>
      <c r="AO448" s="830"/>
      <c r="AP448" s="830"/>
      <c r="AQ448" s="830"/>
      <c r="AR448" s="830"/>
      <c r="AS448" s="830"/>
      <c r="AT448" s="830"/>
      <c r="AU448" s="830"/>
      <c r="AV448" s="830"/>
      <c r="AW448" s="830"/>
      <c r="AX448" s="830"/>
      <c r="AY448" s="830"/>
      <c r="AZ448" s="831"/>
      <c r="BA448" s="831"/>
      <c r="BB448" s="822"/>
      <c r="BC448" s="822"/>
      <c r="BD448" s="822"/>
      <c r="BE448" s="822"/>
      <c r="BF448" s="822"/>
      <c r="BG448" s="822"/>
    </row>
    <row r="449" spans="6:59" ht="12" customHeight="1" x14ac:dyDescent="0.2">
      <c r="F449" s="739"/>
      <c r="M449" s="830"/>
      <c r="O449" s="830"/>
      <c r="P449" s="830"/>
      <c r="Q449" s="830"/>
      <c r="R449" s="830"/>
      <c r="S449" s="830"/>
      <c r="U449" s="830"/>
      <c r="V449" s="830"/>
      <c r="W449" s="830"/>
      <c r="X449" s="830"/>
      <c r="Y449" s="830"/>
      <c r="Z449" s="830"/>
      <c r="AN449" s="830"/>
      <c r="AO449" s="830"/>
      <c r="AP449" s="830"/>
      <c r="AQ449" s="830"/>
      <c r="AR449" s="830"/>
      <c r="AS449" s="830"/>
      <c r="AT449" s="830"/>
      <c r="AU449" s="830"/>
      <c r="AV449" s="830"/>
      <c r="AW449" s="830"/>
      <c r="AX449" s="830"/>
      <c r="AY449" s="830"/>
      <c r="AZ449" s="831"/>
      <c r="BA449" s="831"/>
      <c r="BB449" s="822"/>
      <c r="BC449" s="822"/>
      <c r="BD449" s="822"/>
      <c r="BE449" s="822"/>
      <c r="BF449" s="822"/>
      <c r="BG449" s="822"/>
    </row>
    <row r="450" spans="6:59" ht="12" customHeight="1" x14ac:dyDescent="0.2">
      <c r="F450" s="739"/>
      <c r="M450" s="830"/>
      <c r="O450" s="830"/>
      <c r="P450" s="830"/>
      <c r="Q450" s="830"/>
      <c r="R450" s="830"/>
      <c r="S450" s="830"/>
      <c r="U450" s="830"/>
      <c r="V450" s="830"/>
      <c r="W450" s="830"/>
      <c r="X450" s="830"/>
      <c r="Y450" s="830"/>
      <c r="Z450" s="830"/>
      <c r="AN450" s="830"/>
      <c r="AO450" s="830"/>
      <c r="AP450" s="830"/>
      <c r="AQ450" s="830"/>
      <c r="AR450" s="830"/>
      <c r="AS450" s="830"/>
      <c r="AT450" s="830"/>
      <c r="AU450" s="830"/>
      <c r="AV450" s="830"/>
      <c r="AW450" s="830"/>
      <c r="AX450" s="830"/>
      <c r="AY450" s="830"/>
      <c r="AZ450" s="831"/>
      <c r="BA450" s="831"/>
      <c r="BB450" s="822"/>
      <c r="BC450" s="822"/>
      <c r="BD450" s="822"/>
      <c r="BE450" s="822"/>
      <c r="BF450" s="822"/>
      <c r="BG450" s="822"/>
    </row>
    <row r="451" spans="6:59" ht="12" customHeight="1" x14ac:dyDescent="0.2">
      <c r="F451" s="739"/>
      <c r="M451" s="830"/>
      <c r="O451" s="830"/>
      <c r="P451" s="830"/>
      <c r="Q451" s="830"/>
      <c r="R451" s="830"/>
      <c r="S451" s="830"/>
      <c r="U451" s="830"/>
      <c r="V451" s="830"/>
      <c r="W451" s="830"/>
      <c r="X451" s="830"/>
      <c r="Y451" s="830"/>
      <c r="Z451" s="830"/>
      <c r="AN451" s="830"/>
      <c r="AO451" s="830"/>
      <c r="AP451" s="830"/>
      <c r="AQ451" s="830"/>
      <c r="AR451" s="830"/>
      <c r="AS451" s="830"/>
      <c r="AT451" s="830"/>
      <c r="AU451" s="830"/>
      <c r="AV451" s="830"/>
      <c r="AW451" s="830"/>
      <c r="AX451" s="830"/>
      <c r="AY451" s="830"/>
      <c r="AZ451" s="831"/>
      <c r="BA451" s="831"/>
      <c r="BB451" s="822"/>
      <c r="BC451" s="822"/>
      <c r="BD451" s="822"/>
      <c r="BE451" s="822"/>
      <c r="BF451" s="822"/>
      <c r="BG451" s="822"/>
    </row>
    <row r="452" spans="6:59" ht="12" customHeight="1" x14ac:dyDescent="0.2">
      <c r="F452" s="739"/>
      <c r="M452" s="830"/>
      <c r="O452" s="830"/>
      <c r="P452" s="830"/>
      <c r="Q452" s="830"/>
      <c r="R452" s="830"/>
      <c r="S452" s="830"/>
      <c r="U452" s="830"/>
      <c r="V452" s="830"/>
      <c r="W452" s="830"/>
      <c r="X452" s="830"/>
      <c r="Y452" s="830"/>
      <c r="Z452" s="830"/>
      <c r="AN452" s="830"/>
      <c r="AO452" s="830"/>
      <c r="AP452" s="830"/>
      <c r="AQ452" s="830"/>
      <c r="AR452" s="830"/>
      <c r="AS452" s="830"/>
      <c r="AT452" s="830"/>
      <c r="AU452" s="830"/>
      <c r="AV452" s="830"/>
      <c r="AW452" s="830"/>
      <c r="AX452" s="830"/>
      <c r="AY452" s="830"/>
      <c r="AZ452" s="831"/>
      <c r="BA452" s="831"/>
      <c r="BB452" s="822"/>
      <c r="BC452" s="822"/>
      <c r="BD452" s="822"/>
      <c r="BE452" s="822"/>
      <c r="BF452" s="822"/>
      <c r="BG452" s="822"/>
    </row>
    <row r="453" spans="6:59" ht="12" customHeight="1" x14ac:dyDescent="0.2">
      <c r="F453" s="739"/>
      <c r="M453" s="830"/>
      <c r="O453" s="830"/>
      <c r="P453" s="830"/>
      <c r="Q453" s="830"/>
      <c r="R453" s="830"/>
      <c r="S453" s="830"/>
      <c r="U453" s="830"/>
      <c r="V453" s="830"/>
      <c r="W453" s="830"/>
      <c r="X453" s="830"/>
      <c r="Y453" s="830"/>
      <c r="Z453" s="830"/>
      <c r="AN453" s="830"/>
      <c r="AO453" s="830"/>
      <c r="AP453" s="830"/>
      <c r="AQ453" s="830"/>
      <c r="AR453" s="830"/>
      <c r="AS453" s="830"/>
      <c r="AT453" s="830"/>
      <c r="AU453" s="830"/>
      <c r="AV453" s="830"/>
      <c r="AW453" s="830"/>
      <c r="AX453" s="830"/>
      <c r="AY453" s="830"/>
      <c r="AZ453" s="831"/>
      <c r="BA453" s="831"/>
      <c r="BB453" s="822"/>
      <c r="BC453" s="822"/>
      <c r="BD453" s="822"/>
      <c r="BE453" s="822"/>
      <c r="BF453" s="822"/>
      <c r="BG453" s="822"/>
    </row>
    <row r="454" spans="6:59" ht="12" customHeight="1" x14ac:dyDescent="0.2">
      <c r="F454" s="739"/>
      <c r="M454" s="830"/>
      <c r="O454" s="830"/>
      <c r="P454" s="830"/>
      <c r="Q454" s="830"/>
      <c r="R454" s="830"/>
      <c r="S454" s="830"/>
      <c r="U454" s="830"/>
      <c r="V454" s="830"/>
      <c r="W454" s="830"/>
      <c r="X454" s="830"/>
      <c r="Y454" s="830"/>
      <c r="Z454" s="830"/>
      <c r="AN454" s="830"/>
      <c r="AO454" s="830"/>
      <c r="AP454" s="830"/>
      <c r="AQ454" s="830"/>
      <c r="AR454" s="830"/>
      <c r="AS454" s="830"/>
      <c r="AT454" s="830"/>
      <c r="AU454" s="830"/>
      <c r="AV454" s="830"/>
      <c r="AW454" s="830"/>
      <c r="AX454" s="830"/>
      <c r="AY454" s="830"/>
      <c r="AZ454" s="831"/>
      <c r="BA454" s="831"/>
      <c r="BB454" s="822"/>
      <c r="BC454" s="822"/>
      <c r="BD454" s="822"/>
      <c r="BE454" s="822"/>
      <c r="BF454" s="822"/>
      <c r="BG454" s="822"/>
    </row>
    <row r="455" spans="6:59" ht="12" customHeight="1" x14ac:dyDescent="0.2">
      <c r="F455" s="739"/>
      <c r="M455" s="830"/>
      <c r="O455" s="830"/>
      <c r="P455" s="830"/>
      <c r="Q455" s="830"/>
      <c r="R455" s="830"/>
      <c r="S455" s="830"/>
      <c r="U455" s="830"/>
      <c r="V455" s="830"/>
      <c r="W455" s="830"/>
      <c r="X455" s="830"/>
      <c r="Y455" s="830"/>
      <c r="Z455" s="830"/>
      <c r="AN455" s="830"/>
      <c r="AO455" s="830"/>
      <c r="AP455" s="830"/>
      <c r="AQ455" s="830"/>
      <c r="AR455" s="830"/>
      <c r="AS455" s="830"/>
      <c r="AT455" s="830"/>
      <c r="AU455" s="830"/>
      <c r="AV455" s="830"/>
      <c r="AW455" s="830"/>
      <c r="AX455" s="830"/>
      <c r="AY455" s="830"/>
      <c r="AZ455" s="831"/>
      <c r="BA455" s="831"/>
      <c r="BB455" s="822"/>
      <c r="BC455" s="822"/>
      <c r="BD455" s="822"/>
      <c r="BE455" s="822"/>
      <c r="BF455" s="822"/>
      <c r="BG455" s="822"/>
    </row>
    <row r="456" spans="6:59" ht="12" customHeight="1" x14ac:dyDescent="0.2">
      <c r="F456" s="739"/>
      <c r="M456" s="830"/>
      <c r="O456" s="830"/>
      <c r="P456" s="830"/>
      <c r="Q456" s="830"/>
      <c r="R456" s="830"/>
      <c r="S456" s="830"/>
      <c r="U456" s="830"/>
      <c r="V456" s="830"/>
      <c r="W456" s="830"/>
      <c r="X456" s="830"/>
      <c r="Y456" s="830"/>
      <c r="Z456" s="830"/>
      <c r="AN456" s="830"/>
      <c r="AO456" s="830"/>
      <c r="AP456" s="830"/>
      <c r="AQ456" s="830"/>
      <c r="AR456" s="830"/>
      <c r="AS456" s="830"/>
      <c r="AT456" s="830"/>
      <c r="AU456" s="830"/>
      <c r="AV456" s="830"/>
      <c r="AW456" s="830"/>
      <c r="AX456" s="830"/>
      <c r="AY456" s="830"/>
      <c r="AZ456" s="831"/>
      <c r="BA456" s="831"/>
      <c r="BB456" s="822"/>
      <c r="BC456" s="822"/>
      <c r="BD456" s="822"/>
      <c r="BE456" s="822"/>
      <c r="BF456" s="822"/>
      <c r="BG456" s="822"/>
    </row>
    <row r="457" spans="6:59" ht="12" customHeight="1" x14ac:dyDescent="0.2">
      <c r="F457" s="739"/>
      <c r="M457" s="830"/>
      <c r="O457" s="830"/>
      <c r="P457" s="830"/>
      <c r="Q457" s="830"/>
      <c r="R457" s="830"/>
      <c r="S457" s="830"/>
      <c r="U457" s="830"/>
      <c r="V457" s="830"/>
      <c r="W457" s="830"/>
      <c r="X457" s="830"/>
      <c r="Y457" s="830"/>
      <c r="Z457" s="830"/>
      <c r="AN457" s="830"/>
      <c r="AO457" s="830"/>
      <c r="AP457" s="830"/>
      <c r="AQ457" s="830"/>
      <c r="AR457" s="830"/>
      <c r="AS457" s="830"/>
      <c r="AT457" s="830"/>
      <c r="AU457" s="830"/>
      <c r="AV457" s="830"/>
      <c r="AW457" s="830"/>
      <c r="AX457" s="830"/>
      <c r="AY457" s="830"/>
      <c r="AZ457" s="831"/>
      <c r="BA457" s="831"/>
      <c r="BB457" s="822"/>
      <c r="BC457" s="822"/>
      <c r="BD457" s="822"/>
      <c r="BE457" s="822"/>
      <c r="BF457" s="822"/>
      <c r="BG457" s="822"/>
    </row>
    <row r="458" spans="6:59" ht="12" customHeight="1" x14ac:dyDescent="0.2">
      <c r="F458" s="739"/>
      <c r="M458" s="830"/>
      <c r="O458" s="830"/>
      <c r="P458" s="830"/>
      <c r="Q458" s="830"/>
      <c r="R458" s="830"/>
      <c r="S458" s="830"/>
      <c r="U458" s="830"/>
      <c r="V458" s="830"/>
      <c r="W458" s="830"/>
      <c r="X458" s="830"/>
      <c r="Y458" s="830"/>
      <c r="Z458" s="830"/>
      <c r="AN458" s="830"/>
      <c r="AO458" s="830"/>
      <c r="AP458" s="830"/>
      <c r="AQ458" s="830"/>
      <c r="AR458" s="830"/>
      <c r="AS458" s="830"/>
      <c r="AT458" s="830"/>
      <c r="AU458" s="830"/>
      <c r="AV458" s="830"/>
      <c r="AW458" s="830"/>
      <c r="AX458" s="830"/>
      <c r="AY458" s="830"/>
      <c r="AZ458" s="831"/>
      <c r="BA458" s="831"/>
      <c r="BB458" s="822"/>
      <c r="BC458" s="822"/>
      <c r="BD458" s="822"/>
      <c r="BE458" s="822"/>
      <c r="BF458" s="822"/>
      <c r="BG458" s="822"/>
    </row>
    <row r="459" spans="6:59" ht="12" customHeight="1" x14ac:dyDescent="0.2">
      <c r="F459" s="739"/>
      <c r="M459" s="830"/>
      <c r="O459" s="830"/>
      <c r="P459" s="830"/>
      <c r="Q459" s="830"/>
      <c r="R459" s="830"/>
      <c r="S459" s="830"/>
      <c r="U459" s="830"/>
      <c r="V459" s="830"/>
      <c r="W459" s="830"/>
      <c r="X459" s="830"/>
      <c r="Y459" s="830"/>
      <c r="Z459" s="830"/>
      <c r="AN459" s="830"/>
      <c r="AO459" s="830"/>
      <c r="AP459" s="830"/>
      <c r="AQ459" s="830"/>
      <c r="AR459" s="830"/>
      <c r="AS459" s="830"/>
      <c r="AT459" s="830"/>
      <c r="AU459" s="830"/>
      <c r="AV459" s="830"/>
      <c r="AW459" s="830"/>
      <c r="AX459" s="830"/>
      <c r="AY459" s="830"/>
      <c r="AZ459" s="831"/>
      <c r="BA459" s="831"/>
      <c r="BB459" s="822"/>
      <c r="BC459" s="822"/>
      <c r="BD459" s="822"/>
      <c r="BE459" s="822"/>
      <c r="BF459" s="822"/>
      <c r="BG459" s="822"/>
    </row>
    <row r="460" spans="6:59" ht="12" customHeight="1" x14ac:dyDescent="0.2">
      <c r="F460" s="739"/>
      <c r="M460" s="830"/>
      <c r="O460" s="830"/>
      <c r="P460" s="830"/>
      <c r="Q460" s="830"/>
      <c r="R460" s="830"/>
      <c r="S460" s="830"/>
      <c r="U460" s="830"/>
      <c r="V460" s="830"/>
      <c r="W460" s="830"/>
      <c r="X460" s="830"/>
      <c r="Y460" s="830"/>
      <c r="Z460" s="830"/>
      <c r="AN460" s="830"/>
      <c r="AO460" s="830"/>
      <c r="AP460" s="830"/>
      <c r="AQ460" s="830"/>
      <c r="AR460" s="830"/>
      <c r="AS460" s="830"/>
      <c r="AT460" s="830"/>
      <c r="AU460" s="830"/>
      <c r="AV460" s="830"/>
      <c r="AW460" s="830"/>
      <c r="AX460" s="830"/>
      <c r="AY460" s="830"/>
      <c r="AZ460" s="831"/>
      <c r="BA460" s="831"/>
      <c r="BB460" s="822"/>
      <c r="BC460" s="822"/>
      <c r="BD460" s="822"/>
      <c r="BE460" s="822"/>
      <c r="BF460" s="822"/>
      <c r="BG460" s="822"/>
    </row>
    <row r="461" spans="6:59" ht="12" customHeight="1" x14ac:dyDescent="0.2">
      <c r="F461" s="739"/>
      <c r="M461" s="830"/>
      <c r="O461" s="830"/>
      <c r="P461" s="830"/>
      <c r="Q461" s="830"/>
      <c r="R461" s="830"/>
      <c r="S461" s="830"/>
      <c r="U461" s="830"/>
      <c r="V461" s="830"/>
      <c r="W461" s="830"/>
      <c r="X461" s="830"/>
      <c r="Y461" s="830"/>
      <c r="Z461" s="830"/>
      <c r="AN461" s="830"/>
      <c r="AO461" s="830"/>
      <c r="AP461" s="830"/>
      <c r="AQ461" s="830"/>
      <c r="AR461" s="830"/>
      <c r="AS461" s="830"/>
      <c r="AT461" s="830"/>
      <c r="AU461" s="830"/>
      <c r="AV461" s="830"/>
      <c r="AW461" s="830"/>
      <c r="AX461" s="830"/>
      <c r="AY461" s="830"/>
      <c r="AZ461" s="831"/>
      <c r="BA461" s="831"/>
      <c r="BB461" s="822"/>
      <c r="BC461" s="822"/>
      <c r="BD461" s="822"/>
      <c r="BE461" s="822"/>
      <c r="BF461" s="822"/>
      <c r="BG461" s="822"/>
    </row>
    <row r="462" spans="6:59" ht="12" customHeight="1" x14ac:dyDescent="0.2">
      <c r="F462" s="739"/>
      <c r="M462" s="830"/>
      <c r="O462" s="830"/>
      <c r="P462" s="830"/>
      <c r="Q462" s="830"/>
      <c r="R462" s="830"/>
      <c r="S462" s="830"/>
      <c r="U462" s="830"/>
      <c r="V462" s="830"/>
      <c r="W462" s="830"/>
      <c r="X462" s="830"/>
      <c r="Y462" s="830"/>
      <c r="Z462" s="830"/>
      <c r="AN462" s="830"/>
      <c r="AO462" s="830"/>
      <c r="AP462" s="830"/>
      <c r="AQ462" s="830"/>
      <c r="AR462" s="830"/>
      <c r="AS462" s="830"/>
      <c r="AT462" s="830"/>
      <c r="AU462" s="830"/>
      <c r="AV462" s="830"/>
      <c r="AW462" s="830"/>
      <c r="AX462" s="830"/>
      <c r="AY462" s="830"/>
      <c r="AZ462" s="831"/>
      <c r="BA462" s="831"/>
      <c r="BB462" s="822"/>
      <c r="BC462" s="822"/>
      <c r="BD462" s="822"/>
      <c r="BE462" s="822"/>
      <c r="BF462" s="822"/>
      <c r="BG462" s="822"/>
    </row>
    <row r="463" spans="6:59" ht="12" customHeight="1" x14ac:dyDescent="0.2">
      <c r="F463" s="739"/>
      <c r="M463" s="830"/>
      <c r="O463" s="830"/>
      <c r="P463" s="830"/>
      <c r="Q463" s="830"/>
      <c r="R463" s="830"/>
      <c r="S463" s="830"/>
      <c r="U463" s="830"/>
      <c r="V463" s="830"/>
      <c r="W463" s="830"/>
      <c r="X463" s="830"/>
      <c r="Y463" s="830"/>
      <c r="Z463" s="830"/>
      <c r="AN463" s="830"/>
      <c r="AO463" s="830"/>
      <c r="AP463" s="830"/>
      <c r="AQ463" s="830"/>
      <c r="AR463" s="830"/>
      <c r="AS463" s="830"/>
      <c r="AT463" s="830"/>
      <c r="AU463" s="830"/>
      <c r="AV463" s="830"/>
      <c r="AW463" s="830"/>
      <c r="AX463" s="830"/>
      <c r="AY463" s="830"/>
      <c r="AZ463" s="831"/>
      <c r="BA463" s="831"/>
      <c r="BB463" s="822"/>
      <c r="BC463" s="822"/>
      <c r="BD463" s="822"/>
      <c r="BE463" s="822"/>
      <c r="BF463" s="822"/>
      <c r="BG463" s="822"/>
    </row>
    <row r="464" spans="6:59" ht="12" customHeight="1" x14ac:dyDescent="0.2">
      <c r="F464" s="739"/>
      <c r="M464" s="830"/>
      <c r="O464" s="830"/>
      <c r="P464" s="830"/>
      <c r="Q464" s="830"/>
      <c r="R464" s="830"/>
      <c r="S464" s="830"/>
      <c r="U464" s="830"/>
      <c r="V464" s="830"/>
      <c r="W464" s="830"/>
      <c r="X464" s="830"/>
      <c r="Y464" s="830"/>
      <c r="Z464" s="830"/>
      <c r="AN464" s="830"/>
      <c r="AO464" s="830"/>
      <c r="AP464" s="830"/>
      <c r="AQ464" s="830"/>
      <c r="AR464" s="830"/>
      <c r="AS464" s="830"/>
      <c r="AT464" s="830"/>
      <c r="AU464" s="830"/>
      <c r="AV464" s="830"/>
      <c r="AW464" s="830"/>
      <c r="AX464" s="830"/>
      <c r="AY464" s="830"/>
      <c r="AZ464" s="831"/>
      <c r="BA464" s="831"/>
      <c r="BB464" s="822"/>
      <c r="BC464" s="822"/>
      <c r="BD464" s="822"/>
      <c r="BE464" s="822"/>
      <c r="BF464" s="822"/>
      <c r="BG464" s="822"/>
    </row>
    <row r="465" spans="6:59" ht="12" customHeight="1" x14ac:dyDescent="0.2">
      <c r="F465" s="739"/>
      <c r="M465" s="830"/>
      <c r="O465" s="830"/>
      <c r="P465" s="830"/>
      <c r="Q465" s="830"/>
      <c r="R465" s="830"/>
      <c r="S465" s="830"/>
      <c r="U465" s="830"/>
      <c r="V465" s="830"/>
      <c r="W465" s="830"/>
      <c r="X465" s="830"/>
      <c r="Y465" s="830"/>
      <c r="Z465" s="830"/>
      <c r="AN465" s="830"/>
      <c r="AO465" s="830"/>
      <c r="AP465" s="830"/>
      <c r="AQ465" s="830"/>
      <c r="AR465" s="830"/>
      <c r="AS465" s="830"/>
      <c r="AT465" s="830"/>
      <c r="AU465" s="830"/>
      <c r="AV465" s="830"/>
      <c r="AW465" s="830"/>
      <c r="AX465" s="830"/>
      <c r="AY465" s="830"/>
      <c r="AZ465" s="831"/>
      <c r="BA465" s="831"/>
      <c r="BB465" s="822"/>
      <c r="BC465" s="822"/>
      <c r="BD465" s="822"/>
      <c r="BE465" s="822"/>
      <c r="BF465" s="822"/>
      <c r="BG465" s="822"/>
    </row>
    <row r="466" spans="6:59" ht="12" customHeight="1" x14ac:dyDescent="0.2">
      <c r="F466" s="739"/>
      <c r="M466" s="830"/>
      <c r="O466" s="830"/>
      <c r="P466" s="830"/>
      <c r="Q466" s="830"/>
      <c r="R466" s="830"/>
      <c r="S466" s="830"/>
      <c r="U466" s="830"/>
      <c r="V466" s="830"/>
      <c r="W466" s="830"/>
      <c r="X466" s="830"/>
      <c r="Y466" s="830"/>
      <c r="Z466" s="830"/>
      <c r="AN466" s="830"/>
      <c r="AO466" s="830"/>
      <c r="AP466" s="830"/>
      <c r="AQ466" s="830"/>
      <c r="AR466" s="830"/>
      <c r="AS466" s="830"/>
      <c r="AT466" s="830"/>
      <c r="AU466" s="830"/>
      <c r="AV466" s="830"/>
      <c r="AW466" s="830"/>
      <c r="AX466" s="830"/>
      <c r="AY466" s="830"/>
      <c r="AZ466" s="831"/>
      <c r="BA466" s="831"/>
      <c r="BB466" s="822"/>
      <c r="BC466" s="822"/>
      <c r="BD466" s="822"/>
      <c r="BE466" s="822"/>
      <c r="BF466" s="822"/>
      <c r="BG466" s="822"/>
    </row>
    <row r="467" spans="6:59" ht="12" customHeight="1" x14ac:dyDescent="0.2">
      <c r="F467" s="739"/>
      <c r="M467" s="830"/>
      <c r="O467" s="830"/>
      <c r="P467" s="830"/>
      <c r="Q467" s="830"/>
      <c r="R467" s="830"/>
      <c r="S467" s="830"/>
      <c r="U467" s="830"/>
      <c r="V467" s="830"/>
      <c r="W467" s="830"/>
      <c r="X467" s="830"/>
      <c r="Y467" s="830"/>
      <c r="Z467" s="830"/>
      <c r="AN467" s="830"/>
      <c r="AO467" s="830"/>
      <c r="AP467" s="830"/>
      <c r="AQ467" s="830"/>
      <c r="AR467" s="830"/>
      <c r="AS467" s="830"/>
      <c r="AT467" s="830"/>
      <c r="AU467" s="830"/>
      <c r="AV467" s="830"/>
      <c r="AW467" s="830"/>
      <c r="AX467" s="830"/>
      <c r="AY467" s="830"/>
      <c r="AZ467" s="831"/>
      <c r="BA467" s="831"/>
      <c r="BB467" s="822"/>
      <c r="BC467" s="822"/>
      <c r="BD467" s="822"/>
      <c r="BE467" s="822"/>
      <c r="BF467" s="822"/>
      <c r="BG467" s="822"/>
    </row>
    <row r="468" spans="6:59" ht="12" customHeight="1" x14ac:dyDescent="0.2">
      <c r="F468" s="739"/>
      <c r="M468" s="830"/>
      <c r="O468" s="830"/>
      <c r="P468" s="830"/>
      <c r="Q468" s="830"/>
      <c r="R468" s="830"/>
      <c r="S468" s="830"/>
      <c r="U468" s="830"/>
      <c r="V468" s="830"/>
      <c r="W468" s="830"/>
      <c r="X468" s="830"/>
      <c r="Y468" s="830"/>
      <c r="Z468" s="830"/>
      <c r="AN468" s="830"/>
      <c r="AO468" s="830"/>
      <c r="AP468" s="830"/>
      <c r="AQ468" s="830"/>
      <c r="AR468" s="830"/>
      <c r="AS468" s="830"/>
      <c r="AT468" s="830"/>
      <c r="AU468" s="830"/>
      <c r="AV468" s="830"/>
      <c r="AW468" s="830"/>
      <c r="AX468" s="830"/>
      <c r="AY468" s="830"/>
      <c r="AZ468" s="831"/>
      <c r="BA468" s="831"/>
      <c r="BB468" s="822"/>
      <c r="BC468" s="822"/>
      <c r="BD468" s="822"/>
      <c r="BE468" s="822"/>
      <c r="BF468" s="822"/>
      <c r="BG468" s="822"/>
    </row>
    <row r="469" spans="6:59" ht="12" customHeight="1" x14ac:dyDescent="0.2">
      <c r="F469" s="739"/>
      <c r="M469" s="830"/>
      <c r="O469" s="830"/>
      <c r="P469" s="830"/>
      <c r="Q469" s="830"/>
      <c r="R469" s="830"/>
      <c r="S469" s="830"/>
      <c r="U469" s="830"/>
      <c r="V469" s="830"/>
      <c r="W469" s="830"/>
      <c r="X469" s="830"/>
      <c r="Y469" s="830"/>
      <c r="Z469" s="830"/>
      <c r="AN469" s="830"/>
      <c r="AO469" s="830"/>
      <c r="AP469" s="830"/>
      <c r="AQ469" s="830"/>
      <c r="AR469" s="830"/>
      <c r="AS469" s="830"/>
      <c r="AT469" s="830"/>
      <c r="AU469" s="830"/>
      <c r="AV469" s="830"/>
      <c r="AW469" s="830"/>
      <c r="AX469" s="830"/>
      <c r="AY469" s="830"/>
      <c r="AZ469" s="831"/>
      <c r="BA469" s="831"/>
      <c r="BB469" s="822"/>
      <c r="BC469" s="822"/>
      <c r="BD469" s="822"/>
      <c r="BE469" s="822"/>
      <c r="BF469" s="822"/>
      <c r="BG469" s="822"/>
    </row>
    <row r="470" spans="6:59" ht="12" customHeight="1" x14ac:dyDescent="0.2">
      <c r="F470" s="739"/>
      <c r="M470" s="830"/>
      <c r="O470" s="830"/>
      <c r="P470" s="830"/>
      <c r="Q470" s="830"/>
      <c r="R470" s="830"/>
      <c r="S470" s="830"/>
      <c r="U470" s="830"/>
      <c r="V470" s="830"/>
      <c r="W470" s="830"/>
      <c r="X470" s="830"/>
      <c r="Y470" s="830"/>
      <c r="Z470" s="830"/>
      <c r="AN470" s="830"/>
      <c r="AO470" s="830"/>
      <c r="AP470" s="830"/>
      <c r="AQ470" s="830"/>
      <c r="AR470" s="830"/>
      <c r="AS470" s="830"/>
      <c r="AT470" s="830"/>
      <c r="AU470" s="830"/>
      <c r="AV470" s="830"/>
      <c r="AW470" s="830"/>
      <c r="AX470" s="830"/>
      <c r="AY470" s="830"/>
      <c r="AZ470" s="831"/>
      <c r="BA470" s="831"/>
      <c r="BB470" s="822"/>
      <c r="BC470" s="822"/>
      <c r="BD470" s="822"/>
      <c r="BE470" s="822"/>
      <c r="BF470" s="822"/>
      <c r="BG470" s="822"/>
    </row>
    <row r="471" spans="6:59" ht="12" customHeight="1" x14ac:dyDescent="0.2">
      <c r="F471" s="739"/>
      <c r="M471" s="830"/>
      <c r="O471" s="830"/>
      <c r="P471" s="830"/>
      <c r="Q471" s="830"/>
      <c r="R471" s="830"/>
      <c r="S471" s="830"/>
      <c r="U471" s="830"/>
      <c r="V471" s="830"/>
      <c r="W471" s="830"/>
      <c r="X471" s="830"/>
      <c r="Y471" s="830"/>
      <c r="Z471" s="830"/>
      <c r="AN471" s="830"/>
      <c r="AO471" s="830"/>
      <c r="AP471" s="830"/>
      <c r="AQ471" s="830"/>
      <c r="AR471" s="830"/>
      <c r="AS471" s="830"/>
      <c r="AT471" s="830"/>
      <c r="AU471" s="830"/>
      <c r="AV471" s="830"/>
      <c r="AW471" s="830"/>
      <c r="AX471" s="830"/>
      <c r="AY471" s="830"/>
      <c r="AZ471" s="831"/>
      <c r="BA471" s="831"/>
      <c r="BB471" s="822"/>
      <c r="BC471" s="822"/>
      <c r="BD471" s="822"/>
      <c r="BE471" s="822"/>
      <c r="BF471" s="822"/>
      <c r="BG471" s="822"/>
    </row>
    <row r="472" spans="6:59" ht="12" customHeight="1" x14ac:dyDescent="0.2">
      <c r="F472" s="739"/>
      <c r="M472" s="830"/>
      <c r="O472" s="830"/>
      <c r="P472" s="830"/>
      <c r="Q472" s="830"/>
      <c r="R472" s="830"/>
      <c r="S472" s="830"/>
      <c r="U472" s="830"/>
      <c r="V472" s="830"/>
      <c r="W472" s="830"/>
      <c r="X472" s="830"/>
      <c r="Y472" s="830"/>
      <c r="Z472" s="830"/>
      <c r="AN472" s="830"/>
      <c r="AO472" s="830"/>
      <c r="AP472" s="830"/>
      <c r="AQ472" s="830"/>
      <c r="AR472" s="830"/>
      <c r="AS472" s="830"/>
      <c r="AT472" s="830"/>
      <c r="AU472" s="830"/>
      <c r="AV472" s="830"/>
      <c r="AW472" s="830"/>
      <c r="AX472" s="830"/>
      <c r="AY472" s="830"/>
      <c r="AZ472" s="831"/>
      <c r="BA472" s="831"/>
      <c r="BB472" s="822"/>
      <c r="BC472" s="822"/>
      <c r="BD472" s="822"/>
      <c r="BE472" s="822"/>
      <c r="BF472" s="822"/>
      <c r="BG472" s="822"/>
    </row>
    <row r="473" spans="6:59" ht="12" customHeight="1" x14ac:dyDescent="0.2">
      <c r="F473" s="739"/>
      <c r="M473" s="830"/>
      <c r="O473" s="830"/>
      <c r="P473" s="830"/>
      <c r="Q473" s="830"/>
      <c r="R473" s="830"/>
      <c r="S473" s="830"/>
      <c r="U473" s="830"/>
      <c r="V473" s="830"/>
      <c r="W473" s="830"/>
      <c r="X473" s="830"/>
      <c r="Y473" s="830"/>
      <c r="Z473" s="830"/>
      <c r="AN473" s="830"/>
      <c r="AO473" s="830"/>
      <c r="AP473" s="830"/>
      <c r="AQ473" s="830"/>
      <c r="AR473" s="830"/>
      <c r="AS473" s="830"/>
      <c r="AT473" s="830"/>
      <c r="AU473" s="830"/>
      <c r="AV473" s="830"/>
      <c r="AW473" s="830"/>
      <c r="AX473" s="830"/>
      <c r="AY473" s="830"/>
      <c r="AZ473" s="831"/>
      <c r="BA473" s="831"/>
      <c r="BB473" s="822"/>
      <c r="BC473" s="822"/>
      <c r="BD473" s="822"/>
      <c r="BE473" s="822"/>
      <c r="BF473" s="822"/>
      <c r="BG473" s="822"/>
    </row>
    <row r="474" spans="6:59" ht="12" customHeight="1" x14ac:dyDescent="0.2">
      <c r="F474" s="739"/>
      <c r="M474" s="830"/>
      <c r="O474" s="830"/>
      <c r="P474" s="830"/>
      <c r="Q474" s="830"/>
      <c r="R474" s="830"/>
      <c r="S474" s="830"/>
      <c r="U474" s="830"/>
      <c r="V474" s="830"/>
      <c r="W474" s="830"/>
      <c r="X474" s="830"/>
      <c r="Y474" s="830"/>
      <c r="Z474" s="830"/>
      <c r="AN474" s="830"/>
      <c r="AO474" s="830"/>
      <c r="AP474" s="830"/>
      <c r="AQ474" s="830"/>
      <c r="AR474" s="830"/>
      <c r="AS474" s="830"/>
      <c r="AT474" s="830"/>
      <c r="AU474" s="830"/>
      <c r="AV474" s="830"/>
      <c r="AW474" s="830"/>
      <c r="AX474" s="830"/>
      <c r="AY474" s="830"/>
      <c r="AZ474" s="831"/>
      <c r="BA474" s="831"/>
      <c r="BB474" s="822"/>
      <c r="BC474" s="822"/>
      <c r="BD474" s="822"/>
      <c r="BE474" s="822"/>
      <c r="BF474" s="822"/>
      <c r="BG474" s="822"/>
    </row>
    <row r="475" spans="6:59" ht="12" customHeight="1" x14ac:dyDescent="0.2">
      <c r="F475" s="739"/>
      <c r="M475" s="830"/>
      <c r="O475" s="830"/>
      <c r="P475" s="830"/>
      <c r="Q475" s="830"/>
      <c r="R475" s="830"/>
      <c r="S475" s="830"/>
      <c r="U475" s="830"/>
      <c r="V475" s="830"/>
      <c r="W475" s="830"/>
      <c r="X475" s="830"/>
      <c r="Y475" s="830"/>
      <c r="Z475" s="830"/>
      <c r="AN475" s="830"/>
      <c r="AO475" s="830"/>
      <c r="AP475" s="830"/>
      <c r="AQ475" s="830"/>
      <c r="AR475" s="830"/>
      <c r="AS475" s="830"/>
      <c r="AT475" s="830"/>
      <c r="AU475" s="830"/>
      <c r="AV475" s="830"/>
      <c r="AW475" s="830"/>
      <c r="AX475" s="830"/>
      <c r="AY475" s="830"/>
      <c r="AZ475" s="831"/>
      <c r="BA475" s="831"/>
      <c r="BB475" s="822"/>
      <c r="BC475" s="822"/>
      <c r="BD475" s="822"/>
      <c r="BE475" s="822"/>
      <c r="BF475" s="822"/>
      <c r="BG475" s="822"/>
    </row>
    <row r="476" spans="6:59" ht="12" customHeight="1" x14ac:dyDescent="0.2">
      <c r="F476" s="739"/>
      <c r="M476" s="830"/>
      <c r="O476" s="830"/>
      <c r="P476" s="830"/>
      <c r="Q476" s="830"/>
      <c r="R476" s="830"/>
      <c r="S476" s="830"/>
      <c r="U476" s="830"/>
      <c r="V476" s="830"/>
      <c r="W476" s="830"/>
      <c r="X476" s="830"/>
      <c r="Y476" s="830"/>
      <c r="Z476" s="830"/>
      <c r="AN476" s="830"/>
      <c r="AO476" s="830"/>
      <c r="AP476" s="830"/>
      <c r="AQ476" s="830"/>
      <c r="AR476" s="830"/>
      <c r="AS476" s="830"/>
      <c r="AT476" s="830"/>
      <c r="AU476" s="830"/>
      <c r="AV476" s="830"/>
      <c r="AW476" s="830"/>
      <c r="AX476" s="830"/>
      <c r="AY476" s="830"/>
      <c r="AZ476" s="831"/>
      <c r="BA476" s="831"/>
      <c r="BB476" s="822"/>
      <c r="BC476" s="822"/>
      <c r="BD476" s="822"/>
      <c r="BE476" s="822"/>
      <c r="BF476" s="822"/>
      <c r="BG476" s="822"/>
    </row>
    <row r="477" spans="6:59" ht="12" customHeight="1" x14ac:dyDescent="0.2">
      <c r="F477" s="739"/>
      <c r="M477" s="830"/>
      <c r="O477" s="830"/>
      <c r="P477" s="830"/>
      <c r="Q477" s="830"/>
      <c r="R477" s="830"/>
      <c r="S477" s="830"/>
      <c r="U477" s="830"/>
      <c r="V477" s="830"/>
      <c r="W477" s="830"/>
      <c r="X477" s="830"/>
      <c r="Y477" s="830"/>
      <c r="Z477" s="830"/>
      <c r="AN477" s="830"/>
      <c r="AO477" s="830"/>
      <c r="AP477" s="830"/>
      <c r="AQ477" s="830"/>
      <c r="AR477" s="830"/>
      <c r="AS477" s="830"/>
      <c r="AT477" s="830"/>
      <c r="AU477" s="830"/>
      <c r="AV477" s="830"/>
      <c r="AW477" s="830"/>
      <c r="AX477" s="830"/>
      <c r="AY477" s="830"/>
      <c r="AZ477" s="831"/>
      <c r="BA477" s="831"/>
      <c r="BB477" s="822"/>
      <c r="BC477" s="822"/>
      <c r="BD477" s="822"/>
      <c r="BE477" s="822"/>
      <c r="BF477" s="822"/>
      <c r="BG477" s="822"/>
    </row>
    <row r="478" spans="6:59" ht="12" customHeight="1" x14ac:dyDescent="0.2">
      <c r="F478" s="739"/>
      <c r="M478" s="830"/>
      <c r="N478" s="739"/>
      <c r="O478" s="830"/>
      <c r="P478" s="830"/>
      <c r="Q478" s="830"/>
      <c r="R478" s="830"/>
      <c r="S478" s="830"/>
      <c r="U478" s="830"/>
      <c r="V478" s="830"/>
      <c r="W478" s="830"/>
      <c r="X478" s="830"/>
      <c r="Y478" s="830"/>
      <c r="Z478" s="830"/>
      <c r="AN478" s="830"/>
      <c r="AO478" s="830"/>
      <c r="AP478" s="830"/>
      <c r="AQ478" s="830"/>
      <c r="AR478" s="830"/>
      <c r="AS478" s="830"/>
      <c r="AT478" s="830"/>
      <c r="AU478" s="830"/>
      <c r="AV478" s="830"/>
      <c r="AW478" s="830"/>
      <c r="AX478" s="830"/>
      <c r="AY478" s="830"/>
      <c r="AZ478" s="831"/>
      <c r="BA478" s="831"/>
      <c r="BB478" s="822"/>
      <c r="BC478" s="822"/>
      <c r="BD478" s="822"/>
      <c r="BE478" s="822"/>
      <c r="BF478" s="822"/>
      <c r="BG478" s="822"/>
    </row>
    <row r="479" spans="6:59" ht="12" customHeight="1" x14ac:dyDescent="0.2">
      <c r="F479" s="739"/>
      <c r="M479" s="830"/>
      <c r="N479" s="739"/>
      <c r="O479" s="830"/>
      <c r="P479" s="830"/>
      <c r="Q479" s="830"/>
      <c r="R479" s="830"/>
      <c r="S479" s="830"/>
      <c r="T479" s="830"/>
      <c r="U479" s="830"/>
      <c r="V479" s="830"/>
      <c r="W479" s="830"/>
      <c r="X479" s="830"/>
      <c r="Y479" s="830"/>
      <c r="Z479" s="830"/>
      <c r="AN479" s="830"/>
      <c r="AO479" s="830"/>
      <c r="AP479" s="830"/>
      <c r="AQ479" s="830"/>
      <c r="AR479" s="830"/>
      <c r="AS479" s="830"/>
      <c r="AT479" s="830"/>
      <c r="AU479" s="830"/>
      <c r="AV479" s="830"/>
      <c r="AW479" s="830"/>
      <c r="AX479" s="830"/>
      <c r="AY479" s="830"/>
      <c r="AZ479" s="831"/>
      <c r="BA479" s="831"/>
      <c r="BB479" s="822"/>
      <c r="BC479" s="822"/>
      <c r="BD479" s="822"/>
      <c r="BE479" s="822"/>
      <c r="BF479" s="822"/>
      <c r="BG479" s="822"/>
    </row>
    <row r="480" spans="6:59" ht="12" customHeight="1" x14ac:dyDescent="0.2">
      <c r="F480" s="739"/>
      <c r="M480" s="837"/>
      <c r="N480" s="739"/>
      <c r="O480" s="829"/>
      <c r="P480" s="829"/>
      <c r="Q480" s="829"/>
      <c r="R480" s="829"/>
      <c r="S480" s="829"/>
      <c r="T480" s="829"/>
      <c r="U480" s="829"/>
      <c r="V480" s="829"/>
      <c r="W480" s="829"/>
      <c r="X480" s="829"/>
      <c r="Y480" s="829"/>
      <c r="Z480" s="829"/>
      <c r="AN480" s="829"/>
      <c r="AO480" s="829"/>
      <c r="AP480" s="829"/>
      <c r="AQ480" s="829"/>
      <c r="AR480" s="829"/>
      <c r="AS480" s="829"/>
      <c r="AT480" s="829"/>
      <c r="AU480" s="829"/>
      <c r="AV480" s="829"/>
      <c r="AW480" s="829"/>
      <c r="AX480" s="837"/>
      <c r="AY480" s="837"/>
      <c r="AZ480" s="822"/>
      <c r="BA480" s="822"/>
      <c r="BB480" s="822"/>
      <c r="BC480" s="822"/>
      <c r="BD480" s="822"/>
      <c r="BE480" s="822"/>
      <c r="BF480" s="822"/>
      <c r="BG480" s="822"/>
    </row>
    <row r="481" spans="6:59" ht="12" customHeight="1" x14ac:dyDescent="0.2">
      <c r="F481" s="739"/>
      <c r="M481" s="837"/>
      <c r="N481" s="739"/>
      <c r="O481" s="829"/>
      <c r="P481" s="829"/>
      <c r="Q481" s="829"/>
      <c r="R481" s="829"/>
      <c r="S481" s="829"/>
      <c r="T481" s="829"/>
      <c r="U481" s="829"/>
      <c r="V481" s="829"/>
      <c r="W481" s="829"/>
      <c r="X481" s="829"/>
      <c r="Y481" s="829"/>
      <c r="Z481" s="829"/>
      <c r="AN481" s="829"/>
      <c r="AO481" s="829"/>
      <c r="AP481" s="829"/>
      <c r="AQ481" s="829"/>
      <c r="AR481" s="829"/>
      <c r="AS481" s="829"/>
      <c r="AT481" s="829"/>
      <c r="AU481" s="829"/>
      <c r="AV481" s="829"/>
      <c r="AW481" s="829"/>
      <c r="AX481" s="837"/>
      <c r="AY481" s="837"/>
      <c r="AZ481" s="822"/>
      <c r="BA481" s="822"/>
      <c r="BB481" s="822"/>
      <c r="BC481" s="822"/>
      <c r="BD481" s="822"/>
      <c r="BE481" s="822"/>
      <c r="BF481" s="822"/>
      <c r="BG481" s="822"/>
    </row>
    <row r="482" spans="6:59" ht="12" customHeight="1" x14ac:dyDescent="0.2">
      <c r="F482" s="739"/>
      <c r="M482" s="837"/>
      <c r="N482" s="739"/>
      <c r="O482" s="829"/>
      <c r="P482" s="829"/>
      <c r="Q482" s="829"/>
      <c r="R482" s="829"/>
      <c r="S482" s="829"/>
      <c r="T482" s="829"/>
      <c r="U482" s="829"/>
      <c r="V482" s="829"/>
      <c r="W482" s="829"/>
      <c r="X482" s="829"/>
      <c r="Y482" s="829"/>
      <c r="Z482" s="829"/>
      <c r="AN482" s="829"/>
      <c r="AO482" s="829"/>
      <c r="AP482" s="829"/>
      <c r="AQ482" s="829"/>
      <c r="AR482" s="829"/>
      <c r="AS482" s="829"/>
      <c r="AT482" s="829"/>
      <c r="AU482" s="829"/>
      <c r="AV482" s="829"/>
      <c r="AW482" s="829"/>
      <c r="AX482" s="837"/>
      <c r="AY482" s="837"/>
      <c r="AZ482" s="822"/>
      <c r="BA482" s="822"/>
      <c r="BB482" s="822"/>
      <c r="BC482" s="822"/>
      <c r="BD482" s="822"/>
      <c r="BE482" s="822"/>
      <c r="BF482" s="822"/>
      <c r="BG482" s="822"/>
    </row>
    <row r="483" spans="6:59" ht="12" customHeight="1" x14ac:dyDescent="0.2">
      <c r="F483" s="739"/>
      <c r="M483" s="837"/>
      <c r="N483" s="739"/>
      <c r="O483" s="829"/>
      <c r="P483" s="829"/>
      <c r="Q483" s="829"/>
      <c r="R483" s="829"/>
      <c r="S483" s="829"/>
      <c r="T483" s="829"/>
      <c r="U483" s="829"/>
      <c r="V483" s="829"/>
      <c r="W483" s="829"/>
      <c r="X483" s="829"/>
      <c r="Y483" s="829"/>
      <c r="Z483" s="829"/>
      <c r="AN483" s="829"/>
      <c r="AO483" s="829"/>
      <c r="AP483" s="829"/>
      <c r="AQ483" s="829"/>
      <c r="AR483" s="829"/>
      <c r="AS483" s="829"/>
      <c r="AT483" s="829"/>
      <c r="AU483" s="829"/>
      <c r="AV483" s="829"/>
      <c r="AW483" s="829"/>
      <c r="AX483" s="837"/>
      <c r="AY483" s="837"/>
      <c r="AZ483" s="822"/>
      <c r="BA483" s="822"/>
      <c r="BB483" s="822"/>
      <c r="BC483" s="822"/>
      <c r="BD483" s="822"/>
      <c r="BE483" s="822"/>
      <c r="BF483" s="822"/>
      <c r="BG483" s="822"/>
    </row>
    <row r="484" spans="6:59" ht="12" customHeight="1" x14ac:dyDescent="0.2">
      <c r="F484" s="739"/>
      <c r="M484" s="837"/>
      <c r="N484" s="739"/>
      <c r="O484" s="829"/>
      <c r="P484" s="829"/>
      <c r="Q484" s="829"/>
      <c r="R484" s="829"/>
      <c r="S484" s="829"/>
      <c r="T484" s="829"/>
      <c r="U484" s="829"/>
      <c r="V484" s="829"/>
      <c r="W484" s="829"/>
      <c r="X484" s="829"/>
      <c r="Y484" s="829"/>
      <c r="Z484" s="829"/>
      <c r="AN484" s="829"/>
      <c r="AO484" s="829"/>
      <c r="AP484" s="829"/>
      <c r="AQ484" s="829"/>
      <c r="AR484" s="829"/>
      <c r="AS484" s="829"/>
      <c r="AT484" s="829"/>
      <c r="AU484" s="829"/>
      <c r="AV484" s="829"/>
      <c r="AW484" s="829"/>
      <c r="AX484" s="837"/>
      <c r="AY484" s="837"/>
      <c r="AZ484" s="822"/>
      <c r="BA484" s="822"/>
      <c r="BB484" s="822"/>
      <c r="BC484" s="822"/>
      <c r="BD484" s="822"/>
      <c r="BE484" s="822"/>
      <c r="BF484" s="822"/>
      <c r="BG484" s="822"/>
    </row>
    <row r="485" spans="6:59" ht="12" customHeight="1" x14ac:dyDescent="0.2">
      <c r="F485" s="739"/>
      <c r="M485" s="837"/>
      <c r="N485" s="739"/>
      <c r="O485" s="829"/>
      <c r="P485" s="829"/>
      <c r="Q485" s="829"/>
      <c r="R485" s="829"/>
      <c r="S485" s="829"/>
      <c r="T485" s="829"/>
      <c r="U485" s="829"/>
      <c r="V485" s="829"/>
      <c r="W485" s="829"/>
      <c r="X485" s="829"/>
      <c r="Y485" s="829"/>
      <c r="Z485" s="829"/>
      <c r="AN485" s="829"/>
      <c r="AO485" s="829"/>
      <c r="AP485" s="829"/>
      <c r="AQ485" s="829"/>
      <c r="AR485" s="829"/>
      <c r="AS485" s="829"/>
      <c r="AT485" s="829"/>
      <c r="AU485" s="829"/>
      <c r="AV485" s="829"/>
      <c r="AW485" s="829"/>
      <c r="AX485" s="837"/>
      <c r="AY485" s="837"/>
      <c r="AZ485" s="822"/>
      <c r="BA485" s="822"/>
      <c r="BB485" s="822"/>
      <c r="BC485" s="822"/>
      <c r="BD485" s="822"/>
      <c r="BE485" s="822"/>
      <c r="BF485" s="822"/>
      <c r="BG485" s="822"/>
    </row>
    <row r="486" spans="6:59" ht="12" customHeight="1" x14ac:dyDescent="0.2">
      <c r="F486" s="739"/>
      <c r="M486" s="837"/>
      <c r="N486" s="739"/>
      <c r="O486" s="829"/>
      <c r="P486" s="829"/>
      <c r="Q486" s="829"/>
      <c r="R486" s="829"/>
      <c r="S486" s="829"/>
      <c r="T486" s="829"/>
      <c r="U486" s="829"/>
      <c r="V486" s="829"/>
      <c r="W486" s="829"/>
      <c r="X486" s="829"/>
      <c r="Y486" s="829"/>
      <c r="Z486" s="829"/>
      <c r="AN486" s="829"/>
      <c r="AO486" s="829"/>
      <c r="AP486" s="829"/>
      <c r="AQ486" s="829"/>
      <c r="AR486" s="829"/>
      <c r="AS486" s="829"/>
      <c r="AT486" s="829"/>
      <c r="AU486" s="829"/>
      <c r="AV486" s="829"/>
      <c r="AW486" s="829"/>
      <c r="AX486" s="837"/>
      <c r="AY486" s="837"/>
      <c r="AZ486" s="822"/>
      <c r="BA486" s="822"/>
      <c r="BB486" s="822"/>
      <c r="BC486" s="822"/>
      <c r="BD486" s="822"/>
      <c r="BE486" s="822"/>
      <c r="BF486" s="822"/>
      <c r="BG486" s="822"/>
    </row>
    <row r="487" spans="6:59" ht="12" customHeight="1" x14ac:dyDescent="0.2">
      <c r="F487" s="739"/>
      <c r="M487" s="837"/>
      <c r="N487" s="739"/>
      <c r="O487" s="829"/>
      <c r="P487" s="829"/>
      <c r="Q487" s="829"/>
      <c r="R487" s="829"/>
      <c r="S487" s="829"/>
      <c r="T487" s="829"/>
      <c r="U487" s="829"/>
      <c r="V487" s="829"/>
      <c r="W487" s="829"/>
      <c r="X487" s="829"/>
      <c r="Y487" s="829"/>
      <c r="Z487" s="829"/>
      <c r="AN487" s="829"/>
      <c r="AO487" s="829"/>
      <c r="AP487" s="829"/>
      <c r="AQ487" s="829"/>
      <c r="AR487" s="829"/>
      <c r="AS487" s="829"/>
      <c r="AT487" s="829"/>
      <c r="AU487" s="829"/>
      <c r="AV487" s="829"/>
      <c r="AW487" s="829"/>
      <c r="AX487" s="837"/>
      <c r="AY487" s="837"/>
      <c r="AZ487" s="822"/>
      <c r="BA487" s="822"/>
      <c r="BB487" s="822"/>
      <c r="BC487" s="822"/>
      <c r="BD487" s="822"/>
      <c r="BE487" s="822"/>
      <c r="BF487" s="822"/>
      <c r="BG487" s="822"/>
    </row>
    <row r="488" spans="6:59" ht="12" customHeight="1" x14ac:dyDescent="0.2">
      <c r="F488" s="739"/>
      <c r="M488" s="837"/>
      <c r="N488" s="739"/>
      <c r="O488" s="829"/>
      <c r="P488" s="829"/>
      <c r="Q488" s="829"/>
      <c r="R488" s="829"/>
      <c r="S488" s="829"/>
      <c r="T488" s="829"/>
      <c r="U488" s="829"/>
      <c r="V488" s="829"/>
      <c r="W488" s="829"/>
      <c r="X488" s="829"/>
      <c r="Y488" s="829"/>
      <c r="Z488" s="829"/>
      <c r="AN488" s="829"/>
      <c r="AO488" s="829"/>
      <c r="AP488" s="829"/>
      <c r="AQ488" s="829"/>
      <c r="AR488" s="829"/>
      <c r="AS488" s="829"/>
      <c r="AT488" s="829"/>
      <c r="AU488" s="829"/>
      <c r="AV488" s="829"/>
      <c r="AW488" s="829"/>
      <c r="AX488" s="837"/>
      <c r="AY488" s="837"/>
      <c r="AZ488" s="822"/>
      <c r="BA488" s="822"/>
      <c r="BB488" s="822"/>
      <c r="BC488" s="822"/>
      <c r="BD488" s="822"/>
      <c r="BE488" s="822"/>
      <c r="BF488" s="822"/>
      <c r="BG488" s="822"/>
    </row>
    <row r="489" spans="6:59" ht="12" customHeight="1" x14ac:dyDescent="0.2">
      <c r="F489" s="739"/>
      <c r="M489" s="837"/>
      <c r="N489" s="739"/>
      <c r="O489" s="829"/>
      <c r="P489" s="829"/>
      <c r="Q489" s="829"/>
      <c r="R489" s="829"/>
      <c r="S489" s="829"/>
      <c r="T489" s="829"/>
      <c r="U489" s="829"/>
      <c r="V489" s="829"/>
      <c r="W489" s="829"/>
      <c r="X489" s="829"/>
      <c r="Y489" s="829"/>
      <c r="Z489" s="829"/>
      <c r="AN489" s="829"/>
      <c r="AO489" s="829"/>
      <c r="AP489" s="829"/>
      <c r="AQ489" s="829"/>
      <c r="AR489" s="829"/>
      <c r="AS489" s="829"/>
      <c r="AT489" s="829"/>
      <c r="AU489" s="829"/>
      <c r="AV489" s="829"/>
      <c r="AW489" s="829"/>
      <c r="AX489" s="837"/>
      <c r="AY489" s="837"/>
      <c r="AZ489" s="822"/>
      <c r="BA489" s="822"/>
      <c r="BB489" s="822"/>
      <c r="BC489" s="822"/>
      <c r="BD489" s="822"/>
      <c r="BE489" s="822"/>
      <c r="BF489" s="822"/>
      <c r="BG489" s="822"/>
    </row>
    <row r="490" spans="6:59" ht="12" customHeight="1" x14ac:dyDescent="0.2">
      <c r="F490" s="739"/>
      <c r="M490" s="837"/>
      <c r="N490" s="739"/>
      <c r="O490" s="829"/>
      <c r="P490" s="829"/>
      <c r="Q490" s="829"/>
      <c r="R490" s="829"/>
      <c r="S490" s="829"/>
      <c r="T490" s="829"/>
      <c r="U490" s="829"/>
      <c r="V490" s="829"/>
      <c r="W490" s="829"/>
      <c r="X490" s="829"/>
      <c r="Y490" s="829"/>
      <c r="Z490" s="829"/>
      <c r="AN490" s="829"/>
      <c r="AO490" s="829"/>
      <c r="AP490" s="829"/>
      <c r="AQ490" s="829"/>
      <c r="AR490" s="829"/>
      <c r="AS490" s="829"/>
      <c r="AT490" s="829"/>
      <c r="AU490" s="829"/>
      <c r="AV490" s="829"/>
      <c r="AW490" s="829"/>
      <c r="AX490" s="837"/>
      <c r="AY490" s="837"/>
      <c r="AZ490" s="822"/>
      <c r="BA490" s="822"/>
      <c r="BB490" s="822"/>
      <c r="BC490" s="822"/>
      <c r="BD490" s="822"/>
      <c r="BE490" s="822"/>
      <c r="BF490" s="822"/>
      <c r="BG490" s="822"/>
    </row>
    <row r="491" spans="6:59" ht="12" customHeight="1" x14ac:dyDescent="0.2">
      <c r="F491" s="739"/>
      <c r="M491" s="837"/>
      <c r="N491" s="739"/>
      <c r="O491" s="829"/>
      <c r="P491" s="829"/>
      <c r="Q491" s="829"/>
      <c r="R491" s="829"/>
      <c r="S491" s="829"/>
      <c r="T491" s="829"/>
      <c r="U491" s="829"/>
      <c r="V491" s="829"/>
      <c r="W491" s="829"/>
      <c r="X491" s="829"/>
      <c r="Y491" s="829"/>
      <c r="Z491" s="829"/>
      <c r="AN491" s="829"/>
      <c r="AO491" s="829"/>
      <c r="AP491" s="829"/>
      <c r="AQ491" s="829"/>
      <c r="AR491" s="829"/>
      <c r="AS491" s="829"/>
      <c r="AT491" s="829"/>
      <c r="AU491" s="829"/>
      <c r="AV491" s="829"/>
      <c r="AW491" s="829"/>
      <c r="AX491" s="837"/>
      <c r="AY491" s="837"/>
      <c r="AZ491" s="822"/>
      <c r="BA491" s="822"/>
      <c r="BB491" s="822"/>
      <c r="BC491" s="822"/>
      <c r="BD491" s="822"/>
      <c r="BE491" s="822"/>
      <c r="BF491" s="822"/>
      <c r="BG491" s="822"/>
    </row>
    <row r="492" spans="6:59" ht="12" customHeight="1" x14ac:dyDescent="0.2">
      <c r="F492" s="739"/>
      <c r="M492" s="837"/>
      <c r="N492" s="739"/>
      <c r="O492" s="829"/>
      <c r="P492" s="829"/>
      <c r="Q492" s="829"/>
      <c r="R492" s="829"/>
      <c r="S492" s="829"/>
      <c r="T492" s="829"/>
      <c r="U492" s="829"/>
      <c r="V492" s="829"/>
      <c r="W492" s="829"/>
      <c r="X492" s="829"/>
      <c r="Y492" s="829"/>
      <c r="Z492" s="829"/>
      <c r="AN492" s="829"/>
      <c r="AO492" s="829"/>
      <c r="AP492" s="829"/>
      <c r="AQ492" s="829"/>
      <c r="AR492" s="829"/>
      <c r="AS492" s="829"/>
      <c r="AT492" s="829"/>
      <c r="AU492" s="829"/>
      <c r="AV492" s="829"/>
      <c r="AW492" s="829"/>
      <c r="AX492" s="837"/>
      <c r="AY492" s="837"/>
      <c r="AZ492" s="822"/>
      <c r="BA492" s="822"/>
      <c r="BB492" s="822"/>
      <c r="BC492" s="822"/>
      <c r="BD492" s="822"/>
      <c r="BE492" s="822"/>
      <c r="BF492" s="822"/>
      <c r="BG492" s="822"/>
    </row>
    <row r="493" spans="6:59" ht="12" customHeight="1" x14ac:dyDescent="0.2">
      <c r="F493" s="739"/>
      <c r="M493" s="837"/>
      <c r="N493" s="739"/>
      <c r="O493" s="829"/>
      <c r="P493" s="829"/>
      <c r="Q493" s="829"/>
      <c r="R493" s="829"/>
      <c r="S493" s="829"/>
      <c r="T493" s="829"/>
      <c r="U493" s="829"/>
      <c r="V493" s="829"/>
      <c r="W493" s="829"/>
      <c r="X493" s="829"/>
      <c r="Y493" s="829"/>
      <c r="Z493" s="829"/>
      <c r="AN493" s="829"/>
      <c r="AO493" s="829"/>
      <c r="AP493" s="829"/>
      <c r="AQ493" s="829"/>
      <c r="AR493" s="829"/>
      <c r="AS493" s="829"/>
      <c r="AT493" s="829"/>
      <c r="AU493" s="829"/>
      <c r="AV493" s="829"/>
      <c r="AW493" s="829"/>
      <c r="AX493" s="837"/>
      <c r="AY493" s="837"/>
      <c r="AZ493" s="822"/>
      <c r="BA493" s="822"/>
      <c r="BB493" s="822"/>
      <c r="BC493" s="822"/>
      <c r="BD493" s="822"/>
      <c r="BE493" s="822"/>
      <c r="BF493" s="822"/>
      <c r="BG493" s="822"/>
    </row>
    <row r="494" spans="6:59" ht="12" customHeight="1" x14ac:dyDescent="0.2">
      <c r="F494" s="739"/>
      <c r="M494" s="837"/>
      <c r="N494" s="739"/>
      <c r="O494" s="829"/>
      <c r="P494" s="829"/>
      <c r="Q494" s="829"/>
      <c r="R494" s="829"/>
      <c r="S494" s="829"/>
      <c r="T494" s="829"/>
      <c r="U494" s="829"/>
      <c r="V494" s="829"/>
      <c r="W494" s="829"/>
      <c r="X494" s="829"/>
      <c r="Y494" s="829"/>
      <c r="Z494" s="829"/>
      <c r="AN494" s="829"/>
      <c r="AO494" s="829"/>
      <c r="AP494" s="829"/>
      <c r="AQ494" s="829"/>
      <c r="AR494" s="829"/>
      <c r="AS494" s="829"/>
      <c r="AT494" s="829"/>
      <c r="AU494" s="829"/>
      <c r="AV494" s="829"/>
      <c r="AW494" s="829"/>
      <c r="AX494" s="837"/>
      <c r="AY494" s="837"/>
      <c r="AZ494" s="822"/>
      <c r="BA494" s="822"/>
      <c r="BB494" s="822"/>
      <c r="BC494" s="822"/>
      <c r="BD494" s="822"/>
      <c r="BE494" s="822"/>
      <c r="BF494" s="822"/>
      <c r="BG494" s="822"/>
    </row>
    <row r="495" spans="6:59" ht="12" customHeight="1" x14ac:dyDescent="0.2">
      <c r="F495" s="739"/>
      <c r="M495" s="837"/>
      <c r="N495" s="739"/>
      <c r="O495" s="829"/>
      <c r="P495" s="829"/>
      <c r="Q495" s="829"/>
      <c r="R495" s="829"/>
      <c r="S495" s="829"/>
      <c r="T495" s="829"/>
      <c r="U495" s="829"/>
      <c r="V495" s="829"/>
      <c r="W495" s="829"/>
      <c r="X495" s="829"/>
      <c r="Y495" s="829"/>
      <c r="Z495" s="829"/>
      <c r="AN495" s="829"/>
      <c r="AO495" s="829"/>
      <c r="AP495" s="829"/>
      <c r="AQ495" s="829"/>
      <c r="AR495" s="829"/>
      <c r="AS495" s="829"/>
      <c r="AT495" s="829"/>
      <c r="AU495" s="829"/>
      <c r="AV495" s="829"/>
      <c r="AW495" s="829"/>
      <c r="AX495" s="837"/>
      <c r="AY495" s="837"/>
      <c r="AZ495" s="822"/>
      <c r="BA495" s="822"/>
      <c r="BB495" s="822"/>
      <c r="BC495" s="822"/>
      <c r="BD495" s="822"/>
      <c r="BE495" s="822"/>
      <c r="BF495" s="822"/>
      <c r="BG495" s="822"/>
    </row>
    <row r="496" spans="6:59" ht="12" customHeight="1" x14ac:dyDescent="0.2">
      <c r="F496" s="739"/>
      <c r="M496" s="837"/>
      <c r="N496" s="739"/>
      <c r="O496" s="829"/>
      <c r="P496" s="829"/>
      <c r="Q496" s="829"/>
      <c r="R496" s="829"/>
      <c r="S496" s="829"/>
      <c r="T496" s="829"/>
      <c r="U496" s="829"/>
      <c r="V496" s="829"/>
      <c r="W496" s="829"/>
      <c r="X496" s="829"/>
      <c r="Y496" s="829"/>
      <c r="Z496" s="829"/>
      <c r="AN496" s="829"/>
      <c r="AO496" s="829"/>
      <c r="AP496" s="829"/>
      <c r="AQ496" s="829"/>
      <c r="AR496" s="829"/>
      <c r="AS496" s="829"/>
      <c r="AT496" s="829"/>
      <c r="AU496" s="829"/>
      <c r="AV496" s="829"/>
      <c r="AW496" s="829"/>
      <c r="AX496" s="837"/>
      <c r="AY496" s="837"/>
      <c r="AZ496" s="822"/>
      <c r="BA496" s="822"/>
      <c r="BB496" s="822"/>
      <c r="BC496" s="822"/>
      <c r="BD496" s="822"/>
      <c r="BE496" s="822"/>
      <c r="BF496" s="822"/>
      <c r="BG496" s="822"/>
    </row>
    <row r="497" spans="6:59" ht="12" customHeight="1" x14ac:dyDescent="0.2">
      <c r="F497" s="739"/>
      <c r="M497" s="837"/>
      <c r="N497" s="739"/>
      <c r="O497" s="829"/>
      <c r="P497" s="829"/>
      <c r="Q497" s="829"/>
      <c r="R497" s="829"/>
      <c r="S497" s="829"/>
      <c r="T497" s="829"/>
      <c r="U497" s="829"/>
      <c r="V497" s="829"/>
      <c r="W497" s="829"/>
      <c r="X497" s="829"/>
      <c r="Y497" s="829"/>
      <c r="Z497" s="829"/>
      <c r="AN497" s="829"/>
      <c r="AO497" s="829"/>
      <c r="AP497" s="829"/>
      <c r="AQ497" s="829"/>
      <c r="AR497" s="829"/>
      <c r="AS497" s="829"/>
      <c r="AT497" s="829"/>
      <c r="AU497" s="829"/>
      <c r="AV497" s="829"/>
      <c r="AW497" s="829"/>
      <c r="AX497" s="837"/>
      <c r="AY497" s="837"/>
      <c r="AZ497" s="822"/>
      <c r="BA497" s="822"/>
      <c r="BB497" s="822"/>
      <c r="BC497" s="822"/>
      <c r="BD497" s="822"/>
      <c r="BE497" s="822"/>
      <c r="BF497" s="822"/>
      <c r="BG497" s="822"/>
    </row>
    <row r="498" spans="6:59" ht="12" customHeight="1" x14ac:dyDescent="0.2">
      <c r="F498" s="739"/>
      <c r="M498" s="837"/>
      <c r="O498" s="829"/>
      <c r="P498" s="829"/>
      <c r="Q498" s="829"/>
      <c r="R498" s="829"/>
      <c r="S498" s="829"/>
      <c r="T498" s="829"/>
      <c r="U498" s="829"/>
      <c r="V498" s="829"/>
      <c r="W498" s="829"/>
      <c r="X498" s="829"/>
      <c r="Y498" s="829"/>
      <c r="Z498" s="829"/>
      <c r="AN498" s="829"/>
      <c r="AO498" s="829"/>
      <c r="AP498" s="829"/>
      <c r="AQ498" s="829"/>
      <c r="AR498" s="829"/>
      <c r="AS498" s="829"/>
      <c r="AT498" s="829"/>
      <c r="AU498" s="829"/>
      <c r="AV498" s="829"/>
      <c r="AW498" s="829"/>
      <c r="AX498" s="837"/>
      <c r="AY498" s="837"/>
      <c r="AZ498" s="822"/>
      <c r="BA498" s="822"/>
      <c r="BB498" s="822"/>
      <c r="BC498" s="822"/>
      <c r="BD498" s="822"/>
      <c r="BE498" s="822"/>
      <c r="BF498" s="822"/>
      <c r="BG498" s="822"/>
    </row>
    <row r="499" spans="6:59" ht="12" customHeight="1" x14ac:dyDescent="0.2">
      <c r="F499" s="739"/>
      <c r="M499" s="837"/>
      <c r="O499" s="829"/>
      <c r="P499" s="829"/>
      <c r="Q499" s="829"/>
      <c r="R499" s="829"/>
      <c r="S499" s="829"/>
      <c r="T499" s="829"/>
      <c r="U499" s="829"/>
      <c r="V499" s="829"/>
      <c r="W499" s="829"/>
      <c r="X499" s="829"/>
      <c r="Y499" s="829"/>
      <c r="Z499" s="829"/>
      <c r="AN499" s="829"/>
      <c r="AO499" s="829"/>
      <c r="AP499" s="829"/>
      <c r="AQ499" s="829"/>
      <c r="AR499" s="829"/>
      <c r="AS499" s="829"/>
      <c r="AT499" s="829"/>
      <c r="AU499" s="829"/>
      <c r="AV499" s="829"/>
      <c r="AW499" s="829"/>
      <c r="AX499" s="837"/>
      <c r="AY499" s="837"/>
      <c r="AZ499" s="822"/>
      <c r="BA499" s="822"/>
      <c r="BB499" s="822"/>
      <c r="BC499" s="822"/>
      <c r="BD499" s="822"/>
      <c r="BE499" s="822"/>
      <c r="BF499" s="822"/>
      <c r="BG499" s="822"/>
    </row>
    <row r="500" spans="6:59" ht="12" customHeight="1" x14ac:dyDescent="0.2">
      <c r="F500" s="739"/>
      <c r="M500" s="837"/>
      <c r="O500" s="829"/>
      <c r="P500" s="829"/>
      <c r="Q500" s="829"/>
      <c r="R500" s="829"/>
      <c r="S500" s="829"/>
      <c r="T500" s="829"/>
      <c r="U500" s="829"/>
      <c r="V500" s="829"/>
      <c r="W500" s="829"/>
      <c r="X500" s="829"/>
      <c r="Y500" s="829"/>
      <c r="Z500" s="829"/>
      <c r="AN500" s="829"/>
      <c r="AO500" s="829"/>
      <c r="AP500" s="829"/>
      <c r="AQ500" s="829"/>
      <c r="AR500" s="829"/>
      <c r="AS500" s="829"/>
      <c r="AT500" s="829"/>
      <c r="AU500" s="829"/>
      <c r="AV500" s="829"/>
      <c r="AW500" s="829"/>
      <c r="AX500" s="837"/>
      <c r="AY500" s="837"/>
      <c r="AZ500" s="822"/>
      <c r="BA500" s="822"/>
      <c r="BB500" s="822"/>
      <c r="BC500" s="822"/>
      <c r="BD500" s="822"/>
      <c r="BE500" s="822"/>
      <c r="BF500" s="822"/>
      <c r="BG500" s="822"/>
    </row>
    <row r="501" spans="6:59" ht="12" customHeight="1" x14ac:dyDescent="0.2">
      <c r="F501" s="739"/>
      <c r="M501" s="837"/>
      <c r="O501" s="829"/>
      <c r="P501" s="829"/>
      <c r="Q501" s="829"/>
      <c r="R501" s="829"/>
      <c r="S501" s="829"/>
      <c r="T501" s="829"/>
      <c r="U501" s="829"/>
      <c r="V501" s="829"/>
      <c r="W501" s="829"/>
      <c r="X501" s="829"/>
      <c r="Y501" s="829"/>
      <c r="Z501" s="829"/>
      <c r="AN501" s="829"/>
      <c r="AO501" s="829"/>
      <c r="AP501" s="829"/>
      <c r="AQ501" s="829"/>
      <c r="AR501" s="829"/>
      <c r="AS501" s="829"/>
      <c r="AT501" s="829"/>
      <c r="AU501" s="829"/>
      <c r="AV501" s="829"/>
      <c r="AW501" s="829"/>
      <c r="AX501" s="837"/>
      <c r="AY501" s="837"/>
      <c r="AZ501" s="822"/>
      <c r="BA501" s="822"/>
      <c r="BB501" s="822"/>
      <c r="BC501" s="822"/>
      <c r="BD501" s="822"/>
      <c r="BE501" s="822"/>
      <c r="BF501" s="822"/>
      <c r="BG501" s="822"/>
    </row>
    <row r="502" spans="6:59" ht="12" customHeight="1" x14ac:dyDescent="0.2">
      <c r="F502" s="739"/>
      <c r="M502" s="837"/>
      <c r="O502" s="829"/>
      <c r="P502" s="829"/>
      <c r="Q502" s="829"/>
      <c r="R502" s="829"/>
      <c r="S502" s="829"/>
      <c r="T502" s="829"/>
      <c r="U502" s="829"/>
      <c r="V502" s="829"/>
      <c r="W502" s="829"/>
      <c r="X502" s="829"/>
      <c r="Y502" s="829"/>
      <c r="Z502" s="829"/>
      <c r="AN502" s="829"/>
      <c r="AO502" s="829"/>
      <c r="AP502" s="829"/>
      <c r="AQ502" s="829"/>
      <c r="AR502" s="829"/>
      <c r="AS502" s="829"/>
      <c r="AT502" s="829"/>
      <c r="AU502" s="829"/>
      <c r="AV502" s="829"/>
      <c r="AW502" s="829"/>
      <c r="AX502" s="837"/>
      <c r="AY502" s="837"/>
      <c r="AZ502" s="822"/>
      <c r="BA502" s="822"/>
      <c r="BB502" s="822"/>
      <c r="BC502" s="822"/>
      <c r="BD502" s="822"/>
      <c r="BE502" s="822"/>
      <c r="BF502" s="822"/>
      <c r="BG502" s="822"/>
    </row>
    <row r="503" spans="6:59" ht="12" customHeight="1" x14ac:dyDescent="0.2">
      <c r="F503" s="739"/>
      <c r="M503" s="837"/>
      <c r="O503" s="829"/>
      <c r="P503" s="829"/>
      <c r="Q503" s="829"/>
      <c r="R503" s="829"/>
      <c r="S503" s="829"/>
      <c r="T503" s="829"/>
      <c r="U503" s="829"/>
      <c r="V503" s="829"/>
      <c r="W503" s="829"/>
      <c r="X503" s="829"/>
      <c r="Y503" s="829"/>
      <c r="Z503" s="829"/>
      <c r="AN503" s="829"/>
      <c r="AO503" s="829"/>
      <c r="AP503" s="829"/>
      <c r="AQ503" s="829"/>
      <c r="AR503" s="829"/>
      <c r="AS503" s="829"/>
      <c r="AT503" s="829"/>
      <c r="AU503" s="829"/>
      <c r="AV503" s="829"/>
      <c r="AW503" s="829"/>
      <c r="AX503" s="837"/>
      <c r="AY503" s="837"/>
      <c r="AZ503" s="822"/>
      <c r="BA503" s="822"/>
      <c r="BB503" s="822"/>
      <c r="BC503" s="822"/>
      <c r="BD503" s="822"/>
      <c r="BE503" s="822"/>
      <c r="BF503" s="822"/>
      <c r="BG503" s="822"/>
    </row>
    <row r="504" spans="6:59" ht="12" customHeight="1" x14ac:dyDescent="0.2">
      <c r="F504" s="739"/>
      <c r="M504" s="837"/>
      <c r="O504" s="829"/>
      <c r="P504" s="829"/>
      <c r="Q504" s="829"/>
      <c r="R504" s="829"/>
      <c r="S504" s="829"/>
      <c r="T504" s="829"/>
      <c r="U504" s="829"/>
      <c r="V504" s="829"/>
      <c r="W504" s="829"/>
      <c r="X504" s="829"/>
      <c r="Y504" s="829"/>
      <c r="Z504" s="829"/>
      <c r="AN504" s="829"/>
      <c r="AO504" s="829"/>
      <c r="AP504" s="829"/>
      <c r="AQ504" s="829"/>
      <c r="AR504" s="829"/>
      <c r="AS504" s="829"/>
      <c r="AT504" s="829"/>
      <c r="AU504" s="829"/>
      <c r="AV504" s="829"/>
      <c r="AW504" s="829"/>
      <c r="AX504" s="837"/>
      <c r="AY504" s="837"/>
      <c r="AZ504" s="822"/>
      <c r="BA504" s="822"/>
      <c r="BB504" s="822"/>
      <c r="BC504" s="822"/>
      <c r="BD504" s="822"/>
      <c r="BE504" s="822"/>
      <c r="BF504" s="822"/>
      <c r="BG504" s="822"/>
    </row>
    <row r="505" spans="6:59" ht="12" customHeight="1" x14ac:dyDescent="0.2">
      <c r="F505" s="739"/>
      <c r="M505" s="837"/>
      <c r="O505" s="829"/>
      <c r="P505" s="829"/>
      <c r="Q505" s="829"/>
      <c r="R505" s="829"/>
      <c r="S505" s="829"/>
      <c r="T505" s="829"/>
      <c r="U505" s="829"/>
      <c r="V505" s="829"/>
      <c r="W505" s="829"/>
      <c r="X505" s="829"/>
      <c r="Y505" s="829"/>
      <c r="Z505" s="829"/>
      <c r="AN505" s="829"/>
      <c r="AO505" s="829"/>
      <c r="AP505" s="829"/>
      <c r="AQ505" s="829"/>
      <c r="AR505" s="829"/>
      <c r="AS505" s="829"/>
      <c r="AT505" s="829"/>
      <c r="AU505" s="829"/>
      <c r="AV505" s="829"/>
      <c r="AW505" s="829"/>
      <c r="AX505" s="837"/>
      <c r="AY505" s="837"/>
      <c r="AZ505" s="822"/>
      <c r="BA505" s="822"/>
      <c r="BB505" s="822"/>
      <c r="BC505" s="822"/>
      <c r="BD505" s="822"/>
      <c r="BE505" s="822"/>
      <c r="BF505" s="822"/>
      <c r="BG505" s="822"/>
    </row>
    <row r="506" spans="6:59" ht="12" customHeight="1" x14ac:dyDescent="0.2">
      <c r="F506" s="739"/>
      <c r="M506" s="837"/>
      <c r="O506" s="829"/>
      <c r="P506" s="829"/>
      <c r="Q506" s="829"/>
      <c r="R506" s="829"/>
      <c r="S506" s="829"/>
      <c r="T506" s="829"/>
      <c r="U506" s="829"/>
      <c r="V506" s="829"/>
      <c r="W506" s="829"/>
      <c r="X506" s="829"/>
      <c r="Y506" s="829"/>
      <c r="Z506" s="829"/>
      <c r="AN506" s="829"/>
      <c r="AO506" s="829"/>
      <c r="AP506" s="829"/>
      <c r="AQ506" s="829"/>
      <c r="AR506" s="829"/>
      <c r="AS506" s="829"/>
      <c r="AT506" s="829"/>
      <c r="AU506" s="829"/>
      <c r="AV506" s="829"/>
      <c r="AW506" s="829"/>
      <c r="AX506" s="837"/>
      <c r="AY506" s="837"/>
      <c r="AZ506" s="822"/>
      <c r="BA506" s="822"/>
      <c r="BB506" s="822"/>
      <c r="BC506" s="822"/>
      <c r="BD506" s="822"/>
      <c r="BE506" s="822"/>
      <c r="BF506" s="822"/>
      <c r="BG506" s="822"/>
    </row>
    <row r="507" spans="6:59" ht="12" customHeight="1" x14ac:dyDescent="0.2">
      <c r="F507" s="739"/>
      <c r="M507" s="837"/>
      <c r="O507" s="829"/>
      <c r="P507" s="829"/>
      <c r="Q507" s="829"/>
      <c r="R507" s="829"/>
      <c r="S507" s="829"/>
      <c r="T507" s="829"/>
      <c r="U507" s="829"/>
      <c r="V507" s="829"/>
      <c r="W507" s="829"/>
      <c r="X507" s="829"/>
      <c r="Y507" s="829"/>
      <c r="Z507" s="829"/>
      <c r="AN507" s="829"/>
      <c r="AO507" s="829"/>
      <c r="AP507" s="829"/>
      <c r="AQ507" s="829"/>
      <c r="AR507" s="829"/>
      <c r="AS507" s="829"/>
      <c r="AT507" s="829"/>
      <c r="AU507" s="829"/>
      <c r="AV507" s="829"/>
      <c r="AW507" s="829"/>
      <c r="AX507" s="837"/>
      <c r="AY507" s="837"/>
      <c r="AZ507" s="822"/>
      <c r="BA507" s="822"/>
      <c r="BB507" s="822"/>
      <c r="BC507" s="822"/>
      <c r="BD507" s="822"/>
      <c r="BE507" s="822"/>
      <c r="BF507" s="822"/>
      <c r="BG507" s="822"/>
    </row>
    <row r="508" spans="6:59" ht="12" customHeight="1" x14ac:dyDescent="0.2">
      <c r="F508" s="739"/>
      <c r="M508" s="837"/>
      <c r="O508" s="829"/>
      <c r="P508" s="829"/>
      <c r="Q508" s="829"/>
      <c r="R508" s="829"/>
      <c r="S508" s="829"/>
      <c r="T508" s="829"/>
      <c r="U508" s="829"/>
      <c r="V508" s="829"/>
      <c r="W508" s="829"/>
      <c r="X508" s="829"/>
      <c r="Y508" s="829"/>
      <c r="Z508" s="829"/>
      <c r="AN508" s="829"/>
      <c r="AO508" s="829"/>
      <c r="AP508" s="829"/>
      <c r="AQ508" s="829"/>
      <c r="AR508" s="829"/>
      <c r="AS508" s="829"/>
      <c r="AT508" s="829"/>
      <c r="AU508" s="829"/>
      <c r="AV508" s="829"/>
      <c r="AW508" s="829"/>
      <c r="AX508" s="837"/>
      <c r="AY508" s="837"/>
      <c r="AZ508" s="822"/>
      <c r="BA508" s="822"/>
      <c r="BB508" s="822"/>
      <c r="BC508" s="822"/>
      <c r="BD508" s="822"/>
      <c r="BE508" s="822"/>
      <c r="BF508" s="822"/>
      <c r="BG508" s="822"/>
    </row>
    <row r="509" spans="6:59" ht="12" customHeight="1" x14ac:dyDescent="0.2">
      <c r="F509" s="739"/>
      <c r="M509" s="837"/>
      <c r="O509" s="829"/>
      <c r="P509" s="829"/>
      <c r="Q509" s="829"/>
      <c r="R509" s="829"/>
      <c r="S509" s="829"/>
      <c r="T509" s="829"/>
      <c r="U509" s="829"/>
      <c r="V509" s="829"/>
      <c r="W509" s="829"/>
      <c r="X509" s="829"/>
      <c r="Y509" s="829"/>
      <c r="Z509" s="829"/>
      <c r="AN509" s="829"/>
      <c r="AO509" s="829"/>
      <c r="AP509" s="829"/>
      <c r="AQ509" s="829"/>
      <c r="AR509" s="829"/>
      <c r="AS509" s="829"/>
      <c r="AT509" s="829"/>
      <c r="AU509" s="829"/>
      <c r="AV509" s="829"/>
      <c r="AW509" s="829"/>
      <c r="AX509" s="837"/>
      <c r="AY509" s="837"/>
      <c r="AZ509" s="822"/>
      <c r="BA509" s="822"/>
      <c r="BB509" s="822"/>
      <c r="BC509" s="822"/>
      <c r="BD509" s="822"/>
      <c r="BE509" s="822"/>
      <c r="BF509" s="822"/>
      <c r="BG509" s="822"/>
    </row>
    <row r="510" spans="6:59" ht="12" customHeight="1" x14ac:dyDescent="0.2">
      <c r="F510" s="739"/>
      <c r="M510" s="837"/>
      <c r="O510" s="829"/>
      <c r="P510" s="829"/>
      <c r="Q510" s="829"/>
      <c r="R510" s="829"/>
      <c r="S510" s="829"/>
      <c r="T510" s="829"/>
      <c r="U510" s="829"/>
      <c r="V510" s="829"/>
      <c r="W510" s="829"/>
      <c r="X510" s="829"/>
      <c r="Y510" s="829"/>
      <c r="Z510" s="829"/>
      <c r="AN510" s="829"/>
      <c r="AO510" s="829"/>
      <c r="AP510" s="829"/>
      <c r="AQ510" s="829"/>
      <c r="AR510" s="829"/>
      <c r="AS510" s="829"/>
      <c r="AT510" s="829"/>
      <c r="AU510" s="829"/>
      <c r="AV510" s="829"/>
      <c r="AW510" s="829"/>
      <c r="AX510" s="837"/>
      <c r="AY510" s="837"/>
      <c r="AZ510" s="822"/>
      <c r="BA510" s="822"/>
      <c r="BB510" s="822"/>
      <c r="BC510" s="822"/>
      <c r="BD510" s="822"/>
      <c r="BE510" s="822"/>
      <c r="BF510" s="822"/>
      <c r="BG510" s="822"/>
    </row>
    <row r="511" spans="6:59" ht="12" customHeight="1" x14ac:dyDescent="0.2">
      <c r="F511" s="739"/>
      <c r="M511" s="837"/>
      <c r="O511" s="829"/>
      <c r="P511" s="829"/>
      <c r="Q511" s="829"/>
      <c r="R511" s="829"/>
      <c r="S511" s="829"/>
      <c r="T511" s="829"/>
      <c r="U511" s="829"/>
      <c r="V511" s="829"/>
      <c r="W511" s="829"/>
      <c r="X511" s="829"/>
      <c r="Y511" s="829"/>
      <c r="Z511" s="829"/>
      <c r="AN511" s="829"/>
      <c r="AO511" s="829"/>
      <c r="AP511" s="829"/>
      <c r="AQ511" s="829"/>
      <c r="AR511" s="829"/>
      <c r="AS511" s="829"/>
      <c r="AT511" s="829"/>
      <c r="AU511" s="829"/>
      <c r="AV511" s="829"/>
      <c r="AW511" s="829"/>
      <c r="AX511" s="837"/>
      <c r="AY511" s="837"/>
      <c r="AZ511" s="822"/>
      <c r="BA511" s="822"/>
      <c r="BB511" s="822"/>
      <c r="BC511" s="822"/>
      <c r="BD511" s="822"/>
      <c r="BE511" s="822"/>
      <c r="BF511" s="822"/>
      <c r="BG511" s="822"/>
    </row>
    <row r="512" spans="6:59" ht="12" customHeight="1" x14ac:dyDescent="0.2">
      <c r="F512" s="739"/>
      <c r="M512" s="837"/>
      <c r="O512" s="829"/>
      <c r="P512" s="829"/>
      <c r="Q512" s="829"/>
      <c r="R512" s="829"/>
      <c r="S512" s="829"/>
      <c r="T512" s="829"/>
      <c r="U512" s="829"/>
      <c r="V512" s="829"/>
      <c r="W512" s="829"/>
      <c r="X512" s="829"/>
      <c r="Y512" s="829"/>
      <c r="Z512" s="829"/>
      <c r="AN512" s="829"/>
      <c r="AO512" s="829"/>
      <c r="AP512" s="829"/>
      <c r="AQ512" s="829"/>
      <c r="AR512" s="829"/>
      <c r="AS512" s="829"/>
      <c r="AT512" s="829"/>
      <c r="AU512" s="829"/>
      <c r="AV512" s="829"/>
      <c r="AW512" s="829"/>
      <c r="AX512" s="837"/>
      <c r="AY512" s="837"/>
      <c r="AZ512" s="822"/>
      <c r="BA512" s="822"/>
      <c r="BB512" s="822"/>
      <c r="BC512" s="822"/>
      <c r="BD512" s="822"/>
      <c r="BE512" s="822"/>
      <c r="BF512" s="822"/>
      <c r="BG512" s="822"/>
    </row>
    <row r="513" spans="6:59" ht="12" customHeight="1" x14ac:dyDescent="0.2">
      <c r="F513" s="739"/>
      <c r="M513" s="837"/>
      <c r="O513" s="829"/>
      <c r="P513" s="829"/>
      <c r="Q513" s="829"/>
      <c r="R513" s="829"/>
      <c r="S513" s="829"/>
      <c r="T513" s="829"/>
      <c r="U513" s="829"/>
      <c r="V513" s="829"/>
      <c r="W513" s="829"/>
      <c r="X513" s="829"/>
      <c r="Y513" s="829"/>
      <c r="Z513" s="829"/>
      <c r="AN513" s="829"/>
      <c r="AO513" s="829"/>
      <c r="AP513" s="829"/>
      <c r="AQ513" s="829"/>
      <c r="AR513" s="829"/>
      <c r="AS513" s="829"/>
      <c r="AT513" s="829"/>
      <c r="AU513" s="829"/>
      <c r="AV513" s="829"/>
      <c r="AW513" s="829"/>
      <c r="AX513" s="837"/>
      <c r="AY513" s="837"/>
      <c r="AZ513" s="822"/>
      <c r="BA513" s="822"/>
      <c r="BB513" s="822"/>
      <c r="BC513" s="822"/>
      <c r="BD513" s="822"/>
      <c r="BE513" s="822"/>
      <c r="BF513" s="822"/>
      <c r="BG513" s="822"/>
    </row>
    <row r="514" spans="6:59" ht="12" customHeight="1" x14ac:dyDescent="0.2">
      <c r="F514" s="739"/>
      <c r="M514" s="837"/>
      <c r="O514" s="829"/>
      <c r="P514" s="829"/>
      <c r="Q514" s="829"/>
      <c r="R514" s="829"/>
      <c r="S514" s="829"/>
      <c r="T514" s="829"/>
      <c r="U514" s="829"/>
      <c r="V514" s="829"/>
      <c r="W514" s="829"/>
      <c r="X514" s="829"/>
      <c r="Y514" s="829"/>
      <c r="Z514" s="829"/>
      <c r="AN514" s="829"/>
      <c r="AO514" s="829"/>
      <c r="AP514" s="829"/>
      <c r="AQ514" s="829"/>
      <c r="AR514" s="829"/>
      <c r="AS514" s="829"/>
      <c r="AT514" s="829"/>
      <c r="AU514" s="829"/>
      <c r="AV514" s="829"/>
      <c r="AW514" s="829"/>
      <c r="AX514" s="837"/>
      <c r="AY514" s="837"/>
      <c r="AZ514" s="822"/>
      <c r="BA514" s="822"/>
      <c r="BB514" s="822"/>
      <c r="BC514" s="822"/>
      <c r="BD514" s="822"/>
      <c r="BE514" s="822"/>
      <c r="BF514" s="822"/>
      <c r="BG514" s="822"/>
    </row>
    <row r="515" spans="6:59" ht="12" customHeight="1" x14ac:dyDescent="0.2">
      <c r="F515" s="739"/>
      <c r="M515" s="837"/>
      <c r="O515" s="829"/>
      <c r="P515" s="829"/>
      <c r="Q515" s="829"/>
      <c r="R515" s="829"/>
      <c r="S515" s="829"/>
      <c r="T515" s="829"/>
      <c r="U515" s="829"/>
      <c r="V515" s="829"/>
      <c r="W515" s="829"/>
      <c r="X515" s="829"/>
      <c r="Y515" s="829"/>
      <c r="Z515" s="829"/>
      <c r="AN515" s="829"/>
      <c r="AO515" s="829"/>
      <c r="AP515" s="829"/>
      <c r="AQ515" s="829"/>
      <c r="AR515" s="829"/>
      <c r="AS515" s="829"/>
      <c r="AT515" s="829"/>
      <c r="AU515" s="829"/>
      <c r="AV515" s="829"/>
      <c r="AW515" s="829"/>
      <c r="AX515" s="837"/>
      <c r="AY515" s="837"/>
      <c r="AZ515" s="822"/>
      <c r="BA515" s="822"/>
      <c r="BB515" s="822"/>
      <c r="BC515" s="822"/>
      <c r="BD515" s="822"/>
      <c r="BE515" s="822"/>
      <c r="BF515" s="822"/>
      <c r="BG515" s="822"/>
    </row>
    <row r="516" spans="6:59" ht="12" customHeight="1" x14ac:dyDescent="0.2">
      <c r="F516" s="739"/>
      <c r="M516" s="837"/>
      <c r="O516" s="829"/>
      <c r="P516" s="829"/>
      <c r="Q516" s="829"/>
      <c r="R516" s="829"/>
      <c r="S516" s="829"/>
      <c r="T516" s="829"/>
      <c r="U516" s="829"/>
      <c r="V516" s="829"/>
      <c r="W516" s="829"/>
      <c r="X516" s="829"/>
      <c r="Y516" s="829"/>
      <c r="Z516" s="829"/>
      <c r="AN516" s="829"/>
      <c r="AO516" s="829"/>
      <c r="AP516" s="829"/>
      <c r="AQ516" s="829"/>
      <c r="AR516" s="829"/>
      <c r="AS516" s="829"/>
      <c r="AT516" s="829"/>
      <c r="AU516" s="829"/>
      <c r="AV516" s="829"/>
      <c r="AW516" s="829"/>
      <c r="AX516" s="837"/>
      <c r="AY516" s="837"/>
      <c r="AZ516" s="822"/>
      <c r="BA516" s="822"/>
      <c r="BB516" s="822"/>
      <c r="BC516" s="822"/>
      <c r="BD516" s="822"/>
      <c r="BE516" s="822"/>
      <c r="BF516" s="822"/>
      <c r="BG516" s="822"/>
    </row>
    <row r="517" spans="6:59" ht="12" customHeight="1" x14ac:dyDescent="0.2">
      <c r="F517" s="739"/>
      <c r="M517" s="837"/>
      <c r="O517" s="829"/>
      <c r="P517" s="829"/>
      <c r="Q517" s="829"/>
      <c r="R517" s="829"/>
      <c r="S517" s="829"/>
      <c r="T517" s="829"/>
      <c r="U517" s="829"/>
      <c r="V517" s="829"/>
      <c r="W517" s="829"/>
      <c r="X517" s="829"/>
      <c r="Y517" s="829"/>
      <c r="Z517" s="829"/>
      <c r="AN517" s="829"/>
      <c r="AO517" s="829"/>
      <c r="AP517" s="829"/>
      <c r="AQ517" s="829"/>
      <c r="AR517" s="829"/>
      <c r="AS517" s="829"/>
      <c r="AT517" s="829"/>
      <c r="AU517" s="829"/>
      <c r="AV517" s="829"/>
      <c r="AW517" s="829"/>
      <c r="AX517" s="837"/>
      <c r="AY517" s="837"/>
      <c r="AZ517" s="822"/>
      <c r="BA517" s="822"/>
      <c r="BB517" s="822"/>
      <c r="BC517" s="822"/>
      <c r="BD517" s="822"/>
      <c r="BE517" s="822"/>
      <c r="BF517" s="822"/>
      <c r="BG517" s="822"/>
    </row>
    <row r="518" spans="6:59" ht="12" customHeight="1" x14ac:dyDescent="0.2">
      <c r="F518" s="739"/>
      <c r="M518" s="837"/>
      <c r="O518" s="829"/>
      <c r="P518" s="829"/>
      <c r="Q518" s="829"/>
      <c r="R518" s="829"/>
      <c r="S518" s="829"/>
      <c r="T518" s="829"/>
      <c r="U518" s="829"/>
      <c r="V518" s="829"/>
      <c r="W518" s="829"/>
      <c r="X518" s="829"/>
      <c r="Y518" s="829"/>
      <c r="Z518" s="829"/>
      <c r="AN518" s="829"/>
      <c r="AO518" s="829"/>
      <c r="AP518" s="829"/>
      <c r="AQ518" s="829"/>
      <c r="AR518" s="829"/>
      <c r="AS518" s="829"/>
      <c r="AT518" s="829"/>
      <c r="AU518" s="829"/>
      <c r="AV518" s="829"/>
      <c r="AW518" s="829"/>
      <c r="AX518" s="837"/>
      <c r="AY518" s="837"/>
      <c r="AZ518" s="822"/>
      <c r="BA518" s="822"/>
      <c r="BB518" s="822"/>
      <c r="BC518" s="822"/>
      <c r="BD518" s="822"/>
      <c r="BE518" s="822"/>
      <c r="BF518" s="822"/>
      <c r="BG518" s="822"/>
    </row>
    <row r="519" spans="6:59" ht="12" customHeight="1" x14ac:dyDescent="0.2">
      <c r="F519" s="739"/>
      <c r="M519" s="837"/>
      <c r="O519" s="829"/>
      <c r="P519" s="829"/>
      <c r="Q519" s="829"/>
      <c r="R519" s="829"/>
      <c r="S519" s="829"/>
      <c r="T519" s="829"/>
      <c r="U519" s="829"/>
      <c r="V519" s="829"/>
      <c r="W519" s="829"/>
      <c r="X519" s="829"/>
      <c r="Y519" s="829"/>
      <c r="Z519" s="829"/>
      <c r="AN519" s="829"/>
      <c r="AO519" s="829"/>
      <c r="AP519" s="829"/>
      <c r="AQ519" s="829"/>
      <c r="AR519" s="829"/>
      <c r="AS519" s="829"/>
      <c r="AT519" s="829"/>
      <c r="AU519" s="829"/>
      <c r="AV519" s="829"/>
      <c r="AW519" s="829"/>
      <c r="AX519" s="837"/>
      <c r="AY519" s="837"/>
      <c r="AZ519" s="822"/>
      <c r="BA519" s="822"/>
      <c r="BB519" s="822"/>
      <c r="BC519" s="822"/>
      <c r="BD519" s="822"/>
      <c r="BE519" s="822"/>
      <c r="BF519" s="822"/>
      <c r="BG519" s="822"/>
    </row>
    <row r="520" spans="6:59" ht="12" customHeight="1" x14ac:dyDescent="0.2">
      <c r="F520" s="739"/>
      <c r="M520" s="837"/>
      <c r="O520" s="829"/>
      <c r="P520" s="829"/>
      <c r="Q520" s="829"/>
      <c r="R520" s="829"/>
      <c r="S520" s="829"/>
      <c r="T520" s="829"/>
      <c r="U520" s="829"/>
      <c r="V520" s="829"/>
      <c r="W520" s="829"/>
      <c r="X520" s="829"/>
      <c r="Y520" s="829"/>
      <c r="Z520" s="829"/>
      <c r="AN520" s="829"/>
      <c r="AO520" s="829"/>
      <c r="AP520" s="829"/>
      <c r="AQ520" s="829"/>
      <c r="AR520" s="829"/>
      <c r="AS520" s="829"/>
      <c r="AT520" s="829"/>
      <c r="AU520" s="829"/>
      <c r="AV520" s="829"/>
      <c r="AW520" s="829"/>
      <c r="AX520" s="837"/>
      <c r="AY520" s="837"/>
      <c r="AZ520" s="822"/>
      <c r="BA520" s="822"/>
      <c r="BB520" s="822"/>
      <c r="BC520" s="822"/>
      <c r="BD520" s="822"/>
      <c r="BE520" s="822"/>
      <c r="BF520" s="822"/>
      <c r="BG520" s="822"/>
    </row>
    <row r="521" spans="6:59" ht="12" customHeight="1" x14ac:dyDescent="0.2">
      <c r="F521" s="739"/>
      <c r="M521" s="837"/>
      <c r="O521" s="829"/>
      <c r="P521" s="829"/>
      <c r="Q521" s="829"/>
      <c r="R521" s="829"/>
      <c r="S521" s="829"/>
      <c r="T521" s="829"/>
      <c r="U521" s="829"/>
      <c r="V521" s="829"/>
      <c r="W521" s="829"/>
      <c r="X521" s="829"/>
      <c r="Y521" s="829"/>
      <c r="Z521" s="829"/>
      <c r="AN521" s="829"/>
      <c r="AO521" s="829"/>
      <c r="AP521" s="829"/>
      <c r="AQ521" s="829"/>
      <c r="AR521" s="829"/>
      <c r="AS521" s="829"/>
      <c r="AT521" s="829"/>
      <c r="AU521" s="829"/>
      <c r="AV521" s="829"/>
      <c r="AW521" s="829"/>
      <c r="AX521" s="837"/>
      <c r="AY521" s="837"/>
      <c r="AZ521" s="822"/>
      <c r="BA521" s="822"/>
      <c r="BB521" s="822"/>
      <c r="BC521" s="822"/>
      <c r="BD521" s="822"/>
      <c r="BE521" s="822"/>
      <c r="BF521" s="822"/>
      <c r="BG521" s="822"/>
    </row>
    <row r="522" spans="6:59" ht="12" customHeight="1" x14ac:dyDescent="0.2">
      <c r="F522" s="739"/>
      <c r="M522" s="837"/>
      <c r="O522" s="829"/>
      <c r="P522" s="829"/>
      <c r="Q522" s="829"/>
      <c r="R522" s="829"/>
      <c r="S522" s="829"/>
      <c r="T522" s="829"/>
      <c r="U522" s="829"/>
      <c r="V522" s="829"/>
      <c r="W522" s="829"/>
      <c r="X522" s="829"/>
      <c r="Y522" s="829"/>
      <c r="Z522" s="829"/>
      <c r="AN522" s="829"/>
      <c r="AO522" s="829"/>
      <c r="AP522" s="829"/>
      <c r="AQ522" s="829"/>
      <c r="AR522" s="829"/>
      <c r="AS522" s="829"/>
      <c r="AT522" s="829"/>
      <c r="AU522" s="829"/>
      <c r="AV522" s="829"/>
      <c r="AW522" s="829"/>
      <c r="AX522" s="837"/>
      <c r="AY522" s="837"/>
      <c r="AZ522" s="822"/>
      <c r="BA522" s="822"/>
      <c r="BB522" s="822"/>
      <c r="BC522" s="822"/>
      <c r="BD522" s="822"/>
      <c r="BE522" s="822"/>
      <c r="BF522" s="822"/>
      <c r="BG522" s="822"/>
    </row>
    <row r="523" spans="6:59" ht="12" customHeight="1" x14ac:dyDescent="0.2">
      <c r="F523" s="739"/>
      <c r="M523" s="837"/>
      <c r="O523" s="829"/>
      <c r="P523" s="829"/>
      <c r="Q523" s="829"/>
      <c r="R523" s="829"/>
      <c r="S523" s="829"/>
      <c r="T523" s="829"/>
      <c r="U523" s="829"/>
      <c r="V523" s="829"/>
      <c r="W523" s="829"/>
      <c r="X523" s="829"/>
      <c r="Y523" s="829"/>
      <c r="Z523" s="829"/>
      <c r="AN523" s="829"/>
      <c r="AO523" s="829"/>
      <c r="AP523" s="829"/>
      <c r="AQ523" s="829"/>
      <c r="AR523" s="829"/>
      <c r="AS523" s="829"/>
      <c r="AT523" s="829"/>
      <c r="AU523" s="829"/>
      <c r="AV523" s="829"/>
      <c r="AW523" s="829"/>
      <c r="AX523" s="837"/>
      <c r="AY523" s="837"/>
      <c r="AZ523" s="822"/>
      <c r="BA523" s="822"/>
      <c r="BB523" s="822"/>
      <c r="BC523" s="822"/>
      <c r="BD523" s="822"/>
      <c r="BE523" s="822"/>
      <c r="BF523" s="822"/>
      <c r="BG523" s="822"/>
    </row>
    <row r="524" spans="6:59" ht="12" customHeight="1" x14ac:dyDescent="0.2">
      <c r="F524" s="739"/>
      <c r="M524" s="837"/>
      <c r="O524" s="829"/>
      <c r="P524" s="829"/>
      <c r="Q524" s="829"/>
      <c r="R524" s="829"/>
      <c r="S524" s="829"/>
      <c r="T524" s="829"/>
      <c r="U524" s="829"/>
      <c r="V524" s="829"/>
      <c r="W524" s="829"/>
      <c r="X524" s="829"/>
      <c r="Y524" s="829"/>
      <c r="Z524" s="829"/>
      <c r="AN524" s="829"/>
      <c r="AO524" s="829"/>
      <c r="AP524" s="829"/>
      <c r="AQ524" s="829"/>
      <c r="AR524" s="829"/>
      <c r="AS524" s="829"/>
      <c r="AT524" s="829"/>
      <c r="AU524" s="829"/>
      <c r="AV524" s="829"/>
      <c r="AW524" s="829"/>
      <c r="AX524" s="837"/>
      <c r="AY524" s="837"/>
      <c r="AZ524" s="822"/>
      <c r="BA524" s="822"/>
      <c r="BB524" s="822"/>
      <c r="BC524" s="822"/>
      <c r="BD524" s="822"/>
      <c r="BE524" s="822"/>
      <c r="BF524" s="822"/>
      <c r="BG524" s="822"/>
    </row>
    <row r="525" spans="6:59" ht="12" customHeight="1" x14ac:dyDescent="0.2">
      <c r="F525" s="739"/>
      <c r="M525" s="837"/>
      <c r="O525" s="829"/>
      <c r="P525" s="829"/>
      <c r="Q525" s="829"/>
      <c r="R525" s="829"/>
      <c r="S525" s="829"/>
      <c r="T525" s="829"/>
      <c r="U525" s="829"/>
      <c r="V525" s="829"/>
      <c r="W525" s="829"/>
      <c r="X525" s="829"/>
      <c r="Y525" s="829"/>
      <c r="Z525" s="829"/>
      <c r="AN525" s="829"/>
      <c r="AO525" s="829"/>
      <c r="AP525" s="829"/>
      <c r="AQ525" s="829"/>
      <c r="AR525" s="829"/>
      <c r="AS525" s="829"/>
      <c r="AT525" s="829"/>
      <c r="AU525" s="829"/>
      <c r="AV525" s="829"/>
      <c r="AW525" s="829"/>
      <c r="AX525" s="837"/>
      <c r="AY525" s="837"/>
      <c r="AZ525" s="822"/>
      <c r="BA525" s="822"/>
      <c r="BB525" s="822"/>
      <c r="BC525" s="822"/>
      <c r="BD525" s="822"/>
      <c r="BE525" s="822"/>
      <c r="BF525" s="822"/>
      <c r="BG525" s="822"/>
    </row>
    <row r="526" spans="6:59" ht="12" customHeight="1" x14ac:dyDescent="0.2">
      <c r="F526" s="739"/>
      <c r="M526" s="837"/>
      <c r="O526" s="829"/>
      <c r="P526" s="829"/>
      <c r="Q526" s="829"/>
      <c r="R526" s="829"/>
      <c r="S526" s="829"/>
      <c r="T526" s="829"/>
      <c r="U526" s="829"/>
      <c r="V526" s="829"/>
      <c r="W526" s="829"/>
      <c r="X526" s="829"/>
      <c r="Y526" s="829"/>
      <c r="Z526" s="829"/>
      <c r="AN526" s="829"/>
      <c r="AO526" s="829"/>
      <c r="AP526" s="829"/>
      <c r="AQ526" s="829"/>
      <c r="AR526" s="829"/>
      <c r="AS526" s="829"/>
      <c r="AT526" s="829"/>
      <c r="AU526" s="829"/>
      <c r="AV526" s="829"/>
      <c r="AW526" s="829"/>
      <c r="AX526" s="837"/>
      <c r="AY526" s="837"/>
      <c r="AZ526" s="822"/>
      <c r="BA526" s="822"/>
      <c r="BB526" s="822"/>
      <c r="BC526" s="822"/>
      <c r="BD526" s="822"/>
      <c r="BE526" s="822"/>
      <c r="BF526" s="822"/>
      <c r="BG526" s="822"/>
    </row>
    <row r="527" spans="6:59" ht="12" customHeight="1" x14ac:dyDescent="0.2">
      <c r="F527" s="739"/>
      <c r="M527" s="837"/>
      <c r="O527" s="829"/>
      <c r="P527" s="829"/>
      <c r="Q527" s="829"/>
      <c r="R527" s="829"/>
      <c r="S527" s="829"/>
      <c r="T527" s="829"/>
      <c r="U527" s="829"/>
      <c r="V527" s="829"/>
      <c r="W527" s="829"/>
      <c r="X527" s="829"/>
      <c r="Y527" s="829"/>
      <c r="Z527" s="829"/>
      <c r="AN527" s="829"/>
      <c r="AO527" s="829"/>
      <c r="AP527" s="829"/>
      <c r="AQ527" s="829"/>
      <c r="AR527" s="829"/>
      <c r="AS527" s="829"/>
      <c r="AT527" s="829"/>
      <c r="AU527" s="829"/>
      <c r="AV527" s="829"/>
      <c r="AW527" s="829"/>
      <c r="AX527" s="837"/>
      <c r="AY527" s="837"/>
      <c r="AZ527" s="822"/>
      <c r="BA527" s="822"/>
      <c r="BB527" s="822"/>
      <c r="BC527" s="822"/>
      <c r="BD527" s="822"/>
      <c r="BE527" s="822"/>
      <c r="BF527" s="822"/>
      <c r="BG527" s="822"/>
    </row>
    <row r="528" spans="6:59" ht="12" customHeight="1" x14ac:dyDescent="0.2">
      <c r="F528" s="739"/>
      <c r="M528" s="837"/>
      <c r="O528" s="829"/>
      <c r="P528" s="829"/>
      <c r="Q528" s="829"/>
      <c r="R528" s="829"/>
      <c r="S528" s="829"/>
      <c r="T528" s="829"/>
      <c r="U528" s="829"/>
      <c r="V528" s="829"/>
      <c r="W528" s="829"/>
      <c r="X528" s="829"/>
      <c r="Y528" s="829"/>
      <c r="Z528" s="829"/>
      <c r="AN528" s="829"/>
      <c r="AO528" s="829"/>
      <c r="AP528" s="829"/>
      <c r="AQ528" s="829"/>
      <c r="AR528" s="829"/>
      <c r="AS528" s="829"/>
      <c r="AT528" s="829"/>
      <c r="AU528" s="829"/>
      <c r="AV528" s="829"/>
      <c r="AW528" s="829"/>
      <c r="AX528" s="837"/>
      <c r="AY528" s="837"/>
      <c r="AZ528" s="822"/>
      <c r="BA528" s="822"/>
      <c r="BB528" s="822"/>
      <c r="BC528" s="822"/>
      <c r="BD528" s="822"/>
      <c r="BE528" s="822"/>
      <c r="BF528" s="822"/>
      <c r="BG528" s="822"/>
    </row>
    <row r="529" spans="6:59" ht="12" customHeight="1" x14ac:dyDescent="0.2">
      <c r="F529" s="739"/>
      <c r="M529" s="837"/>
      <c r="O529" s="829"/>
      <c r="P529" s="829"/>
      <c r="Q529" s="829"/>
      <c r="R529" s="829"/>
      <c r="S529" s="829"/>
      <c r="T529" s="829"/>
      <c r="U529" s="829"/>
      <c r="V529" s="829"/>
      <c r="W529" s="829"/>
      <c r="X529" s="829"/>
      <c r="Y529" s="829"/>
      <c r="Z529" s="829"/>
      <c r="AN529" s="829"/>
      <c r="AO529" s="829"/>
      <c r="AP529" s="829"/>
      <c r="AQ529" s="829"/>
      <c r="AR529" s="829"/>
      <c r="AS529" s="829"/>
      <c r="AT529" s="829"/>
      <c r="AU529" s="829"/>
      <c r="AV529" s="829"/>
      <c r="AW529" s="829"/>
      <c r="AX529" s="837"/>
      <c r="AY529" s="837"/>
      <c r="AZ529" s="822"/>
      <c r="BA529" s="822"/>
      <c r="BB529" s="822"/>
      <c r="BC529" s="822"/>
      <c r="BD529" s="822"/>
      <c r="BE529" s="822"/>
      <c r="BF529" s="822"/>
      <c r="BG529" s="822"/>
    </row>
    <row r="530" spans="6:59" ht="12" customHeight="1" x14ac:dyDescent="0.2">
      <c r="F530" s="739"/>
      <c r="M530" s="837"/>
      <c r="O530" s="829"/>
      <c r="P530" s="829"/>
      <c r="Q530" s="829"/>
      <c r="R530" s="829"/>
      <c r="S530" s="829"/>
      <c r="T530" s="829"/>
      <c r="U530" s="829"/>
      <c r="V530" s="829"/>
      <c r="W530" s="829"/>
      <c r="X530" s="829"/>
      <c r="Y530" s="829"/>
      <c r="Z530" s="829"/>
      <c r="AN530" s="829"/>
      <c r="AO530" s="829"/>
      <c r="AP530" s="829"/>
      <c r="AQ530" s="829"/>
      <c r="AR530" s="829"/>
      <c r="AS530" s="829"/>
      <c r="AT530" s="829"/>
      <c r="AU530" s="829"/>
      <c r="AV530" s="829"/>
      <c r="AW530" s="829"/>
      <c r="AX530" s="837"/>
      <c r="AY530" s="837"/>
      <c r="AZ530" s="822"/>
      <c r="BA530" s="822"/>
      <c r="BB530" s="822"/>
      <c r="BC530" s="822"/>
      <c r="BD530" s="822"/>
      <c r="BE530" s="822"/>
      <c r="BF530" s="822"/>
      <c r="BG530" s="822"/>
    </row>
    <row r="531" spans="6:59" ht="12" customHeight="1" x14ac:dyDescent="0.2">
      <c r="F531" s="739"/>
      <c r="M531" s="837"/>
      <c r="O531" s="829"/>
      <c r="P531" s="829"/>
      <c r="Q531" s="829"/>
      <c r="R531" s="829"/>
      <c r="S531" s="829"/>
      <c r="T531" s="829"/>
      <c r="U531" s="829"/>
      <c r="V531" s="829"/>
      <c r="W531" s="829"/>
      <c r="X531" s="829"/>
      <c r="Y531" s="829"/>
      <c r="Z531" s="829"/>
      <c r="AN531" s="829"/>
      <c r="AO531" s="829"/>
      <c r="AP531" s="829"/>
      <c r="AQ531" s="829"/>
      <c r="AR531" s="829"/>
      <c r="AS531" s="829"/>
      <c r="AT531" s="829"/>
      <c r="AU531" s="829"/>
      <c r="AV531" s="829"/>
      <c r="AW531" s="829"/>
      <c r="AX531" s="837"/>
      <c r="AY531" s="837"/>
      <c r="AZ531" s="822"/>
      <c r="BA531" s="822"/>
      <c r="BB531" s="822"/>
      <c r="BC531" s="822"/>
      <c r="BD531" s="822"/>
      <c r="BE531" s="822"/>
      <c r="BF531" s="822"/>
      <c r="BG531" s="822"/>
    </row>
    <row r="532" spans="6:59" ht="12" customHeight="1" x14ac:dyDescent="0.2">
      <c r="F532" s="739"/>
      <c r="M532" s="837"/>
      <c r="O532" s="829"/>
      <c r="P532" s="829"/>
      <c r="Q532" s="829"/>
      <c r="R532" s="829"/>
      <c r="S532" s="829"/>
      <c r="T532" s="829"/>
      <c r="U532" s="829"/>
      <c r="V532" s="829"/>
      <c r="W532" s="829"/>
      <c r="X532" s="829"/>
      <c r="Y532" s="829"/>
      <c r="Z532" s="829"/>
      <c r="AN532" s="829"/>
      <c r="AO532" s="829"/>
      <c r="AP532" s="829"/>
      <c r="AQ532" s="829"/>
      <c r="AR532" s="829"/>
      <c r="AS532" s="829"/>
      <c r="AT532" s="829"/>
      <c r="AU532" s="829"/>
      <c r="AV532" s="829"/>
      <c r="AW532" s="829"/>
      <c r="AX532" s="837"/>
      <c r="AY532" s="837"/>
      <c r="AZ532" s="822"/>
      <c r="BA532" s="822"/>
      <c r="BB532" s="822"/>
      <c r="BC532" s="822"/>
      <c r="BD532" s="822"/>
      <c r="BE532" s="822"/>
      <c r="BF532" s="822"/>
      <c r="BG532" s="822"/>
    </row>
    <row r="533" spans="6:59" ht="12" customHeight="1" x14ac:dyDescent="0.2">
      <c r="F533" s="739"/>
      <c r="M533" s="837"/>
      <c r="O533" s="829"/>
      <c r="P533" s="829"/>
      <c r="Q533" s="829"/>
      <c r="R533" s="829"/>
      <c r="S533" s="829"/>
      <c r="T533" s="829"/>
      <c r="U533" s="829"/>
      <c r="V533" s="829"/>
      <c r="W533" s="829"/>
      <c r="X533" s="829"/>
      <c r="Y533" s="829"/>
      <c r="Z533" s="829"/>
      <c r="AN533" s="829"/>
      <c r="AO533" s="829"/>
      <c r="AP533" s="829"/>
      <c r="AQ533" s="829"/>
      <c r="AR533" s="829"/>
      <c r="AS533" s="829"/>
      <c r="AT533" s="829"/>
      <c r="AU533" s="829"/>
      <c r="AV533" s="829"/>
      <c r="AW533" s="829"/>
      <c r="AX533" s="837"/>
      <c r="AY533" s="837"/>
      <c r="AZ533" s="822"/>
      <c r="BA533" s="822"/>
      <c r="BB533" s="822"/>
      <c r="BC533" s="822"/>
      <c r="BD533" s="822"/>
      <c r="BE533" s="822"/>
      <c r="BF533" s="822"/>
      <c r="BG533" s="822"/>
    </row>
    <row r="534" spans="6:59" ht="12" customHeight="1" x14ac:dyDescent="0.2">
      <c r="F534" s="739"/>
      <c r="M534" s="837"/>
      <c r="O534" s="829"/>
      <c r="P534" s="829"/>
      <c r="Q534" s="829"/>
      <c r="R534" s="829"/>
      <c r="S534" s="829"/>
      <c r="T534" s="829"/>
      <c r="U534" s="829"/>
      <c r="V534" s="829"/>
      <c r="W534" s="829"/>
      <c r="X534" s="829"/>
      <c r="Y534" s="829"/>
      <c r="Z534" s="829"/>
      <c r="AN534" s="829"/>
      <c r="AO534" s="829"/>
      <c r="AP534" s="829"/>
      <c r="AQ534" s="829"/>
      <c r="AR534" s="829"/>
      <c r="AS534" s="829"/>
      <c r="AT534" s="829"/>
      <c r="AU534" s="829"/>
      <c r="AV534" s="829"/>
      <c r="AW534" s="829"/>
      <c r="AX534" s="837"/>
      <c r="AY534" s="837"/>
      <c r="AZ534" s="822"/>
      <c r="BA534" s="822"/>
      <c r="BB534" s="822"/>
      <c r="BC534" s="822"/>
      <c r="BD534" s="822"/>
      <c r="BE534" s="822"/>
      <c r="BF534" s="822"/>
      <c r="BG534" s="822"/>
    </row>
    <row r="535" spans="6:59" ht="12" customHeight="1" x14ac:dyDescent="0.2">
      <c r="F535" s="739"/>
      <c r="M535" s="837"/>
      <c r="O535" s="829"/>
      <c r="P535" s="829"/>
      <c r="Q535" s="829"/>
      <c r="R535" s="829"/>
      <c r="S535" s="829"/>
      <c r="T535" s="829"/>
      <c r="U535" s="829"/>
      <c r="V535" s="829"/>
      <c r="W535" s="829"/>
      <c r="X535" s="829"/>
      <c r="Y535" s="829"/>
      <c r="Z535" s="829"/>
      <c r="AN535" s="829"/>
      <c r="AO535" s="829"/>
      <c r="AP535" s="829"/>
      <c r="AQ535" s="829"/>
      <c r="AR535" s="829"/>
      <c r="AS535" s="829"/>
      <c r="AT535" s="829"/>
      <c r="AU535" s="829"/>
      <c r="AV535" s="829"/>
      <c r="AW535" s="829"/>
      <c r="AX535" s="837"/>
      <c r="AY535" s="837"/>
      <c r="AZ535" s="822"/>
      <c r="BA535" s="822"/>
      <c r="BB535" s="822"/>
      <c r="BC535" s="822"/>
      <c r="BD535" s="822"/>
      <c r="BE535" s="822"/>
      <c r="BF535" s="822"/>
      <c r="BG535" s="822"/>
    </row>
    <row r="536" spans="6:59" ht="12" customHeight="1" x14ac:dyDescent="0.2">
      <c r="F536" s="739"/>
      <c r="M536" s="837"/>
      <c r="O536" s="829"/>
      <c r="P536" s="829"/>
      <c r="Q536" s="829"/>
      <c r="R536" s="829"/>
      <c r="S536" s="829"/>
      <c r="T536" s="829"/>
      <c r="U536" s="829"/>
      <c r="V536" s="829"/>
      <c r="W536" s="829"/>
      <c r="X536" s="829"/>
      <c r="Y536" s="829"/>
      <c r="Z536" s="829"/>
      <c r="AN536" s="829"/>
      <c r="AO536" s="829"/>
      <c r="AP536" s="829"/>
      <c r="AQ536" s="829"/>
      <c r="AR536" s="829"/>
      <c r="AS536" s="829"/>
      <c r="AT536" s="829"/>
      <c r="AU536" s="829"/>
      <c r="AV536" s="829"/>
      <c r="AW536" s="829"/>
      <c r="AX536" s="837"/>
      <c r="AY536" s="837"/>
      <c r="AZ536" s="822"/>
      <c r="BA536" s="822"/>
      <c r="BB536" s="822"/>
      <c r="BC536" s="822"/>
      <c r="BD536" s="822"/>
      <c r="BE536" s="822"/>
      <c r="BF536" s="822"/>
      <c r="BG536" s="822"/>
    </row>
    <row r="537" spans="6:59" ht="12" customHeight="1" x14ac:dyDescent="0.2">
      <c r="F537" s="739"/>
      <c r="M537" s="837"/>
      <c r="O537" s="829"/>
      <c r="P537" s="829"/>
      <c r="Q537" s="829"/>
      <c r="R537" s="829"/>
      <c r="S537" s="829"/>
      <c r="T537" s="829"/>
      <c r="U537" s="829"/>
      <c r="V537" s="829"/>
      <c r="W537" s="829"/>
      <c r="X537" s="829"/>
      <c r="Y537" s="829"/>
      <c r="Z537" s="829"/>
      <c r="AN537" s="829"/>
      <c r="AO537" s="829"/>
      <c r="AP537" s="829"/>
      <c r="AQ537" s="829"/>
      <c r="AR537" s="829"/>
      <c r="AS537" s="829"/>
      <c r="AT537" s="829"/>
      <c r="AU537" s="829"/>
      <c r="AV537" s="829"/>
      <c r="AW537" s="829"/>
      <c r="AX537" s="837"/>
      <c r="AY537" s="837"/>
      <c r="AZ537" s="822"/>
      <c r="BA537" s="822"/>
      <c r="BB537" s="822"/>
      <c r="BC537" s="822"/>
      <c r="BD537" s="822"/>
      <c r="BE537" s="822"/>
      <c r="BF537" s="822"/>
      <c r="BG537" s="822"/>
    </row>
    <row r="538" spans="6:59" ht="12" customHeight="1" x14ac:dyDescent="0.2">
      <c r="F538" s="739"/>
      <c r="M538" s="837"/>
      <c r="O538" s="829"/>
      <c r="P538" s="829"/>
      <c r="Q538" s="829"/>
      <c r="R538" s="829"/>
      <c r="S538" s="829"/>
      <c r="T538" s="829"/>
      <c r="U538" s="829"/>
      <c r="V538" s="829"/>
      <c r="W538" s="829"/>
      <c r="X538" s="829"/>
      <c r="Y538" s="829"/>
      <c r="Z538" s="829"/>
      <c r="AN538" s="829"/>
      <c r="AO538" s="829"/>
      <c r="AP538" s="829"/>
      <c r="AQ538" s="829"/>
      <c r="AR538" s="829"/>
      <c r="AS538" s="829"/>
      <c r="AT538" s="829"/>
      <c r="AU538" s="829"/>
      <c r="AV538" s="829"/>
      <c r="AW538" s="829"/>
      <c r="AX538" s="837"/>
      <c r="AY538" s="837"/>
      <c r="AZ538" s="822"/>
      <c r="BA538" s="822"/>
      <c r="BB538" s="822"/>
      <c r="BC538" s="822"/>
      <c r="BD538" s="822"/>
      <c r="BE538" s="822"/>
      <c r="BF538" s="822"/>
      <c r="BG538" s="822"/>
    </row>
    <row r="539" spans="6:59" ht="12" customHeight="1" x14ac:dyDescent="0.2">
      <c r="F539" s="739"/>
      <c r="M539" s="837"/>
      <c r="O539" s="829"/>
      <c r="P539" s="829"/>
      <c r="Q539" s="829"/>
      <c r="R539" s="829"/>
      <c r="S539" s="829"/>
      <c r="T539" s="829"/>
      <c r="U539" s="829"/>
      <c r="V539" s="829"/>
      <c r="W539" s="829"/>
      <c r="X539" s="829"/>
      <c r="Y539" s="829"/>
      <c r="Z539" s="829"/>
      <c r="AN539" s="829"/>
      <c r="AO539" s="829"/>
      <c r="AP539" s="829"/>
      <c r="AQ539" s="829"/>
      <c r="AR539" s="829"/>
      <c r="AS539" s="829"/>
      <c r="AT539" s="829"/>
      <c r="AU539" s="829"/>
      <c r="AV539" s="829"/>
      <c r="AW539" s="829"/>
      <c r="AX539" s="837"/>
      <c r="AY539" s="837"/>
      <c r="AZ539" s="822"/>
      <c r="BA539" s="822"/>
      <c r="BB539" s="822"/>
      <c r="BC539" s="822"/>
      <c r="BD539" s="822"/>
      <c r="BE539" s="822"/>
      <c r="BF539" s="822"/>
      <c r="BG539" s="822"/>
    </row>
    <row r="540" spans="6:59" ht="12" customHeight="1" x14ac:dyDescent="0.2">
      <c r="F540" s="739"/>
      <c r="M540" s="837"/>
      <c r="O540" s="829"/>
      <c r="P540" s="829"/>
      <c r="Q540" s="829"/>
      <c r="R540" s="829"/>
      <c r="S540" s="829"/>
      <c r="T540" s="829"/>
      <c r="U540" s="829"/>
      <c r="V540" s="829"/>
      <c r="W540" s="829"/>
      <c r="X540" s="829"/>
      <c r="Y540" s="829"/>
      <c r="Z540" s="829"/>
      <c r="AN540" s="829"/>
      <c r="AO540" s="829"/>
      <c r="AP540" s="829"/>
      <c r="AQ540" s="829"/>
      <c r="AR540" s="829"/>
      <c r="AS540" s="829"/>
      <c r="AT540" s="829"/>
      <c r="AU540" s="829"/>
      <c r="AV540" s="829"/>
      <c r="AW540" s="829"/>
      <c r="AX540" s="837"/>
      <c r="AY540" s="837"/>
      <c r="AZ540" s="822"/>
      <c r="BA540" s="822"/>
      <c r="BB540" s="822"/>
      <c r="BC540" s="822"/>
      <c r="BD540" s="822"/>
      <c r="BE540" s="822"/>
      <c r="BF540" s="822"/>
      <c r="BG540" s="822"/>
    </row>
    <row r="541" spans="6:59" ht="12" customHeight="1" x14ac:dyDescent="0.2">
      <c r="F541" s="739"/>
      <c r="M541" s="837"/>
      <c r="O541" s="829"/>
      <c r="P541" s="829"/>
      <c r="Q541" s="829"/>
      <c r="R541" s="829"/>
      <c r="S541" s="829"/>
      <c r="T541" s="829"/>
      <c r="U541" s="829"/>
      <c r="V541" s="829"/>
      <c r="W541" s="829"/>
      <c r="X541" s="829"/>
      <c r="Y541" s="829"/>
      <c r="Z541" s="829"/>
      <c r="AN541" s="829"/>
      <c r="AO541" s="829"/>
      <c r="AP541" s="829"/>
      <c r="AQ541" s="829"/>
      <c r="AR541" s="829"/>
      <c r="AS541" s="829"/>
      <c r="AT541" s="829"/>
      <c r="AU541" s="829"/>
      <c r="AV541" s="829"/>
      <c r="AW541" s="829"/>
      <c r="AX541" s="837"/>
      <c r="AY541" s="837"/>
      <c r="AZ541" s="822"/>
      <c r="BA541" s="822"/>
      <c r="BB541" s="822"/>
      <c r="BC541" s="822"/>
      <c r="BD541" s="822"/>
      <c r="BE541" s="822"/>
      <c r="BF541" s="822"/>
      <c r="BG541" s="822"/>
    </row>
    <row r="542" spans="6:59" ht="12" customHeight="1" x14ac:dyDescent="0.2">
      <c r="F542" s="739"/>
      <c r="M542" s="837"/>
      <c r="O542" s="829"/>
      <c r="P542" s="829"/>
      <c r="Q542" s="829"/>
      <c r="R542" s="829"/>
      <c r="S542" s="829"/>
      <c r="T542" s="829"/>
      <c r="U542" s="829"/>
      <c r="V542" s="829"/>
      <c r="W542" s="829"/>
      <c r="X542" s="829"/>
      <c r="Y542" s="829"/>
      <c r="Z542" s="829"/>
      <c r="AN542" s="829"/>
      <c r="AO542" s="829"/>
      <c r="AP542" s="829"/>
      <c r="AQ542" s="829"/>
      <c r="AR542" s="829"/>
      <c r="AS542" s="829"/>
      <c r="AT542" s="829"/>
      <c r="AU542" s="829"/>
      <c r="AV542" s="829"/>
      <c r="AW542" s="829"/>
      <c r="AX542" s="837"/>
      <c r="AY542" s="837"/>
      <c r="AZ542" s="822"/>
      <c r="BA542" s="822"/>
      <c r="BB542" s="822"/>
      <c r="BC542" s="822"/>
      <c r="BD542" s="822"/>
      <c r="BE542" s="822"/>
      <c r="BF542" s="822"/>
      <c r="BG542" s="822"/>
    </row>
    <row r="543" spans="6:59" ht="12" customHeight="1" x14ac:dyDescent="0.2">
      <c r="F543" s="739"/>
      <c r="M543" s="837"/>
      <c r="O543" s="829"/>
      <c r="P543" s="829"/>
      <c r="Q543" s="829"/>
      <c r="R543" s="829"/>
      <c r="S543" s="829"/>
      <c r="T543" s="829"/>
      <c r="U543" s="829"/>
      <c r="V543" s="829"/>
      <c r="W543" s="829"/>
      <c r="X543" s="829"/>
      <c r="Y543" s="829"/>
      <c r="Z543" s="829"/>
      <c r="AN543" s="829"/>
      <c r="AO543" s="829"/>
      <c r="AP543" s="829"/>
      <c r="AQ543" s="829"/>
      <c r="AR543" s="829"/>
      <c r="AS543" s="829"/>
      <c r="AT543" s="829"/>
      <c r="AU543" s="829"/>
      <c r="AV543" s="829"/>
      <c r="AW543" s="829"/>
      <c r="AX543" s="837"/>
      <c r="AY543" s="837"/>
      <c r="AZ543" s="822"/>
      <c r="BA543" s="822"/>
      <c r="BB543" s="822"/>
      <c r="BC543" s="822"/>
      <c r="BD543" s="822"/>
      <c r="BE543" s="822"/>
      <c r="BF543" s="822"/>
      <c r="BG543" s="822"/>
    </row>
    <row r="544" spans="6:59" ht="12" customHeight="1" x14ac:dyDescent="0.2">
      <c r="Z544" s="837"/>
      <c r="AB544" s="829"/>
      <c r="AC544" s="2075"/>
      <c r="AD544" s="2075"/>
      <c r="AE544" s="2075"/>
      <c r="AF544" s="2075"/>
      <c r="AG544" s="2075"/>
      <c r="AH544" s="2075"/>
      <c r="AI544" s="2075"/>
      <c r="AJ544" s="2075"/>
      <c r="AK544" s="2075"/>
      <c r="AL544" s="2075"/>
      <c r="AM544" s="829"/>
      <c r="AN544" s="829"/>
      <c r="AO544" s="829"/>
      <c r="AP544" s="829"/>
      <c r="AQ544" s="829"/>
      <c r="AR544" s="829"/>
      <c r="AS544" s="829"/>
      <c r="AT544" s="829"/>
      <c r="AU544" s="829"/>
      <c r="AV544" s="829"/>
      <c r="AW544" s="829"/>
      <c r="AX544" s="837"/>
      <c r="AY544" s="837"/>
      <c r="AZ544" s="822"/>
      <c r="BA544" s="822"/>
      <c r="BB544" s="822"/>
      <c r="BC544" s="822"/>
      <c r="BD544" s="822"/>
      <c r="BE544" s="822"/>
      <c r="BF544" s="822"/>
      <c r="BG544" s="822"/>
    </row>
    <row r="545" spans="26:59" ht="12" customHeight="1" x14ac:dyDescent="0.2">
      <c r="Z545" s="837"/>
      <c r="AB545" s="829"/>
      <c r="AC545" s="2075"/>
      <c r="AD545" s="2075"/>
      <c r="AE545" s="2075"/>
      <c r="AF545" s="2075"/>
      <c r="AG545" s="2075"/>
      <c r="AH545" s="2075"/>
      <c r="AI545" s="2075"/>
      <c r="AJ545" s="2075"/>
      <c r="AK545" s="2075"/>
      <c r="AL545" s="2075"/>
      <c r="AM545" s="829"/>
      <c r="AN545" s="829"/>
      <c r="AO545" s="829"/>
      <c r="AP545" s="829"/>
      <c r="AQ545" s="829"/>
      <c r="AR545" s="829"/>
      <c r="AS545" s="829"/>
      <c r="AT545" s="829"/>
      <c r="AU545" s="829"/>
      <c r="AV545" s="829"/>
      <c r="AW545" s="829"/>
      <c r="AX545" s="837"/>
      <c r="AY545" s="837"/>
      <c r="AZ545" s="822"/>
      <c r="BA545" s="822"/>
      <c r="BB545" s="822"/>
      <c r="BC545" s="822"/>
      <c r="BD545" s="822"/>
      <c r="BE545" s="822"/>
      <c r="BF545" s="822"/>
      <c r="BG545" s="822"/>
    </row>
    <row r="546" spans="26:59" ht="12" customHeight="1" x14ac:dyDescent="0.2">
      <c r="Z546" s="837"/>
      <c r="AB546" s="829"/>
      <c r="AC546" s="2075"/>
      <c r="AD546" s="2075"/>
      <c r="AE546" s="2075"/>
      <c r="AF546" s="2075"/>
      <c r="AG546" s="2075"/>
      <c r="AH546" s="2075"/>
      <c r="AI546" s="2075"/>
      <c r="AJ546" s="2075"/>
      <c r="AK546" s="2075"/>
      <c r="AL546" s="2075"/>
      <c r="AM546" s="829"/>
      <c r="AN546" s="829"/>
      <c r="AO546" s="829"/>
      <c r="AP546" s="829"/>
      <c r="AQ546" s="829"/>
      <c r="AR546" s="829"/>
      <c r="AS546" s="829"/>
      <c r="AT546" s="829"/>
      <c r="AU546" s="829"/>
      <c r="AV546" s="829"/>
      <c r="AW546" s="829"/>
      <c r="AX546" s="837"/>
      <c r="AY546" s="837"/>
      <c r="AZ546" s="822"/>
      <c r="BA546" s="822"/>
      <c r="BB546" s="822"/>
      <c r="BC546" s="822"/>
      <c r="BD546" s="822"/>
      <c r="BE546" s="822"/>
      <c r="BF546" s="822"/>
      <c r="BG546" s="822"/>
    </row>
    <row r="547" spans="26:59" ht="12" customHeight="1" x14ac:dyDescent="0.2">
      <c r="Z547" s="837"/>
      <c r="AB547" s="829"/>
      <c r="AC547" s="2075"/>
      <c r="AD547" s="2075"/>
      <c r="AE547" s="2075"/>
      <c r="AF547" s="2075"/>
      <c r="AG547" s="2075"/>
      <c r="AH547" s="2075"/>
      <c r="AI547" s="2075"/>
      <c r="AJ547" s="2075"/>
      <c r="AK547" s="2075"/>
      <c r="AL547" s="2075"/>
      <c r="AM547" s="829"/>
      <c r="AN547" s="829"/>
      <c r="AO547" s="829"/>
      <c r="AP547" s="829"/>
      <c r="AQ547" s="829"/>
      <c r="AR547" s="829"/>
      <c r="AS547" s="829"/>
      <c r="AT547" s="829"/>
      <c r="AU547" s="829"/>
      <c r="AV547" s="829"/>
      <c r="AW547" s="829"/>
      <c r="AX547" s="837"/>
      <c r="AY547" s="837"/>
      <c r="AZ547" s="822"/>
      <c r="BA547" s="822"/>
      <c r="BB547" s="822"/>
      <c r="BC547" s="822"/>
      <c r="BD547" s="822"/>
      <c r="BE547" s="822"/>
      <c r="BF547" s="822"/>
      <c r="BG547" s="822"/>
    </row>
    <row r="548" spans="26:59" ht="12" customHeight="1" x14ac:dyDescent="0.2">
      <c r="Z548" s="837"/>
      <c r="AB548" s="829"/>
      <c r="AC548" s="2075"/>
      <c r="AD548" s="2075"/>
      <c r="AE548" s="2075"/>
      <c r="AF548" s="2075"/>
      <c r="AG548" s="2075"/>
      <c r="AH548" s="2075"/>
      <c r="AI548" s="2075"/>
      <c r="AJ548" s="2075"/>
      <c r="AK548" s="2075"/>
      <c r="AL548" s="2075"/>
      <c r="AM548" s="829"/>
      <c r="AN548" s="829"/>
      <c r="AO548" s="829"/>
      <c r="AP548" s="829"/>
      <c r="AQ548" s="829"/>
      <c r="AR548" s="829"/>
      <c r="AS548" s="829"/>
      <c r="AT548" s="829"/>
      <c r="AU548" s="829"/>
      <c r="AV548" s="829"/>
      <c r="AW548" s="829"/>
      <c r="AX548" s="837"/>
      <c r="AY548" s="837"/>
      <c r="AZ548" s="822"/>
      <c r="BA548" s="822"/>
      <c r="BB548" s="822"/>
      <c r="BC548" s="822"/>
      <c r="BD548" s="822"/>
      <c r="BE548" s="822"/>
      <c r="BF548" s="822"/>
      <c r="BG548" s="822"/>
    </row>
    <row r="549" spans="26:59" ht="12" customHeight="1" x14ac:dyDescent="0.2">
      <c r="Z549" s="837"/>
      <c r="AB549" s="829"/>
      <c r="AC549" s="2075"/>
      <c r="AD549" s="2075"/>
      <c r="AE549" s="2075"/>
      <c r="AF549" s="2075"/>
      <c r="AG549" s="2075"/>
      <c r="AH549" s="2075"/>
      <c r="AI549" s="2075"/>
      <c r="AJ549" s="2075"/>
      <c r="AK549" s="2075"/>
      <c r="AL549" s="2075"/>
      <c r="AM549" s="829"/>
      <c r="AN549" s="829"/>
      <c r="AO549" s="829"/>
      <c r="AP549" s="829"/>
      <c r="AQ549" s="829"/>
      <c r="AR549" s="829"/>
      <c r="AS549" s="829"/>
      <c r="AT549" s="829"/>
      <c r="AU549" s="829"/>
      <c r="AV549" s="829"/>
      <c r="AW549" s="829"/>
      <c r="AX549" s="837"/>
      <c r="AY549" s="837"/>
      <c r="AZ549" s="822"/>
      <c r="BA549" s="822"/>
      <c r="BB549" s="822"/>
      <c r="BC549" s="822"/>
      <c r="BD549" s="822"/>
      <c r="BE549" s="822"/>
      <c r="BF549" s="822"/>
      <c r="BG549" s="822"/>
    </row>
    <row r="550" spans="26:59" ht="12" customHeight="1" x14ac:dyDescent="0.2">
      <c r="Z550" s="837"/>
      <c r="AB550" s="829"/>
      <c r="AC550" s="2075"/>
      <c r="AD550" s="2075"/>
      <c r="AE550" s="2075"/>
      <c r="AF550" s="2075"/>
      <c r="AG550" s="2075"/>
      <c r="AH550" s="2075"/>
      <c r="AI550" s="2075"/>
      <c r="AJ550" s="2075"/>
      <c r="AK550" s="2075"/>
      <c r="AL550" s="2075"/>
      <c r="AM550" s="829"/>
      <c r="AN550" s="829"/>
      <c r="AO550" s="829"/>
      <c r="AP550" s="829"/>
      <c r="AQ550" s="829"/>
      <c r="AR550" s="829"/>
      <c r="AS550" s="829"/>
      <c r="AT550" s="829"/>
      <c r="AU550" s="829"/>
      <c r="AV550" s="829"/>
      <c r="AW550" s="829"/>
      <c r="AX550" s="837"/>
      <c r="AY550" s="837"/>
      <c r="AZ550" s="822"/>
      <c r="BA550" s="822"/>
      <c r="BB550" s="822"/>
      <c r="BC550" s="822"/>
      <c r="BD550" s="822"/>
      <c r="BE550" s="822"/>
      <c r="BF550" s="822"/>
      <c r="BG550" s="822"/>
    </row>
    <row r="551" spans="26:59" ht="12" customHeight="1" x14ac:dyDescent="0.2">
      <c r="Z551" s="837"/>
      <c r="AB551" s="829"/>
      <c r="AC551" s="2075"/>
      <c r="AD551" s="2075"/>
      <c r="AE551" s="2075"/>
      <c r="AF551" s="2075"/>
      <c r="AG551" s="2075"/>
      <c r="AH551" s="2075"/>
      <c r="AI551" s="2075"/>
      <c r="AJ551" s="2075"/>
      <c r="AK551" s="2075"/>
      <c r="AL551" s="2075"/>
      <c r="AM551" s="829"/>
      <c r="AN551" s="829"/>
      <c r="AO551" s="829"/>
      <c r="AP551" s="829"/>
      <c r="AQ551" s="829"/>
      <c r="AR551" s="829"/>
      <c r="AS551" s="829"/>
      <c r="AT551" s="829"/>
      <c r="AU551" s="829"/>
      <c r="AV551" s="829"/>
      <c r="AW551" s="829"/>
      <c r="AX551" s="837"/>
      <c r="AY551" s="837"/>
      <c r="AZ551" s="822"/>
      <c r="BA551" s="822"/>
      <c r="BB551" s="822"/>
      <c r="BC551" s="822"/>
      <c r="BD551" s="822"/>
      <c r="BE551" s="822"/>
      <c r="BF551" s="822"/>
      <c r="BG551" s="822"/>
    </row>
    <row r="552" spans="26:59" ht="12" customHeight="1" x14ac:dyDescent="0.2">
      <c r="Z552" s="837"/>
      <c r="AB552" s="829"/>
      <c r="AC552" s="2075"/>
      <c r="AD552" s="2075"/>
      <c r="AE552" s="2075"/>
      <c r="AF552" s="2075"/>
      <c r="AG552" s="2075"/>
      <c r="AH552" s="2075"/>
      <c r="AI552" s="2075"/>
      <c r="AJ552" s="2075"/>
      <c r="AK552" s="2075"/>
      <c r="AL552" s="2075"/>
      <c r="AM552" s="829"/>
      <c r="AN552" s="829"/>
      <c r="AO552" s="829"/>
      <c r="AP552" s="829"/>
      <c r="AQ552" s="829"/>
      <c r="AR552" s="829"/>
      <c r="AS552" s="829"/>
      <c r="AT552" s="829"/>
      <c r="AU552" s="829"/>
      <c r="AV552" s="829"/>
      <c r="AW552" s="829"/>
      <c r="AX552" s="837"/>
      <c r="AY552" s="837"/>
      <c r="AZ552" s="822"/>
      <c r="BA552" s="822"/>
      <c r="BB552" s="822"/>
      <c r="BC552" s="822"/>
      <c r="BD552" s="822"/>
      <c r="BE552" s="822"/>
      <c r="BF552" s="822"/>
      <c r="BG552" s="822"/>
    </row>
    <row r="553" spans="26:59" ht="12" customHeight="1" x14ac:dyDescent="0.2">
      <c r="Z553" s="837"/>
      <c r="AB553" s="829"/>
      <c r="AC553" s="2075"/>
      <c r="AD553" s="2075"/>
      <c r="AE553" s="2075"/>
      <c r="AF553" s="2075"/>
      <c r="AG553" s="2075"/>
      <c r="AH553" s="2075"/>
      <c r="AI553" s="2075"/>
      <c r="AJ553" s="2075"/>
      <c r="AK553" s="2075"/>
      <c r="AL553" s="2075"/>
      <c r="AM553" s="829"/>
      <c r="AN553" s="829"/>
      <c r="AO553" s="829"/>
      <c r="AP553" s="829"/>
      <c r="AQ553" s="829"/>
      <c r="AR553" s="829"/>
      <c r="AS553" s="829"/>
      <c r="AT553" s="829"/>
      <c r="AU553" s="829"/>
      <c r="AV553" s="829"/>
      <c r="AW553" s="829"/>
      <c r="AX553" s="837"/>
      <c r="AY553" s="837"/>
      <c r="AZ553" s="822"/>
      <c r="BA553" s="822"/>
      <c r="BB553" s="822"/>
      <c r="BC553" s="822"/>
      <c r="BD553" s="822"/>
      <c r="BE553" s="822"/>
      <c r="BF553" s="822"/>
      <c r="BG553" s="822"/>
    </row>
    <row r="554" spans="26:59" ht="12" customHeight="1" x14ac:dyDescent="0.2">
      <c r="Z554" s="837"/>
      <c r="AB554" s="829"/>
      <c r="AC554" s="2075"/>
      <c r="AD554" s="2075"/>
      <c r="AE554" s="2075"/>
      <c r="AF554" s="2075"/>
      <c r="AG554" s="2075"/>
      <c r="AH554" s="2075"/>
      <c r="AI554" s="2075"/>
      <c r="AJ554" s="2075"/>
      <c r="AK554" s="2075"/>
      <c r="AL554" s="2075"/>
      <c r="AM554" s="829"/>
      <c r="AN554" s="829"/>
      <c r="AO554" s="829"/>
      <c r="AP554" s="829"/>
      <c r="AQ554" s="829"/>
      <c r="AR554" s="829"/>
      <c r="AS554" s="829"/>
      <c r="AT554" s="829"/>
      <c r="AU554" s="829"/>
      <c r="AV554" s="829"/>
      <c r="AW554" s="829"/>
      <c r="AX554" s="837"/>
      <c r="AY554" s="837"/>
      <c r="AZ554" s="822"/>
      <c r="BA554" s="822"/>
      <c r="BB554" s="822"/>
      <c r="BC554" s="822"/>
      <c r="BD554" s="822"/>
      <c r="BE554" s="822"/>
      <c r="BF554" s="822"/>
      <c r="BG554" s="822"/>
    </row>
    <row r="555" spans="26:59" ht="12" customHeight="1" x14ac:dyDescent="0.2">
      <c r="Z555" s="837"/>
      <c r="AB555" s="829"/>
      <c r="AC555" s="2075"/>
      <c r="AD555" s="2075"/>
      <c r="AE555" s="2075"/>
      <c r="AF555" s="2075"/>
      <c r="AG555" s="2075"/>
      <c r="AH555" s="2075"/>
      <c r="AI555" s="2075"/>
      <c r="AJ555" s="2075"/>
      <c r="AK555" s="2075"/>
      <c r="AL555" s="2075"/>
      <c r="AM555" s="829"/>
      <c r="AN555" s="829"/>
      <c r="AO555" s="829"/>
      <c r="AP555" s="829"/>
      <c r="AQ555" s="829"/>
      <c r="AR555" s="829"/>
      <c r="AS555" s="829"/>
      <c r="AT555" s="829"/>
      <c r="AU555" s="829"/>
      <c r="AV555" s="829"/>
      <c r="AW555" s="829"/>
      <c r="AX555" s="837"/>
      <c r="AY555" s="837"/>
      <c r="AZ555" s="822"/>
      <c r="BA555" s="822"/>
      <c r="BB555" s="822"/>
      <c r="BC555" s="822"/>
      <c r="BD555" s="822"/>
      <c r="BE555" s="822"/>
      <c r="BF555" s="822"/>
      <c r="BG555" s="822"/>
    </row>
    <row r="556" spans="26:59" ht="12" customHeight="1" x14ac:dyDescent="0.2">
      <c r="Z556" s="837"/>
      <c r="AB556" s="829"/>
      <c r="AC556" s="2075"/>
      <c r="AD556" s="2075"/>
      <c r="AE556" s="2075"/>
      <c r="AF556" s="2075"/>
      <c r="AG556" s="2075"/>
      <c r="AH556" s="2075"/>
      <c r="AI556" s="2075"/>
      <c r="AJ556" s="2075"/>
      <c r="AK556" s="2075"/>
      <c r="AL556" s="2075"/>
      <c r="AM556" s="829"/>
      <c r="AN556" s="829"/>
      <c r="AO556" s="829"/>
      <c r="AP556" s="829"/>
      <c r="AQ556" s="829"/>
      <c r="AR556" s="829"/>
      <c r="AS556" s="829"/>
      <c r="AT556" s="829"/>
      <c r="AU556" s="829"/>
      <c r="AV556" s="829"/>
      <c r="AW556" s="829"/>
      <c r="AX556" s="837"/>
      <c r="AY556" s="837"/>
      <c r="AZ556" s="822"/>
      <c r="BA556" s="822"/>
      <c r="BB556" s="822"/>
      <c r="BC556" s="822"/>
      <c r="BD556" s="822"/>
      <c r="BE556" s="822"/>
      <c r="BF556" s="822"/>
      <c r="BG556" s="822"/>
    </row>
    <row r="557" spans="26:59" ht="12" customHeight="1" x14ac:dyDescent="0.2">
      <c r="Z557" s="837"/>
      <c r="AB557" s="829"/>
      <c r="AC557" s="2075"/>
      <c r="AD557" s="2075"/>
      <c r="AE557" s="2075"/>
      <c r="AF557" s="2075"/>
      <c r="AG557" s="2075"/>
      <c r="AH557" s="2075"/>
      <c r="AI557" s="2075"/>
      <c r="AJ557" s="2075"/>
      <c r="AK557" s="2075"/>
      <c r="AL557" s="2075"/>
      <c r="AM557" s="829"/>
      <c r="AN557" s="829"/>
      <c r="AO557" s="829"/>
      <c r="AP557" s="829"/>
      <c r="AQ557" s="829"/>
      <c r="AR557" s="829"/>
      <c r="AS557" s="829"/>
      <c r="AT557" s="829"/>
      <c r="AU557" s="829"/>
      <c r="AV557" s="829"/>
      <c r="AW557" s="829"/>
      <c r="AX557" s="837"/>
      <c r="AY557" s="837"/>
      <c r="AZ557" s="822"/>
      <c r="BA557" s="822"/>
      <c r="BB557" s="822"/>
      <c r="BC557" s="822"/>
      <c r="BD557" s="822"/>
      <c r="BE557" s="822"/>
      <c r="BF557" s="822"/>
      <c r="BG557" s="822"/>
    </row>
    <row r="558" spans="26:59" ht="12" customHeight="1" x14ac:dyDescent="0.2">
      <c r="Z558" s="837"/>
      <c r="AB558" s="829"/>
      <c r="AC558" s="2075"/>
      <c r="AD558" s="2075"/>
      <c r="AE558" s="2075"/>
      <c r="AF558" s="2075"/>
      <c r="AG558" s="2075"/>
      <c r="AH558" s="2075"/>
      <c r="AI558" s="2075"/>
      <c r="AJ558" s="2075"/>
      <c r="AK558" s="2075"/>
      <c r="AL558" s="2075"/>
      <c r="AM558" s="829"/>
      <c r="AN558" s="829"/>
      <c r="AO558" s="829"/>
      <c r="AP558" s="829"/>
      <c r="AQ558" s="829"/>
      <c r="AR558" s="829"/>
      <c r="AS558" s="829"/>
      <c r="AT558" s="829"/>
      <c r="AU558" s="829"/>
      <c r="AV558" s="829"/>
      <c r="AW558" s="829"/>
      <c r="AX558" s="837"/>
      <c r="AY558" s="837"/>
      <c r="AZ558" s="822"/>
      <c r="BA558" s="822"/>
      <c r="BB558" s="822"/>
      <c r="BC558" s="822"/>
      <c r="BD558" s="822"/>
      <c r="BE558" s="822"/>
      <c r="BF558" s="822"/>
      <c r="BG558" s="822"/>
    </row>
    <row r="559" spans="26:59" ht="12" customHeight="1" x14ac:dyDescent="0.2">
      <c r="Z559" s="837"/>
      <c r="AB559" s="829"/>
      <c r="AC559" s="2075"/>
      <c r="AD559" s="2075"/>
      <c r="AE559" s="2075"/>
      <c r="AF559" s="2075"/>
      <c r="AG559" s="2075"/>
      <c r="AH559" s="2075"/>
      <c r="AI559" s="2075"/>
      <c r="AJ559" s="2075"/>
      <c r="AK559" s="2075"/>
      <c r="AL559" s="2075"/>
      <c r="AM559" s="829"/>
      <c r="AN559" s="829"/>
      <c r="AO559" s="829"/>
      <c r="AP559" s="829"/>
      <c r="AQ559" s="829"/>
      <c r="AR559" s="829"/>
      <c r="AS559" s="829"/>
      <c r="AT559" s="829"/>
      <c r="AU559" s="829"/>
      <c r="AV559" s="829"/>
      <c r="AW559" s="829"/>
      <c r="AX559" s="837"/>
      <c r="AY559" s="837"/>
      <c r="AZ559" s="822"/>
      <c r="BA559" s="822"/>
      <c r="BB559" s="822"/>
      <c r="BC559" s="822"/>
      <c r="BD559" s="822"/>
      <c r="BE559" s="822"/>
      <c r="BF559" s="822"/>
      <c r="BG559" s="822"/>
    </row>
    <row r="560" spans="26:59" ht="12" customHeight="1" x14ac:dyDescent="0.2">
      <c r="Z560" s="837"/>
      <c r="AB560" s="829"/>
      <c r="AC560" s="2075"/>
      <c r="AD560" s="2075"/>
      <c r="AE560" s="2075"/>
      <c r="AF560" s="2075"/>
      <c r="AG560" s="2075"/>
      <c r="AH560" s="2075"/>
      <c r="AI560" s="2075"/>
      <c r="AJ560" s="2075"/>
      <c r="AK560" s="2075"/>
      <c r="AL560" s="2075"/>
      <c r="AM560" s="829"/>
      <c r="AN560" s="829"/>
      <c r="AO560" s="829"/>
      <c r="AP560" s="829"/>
      <c r="AQ560" s="829"/>
      <c r="AR560" s="829"/>
      <c r="AS560" s="829"/>
      <c r="AT560" s="829"/>
      <c r="AU560" s="829"/>
      <c r="AV560" s="829"/>
      <c r="AW560" s="829"/>
      <c r="AX560" s="837"/>
      <c r="AY560" s="837"/>
      <c r="AZ560" s="822"/>
      <c r="BA560" s="822"/>
      <c r="BB560" s="822"/>
      <c r="BC560" s="822"/>
      <c r="BD560" s="822"/>
      <c r="BE560" s="822"/>
      <c r="BF560" s="822"/>
      <c r="BG560" s="822"/>
    </row>
    <row r="561" spans="26:59" ht="12" customHeight="1" x14ac:dyDescent="0.2">
      <c r="Z561" s="837"/>
      <c r="AB561" s="829"/>
      <c r="AC561" s="2075"/>
      <c r="AD561" s="2075"/>
      <c r="AE561" s="2075"/>
      <c r="AF561" s="2075"/>
      <c r="AG561" s="2075"/>
      <c r="AH561" s="2075"/>
      <c r="AI561" s="2075"/>
      <c r="AJ561" s="2075"/>
      <c r="AK561" s="2075"/>
      <c r="AL561" s="2075"/>
      <c r="AM561" s="829"/>
      <c r="AN561" s="829"/>
      <c r="AO561" s="829"/>
      <c r="AP561" s="829"/>
      <c r="AQ561" s="829"/>
      <c r="AR561" s="829"/>
      <c r="AS561" s="829"/>
      <c r="AT561" s="829"/>
      <c r="AU561" s="829"/>
      <c r="AV561" s="829"/>
      <c r="AW561" s="829"/>
      <c r="AX561" s="837"/>
      <c r="AY561" s="837"/>
      <c r="AZ561" s="822"/>
      <c r="BA561" s="822"/>
      <c r="BB561" s="822"/>
      <c r="BC561" s="822"/>
      <c r="BD561" s="822"/>
      <c r="BE561" s="822"/>
      <c r="BF561" s="822"/>
      <c r="BG561" s="822"/>
    </row>
    <row r="562" spans="26:59" ht="12" customHeight="1" x14ac:dyDescent="0.2">
      <c r="Z562" s="837"/>
      <c r="AB562" s="829"/>
      <c r="AC562" s="2075"/>
      <c r="AD562" s="2075"/>
      <c r="AE562" s="2075"/>
      <c r="AF562" s="2075"/>
      <c r="AG562" s="2075"/>
      <c r="AH562" s="2075"/>
      <c r="AI562" s="2075"/>
      <c r="AJ562" s="2075"/>
      <c r="AK562" s="2075"/>
      <c r="AL562" s="2075"/>
      <c r="AM562" s="829"/>
      <c r="AN562" s="829"/>
      <c r="AO562" s="829"/>
      <c r="AP562" s="829"/>
      <c r="AQ562" s="829"/>
      <c r="AR562" s="829"/>
      <c r="AS562" s="829"/>
      <c r="AT562" s="829"/>
      <c r="AU562" s="829"/>
      <c r="AV562" s="829"/>
      <c r="AW562" s="829"/>
      <c r="AX562" s="837"/>
      <c r="AY562" s="837"/>
      <c r="AZ562" s="822"/>
      <c r="BA562" s="822"/>
      <c r="BB562" s="822"/>
      <c r="BC562" s="822"/>
      <c r="BD562" s="822"/>
      <c r="BE562" s="822"/>
      <c r="BF562" s="822"/>
      <c r="BG562" s="822"/>
    </row>
    <row r="563" spans="26:59" ht="12" customHeight="1" x14ac:dyDescent="0.2">
      <c r="Z563" s="837"/>
      <c r="AB563" s="829"/>
      <c r="AC563" s="2075"/>
      <c r="AD563" s="2075"/>
      <c r="AE563" s="2075"/>
      <c r="AF563" s="2075"/>
      <c r="AG563" s="2075"/>
      <c r="AH563" s="2075"/>
      <c r="AI563" s="2075"/>
      <c r="AJ563" s="2075"/>
      <c r="AK563" s="2075"/>
      <c r="AL563" s="2075"/>
      <c r="AM563" s="829"/>
      <c r="AN563" s="829"/>
      <c r="AO563" s="829"/>
      <c r="AP563" s="829"/>
      <c r="AQ563" s="829"/>
      <c r="AR563" s="829"/>
      <c r="AS563" s="829"/>
      <c r="AT563" s="829"/>
      <c r="AU563" s="829"/>
      <c r="AV563" s="829"/>
      <c r="AW563" s="829"/>
      <c r="AX563" s="837"/>
      <c r="AY563" s="837"/>
      <c r="AZ563" s="822"/>
      <c r="BA563" s="822"/>
      <c r="BB563" s="822"/>
      <c r="BC563" s="822"/>
      <c r="BD563" s="822"/>
      <c r="BE563" s="822"/>
      <c r="BF563" s="822"/>
      <c r="BG563" s="822"/>
    </row>
    <row r="564" spans="26:59" ht="12" customHeight="1" x14ac:dyDescent="0.2">
      <c r="Z564" s="837"/>
      <c r="AB564" s="829"/>
      <c r="AC564" s="2075"/>
      <c r="AD564" s="2075"/>
      <c r="AE564" s="2075"/>
      <c r="AF564" s="2075"/>
      <c r="AG564" s="2075"/>
      <c r="AH564" s="2075"/>
      <c r="AI564" s="2075"/>
      <c r="AJ564" s="2075"/>
      <c r="AK564" s="2075"/>
      <c r="AL564" s="2075"/>
      <c r="AM564" s="829"/>
      <c r="AN564" s="829"/>
      <c r="AO564" s="829"/>
      <c r="AP564" s="829"/>
      <c r="AQ564" s="829"/>
      <c r="AR564" s="829"/>
      <c r="AS564" s="829"/>
      <c r="AT564" s="829"/>
      <c r="AU564" s="829"/>
      <c r="AV564" s="829"/>
      <c r="AW564" s="829"/>
      <c r="AX564" s="837"/>
      <c r="AY564" s="837"/>
      <c r="AZ564" s="822"/>
      <c r="BA564" s="822"/>
      <c r="BB564" s="822"/>
      <c r="BC564" s="822"/>
      <c r="BD564" s="822"/>
      <c r="BE564" s="822"/>
      <c r="BF564" s="822"/>
      <c r="BG564" s="822"/>
    </row>
    <row r="565" spans="26:59" ht="12" customHeight="1" x14ac:dyDescent="0.2">
      <c r="Z565" s="837"/>
      <c r="AB565" s="829"/>
      <c r="AC565" s="2075"/>
      <c r="AD565" s="2075"/>
      <c r="AE565" s="2075"/>
      <c r="AF565" s="2075"/>
      <c r="AG565" s="2075"/>
      <c r="AH565" s="2075"/>
      <c r="AI565" s="2075"/>
      <c r="AJ565" s="2075"/>
      <c r="AK565" s="2075"/>
      <c r="AL565" s="2075"/>
      <c r="AM565" s="829"/>
      <c r="AN565" s="829"/>
      <c r="AO565" s="829"/>
      <c r="AP565" s="829"/>
      <c r="AQ565" s="829"/>
      <c r="AR565" s="829"/>
      <c r="AS565" s="829"/>
      <c r="AT565" s="829"/>
      <c r="AU565" s="829"/>
      <c r="AV565" s="829"/>
      <c r="AW565" s="829"/>
      <c r="AX565" s="837"/>
      <c r="AY565" s="837"/>
      <c r="AZ565" s="822"/>
      <c r="BA565" s="822"/>
      <c r="BB565" s="822"/>
      <c r="BC565" s="822"/>
      <c r="BD565" s="822"/>
      <c r="BE565" s="822"/>
      <c r="BF565" s="822"/>
      <c r="BG565" s="822"/>
    </row>
    <row r="566" spans="26:59" ht="12" customHeight="1" x14ac:dyDescent="0.2">
      <c r="Z566" s="837"/>
      <c r="AB566" s="829"/>
      <c r="AC566" s="2075"/>
      <c r="AD566" s="2075"/>
      <c r="AE566" s="2075"/>
      <c r="AF566" s="2075"/>
      <c r="AG566" s="2075"/>
      <c r="AH566" s="2075"/>
      <c r="AI566" s="2075"/>
      <c r="AJ566" s="2075"/>
      <c r="AK566" s="2075"/>
      <c r="AL566" s="2075"/>
      <c r="AM566" s="829"/>
      <c r="AN566" s="829"/>
      <c r="AO566" s="829"/>
      <c r="AP566" s="829"/>
      <c r="AQ566" s="829"/>
      <c r="AR566" s="829"/>
      <c r="AS566" s="829"/>
      <c r="AT566" s="829"/>
      <c r="AU566" s="829"/>
      <c r="AV566" s="829"/>
      <c r="AW566" s="829"/>
      <c r="AX566" s="837"/>
      <c r="AY566" s="837"/>
      <c r="AZ566" s="822"/>
      <c r="BA566" s="822"/>
      <c r="BB566" s="822"/>
      <c r="BC566" s="822"/>
      <c r="BD566" s="822"/>
      <c r="BE566" s="822"/>
      <c r="BF566" s="822"/>
      <c r="BG566" s="822"/>
    </row>
    <row r="567" spans="26:59" ht="12" customHeight="1" x14ac:dyDescent="0.2">
      <c r="Z567" s="837"/>
      <c r="AB567" s="829"/>
      <c r="AC567" s="2075"/>
      <c r="AD567" s="2075"/>
      <c r="AE567" s="2075"/>
      <c r="AF567" s="2075"/>
      <c r="AG567" s="2075"/>
      <c r="AH567" s="2075"/>
      <c r="AI567" s="2075"/>
      <c r="AJ567" s="2075"/>
      <c r="AK567" s="2075"/>
      <c r="AL567" s="2075"/>
      <c r="AM567" s="829"/>
      <c r="AN567" s="829"/>
      <c r="AO567" s="829"/>
      <c r="AP567" s="829"/>
      <c r="AQ567" s="829"/>
      <c r="AR567" s="829"/>
      <c r="AS567" s="829"/>
      <c r="AT567" s="829"/>
      <c r="AU567" s="829"/>
      <c r="AV567" s="829"/>
      <c r="AW567" s="829"/>
      <c r="AX567" s="837"/>
      <c r="AY567" s="837"/>
      <c r="AZ567" s="822"/>
      <c r="BA567" s="822"/>
      <c r="BB567" s="822"/>
      <c r="BC567" s="822"/>
      <c r="BD567" s="822"/>
      <c r="BE567" s="822"/>
      <c r="BF567" s="822"/>
      <c r="BG567" s="822"/>
    </row>
    <row r="568" spans="26:59" ht="12" customHeight="1" x14ac:dyDescent="0.2">
      <c r="Z568" s="837"/>
      <c r="AB568" s="829"/>
      <c r="AC568" s="2075"/>
      <c r="AD568" s="2075"/>
      <c r="AE568" s="2075"/>
      <c r="AF568" s="2075"/>
      <c r="AG568" s="2075"/>
      <c r="AH568" s="2075"/>
      <c r="AI568" s="2075"/>
      <c r="AJ568" s="2075"/>
      <c r="AK568" s="2075"/>
      <c r="AL568" s="2075"/>
      <c r="AM568" s="829"/>
      <c r="AN568" s="829"/>
      <c r="AO568" s="829"/>
      <c r="AP568" s="829"/>
      <c r="AQ568" s="829"/>
      <c r="AR568" s="829"/>
      <c r="AS568" s="829"/>
      <c r="AT568" s="829"/>
      <c r="AU568" s="829"/>
      <c r="AV568" s="829"/>
      <c r="AW568" s="829"/>
      <c r="AX568" s="837"/>
      <c r="AY568" s="837"/>
      <c r="AZ568" s="822"/>
      <c r="BA568" s="822"/>
      <c r="BB568" s="822"/>
      <c r="BC568" s="822"/>
      <c r="BD568" s="822"/>
      <c r="BE568" s="822"/>
      <c r="BF568" s="822"/>
      <c r="BG568" s="822"/>
    </row>
    <row r="569" spans="26:59" ht="12" customHeight="1" x14ac:dyDescent="0.2">
      <c r="Z569" s="837"/>
      <c r="AB569" s="829"/>
      <c r="AC569" s="2075"/>
      <c r="AD569" s="2075"/>
      <c r="AE569" s="2075"/>
      <c r="AF569" s="2075"/>
      <c r="AG569" s="2075"/>
      <c r="AH569" s="2075"/>
      <c r="AI569" s="2075"/>
      <c r="AJ569" s="2075"/>
      <c r="AK569" s="2075"/>
      <c r="AL569" s="2075"/>
      <c r="AM569" s="829"/>
      <c r="AN569" s="829"/>
      <c r="AO569" s="829"/>
      <c r="AP569" s="829"/>
      <c r="AQ569" s="829"/>
      <c r="AR569" s="829"/>
      <c r="AS569" s="829"/>
      <c r="AT569" s="829"/>
      <c r="AU569" s="829"/>
      <c r="AV569" s="829"/>
      <c r="AW569" s="829"/>
      <c r="AX569" s="837"/>
      <c r="AY569" s="837"/>
      <c r="AZ569" s="822"/>
      <c r="BA569" s="822"/>
      <c r="BB569" s="822"/>
      <c r="BC569" s="822"/>
      <c r="BD569" s="822"/>
      <c r="BE569" s="822"/>
      <c r="BF569" s="822"/>
      <c r="BG569" s="822"/>
    </row>
    <row r="570" spans="26:59" ht="12" customHeight="1" x14ac:dyDescent="0.2">
      <c r="Z570" s="837"/>
      <c r="AB570" s="829"/>
      <c r="AC570" s="2075"/>
      <c r="AD570" s="2075"/>
      <c r="AE570" s="2075"/>
      <c r="AF570" s="2075"/>
      <c r="AG570" s="2075"/>
      <c r="AH570" s="2075"/>
      <c r="AI570" s="2075"/>
      <c r="AJ570" s="2075"/>
      <c r="AK570" s="2075"/>
      <c r="AL570" s="2075"/>
      <c r="AM570" s="829"/>
      <c r="AN570" s="829"/>
      <c r="AO570" s="829"/>
      <c r="AP570" s="829"/>
      <c r="AQ570" s="829"/>
      <c r="AR570" s="829"/>
      <c r="AS570" s="829"/>
      <c r="AT570" s="829"/>
      <c r="AU570" s="829"/>
      <c r="AV570" s="829"/>
      <c r="AW570" s="829"/>
      <c r="AX570" s="837"/>
      <c r="AY570" s="837"/>
      <c r="AZ570" s="822"/>
      <c r="BA570" s="822"/>
      <c r="BB570" s="822"/>
      <c r="BC570" s="822"/>
      <c r="BD570" s="822"/>
      <c r="BE570" s="822"/>
      <c r="BF570" s="822"/>
      <c r="BG570" s="822"/>
    </row>
    <row r="571" spans="26:59" ht="12" customHeight="1" x14ac:dyDescent="0.2">
      <c r="Z571" s="837"/>
      <c r="AB571" s="829"/>
      <c r="AC571" s="2075"/>
      <c r="AD571" s="2075"/>
      <c r="AE571" s="2075"/>
      <c r="AF571" s="2075"/>
      <c r="AG571" s="2075"/>
      <c r="AH571" s="2075"/>
      <c r="AI571" s="2075"/>
      <c r="AJ571" s="2075"/>
      <c r="AK571" s="2075"/>
      <c r="AL571" s="2075"/>
      <c r="AM571" s="829"/>
      <c r="AN571" s="829"/>
      <c r="AO571" s="829"/>
      <c r="AP571" s="829"/>
      <c r="AQ571" s="829"/>
      <c r="AR571" s="829"/>
      <c r="AS571" s="829"/>
      <c r="AT571" s="829"/>
      <c r="AU571" s="829"/>
      <c r="AV571" s="829"/>
      <c r="AW571" s="829"/>
      <c r="AX571" s="837"/>
      <c r="AY571" s="837"/>
      <c r="AZ571" s="822"/>
      <c r="BA571" s="822"/>
      <c r="BB571" s="822"/>
      <c r="BC571" s="822"/>
      <c r="BD571" s="822"/>
      <c r="BE571" s="822"/>
      <c r="BF571" s="822"/>
      <c r="BG571" s="822"/>
    </row>
    <row r="572" spans="26:59" ht="12" customHeight="1" x14ac:dyDescent="0.2">
      <c r="Z572" s="837"/>
      <c r="AB572" s="829"/>
      <c r="AC572" s="2075"/>
      <c r="AD572" s="2075"/>
      <c r="AE572" s="2075"/>
      <c r="AF572" s="2075"/>
      <c r="AG572" s="2075"/>
      <c r="AH572" s="2075"/>
      <c r="AI572" s="2075"/>
      <c r="AJ572" s="2075"/>
      <c r="AK572" s="2075"/>
      <c r="AL572" s="2075"/>
      <c r="AM572" s="829"/>
      <c r="AN572" s="829"/>
      <c r="AO572" s="829"/>
      <c r="AP572" s="829"/>
      <c r="AQ572" s="829"/>
      <c r="AR572" s="829"/>
      <c r="AS572" s="829"/>
      <c r="AT572" s="829"/>
      <c r="AU572" s="829"/>
      <c r="AV572" s="829"/>
      <c r="AW572" s="829"/>
      <c r="AX572" s="837"/>
      <c r="AY572" s="837"/>
      <c r="AZ572" s="822"/>
      <c r="BA572" s="822"/>
      <c r="BB572" s="822"/>
      <c r="BC572" s="822"/>
      <c r="BD572" s="822"/>
      <c r="BE572" s="822"/>
      <c r="BF572" s="822"/>
      <c r="BG572" s="822"/>
    </row>
    <row r="573" spans="26:59" ht="12" customHeight="1" x14ac:dyDescent="0.2">
      <c r="Z573" s="837"/>
      <c r="AB573" s="829"/>
      <c r="AC573" s="2075"/>
      <c r="AD573" s="2075"/>
      <c r="AE573" s="2075"/>
      <c r="AF573" s="2075"/>
      <c r="AG573" s="2075"/>
      <c r="AH573" s="2075"/>
      <c r="AI573" s="2075"/>
      <c r="AJ573" s="2075"/>
      <c r="AK573" s="2075"/>
      <c r="AL573" s="2075"/>
      <c r="AM573" s="829"/>
      <c r="AN573" s="829"/>
      <c r="AO573" s="829"/>
      <c r="AP573" s="829"/>
      <c r="AQ573" s="829"/>
      <c r="AR573" s="829"/>
      <c r="AS573" s="829"/>
      <c r="AT573" s="829"/>
      <c r="AU573" s="829"/>
      <c r="AV573" s="829"/>
      <c r="AW573" s="829"/>
      <c r="AX573" s="837"/>
      <c r="AY573" s="837"/>
      <c r="AZ573" s="822"/>
      <c r="BA573" s="822"/>
      <c r="BB573" s="822"/>
      <c r="BC573" s="822"/>
      <c r="BD573" s="822"/>
      <c r="BE573" s="822"/>
      <c r="BF573" s="822"/>
      <c r="BG573" s="822"/>
    </row>
    <row r="574" spans="26:59" ht="12" customHeight="1" x14ac:dyDescent="0.2">
      <c r="Z574" s="837"/>
      <c r="AB574" s="829"/>
      <c r="AC574" s="2075"/>
      <c r="AD574" s="2075"/>
      <c r="AE574" s="2075"/>
      <c r="AF574" s="2075"/>
      <c r="AG574" s="2075"/>
      <c r="AH574" s="2075"/>
      <c r="AI574" s="2075"/>
      <c r="AJ574" s="2075"/>
      <c r="AK574" s="2075"/>
      <c r="AL574" s="2075"/>
      <c r="AM574" s="829"/>
      <c r="AN574" s="829"/>
      <c r="AO574" s="829"/>
      <c r="AP574" s="829"/>
      <c r="AQ574" s="829"/>
      <c r="AR574" s="829"/>
      <c r="AS574" s="829"/>
      <c r="AT574" s="829"/>
      <c r="AU574" s="829"/>
      <c r="AV574" s="829"/>
      <c r="AW574" s="829"/>
      <c r="AX574" s="837"/>
      <c r="AY574" s="837"/>
      <c r="AZ574" s="822"/>
      <c r="BA574" s="822"/>
      <c r="BB574" s="822"/>
      <c r="BC574" s="822"/>
      <c r="BD574" s="822"/>
      <c r="BE574" s="822"/>
      <c r="BF574" s="822"/>
      <c r="BG574" s="822"/>
    </row>
    <row r="575" spans="26:59" ht="12" customHeight="1" x14ac:dyDescent="0.2">
      <c r="Z575" s="837"/>
      <c r="AB575" s="829"/>
      <c r="AC575" s="2075"/>
      <c r="AD575" s="2075"/>
      <c r="AE575" s="2075"/>
      <c r="AF575" s="2075"/>
      <c r="AG575" s="2075"/>
      <c r="AH575" s="2075"/>
      <c r="AI575" s="2075"/>
      <c r="AJ575" s="2075"/>
      <c r="AK575" s="2075"/>
      <c r="AL575" s="2075"/>
      <c r="AM575" s="829"/>
      <c r="AN575" s="829"/>
      <c r="AO575" s="829"/>
      <c r="AP575" s="829"/>
      <c r="AQ575" s="829"/>
      <c r="AR575" s="829"/>
      <c r="AS575" s="829"/>
      <c r="AT575" s="829"/>
      <c r="AU575" s="829"/>
      <c r="AV575" s="829"/>
      <c r="AW575" s="829"/>
      <c r="AX575" s="837"/>
      <c r="AY575" s="837"/>
      <c r="AZ575" s="822"/>
      <c r="BA575" s="822"/>
      <c r="BB575" s="822"/>
      <c r="BC575" s="822"/>
      <c r="BD575" s="822"/>
      <c r="BE575" s="822"/>
      <c r="BF575" s="822"/>
      <c r="BG575" s="822"/>
    </row>
    <row r="576" spans="26:59" ht="12" customHeight="1" x14ac:dyDescent="0.2">
      <c r="Z576" s="837"/>
      <c r="AB576" s="829"/>
      <c r="AC576" s="2075"/>
      <c r="AD576" s="2075"/>
      <c r="AE576" s="2075"/>
      <c r="AF576" s="2075"/>
      <c r="AG576" s="2075"/>
      <c r="AH576" s="2075"/>
      <c r="AI576" s="2075"/>
      <c r="AJ576" s="2075"/>
      <c r="AK576" s="2075"/>
      <c r="AL576" s="2075"/>
      <c r="AM576" s="829"/>
      <c r="AN576" s="829"/>
      <c r="AO576" s="829"/>
      <c r="AP576" s="829"/>
      <c r="AQ576" s="829"/>
      <c r="AR576" s="829"/>
      <c r="AS576" s="829"/>
      <c r="AT576" s="829"/>
      <c r="AU576" s="829"/>
      <c r="AV576" s="829"/>
      <c r="AW576" s="829"/>
      <c r="AX576" s="837"/>
      <c r="AY576" s="837"/>
      <c r="AZ576" s="822"/>
      <c r="BA576" s="822"/>
      <c r="BB576" s="822"/>
      <c r="BC576" s="822"/>
      <c r="BD576" s="822"/>
      <c r="BE576" s="822"/>
      <c r="BF576" s="822"/>
      <c r="BG576" s="822"/>
    </row>
    <row r="577" spans="26:59" ht="12" customHeight="1" x14ac:dyDescent="0.2">
      <c r="Z577" s="837"/>
      <c r="AB577" s="829"/>
      <c r="AC577" s="2075"/>
      <c r="AD577" s="2075"/>
      <c r="AE577" s="2075"/>
      <c r="AF577" s="2075"/>
      <c r="AG577" s="2075"/>
      <c r="AH577" s="2075"/>
      <c r="AI577" s="2075"/>
      <c r="AJ577" s="2075"/>
      <c r="AK577" s="2075"/>
      <c r="AL577" s="2075"/>
      <c r="AM577" s="829"/>
      <c r="AN577" s="829"/>
      <c r="AO577" s="829"/>
      <c r="AP577" s="829"/>
      <c r="AQ577" s="829"/>
      <c r="AR577" s="829"/>
      <c r="AS577" s="829"/>
      <c r="AT577" s="829"/>
      <c r="AU577" s="829"/>
      <c r="AV577" s="829"/>
      <c r="AW577" s="829"/>
      <c r="AX577" s="837"/>
      <c r="AY577" s="837"/>
      <c r="AZ577" s="822"/>
      <c r="BA577" s="822"/>
      <c r="BB577" s="822"/>
      <c r="BC577" s="822"/>
      <c r="BD577" s="822"/>
      <c r="BE577" s="822"/>
      <c r="BF577" s="822"/>
      <c r="BG577" s="822"/>
    </row>
    <row r="578" spans="26:59" ht="12" customHeight="1" x14ac:dyDescent="0.2">
      <c r="Z578" s="837"/>
      <c r="AB578" s="829"/>
      <c r="AC578" s="2075"/>
      <c r="AD578" s="2075"/>
      <c r="AE578" s="2075"/>
      <c r="AF578" s="2075"/>
      <c r="AG578" s="2075"/>
      <c r="AH578" s="2075"/>
      <c r="AI578" s="2075"/>
      <c r="AJ578" s="2075"/>
      <c r="AK578" s="2075"/>
      <c r="AL578" s="2075"/>
      <c r="AM578" s="829"/>
      <c r="AN578" s="829"/>
      <c r="AO578" s="829"/>
      <c r="AP578" s="829"/>
      <c r="AQ578" s="829"/>
      <c r="AR578" s="829"/>
      <c r="AS578" s="829"/>
      <c r="AT578" s="829"/>
      <c r="AU578" s="829"/>
      <c r="AV578" s="829"/>
      <c r="AW578" s="829"/>
      <c r="AX578" s="837"/>
      <c r="AY578" s="837"/>
      <c r="AZ578" s="822"/>
      <c r="BA578" s="822"/>
      <c r="BB578" s="822"/>
      <c r="BC578" s="822"/>
      <c r="BD578" s="822"/>
      <c r="BE578" s="822"/>
      <c r="BF578" s="822"/>
      <c r="BG578" s="822"/>
    </row>
    <row r="579" spans="26:59" ht="12" customHeight="1" x14ac:dyDescent="0.2">
      <c r="Z579" s="837"/>
      <c r="AB579" s="829"/>
      <c r="AC579" s="2075"/>
      <c r="AD579" s="2075"/>
      <c r="AE579" s="2075"/>
      <c r="AF579" s="2075"/>
      <c r="AG579" s="2075"/>
      <c r="AH579" s="2075"/>
      <c r="AI579" s="2075"/>
      <c r="AJ579" s="2075"/>
      <c r="AK579" s="2075"/>
      <c r="AL579" s="2075"/>
      <c r="AM579" s="829"/>
      <c r="AN579" s="829"/>
      <c r="AO579" s="829"/>
      <c r="AP579" s="829"/>
      <c r="AQ579" s="829"/>
      <c r="AR579" s="829"/>
      <c r="AS579" s="829"/>
      <c r="AT579" s="829"/>
      <c r="AU579" s="829"/>
      <c r="AV579" s="829"/>
      <c r="AW579" s="837"/>
      <c r="AX579" s="837"/>
      <c r="AY579" s="837"/>
      <c r="AZ579" s="822"/>
      <c r="BA579" s="822"/>
      <c r="BB579" s="822"/>
      <c r="BC579" s="822"/>
      <c r="BD579" s="822"/>
      <c r="BE579" s="822"/>
      <c r="BF579" s="822"/>
      <c r="BG579" s="822"/>
    </row>
    <row r="580" spans="26:59" ht="12" customHeight="1" x14ac:dyDescent="0.2">
      <c r="Z580" s="837"/>
      <c r="AB580" s="829"/>
      <c r="AC580" s="2075"/>
      <c r="AD580" s="2075"/>
      <c r="AE580" s="2075"/>
      <c r="AF580" s="2075"/>
      <c r="AG580" s="2075"/>
      <c r="AH580" s="2075"/>
      <c r="AI580" s="2075"/>
      <c r="AJ580" s="2075"/>
      <c r="AK580" s="2075"/>
      <c r="AL580" s="2075"/>
      <c r="AM580" s="829"/>
      <c r="AN580" s="829"/>
      <c r="AO580" s="829"/>
      <c r="AP580" s="829"/>
      <c r="AQ580" s="829"/>
      <c r="AR580" s="829"/>
      <c r="AS580" s="829"/>
      <c r="AT580" s="829"/>
      <c r="AU580" s="829"/>
      <c r="AV580" s="829"/>
      <c r="AW580" s="837"/>
      <c r="AX580" s="837"/>
      <c r="AY580" s="837"/>
      <c r="AZ580" s="822"/>
      <c r="BA580" s="822"/>
      <c r="BB580" s="822"/>
      <c r="BC580" s="822"/>
      <c r="BD580" s="822"/>
      <c r="BE580" s="822"/>
      <c r="BF580" s="822"/>
      <c r="BG580" s="822"/>
    </row>
    <row r="581" spans="26:59" ht="12" customHeight="1" x14ac:dyDescent="0.2">
      <c r="Z581" s="837"/>
      <c r="AB581" s="829"/>
      <c r="AC581" s="2075"/>
      <c r="AD581" s="2075"/>
      <c r="AE581" s="2075"/>
      <c r="AF581" s="2075"/>
      <c r="AG581" s="2075"/>
      <c r="AH581" s="2075"/>
      <c r="AI581" s="2075"/>
      <c r="AJ581" s="2075"/>
      <c r="AK581" s="2075"/>
      <c r="AL581" s="2075"/>
      <c r="AM581" s="829"/>
      <c r="AN581" s="829"/>
      <c r="AO581" s="829"/>
      <c r="AP581" s="829"/>
      <c r="AQ581" s="829"/>
      <c r="AR581" s="829"/>
      <c r="AS581" s="829"/>
      <c r="AT581" s="829"/>
      <c r="AU581" s="829"/>
      <c r="AV581" s="829"/>
      <c r="AW581" s="837"/>
      <c r="AX581" s="837"/>
      <c r="AY581" s="837"/>
      <c r="AZ581" s="822"/>
      <c r="BA581" s="822"/>
      <c r="BB581" s="822"/>
      <c r="BC581" s="822"/>
      <c r="BD581" s="822"/>
      <c r="BE581" s="822"/>
      <c r="BF581" s="822"/>
      <c r="BG581" s="822"/>
    </row>
    <row r="582" spans="26:59" ht="12" customHeight="1" x14ac:dyDescent="0.2">
      <c r="Z582" s="837"/>
      <c r="AB582" s="829"/>
      <c r="AC582" s="2075"/>
      <c r="AD582" s="2075"/>
      <c r="AE582" s="2075"/>
      <c r="AF582" s="2075"/>
      <c r="AG582" s="2075"/>
      <c r="AH582" s="2075"/>
      <c r="AI582" s="2075"/>
      <c r="AJ582" s="2075"/>
      <c r="AK582" s="2075"/>
      <c r="AL582" s="2075"/>
      <c r="AM582" s="829"/>
      <c r="AN582" s="829"/>
      <c r="AO582" s="829"/>
      <c r="AP582" s="829"/>
      <c r="AQ582" s="829"/>
      <c r="AR582" s="829"/>
      <c r="AS582" s="829"/>
      <c r="AT582" s="829"/>
      <c r="AU582" s="829"/>
      <c r="AV582" s="829"/>
      <c r="AW582" s="837"/>
      <c r="AX582" s="837"/>
      <c r="AY582" s="837"/>
      <c r="AZ582" s="822"/>
      <c r="BA582" s="822"/>
      <c r="BB582" s="822"/>
      <c r="BC582" s="822"/>
      <c r="BD582" s="822"/>
      <c r="BE582" s="822"/>
      <c r="BF582" s="822"/>
      <c r="BG582" s="822"/>
    </row>
    <row r="583" spans="26:59" ht="12" customHeight="1" x14ac:dyDescent="0.2">
      <c r="Z583" s="837"/>
      <c r="AB583" s="829"/>
      <c r="AC583" s="2075"/>
      <c r="AD583" s="2075"/>
      <c r="AE583" s="2075"/>
      <c r="AF583" s="2075"/>
      <c r="AG583" s="2075"/>
      <c r="AH583" s="2075"/>
      <c r="AI583" s="2075"/>
      <c r="AJ583" s="2075"/>
      <c r="AK583" s="2075"/>
      <c r="AL583" s="2075"/>
      <c r="AM583" s="829"/>
      <c r="AN583" s="829"/>
      <c r="AO583" s="829"/>
      <c r="AP583" s="829"/>
      <c r="AQ583" s="829"/>
      <c r="AR583" s="829"/>
      <c r="AS583" s="829"/>
      <c r="AT583" s="829"/>
      <c r="AU583" s="829"/>
      <c r="AV583" s="829"/>
      <c r="AW583" s="837"/>
      <c r="AX583" s="837"/>
      <c r="AY583" s="837"/>
      <c r="AZ583" s="822"/>
      <c r="BA583" s="822"/>
      <c r="BB583" s="822"/>
      <c r="BC583" s="822"/>
      <c r="BD583" s="822"/>
      <c r="BE583" s="822"/>
      <c r="BF583" s="822"/>
      <c r="BG583" s="822"/>
    </row>
    <row r="584" spans="26:59" ht="12" customHeight="1" x14ac:dyDescent="0.2">
      <c r="Z584" s="837"/>
      <c r="AB584" s="829"/>
      <c r="AC584" s="2075"/>
      <c r="AD584" s="2075"/>
      <c r="AE584" s="2075"/>
      <c r="AF584" s="2075"/>
      <c r="AG584" s="2075"/>
      <c r="AH584" s="2075"/>
      <c r="AI584" s="2075"/>
      <c r="AJ584" s="2075"/>
      <c r="AK584" s="2075"/>
      <c r="AL584" s="2075"/>
      <c r="AM584" s="829"/>
      <c r="AN584" s="829"/>
      <c r="AO584" s="829"/>
      <c r="AP584" s="829"/>
      <c r="AQ584" s="829"/>
      <c r="AR584" s="829"/>
      <c r="AS584" s="829"/>
      <c r="AT584" s="829"/>
      <c r="AU584" s="829"/>
      <c r="AV584" s="829"/>
      <c r="AW584" s="837"/>
      <c r="AX584" s="837"/>
      <c r="AY584" s="837"/>
      <c r="AZ584" s="822"/>
      <c r="BA584" s="822"/>
      <c r="BB584" s="822"/>
      <c r="BC584" s="822"/>
      <c r="BD584" s="822"/>
      <c r="BE584" s="822"/>
      <c r="BF584" s="822"/>
      <c r="BG584" s="822"/>
    </row>
    <row r="585" spans="26:59" ht="12" customHeight="1" x14ac:dyDescent="0.2">
      <c r="Z585" s="837"/>
      <c r="AB585" s="829"/>
      <c r="AC585" s="2075"/>
      <c r="AD585" s="2075"/>
      <c r="AE585" s="2075"/>
      <c r="AF585" s="2075"/>
      <c r="AG585" s="2075"/>
      <c r="AH585" s="2075"/>
      <c r="AI585" s="2075"/>
      <c r="AJ585" s="2075"/>
      <c r="AK585" s="2075"/>
      <c r="AL585" s="2075"/>
      <c r="AM585" s="829"/>
      <c r="AN585" s="829"/>
      <c r="AO585" s="829"/>
      <c r="AP585" s="829"/>
      <c r="AQ585" s="829"/>
      <c r="AR585" s="829"/>
      <c r="AS585" s="829"/>
      <c r="AT585" s="829"/>
      <c r="AU585" s="829"/>
      <c r="AV585" s="829"/>
      <c r="AW585" s="837"/>
      <c r="AX585" s="837"/>
      <c r="AY585" s="837"/>
      <c r="AZ585" s="822"/>
      <c r="BA585" s="822"/>
      <c r="BB585" s="822"/>
      <c r="BC585" s="822"/>
      <c r="BD585" s="822"/>
      <c r="BE585" s="822"/>
      <c r="BF585" s="822"/>
      <c r="BG585" s="822"/>
    </row>
    <row r="586" spans="26:59" ht="12" customHeight="1" x14ac:dyDescent="0.2">
      <c r="Z586" s="837"/>
      <c r="AB586" s="829"/>
      <c r="AC586" s="2075"/>
      <c r="AD586" s="2075"/>
      <c r="AE586" s="2075"/>
      <c r="AF586" s="2075"/>
      <c r="AG586" s="2075"/>
      <c r="AH586" s="2075"/>
      <c r="AI586" s="2075"/>
      <c r="AJ586" s="2075"/>
      <c r="AK586" s="2075"/>
      <c r="AL586" s="2075"/>
      <c r="AM586" s="829"/>
      <c r="AN586" s="829"/>
      <c r="AO586" s="829"/>
      <c r="AP586" s="829"/>
      <c r="AQ586" s="829"/>
      <c r="AR586" s="829"/>
      <c r="AS586" s="829"/>
      <c r="AT586" s="829"/>
      <c r="AU586" s="829"/>
      <c r="AV586" s="829"/>
      <c r="AW586" s="837"/>
      <c r="AX586" s="837"/>
      <c r="AY586" s="837"/>
      <c r="AZ586" s="822"/>
      <c r="BA586" s="822"/>
      <c r="BB586" s="822"/>
      <c r="BC586" s="822"/>
      <c r="BD586" s="822"/>
      <c r="BE586" s="822"/>
      <c r="BF586" s="822"/>
      <c r="BG586" s="822"/>
    </row>
    <row r="587" spans="26:59" ht="12" customHeight="1" x14ac:dyDescent="0.2">
      <c r="Z587" s="837"/>
      <c r="AB587" s="829"/>
      <c r="AC587" s="2075"/>
      <c r="AD587" s="2075"/>
      <c r="AE587" s="2075"/>
      <c r="AF587" s="2075"/>
      <c r="AG587" s="2075"/>
      <c r="AH587" s="2075"/>
      <c r="AI587" s="2075"/>
      <c r="AJ587" s="2075"/>
      <c r="AK587" s="2075"/>
      <c r="AL587" s="2075"/>
      <c r="AM587" s="829"/>
      <c r="AN587" s="829"/>
      <c r="AO587" s="829"/>
      <c r="AP587" s="829"/>
      <c r="AQ587" s="829"/>
      <c r="AR587" s="829"/>
      <c r="AS587" s="829"/>
      <c r="AT587" s="829"/>
      <c r="AU587" s="829"/>
      <c r="AV587" s="829"/>
      <c r="AW587" s="837"/>
      <c r="AX587" s="837"/>
      <c r="AY587" s="837"/>
      <c r="AZ587" s="822"/>
      <c r="BA587" s="822"/>
      <c r="BB587" s="822"/>
      <c r="BC587" s="822"/>
      <c r="BD587" s="822"/>
      <c r="BE587" s="822"/>
      <c r="BF587" s="822"/>
      <c r="BG587" s="822"/>
    </row>
    <row r="588" spans="26:59" ht="12" customHeight="1" x14ac:dyDescent="0.2">
      <c r="Z588" s="837"/>
      <c r="AB588" s="829"/>
      <c r="AC588" s="2075"/>
      <c r="AD588" s="2075"/>
      <c r="AE588" s="2075"/>
      <c r="AF588" s="2075"/>
      <c r="AG588" s="2075"/>
      <c r="AH588" s="2075"/>
      <c r="AI588" s="2075"/>
      <c r="AJ588" s="2075"/>
      <c r="AK588" s="2075"/>
      <c r="AL588" s="2075"/>
      <c r="AM588" s="829"/>
      <c r="AN588" s="829"/>
      <c r="AO588" s="829"/>
      <c r="AP588" s="829"/>
      <c r="AQ588" s="829"/>
      <c r="AR588" s="829"/>
      <c r="AS588" s="829"/>
      <c r="AT588" s="829"/>
      <c r="AU588" s="829"/>
      <c r="AV588" s="829"/>
      <c r="AW588" s="837"/>
      <c r="AX588" s="837"/>
      <c r="AY588" s="837"/>
      <c r="AZ588" s="822"/>
      <c r="BA588" s="822"/>
      <c r="BB588" s="822"/>
      <c r="BC588" s="822"/>
      <c r="BD588" s="822"/>
      <c r="BE588" s="822"/>
      <c r="BF588" s="822"/>
      <c r="BG588" s="822"/>
    </row>
    <row r="589" spans="26:59" ht="12" customHeight="1" x14ac:dyDescent="0.2">
      <c r="Z589" s="837"/>
      <c r="AB589" s="829"/>
      <c r="AC589" s="2075"/>
      <c r="AD589" s="2075"/>
      <c r="AE589" s="2075"/>
      <c r="AF589" s="2075"/>
      <c r="AG589" s="2075"/>
      <c r="AH589" s="2075"/>
      <c r="AI589" s="2075"/>
      <c r="AJ589" s="2075"/>
      <c r="AK589" s="2075"/>
      <c r="AL589" s="2075"/>
      <c r="AM589" s="829"/>
      <c r="AN589" s="829"/>
      <c r="AO589" s="829"/>
      <c r="AP589" s="829"/>
      <c r="AQ589" s="829"/>
      <c r="AR589" s="829"/>
      <c r="AS589" s="829"/>
      <c r="AT589" s="829"/>
      <c r="AU589" s="829"/>
      <c r="AV589" s="829"/>
      <c r="AW589" s="837"/>
      <c r="AX589" s="837"/>
      <c r="AY589" s="837"/>
      <c r="AZ589" s="822"/>
      <c r="BA589" s="822"/>
      <c r="BB589" s="822"/>
      <c r="BC589" s="822"/>
      <c r="BD589" s="822"/>
      <c r="BE589" s="822"/>
      <c r="BF589" s="822"/>
      <c r="BG589" s="822"/>
    </row>
    <row r="590" spans="26:59" ht="12" customHeight="1" x14ac:dyDescent="0.2">
      <c r="Z590" s="837"/>
      <c r="AB590" s="829"/>
      <c r="AC590" s="2075"/>
      <c r="AD590" s="2075"/>
      <c r="AE590" s="2075"/>
      <c r="AF590" s="2075"/>
      <c r="AG590" s="2075"/>
      <c r="AH590" s="2075"/>
      <c r="AI590" s="2075"/>
      <c r="AJ590" s="2075"/>
      <c r="AK590" s="2075"/>
      <c r="AL590" s="2075"/>
      <c r="AM590" s="829"/>
      <c r="AN590" s="829"/>
      <c r="AO590" s="829"/>
      <c r="AP590" s="829"/>
      <c r="AQ590" s="829"/>
      <c r="AR590" s="829"/>
      <c r="AS590" s="829"/>
      <c r="AT590" s="829"/>
      <c r="AU590" s="829"/>
      <c r="AV590" s="829"/>
      <c r="AW590" s="837"/>
      <c r="AX590" s="837"/>
      <c r="AY590" s="837"/>
      <c r="AZ590" s="822"/>
      <c r="BA590" s="822"/>
      <c r="BB590" s="822"/>
      <c r="BC590" s="822"/>
      <c r="BD590" s="822"/>
      <c r="BE590" s="822"/>
      <c r="BF590" s="822"/>
      <c r="BG590" s="822"/>
    </row>
    <row r="591" spans="26:59" ht="12" customHeight="1" x14ac:dyDescent="0.2">
      <c r="Z591" s="837"/>
      <c r="AB591" s="829"/>
      <c r="AC591" s="2075"/>
      <c r="AD591" s="2075"/>
      <c r="AE591" s="2075"/>
      <c r="AF591" s="2075"/>
      <c r="AG591" s="2075"/>
      <c r="AH591" s="2075"/>
      <c r="AI591" s="2075"/>
      <c r="AJ591" s="2075"/>
      <c r="AK591" s="2075"/>
      <c r="AL591" s="2075"/>
      <c r="AM591" s="829"/>
      <c r="AN591" s="829"/>
      <c r="AO591" s="829"/>
      <c r="AP591" s="829"/>
      <c r="AQ591" s="829"/>
      <c r="AR591" s="829"/>
      <c r="AS591" s="829"/>
      <c r="AT591" s="829"/>
      <c r="AU591" s="829"/>
      <c r="AV591" s="829"/>
      <c r="AW591" s="837"/>
      <c r="AX591" s="837"/>
      <c r="AY591" s="837"/>
      <c r="AZ591" s="822"/>
      <c r="BA591" s="822"/>
      <c r="BB591" s="822"/>
      <c r="BC591" s="822"/>
      <c r="BD591" s="822"/>
      <c r="BE591" s="822"/>
      <c r="BF591" s="822"/>
      <c r="BG591" s="822"/>
    </row>
    <row r="592" spans="26:59" ht="12" customHeight="1" x14ac:dyDescent="0.2">
      <c r="Z592" s="837"/>
      <c r="AB592" s="829"/>
      <c r="AC592" s="2075"/>
      <c r="AD592" s="2075"/>
      <c r="AE592" s="2075"/>
      <c r="AF592" s="2075"/>
      <c r="AG592" s="2075"/>
      <c r="AH592" s="2075"/>
      <c r="AI592" s="2075"/>
      <c r="AJ592" s="2075"/>
      <c r="AK592" s="2075"/>
      <c r="AL592" s="2075"/>
      <c r="AM592" s="829"/>
      <c r="AN592" s="829"/>
      <c r="AO592" s="829"/>
      <c r="AP592" s="829"/>
      <c r="AQ592" s="829"/>
      <c r="AR592" s="829"/>
      <c r="AS592" s="829"/>
      <c r="AT592" s="829"/>
      <c r="AU592" s="829"/>
      <c r="AV592" s="829"/>
      <c r="AW592" s="837"/>
      <c r="AX592" s="837"/>
      <c r="AY592" s="837"/>
      <c r="AZ592" s="822"/>
      <c r="BA592" s="822"/>
      <c r="BB592" s="822"/>
      <c r="BC592" s="822"/>
      <c r="BD592" s="822"/>
      <c r="BE592" s="822"/>
      <c r="BF592" s="822"/>
      <c r="BG592" s="822"/>
    </row>
    <row r="593" spans="26:59" ht="12" customHeight="1" x14ac:dyDescent="0.2">
      <c r="Z593" s="837"/>
      <c r="AB593" s="829"/>
      <c r="AC593" s="2075"/>
      <c r="AD593" s="2075"/>
      <c r="AE593" s="2075"/>
      <c r="AF593" s="2075"/>
      <c r="AG593" s="2075"/>
      <c r="AH593" s="2075"/>
      <c r="AI593" s="2075"/>
      <c r="AJ593" s="2075"/>
      <c r="AK593" s="2075"/>
      <c r="AL593" s="2075"/>
      <c r="AM593" s="829"/>
      <c r="AN593" s="829"/>
      <c r="AO593" s="829"/>
      <c r="AP593" s="829"/>
      <c r="AQ593" s="829"/>
      <c r="AR593" s="829"/>
      <c r="AS593" s="829"/>
      <c r="AT593" s="829"/>
      <c r="AU593" s="829"/>
      <c r="AV593" s="829"/>
      <c r="AW593" s="837"/>
      <c r="AX593" s="837"/>
      <c r="AY593" s="837"/>
      <c r="AZ593" s="822"/>
      <c r="BA593" s="822"/>
      <c r="BB593" s="822"/>
      <c r="BC593" s="822"/>
      <c r="BD593" s="822"/>
      <c r="BE593" s="822"/>
      <c r="BF593" s="822"/>
      <c r="BG593" s="822"/>
    </row>
    <row r="594" spans="26:59" ht="12" customHeight="1" x14ac:dyDescent="0.2">
      <c r="Z594" s="837"/>
      <c r="AB594" s="829"/>
      <c r="AC594" s="2075"/>
      <c r="AD594" s="2075"/>
      <c r="AE594" s="2075"/>
      <c r="AF594" s="2075"/>
      <c r="AG594" s="2075"/>
      <c r="AH594" s="2075"/>
      <c r="AI594" s="2075"/>
      <c r="AJ594" s="2075"/>
      <c r="AK594" s="2075"/>
      <c r="AL594" s="2075"/>
      <c r="AM594" s="829"/>
      <c r="AN594" s="829"/>
      <c r="AO594" s="829"/>
      <c r="AP594" s="829"/>
      <c r="AQ594" s="829"/>
      <c r="AR594" s="829"/>
      <c r="AS594" s="829"/>
      <c r="AT594" s="829"/>
      <c r="AU594" s="829"/>
      <c r="AV594" s="829"/>
      <c r="AW594" s="837"/>
      <c r="AX594" s="837"/>
      <c r="AY594" s="837"/>
      <c r="AZ594" s="822"/>
      <c r="BA594" s="822"/>
      <c r="BB594" s="822"/>
      <c r="BC594" s="822"/>
      <c r="BD594" s="822"/>
      <c r="BE594" s="822"/>
      <c r="BF594" s="822"/>
      <c r="BG594" s="822"/>
    </row>
    <row r="595" spans="26:59" ht="12" customHeight="1" x14ac:dyDescent="0.2">
      <c r="Z595" s="837"/>
      <c r="AB595" s="829"/>
      <c r="AC595" s="2075"/>
      <c r="AD595" s="2075"/>
      <c r="AE595" s="2075"/>
      <c r="AF595" s="2075"/>
      <c r="AG595" s="2075"/>
      <c r="AH595" s="2075"/>
      <c r="AI595" s="2075"/>
      <c r="AJ595" s="2075"/>
      <c r="AK595" s="2075"/>
      <c r="AL595" s="2075"/>
      <c r="AM595" s="829"/>
      <c r="AN595" s="829"/>
      <c r="AO595" s="829"/>
      <c r="AP595" s="829"/>
      <c r="AQ595" s="829"/>
      <c r="AR595" s="829"/>
      <c r="AS595" s="829"/>
      <c r="AT595" s="829"/>
      <c r="AU595" s="829"/>
      <c r="AV595" s="829"/>
      <c r="AW595" s="837"/>
      <c r="AX595" s="837"/>
      <c r="AY595" s="837"/>
      <c r="AZ595" s="822"/>
      <c r="BA595" s="822"/>
      <c r="BB595" s="822"/>
      <c r="BC595" s="822"/>
      <c r="BD595" s="822"/>
      <c r="BE595" s="822"/>
      <c r="BF595" s="822"/>
      <c r="BG595" s="822"/>
    </row>
    <row r="596" spans="26:59" ht="12" customHeight="1" x14ac:dyDescent="0.2">
      <c r="Z596" s="837"/>
      <c r="AB596" s="829"/>
      <c r="AC596" s="2075"/>
      <c r="AD596" s="2075"/>
      <c r="AE596" s="2075"/>
      <c r="AF596" s="2075"/>
      <c r="AG596" s="2075"/>
      <c r="AH596" s="2075"/>
      <c r="AI596" s="2075"/>
      <c r="AJ596" s="2075"/>
      <c r="AK596" s="2075"/>
      <c r="AL596" s="2075"/>
      <c r="AM596" s="829"/>
      <c r="AN596" s="829"/>
      <c r="AO596" s="829"/>
      <c r="AP596" s="829"/>
      <c r="AQ596" s="829"/>
      <c r="AR596" s="829"/>
      <c r="AS596" s="829"/>
      <c r="AT596" s="829"/>
      <c r="AU596" s="829"/>
      <c r="AV596" s="829"/>
      <c r="AW596" s="837"/>
      <c r="AX596" s="837"/>
      <c r="AY596" s="837"/>
      <c r="AZ596" s="822"/>
      <c r="BA596" s="822"/>
      <c r="BB596" s="822"/>
      <c r="BC596" s="822"/>
      <c r="BD596" s="822"/>
      <c r="BE596" s="822"/>
      <c r="BF596" s="822"/>
      <c r="BG596" s="822"/>
    </row>
    <row r="597" spans="26:59" ht="12" customHeight="1" x14ac:dyDescent="0.2">
      <c r="Z597" s="837"/>
      <c r="AB597" s="829"/>
      <c r="AC597" s="2075"/>
      <c r="AD597" s="2075"/>
      <c r="AE597" s="2075"/>
      <c r="AF597" s="2075"/>
      <c r="AG597" s="2075"/>
      <c r="AH597" s="2075"/>
      <c r="AI597" s="2075"/>
      <c r="AJ597" s="2075"/>
      <c r="AK597" s="2075"/>
      <c r="AL597" s="2075"/>
      <c r="AM597" s="829"/>
      <c r="AN597" s="829"/>
      <c r="AO597" s="829"/>
      <c r="AP597" s="829"/>
      <c r="AQ597" s="829"/>
      <c r="AR597" s="829"/>
      <c r="AS597" s="829"/>
      <c r="AT597" s="829"/>
      <c r="AU597" s="829"/>
      <c r="AV597" s="829"/>
      <c r="AW597" s="837"/>
      <c r="AX597" s="837"/>
      <c r="AY597" s="837"/>
      <c r="AZ597" s="822"/>
      <c r="BA597" s="822"/>
      <c r="BB597" s="822"/>
      <c r="BC597" s="822"/>
      <c r="BD597" s="822"/>
      <c r="BE597" s="822"/>
      <c r="BF597" s="822"/>
      <c r="BG597" s="822"/>
    </row>
    <row r="598" spans="26:59" ht="12" customHeight="1" x14ac:dyDescent="0.2">
      <c r="Z598" s="837"/>
      <c r="AB598" s="829"/>
      <c r="AC598" s="2075"/>
      <c r="AD598" s="2075"/>
      <c r="AE598" s="2075"/>
      <c r="AF598" s="2075"/>
      <c r="AG598" s="2075"/>
      <c r="AH598" s="2075"/>
      <c r="AI598" s="2075"/>
      <c r="AJ598" s="2075"/>
      <c r="AK598" s="2075"/>
      <c r="AL598" s="2075"/>
      <c r="AM598" s="829"/>
      <c r="AN598" s="829"/>
      <c r="AO598" s="829"/>
      <c r="AP598" s="829"/>
      <c r="AQ598" s="829"/>
      <c r="AR598" s="829"/>
      <c r="AS598" s="829"/>
      <c r="AT598" s="829"/>
      <c r="AU598" s="829"/>
      <c r="AV598" s="829"/>
      <c r="AW598" s="837"/>
      <c r="AX598" s="837"/>
      <c r="AY598" s="837"/>
      <c r="AZ598" s="822"/>
      <c r="BA598" s="822"/>
      <c r="BB598" s="822"/>
      <c r="BC598" s="822"/>
      <c r="BD598" s="822"/>
      <c r="BE598" s="822"/>
      <c r="BF598" s="822"/>
      <c r="BG598" s="822"/>
    </row>
    <row r="599" spans="26:59" ht="12" customHeight="1" x14ac:dyDescent="0.2">
      <c r="Z599" s="837"/>
      <c r="AB599" s="829"/>
      <c r="AC599" s="2075"/>
      <c r="AD599" s="2075"/>
      <c r="AE599" s="2075"/>
      <c r="AF599" s="2075"/>
      <c r="AG599" s="2075"/>
      <c r="AH599" s="2075"/>
      <c r="AI599" s="2075"/>
      <c r="AJ599" s="2075"/>
      <c r="AK599" s="2075"/>
      <c r="AL599" s="2075"/>
      <c r="AM599" s="829"/>
      <c r="AN599" s="829"/>
      <c r="AO599" s="829"/>
      <c r="AP599" s="829"/>
      <c r="AQ599" s="829"/>
      <c r="AR599" s="829"/>
      <c r="AS599" s="829"/>
      <c r="AT599" s="829"/>
      <c r="AU599" s="829"/>
      <c r="AV599" s="829"/>
      <c r="AW599" s="837"/>
      <c r="AX599" s="837"/>
      <c r="AY599" s="837"/>
      <c r="AZ599" s="822"/>
      <c r="BA599" s="822"/>
      <c r="BB599" s="822"/>
      <c r="BC599" s="822"/>
      <c r="BD599" s="822"/>
      <c r="BE599" s="822"/>
      <c r="BF599" s="822"/>
      <c r="BG599" s="822"/>
    </row>
    <row r="600" spans="26:59" ht="12" customHeight="1" x14ac:dyDescent="0.2">
      <c r="Z600" s="837"/>
      <c r="AB600" s="829"/>
      <c r="AC600" s="2075"/>
      <c r="AD600" s="2075"/>
      <c r="AE600" s="2075"/>
      <c r="AF600" s="2075"/>
      <c r="AG600" s="2075"/>
      <c r="AH600" s="2075"/>
      <c r="AI600" s="2075"/>
      <c r="AJ600" s="2075"/>
      <c r="AK600" s="2075"/>
      <c r="AL600" s="2075"/>
      <c r="AM600" s="829"/>
      <c r="AN600" s="829"/>
      <c r="AO600" s="829"/>
      <c r="AP600" s="829"/>
      <c r="AQ600" s="829"/>
      <c r="AR600" s="829"/>
      <c r="AS600" s="829"/>
      <c r="AT600" s="829"/>
      <c r="AU600" s="829"/>
      <c r="AV600" s="829"/>
      <c r="AW600" s="837"/>
      <c r="AX600" s="837"/>
      <c r="AY600" s="837"/>
      <c r="AZ600" s="822"/>
      <c r="BA600" s="822"/>
      <c r="BB600" s="822"/>
      <c r="BC600" s="822"/>
      <c r="BD600" s="822"/>
      <c r="BE600" s="822"/>
      <c r="BF600" s="822"/>
      <c r="BG600" s="822"/>
    </row>
    <row r="601" spans="26:59" ht="12" customHeight="1" x14ac:dyDescent="0.2">
      <c r="Z601" s="837"/>
      <c r="AB601" s="829"/>
      <c r="AC601" s="2075"/>
      <c r="AD601" s="2075"/>
      <c r="AE601" s="2075"/>
      <c r="AF601" s="2075"/>
      <c r="AG601" s="2075"/>
      <c r="AH601" s="2075"/>
      <c r="AI601" s="2075"/>
      <c r="AJ601" s="2075"/>
      <c r="AK601" s="2075"/>
      <c r="AL601" s="2075"/>
      <c r="AM601" s="829"/>
      <c r="AN601" s="829"/>
      <c r="AO601" s="829"/>
      <c r="AP601" s="829"/>
      <c r="AQ601" s="829"/>
      <c r="AR601" s="829"/>
      <c r="AS601" s="829"/>
      <c r="AT601" s="829"/>
      <c r="AU601" s="829"/>
      <c r="AV601" s="829"/>
      <c r="AW601" s="837"/>
      <c r="AX601" s="837"/>
      <c r="AY601" s="837"/>
      <c r="AZ601" s="822"/>
      <c r="BA601" s="822"/>
      <c r="BB601" s="822"/>
      <c r="BC601" s="822"/>
      <c r="BD601" s="822"/>
      <c r="BE601" s="822"/>
      <c r="BF601" s="822"/>
      <c r="BG601" s="822"/>
    </row>
    <row r="602" spans="26:59" ht="12" customHeight="1" x14ac:dyDescent="0.2">
      <c r="Z602" s="837"/>
      <c r="AB602" s="829"/>
      <c r="AC602" s="2075"/>
      <c r="AD602" s="2075"/>
      <c r="AE602" s="2075"/>
      <c r="AF602" s="2075"/>
      <c r="AG602" s="2075"/>
      <c r="AH602" s="2075"/>
      <c r="AI602" s="2075"/>
      <c r="AJ602" s="2075"/>
      <c r="AK602" s="2075"/>
      <c r="AL602" s="2075"/>
      <c r="AM602" s="829"/>
      <c r="AN602" s="829"/>
      <c r="AO602" s="829"/>
      <c r="AP602" s="829"/>
      <c r="AQ602" s="829"/>
      <c r="AR602" s="829"/>
      <c r="AS602" s="829"/>
      <c r="AT602" s="829"/>
      <c r="AU602" s="829"/>
      <c r="AV602" s="829"/>
      <c r="AW602" s="837"/>
      <c r="AX602" s="837"/>
      <c r="AY602" s="837"/>
      <c r="AZ602" s="822"/>
      <c r="BA602" s="822"/>
      <c r="BB602" s="822"/>
      <c r="BC602" s="822"/>
      <c r="BD602" s="822"/>
      <c r="BE602" s="822"/>
      <c r="BF602" s="822"/>
      <c r="BG602" s="822"/>
    </row>
    <row r="603" spans="26:59" ht="12" customHeight="1" x14ac:dyDescent="0.2">
      <c r="Z603" s="837"/>
      <c r="AB603" s="829"/>
      <c r="AC603" s="2075"/>
      <c r="AD603" s="2075"/>
      <c r="AE603" s="2075"/>
      <c r="AF603" s="2075"/>
      <c r="AG603" s="2075"/>
      <c r="AH603" s="2075"/>
      <c r="AI603" s="2075"/>
      <c r="AJ603" s="2075"/>
      <c r="AK603" s="2075"/>
      <c r="AL603" s="2075"/>
      <c r="AM603" s="829"/>
      <c r="AN603" s="829"/>
      <c r="AO603" s="829"/>
      <c r="AP603" s="829"/>
      <c r="AQ603" s="829"/>
      <c r="AR603" s="829"/>
      <c r="AS603" s="829"/>
      <c r="AT603" s="829"/>
      <c r="AU603" s="829"/>
      <c r="AV603" s="829"/>
      <c r="AW603" s="837"/>
      <c r="AX603" s="837"/>
      <c r="AY603" s="837"/>
      <c r="AZ603" s="822"/>
      <c r="BA603" s="822"/>
      <c r="BB603" s="822"/>
      <c r="BC603" s="822"/>
      <c r="BD603" s="822"/>
      <c r="BE603" s="822"/>
      <c r="BF603" s="822"/>
      <c r="BG603" s="822"/>
    </row>
    <row r="604" spans="26:59" ht="12" customHeight="1" x14ac:dyDescent="0.2">
      <c r="Z604" s="837"/>
      <c r="AB604" s="829"/>
      <c r="AC604" s="2075"/>
      <c r="AD604" s="2075"/>
      <c r="AE604" s="2075"/>
      <c r="AF604" s="2075"/>
      <c r="AG604" s="2075"/>
      <c r="AH604" s="2075"/>
      <c r="AI604" s="2075"/>
      <c r="AJ604" s="2075"/>
      <c r="AK604" s="2075"/>
      <c r="AL604" s="2075"/>
      <c r="AM604" s="829"/>
      <c r="AN604" s="829"/>
      <c r="AO604" s="829"/>
      <c r="AP604" s="829"/>
      <c r="AQ604" s="829"/>
      <c r="AR604" s="829"/>
      <c r="AS604" s="829"/>
      <c r="AT604" s="829"/>
      <c r="AU604" s="829"/>
      <c r="AV604" s="829"/>
      <c r="AW604" s="837"/>
      <c r="AX604" s="837"/>
      <c r="AY604" s="837"/>
      <c r="AZ604" s="822"/>
      <c r="BA604" s="822"/>
      <c r="BB604" s="822"/>
      <c r="BC604" s="822"/>
      <c r="BD604" s="822"/>
      <c r="BE604" s="822"/>
      <c r="BF604" s="822"/>
      <c r="BG604" s="822"/>
    </row>
    <row r="605" spans="26:59" ht="12" customHeight="1" x14ac:dyDescent="0.2">
      <c r="Z605" s="837"/>
      <c r="AB605" s="829"/>
      <c r="AC605" s="2075"/>
      <c r="AD605" s="2075"/>
      <c r="AE605" s="2075"/>
      <c r="AF605" s="2075"/>
      <c r="AG605" s="2075"/>
      <c r="AH605" s="2075"/>
      <c r="AI605" s="2075"/>
      <c r="AJ605" s="2075"/>
      <c r="AK605" s="2075"/>
      <c r="AL605" s="2075"/>
      <c r="AM605" s="829"/>
      <c r="AN605" s="829"/>
      <c r="AO605" s="829"/>
      <c r="AP605" s="829"/>
      <c r="AQ605" s="829"/>
      <c r="AR605" s="829"/>
      <c r="AS605" s="829"/>
      <c r="AT605" s="829"/>
      <c r="AU605" s="829"/>
      <c r="AV605" s="829"/>
      <c r="AW605" s="837"/>
      <c r="AX605" s="837"/>
      <c r="AY605" s="837"/>
      <c r="AZ605" s="822"/>
      <c r="BA605" s="822"/>
      <c r="BB605" s="822"/>
      <c r="BC605" s="822"/>
      <c r="BD605" s="822"/>
      <c r="BE605" s="822"/>
      <c r="BF605" s="822"/>
      <c r="BG605" s="822"/>
    </row>
    <row r="606" spans="26:59" ht="12" customHeight="1" x14ac:dyDescent="0.2">
      <c r="Z606" s="837"/>
      <c r="AB606" s="829"/>
      <c r="AC606" s="2075"/>
      <c r="AD606" s="2075"/>
      <c r="AE606" s="2075"/>
      <c r="AF606" s="2075"/>
      <c r="AG606" s="2075"/>
      <c r="AH606" s="2075"/>
      <c r="AI606" s="2075"/>
      <c r="AJ606" s="2075"/>
      <c r="AK606" s="2075"/>
      <c r="AL606" s="2075"/>
      <c r="AM606" s="829"/>
      <c r="AN606" s="829"/>
      <c r="AO606" s="829"/>
      <c r="AP606" s="829"/>
      <c r="AQ606" s="829"/>
      <c r="AR606" s="829"/>
      <c r="AS606" s="829"/>
      <c r="AT606" s="829"/>
      <c r="AU606" s="829"/>
      <c r="AV606" s="829"/>
      <c r="AW606" s="837"/>
      <c r="AX606" s="837"/>
      <c r="AY606" s="837"/>
      <c r="AZ606" s="822"/>
      <c r="BA606" s="822"/>
      <c r="BB606" s="822"/>
      <c r="BC606" s="822"/>
      <c r="BD606" s="822"/>
      <c r="BE606" s="822"/>
      <c r="BF606" s="822"/>
      <c r="BG606" s="822"/>
    </row>
    <row r="607" spans="26:59" ht="12" customHeight="1" x14ac:dyDescent="0.2">
      <c r="Z607" s="837"/>
      <c r="AB607" s="829"/>
      <c r="AC607" s="2075"/>
      <c r="AD607" s="2075"/>
      <c r="AE607" s="2075"/>
      <c r="AF607" s="2075"/>
      <c r="AG607" s="2075"/>
      <c r="AH607" s="2075"/>
      <c r="AI607" s="2075"/>
      <c r="AJ607" s="2075"/>
      <c r="AK607" s="2075"/>
      <c r="AL607" s="2075"/>
      <c r="AM607" s="829"/>
      <c r="AN607" s="829"/>
      <c r="AO607" s="829"/>
      <c r="AP607" s="829"/>
      <c r="AQ607" s="829"/>
      <c r="AR607" s="829"/>
      <c r="AS607" s="829"/>
      <c r="AT607" s="829"/>
      <c r="AU607" s="829"/>
      <c r="AV607" s="829"/>
      <c r="AW607" s="837"/>
      <c r="AX607" s="837"/>
      <c r="AY607" s="837"/>
      <c r="AZ607" s="822"/>
      <c r="BA607" s="822"/>
      <c r="BB607" s="822"/>
      <c r="BC607" s="822"/>
      <c r="BD607" s="822"/>
      <c r="BE607" s="822"/>
      <c r="BF607" s="822"/>
      <c r="BG607" s="822"/>
    </row>
    <row r="608" spans="26:59" ht="12" customHeight="1" x14ac:dyDescent="0.2">
      <c r="Z608" s="837"/>
      <c r="AB608" s="829"/>
      <c r="AC608" s="2075"/>
      <c r="AD608" s="2075"/>
      <c r="AE608" s="2075"/>
      <c r="AF608" s="2075"/>
      <c r="AG608" s="2075"/>
      <c r="AH608" s="2075"/>
      <c r="AI608" s="2075"/>
      <c r="AJ608" s="2075"/>
      <c r="AK608" s="2075"/>
      <c r="AL608" s="2075"/>
      <c r="AM608" s="829"/>
      <c r="AN608" s="829"/>
      <c r="AO608" s="829"/>
      <c r="AP608" s="829"/>
      <c r="AQ608" s="829"/>
      <c r="AR608" s="829"/>
      <c r="AS608" s="829"/>
      <c r="AT608" s="829"/>
      <c r="AU608" s="829"/>
      <c r="AV608" s="829"/>
      <c r="AW608" s="837"/>
      <c r="AX608" s="837"/>
      <c r="AY608" s="837"/>
      <c r="AZ608" s="822"/>
      <c r="BA608" s="822"/>
      <c r="BB608" s="822"/>
      <c r="BC608" s="822"/>
      <c r="BD608" s="822"/>
      <c r="BE608" s="822"/>
      <c r="BF608" s="822"/>
      <c r="BG608" s="822"/>
    </row>
    <row r="609" spans="26:59" ht="12" customHeight="1" x14ac:dyDescent="0.2">
      <c r="Z609" s="837"/>
      <c r="AB609" s="829"/>
      <c r="AC609" s="2075"/>
      <c r="AD609" s="2075"/>
      <c r="AE609" s="2075"/>
      <c r="AF609" s="2075"/>
      <c r="AG609" s="2075"/>
      <c r="AH609" s="2075"/>
      <c r="AI609" s="2075"/>
      <c r="AJ609" s="2075"/>
      <c r="AK609" s="2075"/>
      <c r="AL609" s="2075"/>
      <c r="AM609" s="829"/>
      <c r="AN609" s="829"/>
      <c r="AO609" s="829"/>
      <c r="AP609" s="829"/>
      <c r="AQ609" s="829"/>
      <c r="AR609" s="829"/>
      <c r="AS609" s="829"/>
      <c r="AT609" s="829"/>
      <c r="AU609" s="829"/>
      <c r="AV609" s="829"/>
      <c r="AW609" s="837"/>
      <c r="AX609" s="837"/>
      <c r="AY609" s="837"/>
      <c r="AZ609" s="822"/>
      <c r="BA609" s="822"/>
      <c r="BB609" s="822"/>
      <c r="BC609" s="822"/>
      <c r="BD609" s="822"/>
      <c r="BE609" s="822"/>
      <c r="BF609" s="822"/>
      <c r="BG609" s="822"/>
    </row>
    <row r="610" spans="26:59" ht="12" customHeight="1" x14ac:dyDescent="0.2">
      <c r="Z610" s="837"/>
      <c r="AB610" s="829"/>
      <c r="AC610" s="2075"/>
      <c r="AD610" s="2075"/>
      <c r="AE610" s="2075"/>
      <c r="AF610" s="2075"/>
      <c r="AG610" s="2075"/>
      <c r="AH610" s="2075"/>
      <c r="AI610" s="2075"/>
      <c r="AJ610" s="2075"/>
      <c r="AK610" s="2075"/>
      <c r="AL610" s="2075"/>
      <c r="AM610" s="829"/>
      <c r="AN610" s="829"/>
      <c r="AO610" s="829"/>
      <c r="AP610" s="829"/>
      <c r="AQ610" s="829"/>
      <c r="AR610" s="829"/>
      <c r="AS610" s="829"/>
      <c r="AT610" s="829"/>
      <c r="AU610" s="829"/>
      <c r="AV610" s="829"/>
      <c r="AW610" s="837"/>
      <c r="AX610" s="837"/>
      <c r="AY610" s="837"/>
      <c r="AZ610" s="822"/>
      <c r="BA610" s="822"/>
      <c r="BB610" s="822"/>
      <c r="BC610" s="822"/>
      <c r="BD610" s="822"/>
      <c r="BE610" s="822"/>
      <c r="BF610" s="822"/>
      <c r="BG610" s="822"/>
    </row>
    <row r="611" spans="26:59" ht="12" customHeight="1" x14ac:dyDescent="0.2">
      <c r="Z611" s="837"/>
      <c r="AB611" s="829"/>
      <c r="AC611" s="2075"/>
      <c r="AD611" s="2075"/>
      <c r="AE611" s="2075"/>
      <c r="AF611" s="2075"/>
      <c r="AG611" s="2075"/>
      <c r="AH611" s="2075"/>
      <c r="AI611" s="2075"/>
      <c r="AJ611" s="2075"/>
      <c r="AK611" s="2075"/>
      <c r="AL611" s="2075"/>
      <c r="AM611" s="829"/>
      <c r="AN611" s="829"/>
      <c r="AO611" s="829"/>
      <c r="AP611" s="829"/>
      <c r="AQ611" s="829"/>
      <c r="AR611" s="829"/>
      <c r="AS611" s="829"/>
      <c r="AT611" s="829"/>
      <c r="AU611" s="829"/>
      <c r="AV611" s="829"/>
      <c r="AW611" s="837"/>
      <c r="AX611" s="837"/>
      <c r="AY611" s="837"/>
      <c r="AZ611" s="822"/>
      <c r="BA611" s="822"/>
      <c r="BB611" s="822"/>
      <c r="BC611" s="822"/>
      <c r="BD611" s="822"/>
      <c r="BE611" s="822"/>
      <c r="BF611" s="822"/>
      <c r="BG611" s="822"/>
    </row>
    <row r="612" spans="26:59" ht="12" customHeight="1" x14ac:dyDescent="0.2">
      <c r="Z612" s="837"/>
      <c r="AB612" s="829"/>
      <c r="AC612" s="2075"/>
      <c r="AD612" s="2075"/>
      <c r="AE612" s="2075"/>
      <c r="AF612" s="2075"/>
      <c r="AG612" s="2075"/>
      <c r="AH612" s="2075"/>
      <c r="AI612" s="2075"/>
      <c r="AJ612" s="2075"/>
      <c r="AK612" s="2075"/>
      <c r="AL612" s="2075"/>
      <c r="AM612" s="829"/>
      <c r="AN612" s="829"/>
      <c r="AO612" s="829"/>
      <c r="AP612" s="829"/>
      <c r="AQ612" s="829"/>
      <c r="AR612" s="829"/>
      <c r="AS612" s="829"/>
      <c r="AT612" s="829"/>
      <c r="AU612" s="829"/>
      <c r="AV612" s="829"/>
      <c r="AW612" s="837"/>
      <c r="AX612" s="837"/>
      <c r="AY612" s="837"/>
      <c r="AZ612" s="822"/>
      <c r="BA612" s="822"/>
      <c r="BB612" s="822"/>
      <c r="BC612" s="822"/>
      <c r="BD612" s="822"/>
      <c r="BE612" s="822"/>
      <c r="BF612" s="822"/>
      <c r="BG612" s="822"/>
    </row>
    <row r="613" spans="26:59" ht="12" customHeight="1" x14ac:dyDescent="0.2">
      <c r="Z613" s="837"/>
      <c r="AB613" s="829"/>
      <c r="AC613" s="2075"/>
      <c r="AD613" s="2075"/>
      <c r="AE613" s="2075"/>
      <c r="AF613" s="2075"/>
      <c r="AG613" s="2075"/>
      <c r="AH613" s="2075"/>
      <c r="AI613" s="2075"/>
      <c r="AJ613" s="2075"/>
      <c r="AK613" s="2075"/>
      <c r="AL613" s="2075"/>
      <c r="AM613" s="829"/>
      <c r="AN613" s="829"/>
      <c r="AO613" s="829"/>
      <c r="AP613" s="829"/>
      <c r="AQ613" s="829"/>
      <c r="AR613" s="829"/>
      <c r="AS613" s="829"/>
      <c r="AT613" s="829"/>
      <c r="AU613" s="829"/>
      <c r="AV613" s="829"/>
      <c r="AW613" s="837"/>
      <c r="AX613" s="837"/>
      <c r="AY613" s="837"/>
      <c r="AZ613" s="822"/>
      <c r="BA613" s="822"/>
      <c r="BB613" s="822"/>
      <c r="BC613" s="822"/>
      <c r="BD613" s="822"/>
      <c r="BE613" s="822"/>
      <c r="BF613" s="822"/>
      <c r="BG613" s="822"/>
    </row>
    <row r="614" spans="26:59" ht="12" customHeight="1" x14ac:dyDescent="0.2">
      <c r="Z614" s="837"/>
      <c r="AB614" s="829"/>
      <c r="AC614" s="2075"/>
      <c r="AD614" s="2075"/>
      <c r="AE614" s="2075"/>
      <c r="AF614" s="2075"/>
      <c r="AG614" s="2075"/>
      <c r="AH614" s="2075"/>
      <c r="AI614" s="2075"/>
      <c r="AJ614" s="2075"/>
      <c r="AK614" s="2075"/>
      <c r="AL614" s="2075"/>
      <c r="AM614" s="829"/>
      <c r="AN614" s="829"/>
      <c r="AO614" s="829"/>
      <c r="AP614" s="829"/>
      <c r="AQ614" s="829"/>
      <c r="AR614" s="829"/>
      <c r="AS614" s="829"/>
      <c r="AT614" s="829"/>
      <c r="AU614" s="829"/>
      <c r="AV614" s="829"/>
      <c r="AW614" s="837"/>
      <c r="AX614" s="837"/>
      <c r="AY614" s="837"/>
      <c r="AZ614" s="822"/>
      <c r="BA614" s="822"/>
      <c r="BB614" s="822"/>
      <c r="BC614" s="822"/>
      <c r="BD614" s="822"/>
      <c r="BE614" s="822"/>
      <c r="BF614" s="822"/>
      <c r="BG614" s="822"/>
    </row>
    <row r="615" spans="26:59" ht="12" customHeight="1" x14ac:dyDescent="0.2">
      <c r="Z615" s="837"/>
      <c r="AB615" s="829"/>
      <c r="AC615" s="2075"/>
      <c r="AD615" s="2075"/>
      <c r="AE615" s="2075"/>
      <c r="AF615" s="2075"/>
      <c r="AG615" s="2075"/>
      <c r="AH615" s="2075"/>
      <c r="AI615" s="2075"/>
      <c r="AJ615" s="2075"/>
      <c r="AK615" s="2075"/>
      <c r="AL615" s="2075"/>
      <c r="AM615" s="829"/>
      <c r="AN615" s="829"/>
      <c r="AO615" s="829"/>
      <c r="AP615" s="829"/>
      <c r="AQ615" s="829"/>
      <c r="AR615" s="829"/>
      <c r="AS615" s="829"/>
      <c r="AT615" s="829"/>
      <c r="AU615" s="829"/>
      <c r="AV615" s="829"/>
      <c r="AW615" s="837"/>
      <c r="AX615" s="837"/>
      <c r="AY615" s="837"/>
      <c r="AZ615" s="822"/>
      <c r="BA615" s="822"/>
      <c r="BB615" s="822"/>
      <c r="BC615" s="822"/>
      <c r="BD615" s="822"/>
      <c r="BE615" s="822"/>
      <c r="BF615" s="822"/>
      <c r="BG615" s="822"/>
    </row>
    <row r="616" spans="26:59" ht="12" customHeight="1" x14ac:dyDescent="0.2">
      <c r="Z616" s="837"/>
      <c r="AB616" s="829"/>
      <c r="AC616" s="2075"/>
      <c r="AD616" s="2075"/>
      <c r="AE616" s="2075"/>
      <c r="AF616" s="2075"/>
      <c r="AG616" s="2075"/>
      <c r="AH616" s="2075"/>
      <c r="AI616" s="2075"/>
      <c r="AJ616" s="2075"/>
      <c r="AK616" s="2075"/>
      <c r="AL616" s="2075"/>
      <c r="AM616" s="829"/>
      <c r="AN616" s="829"/>
      <c r="AO616" s="829"/>
      <c r="AP616" s="829"/>
      <c r="AQ616" s="829"/>
      <c r="AR616" s="829"/>
      <c r="AS616" s="829"/>
      <c r="AT616" s="829"/>
      <c r="AU616" s="829"/>
      <c r="AV616" s="829"/>
      <c r="AW616" s="837"/>
      <c r="AX616" s="837"/>
      <c r="AY616" s="837"/>
      <c r="AZ616" s="822"/>
      <c r="BA616" s="822"/>
      <c r="BB616" s="822"/>
      <c r="BC616" s="822"/>
      <c r="BD616" s="822"/>
      <c r="BE616" s="822"/>
      <c r="BF616" s="822"/>
      <c r="BG616" s="822"/>
    </row>
    <row r="617" spans="26:59" ht="12" customHeight="1" x14ac:dyDescent="0.2">
      <c r="Z617" s="837"/>
      <c r="AB617" s="829"/>
      <c r="AC617" s="2075"/>
      <c r="AD617" s="2075"/>
      <c r="AE617" s="2075"/>
      <c r="AF617" s="2075"/>
      <c r="AG617" s="2075"/>
      <c r="AH617" s="2075"/>
      <c r="AI617" s="2075"/>
      <c r="AJ617" s="2075"/>
      <c r="AK617" s="2075"/>
      <c r="AL617" s="2075"/>
      <c r="AM617" s="829"/>
      <c r="AN617" s="829"/>
      <c r="AO617" s="829"/>
      <c r="AP617" s="829"/>
      <c r="AQ617" s="829"/>
      <c r="AR617" s="829"/>
      <c r="AS617" s="829"/>
      <c r="AT617" s="829"/>
      <c r="AU617" s="829"/>
      <c r="AV617" s="829"/>
      <c r="AW617" s="837"/>
      <c r="AX617" s="837"/>
      <c r="AY617" s="837"/>
      <c r="AZ617" s="822"/>
      <c r="BA617" s="822"/>
      <c r="BB617" s="822"/>
      <c r="BC617" s="822"/>
      <c r="BD617" s="822"/>
      <c r="BE617" s="822"/>
      <c r="BF617" s="822"/>
      <c r="BG617" s="822"/>
    </row>
    <row r="618" spans="26:59" ht="12" customHeight="1" x14ac:dyDescent="0.2">
      <c r="Z618" s="837"/>
      <c r="AB618" s="829"/>
      <c r="AC618" s="2075"/>
      <c r="AD618" s="2075"/>
      <c r="AE618" s="2075"/>
      <c r="AF618" s="2075"/>
      <c r="AG618" s="2075"/>
      <c r="AH618" s="2075"/>
      <c r="AI618" s="2075"/>
      <c r="AJ618" s="2075"/>
      <c r="AK618" s="2075"/>
      <c r="AL618" s="2075"/>
      <c r="AM618" s="829"/>
      <c r="AN618" s="829"/>
      <c r="AO618" s="829"/>
      <c r="AP618" s="829"/>
      <c r="AQ618" s="829"/>
      <c r="AR618" s="829"/>
      <c r="AS618" s="829"/>
      <c r="AT618" s="829"/>
      <c r="AU618" s="829"/>
      <c r="AV618" s="829"/>
      <c r="AW618" s="837"/>
      <c r="AX618" s="837"/>
      <c r="AY618" s="837"/>
      <c r="AZ618" s="822"/>
      <c r="BA618" s="822"/>
      <c r="BB618" s="822"/>
      <c r="BC618" s="822"/>
      <c r="BD618" s="822"/>
      <c r="BE618" s="822"/>
      <c r="BF618" s="822"/>
      <c r="BG618" s="822"/>
    </row>
    <row r="619" spans="26:59" ht="12" customHeight="1" x14ac:dyDescent="0.2">
      <c r="Z619" s="837"/>
      <c r="AB619" s="829"/>
      <c r="AC619" s="2075"/>
      <c r="AD619" s="2075"/>
      <c r="AE619" s="2075"/>
      <c r="AF619" s="2075"/>
      <c r="AG619" s="2075"/>
      <c r="AH619" s="2075"/>
      <c r="AI619" s="2075"/>
      <c r="AJ619" s="2075"/>
      <c r="AK619" s="2075"/>
      <c r="AL619" s="2075"/>
      <c r="AM619" s="829"/>
      <c r="AN619" s="829"/>
      <c r="AO619" s="829"/>
      <c r="AP619" s="829"/>
      <c r="AQ619" s="829"/>
      <c r="AR619" s="829"/>
      <c r="AS619" s="829"/>
      <c r="AT619" s="829"/>
      <c r="AU619" s="829"/>
      <c r="AV619" s="829"/>
      <c r="AW619" s="837"/>
      <c r="AX619" s="837"/>
      <c r="AY619" s="837"/>
      <c r="AZ619" s="822"/>
      <c r="BA619" s="822"/>
      <c r="BB619" s="822"/>
      <c r="BC619" s="822"/>
      <c r="BD619" s="822"/>
      <c r="BE619" s="822"/>
      <c r="BF619" s="822"/>
      <c r="BG619" s="822"/>
    </row>
    <row r="620" spans="26:59" ht="12" customHeight="1" x14ac:dyDescent="0.2">
      <c r="Z620" s="837"/>
      <c r="AB620" s="829"/>
      <c r="AC620" s="2075"/>
      <c r="AD620" s="2075"/>
      <c r="AE620" s="2075"/>
      <c r="AF620" s="2075"/>
      <c r="AG620" s="2075"/>
      <c r="AH620" s="2075"/>
      <c r="AI620" s="2075"/>
      <c r="AJ620" s="2075"/>
      <c r="AK620" s="2075"/>
      <c r="AL620" s="2075"/>
      <c r="AM620" s="829"/>
      <c r="AN620" s="829"/>
      <c r="AO620" s="829"/>
      <c r="AP620" s="829"/>
      <c r="AQ620" s="829"/>
      <c r="AR620" s="829"/>
      <c r="AS620" s="829"/>
      <c r="AT620" s="829"/>
      <c r="AU620" s="829"/>
      <c r="AV620" s="829"/>
      <c r="AW620" s="837"/>
      <c r="AX620" s="837"/>
      <c r="AY620" s="837"/>
      <c r="AZ620" s="822"/>
      <c r="BA620" s="822"/>
      <c r="BB620" s="822"/>
      <c r="BC620" s="822"/>
      <c r="BD620" s="822"/>
      <c r="BE620" s="822"/>
      <c r="BF620" s="822"/>
      <c r="BG620" s="822"/>
    </row>
    <row r="621" spans="26:59" ht="12" customHeight="1" x14ac:dyDescent="0.2">
      <c r="Z621" s="837"/>
      <c r="AB621" s="829"/>
      <c r="AC621" s="2075"/>
      <c r="AD621" s="2075"/>
      <c r="AE621" s="2075"/>
      <c r="AF621" s="2075"/>
      <c r="AG621" s="2075"/>
      <c r="AH621" s="2075"/>
      <c r="AI621" s="2075"/>
      <c r="AJ621" s="2075"/>
      <c r="AK621" s="2075"/>
      <c r="AL621" s="2075"/>
      <c r="AM621" s="829"/>
      <c r="AN621" s="829"/>
      <c r="AO621" s="829"/>
      <c r="AP621" s="829"/>
      <c r="AQ621" s="829"/>
      <c r="AR621" s="829"/>
      <c r="AS621" s="829"/>
      <c r="AT621" s="829"/>
      <c r="AU621" s="829"/>
      <c r="AV621" s="829"/>
      <c r="AW621" s="837"/>
      <c r="AX621" s="837"/>
      <c r="AY621" s="837"/>
      <c r="AZ621" s="822"/>
      <c r="BA621" s="822"/>
      <c r="BB621" s="822"/>
      <c r="BC621" s="822"/>
      <c r="BD621" s="822"/>
      <c r="BE621" s="822"/>
      <c r="BF621" s="822"/>
      <c r="BG621" s="822"/>
    </row>
    <row r="622" spans="26:59" ht="12" customHeight="1" x14ac:dyDescent="0.2">
      <c r="Z622" s="837"/>
      <c r="AB622" s="829"/>
      <c r="AC622" s="2075"/>
      <c r="AD622" s="2075"/>
      <c r="AE622" s="2075"/>
      <c r="AF622" s="2075"/>
      <c r="AG622" s="2075"/>
      <c r="AH622" s="2075"/>
      <c r="AI622" s="2075"/>
      <c r="AJ622" s="2075"/>
      <c r="AK622" s="2075"/>
      <c r="AL622" s="2075"/>
      <c r="AM622" s="829"/>
      <c r="AN622" s="829"/>
      <c r="AO622" s="829"/>
      <c r="AP622" s="829"/>
      <c r="AQ622" s="829"/>
      <c r="AR622" s="829"/>
      <c r="AS622" s="829"/>
      <c r="AT622" s="829"/>
      <c r="AU622" s="829"/>
      <c r="AV622" s="829"/>
      <c r="AW622" s="837"/>
      <c r="AX622" s="837"/>
      <c r="AY622" s="837"/>
      <c r="AZ622" s="822"/>
      <c r="BA622" s="822"/>
      <c r="BB622" s="822"/>
      <c r="BC622" s="822"/>
      <c r="BD622" s="822"/>
      <c r="BE622" s="822"/>
      <c r="BF622" s="822"/>
      <c r="BG622" s="822"/>
    </row>
    <row r="623" spans="26:59" ht="12" customHeight="1" x14ac:dyDescent="0.2">
      <c r="Z623" s="837"/>
      <c r="AB623" s="829"/>
      <c r="AC623" s="2075"/>
      <c r="AD623" s="2075"/>
      <c r="AE623" s="2075"/>
      <c r="AF623" s="2075"/>
      <c r="AG623" s="2075"/>
      <c r="AH623" s="2075"/>
      <c r="AI623" s="2075"/>
      <c r="AJ623" s="2075"/>
      <c r="AK623" s="2075"/>
      <c r="AL623" s="2075"/>
      <c r="AM623" s="829"/>
      <c r="AN623" s="829"/>
      <c r="AO623" s="829"/>
      <c r="AP623" s="829"/>
      <c r="AQ623" s="829"/>
      <c r="AR623" s="829"/>
      <c r="AS623" s="829"/>
      <c r="AT623" s="829"/>
      <c r="AU623" s="829"/>
      <c r="AV623" s="829"/>
      <c r="AW623" s="837"/>
      <c r="AX623" s="837"/>
      <c r="AY623" s="837"/>
      <c r="AZ623" s="822"/>
      <c r="BA623" s="822"/>
      <c r="BB623" s="822"/>
      <c r="BC623" s="822"/>
      <c r="BD623" s="822"/>
      <c r="BE623" s="822"/>
      <c r="BF623" s="822"/>
      <c r="BG623" s="822"/>
    </row>
    <row r="624" spans="26:59" ht="12" customHeight="1" x14ac:dyDescent="0.2">
      <c r="Z624" s="837"/>
      <c r="AB624" s="829"/>
      <c r="AC624" s="2075"/>
      <c r="AD624" s="2075"/>
      <c r="AE624" s="2075"/>
      <c r="AF624" s="2075"/>
      <c r="AG624" s="2075"/>
      <c r="AH624" s="2075"/>
      <c r="AI624" s="2075"/>
      <c r="AJ624" s="2075"/>
      <c r="AK624" s="2075"/>
      <c r="AL624" s="2075"/>
      <c r="AM624" s="829"/>
      <c r="AN624" s="829"/>
      <c r="AO624" s="829"/>
      <c r="AP624" s="829"/>
      <c r="AQ624" s="829"/>
      <c r="AR624" s="829"/>
      <c r="AS624" s="829"/>
      <c r="AT624" s="829"/>
      <c r="AU624" s="829"/>
      <c r="AV624" s="829"/>
      <c r="AW624" s="837"/>
      <c r="AX624" s="837"/>
      <c r="AY624" s="837"/>
      <c r="AZ624" s="822"/>
      <c r="BA624" s="822"/>
      <c r="BB624" s="822"/>
      <c r="BC624" s="822"/>
      <c r="BD624" s="822"/>
      <c r="BE624" s="822"/>
      <c r="BF624" s="822"/>
      <c r="BG624" s="822"/>
    </row>
    <row r="625" spans="26:59" ht="12" customHeight="1" x14ac:dyDescent="0.2">
      <c r="Z625" s="837"/>
      <c r="AB625" s="829"/>
      <c r="AC625" s="2075"/>
      <c r="AD625" s="2075"/>
      <c r="AE625" s="2075"/>
      <c r="AF625" s="2075"/>
      <c r="AG625" s="2075"/>
      <c r="AH625" s="2075"/>
      <c r="AI625" s="2075"/>
      <c r="AJ625" s="2075"/>
      <c r="AK625" s="2075"/>
      <c r="AL625" s="2075"/>
      <c r="AM625" s="829"/>
      <c r="AN625" s="829"/>
      <c r="AO625" s="829"/>
      <c r="AP625" s="829"/>
      <c r="AQ625" s="829"/>
      <c r="AR625" s="829"/>
      <c r="AS625" s="829"/>
      <c r="AT625" s="829"/>
      <c r="AU625" s="829"/>
      <c r="AV625" s="829"/>
      <c r="AW625" s="837"/>
      <c r="AX625" s="837"/>
      <c r="AY625" s="837"/>
      <c r="AZ625" s="822"/>
      <c r="BA625" s="822"/>
      <c r="BB625" s="822"/>
      <c r="BC625" s="822"/>
      <c r="BD625" s="822"/>
      <c r="BE625" s="822"/>
      <c r="BF625" s="822"/>
      <c r="BG625" s="822"/>
    </row>
    <row r="626" spans="26:59" ht="12" customHeight="1" x14ac:dyDescent="0.2">
      <c r="Z626" s="837"/>
      <c r="AB626" s="829"/>
      <c r="AC626" s="2075"/>
      <c r="AD626" s="2075"/>
      <c r="AE626" s="2075"/>
      <c r="AF626" s="2075"/>
      <c r="AG626" s="2075"/>
      <c r="AH626" s="2075"/>
      <c r="AI626" s="2075"/>
      <c r="AJ626" s="2075"/>
      <c r="AK626" s="2075"/>
      <c r="AL626" s="2075"/>
      <c r="AM626" s="829"/>
      <c r="AN626" s="829"/>
      <c r="AO626" s="829"/>
      <c r="AP626" s="829"/>
      <c r="AQ626" s="829"/>
      <c r="AR626" s="829"/>
      <c r="AS626" s="829"/>
      <c r="AT626" s="829"/>
      <c r="AU626" s="829"/>
      <c r="AV626" s="829"/>
      <c r="AW626" s="837"/>
      <c r="AX626" s="837"/>
      <c r="AY626" s="837"/>
      <c r="AZ626" s="822"/>
      <c r="BA626" s="822"/>
      <c r="BB626" s="822"/>
      <c r="BC626" s="822"/>
      <c r="BD626" s="822"/>
      <c r="BE626" s="822"/>
      <c r="BF626" s="822"/>
      <c r="BG626" s="822"/>
    </row>
    <row r="627" spans="26:59" ht="12" customHeight="1" x14ac:dyDescent="0.2">
      <c r="Z627" s="837"/>
      <c r="AB627" s="829"/>
      <c r="AC627" s="2075"/>
      <c r="AD627" s="2075"/>
      <c r="AE627" s="2075"/>
      <c r="AF627" s="2075"/>
      <c r="AG627" s="2075"/>
      <c r="AH627" s="2075"/>
      <c r="AI627" s="2075"/>
      <c r="AJ627" s="2075"/>
      <c r="AK627" s="2075"/>
      <c r="AL627" s="2075"/>
      <c r="AM627" s="829"/>
      <c r="AN627" s="829"/>
      <c r="AO627" s="829"/>
      <c r="AP627" s="829"/>
      <c r="AQ627" s="829"/>
      <c r="AR627" s="829"/>
      <c r="AS627" s="829"/>
      <c r="AT627" s="829"/>
      <c r="AU627" s="829"/>
      <c r="AV627" s="829"/>
      <c r="AW627" s="837"/>
      <c r="AX627" s="837"/>
      <c r="AY627" s="837"/>
      <c r="AZ627" s="822"/>
      <c r="BA627" s="822"/>
      <c r="BB627" s="822"/>
      <c r="BC627" s="822"/>
      <c r="BD627" s="822"/>
      <c r="BE627" s="822"/>
      <c r="BF627" s="822"/>
      <c r="BG627" s="822"/>
    </row>
    <row r="628" spans="26:59" ht="12" customHeight="1" x14ac:dyDescent="0.2">
      <c r="Z628" s="837"/>
      <c r="AB628" s="829"/>
      <c r="AC628" s="2075"/>
      <c r="AD628" s="2075"/>
      <c r="AE628" s="2075"/>
      <c r="AF628" s="2075"/>
      <c r="AG628" s="2075"/>
      <c r="AH628" s="2075"/>
      <c r="AI628" s="2075"/>
      <c r="AJ628" s="2075"/>
      <c r="AK628" s="2075"/>
      <c r="AL628" s="2075"/>
      <c r="AM628" s="829"/>
      <c r="AN628" s="829"/>
      <c r="AO628" s="829"/>
      <c r="AP628" s="829"/>
      <c r="AQ628" s="829"/>
      <c r="AR628" s="829"/>
      <c r="AS628" s="829"/>
      <c r="AT628" s="829"/>
      <c r="AU628" s="829"/>
      <c r="AV628" s="829"/>
      <c r="AW628" s="837"/>
      <c r="AX628" s="837"/>
      <c r="AY628" s="837"/>
      <c r="AZ628" s="822"/>
      <c r="BA628" s="822"/>
      <c r="BB628" s="822"/>
      <c r="BC628" s="822"/>
      <c r="BD628" s="822"/>
      <c r="BE628" s="822"/>
      <c r="BF628" s="822"/>
      <c r="BG628" s="822"/>
    </row>
    <row r="629" spans="26:59" ht="12" customHeight="1" x14ac:dyDescent="0.2">
      <c r="Z629" s="837"/>
      <c r="AB629" s="829"/>
      <c r="AC629" s="2075"/>
      <c r="AD629" s="2075"/>
      <c r="AE629" s="2075"/>
      <c r="AF629" s="2075"/>
      <c r="AG629" s="2075"/>
      <c r="AH629" s="2075"/>
      <c r="AI629" s="2075"/>
      <c r="AJ629" s="2075"/>
      <c r="AK629" s="2075"/>
      <c r="AL629" s="2075"/>
      <c r="AM629" s="829"/>
      <c r="AN629" s="829"/>
      <c r="AO629" s="829"/>
      <c r="AP629" s="829"/>
      <c r="AQ629" s="829"/>
      <c r="AR629" s="829"/>
      <c r="AS629" s="829"/>
      <c r="AT629" s="829"/>
      <c r="AU629" s="829"/>
      <c r="AV629" s="829"/>
      <c r="AW629" s="837"/>
      <c r="AX629" s="837"/>
      <c r="AY629" s="837"/>
      <c r="AZ629" s="822"/>
      <c r="BA629" s="822"/>
      <c r="BB629" s="822"/>
      <c r="BC629" s="822"/>
      <c r="BD629" s="822"/>
      <c r="BE629" s="822"/>
      <c r="BF629" s="822"/>
      <c r="BG629" s="822"/>
    </row>
    <row r="630" spans="26:59" ht="12" customHeight="1" x14ac:dyDescent="0.2">
      <c r="Z630" s="837"/>
      <c r="AB630" s="829"/>
      <c r="AC630" s="2075"/>
      <c r="AD630" s="2075"/>
      <c r="AE630" s="2075"/>
      <c r="AF630" s="2075"/>
      <c r="AG630" s="2075"/>
      <c r="AH630" s="2075"/>
      <c r="AI630" s="2075"/>
      <c r="AJ630" s="2075"/>
      <c r="AK630" s="2075"/>
      <c r="AL630" s="2075"/>
      <c r="AM630" s="829"/>
      <c r="AN630" s="829"/>
      <c r="AO630" s="829"/>
      <c r="AP630" s="829"/>
      <c r="AQ630" s="829"/>
      <c r="AR630" s="829"/>
      <c r="AS630" s="829"/>
      <c r="AT630" s="829"/>
      <c r="AU630" s="829"/>
      <c r="AV630" s="829"/>
      <c r="AW630" s="837"/>
      <c r="AX630" s="837"/>
      <c r="AY630" s="837"/>
      <c r="AZ630" s="822"/>
      <c r="BA630" s="822"/>
      <c r="BB630" s="822"/>
      <c r="BC630" s="822"/>
      <c r="BD630" s="822"/>
      <c r="BE630" s="822"/>
      <c r="BF630" s="822"/>
      <c r="BG630" s="822"/>
    </row>
    <row r="631" spans="26:59" ht="12" customHeight="1" x14ac:dyDescent="0.2">
      <c r="Z631" s="837"/>
      <c r="AB631" s="829"/>
      <c r="AC631" s="2075"/>
      <c r="AD631" s="2075"/>
      <c r="AE631" s="2075"/>
      <c r="AF631" s="2075"/>
      <c r="AG631" s="2075"/>
      <c r="AH631" s="2075"/>
      <c r="AI631" s="2075"/>
      <c r="AJ631" s="2075"/>
      <c r="AK631" s="2075"/>
      <c r="AL631" s="2075"/>
      <c r="AM631" s="829"/>
      <c r="AN631" s="829"/>
      <c r="AO631" s="829"/>
      <c r="AP631" s="829"/>
      <c r="AQ631" s="829"/>
      <c r="AR631" s="829"/>
      <c r="AS631" s="829"/>
      <c r="AT631" s="829"/>
      <c r="AU631" s="829"/>
      <c r="AV631" s="829"/>
      <c r="AW631" s="837"/>
      <c r="AX631" s="837"/>
      <c r="AY631" s="837"/>
      <c r="AZ631" s="822"/>
      <c r="BA631" s="822"/>
      <c r="BB631" s="822"/>
      <c r="BC631" s="822"/>
      <c r="BD631" s="822"/>
      <c r="BE631" s="822"/>
      <c r="BF631" s="822"/>
      <c r="BG631" s="822"/>
    </row>
    <row r="632" spans="26:59" ht="12" customHeight="1" x14ac:dyDescent="0.2">
      <c r="Z632" s="837"/>
      <c r="AB632" s="829"/>
      <c r="AC632" s="2075"/>
      <c r="AD632" s="2075"/>
      <c r="AE632" s="2075"/>
      <c r="AF632" s="2075"/>
      <c r="AG632" s="2075"/>
      <c r="AH632" s="2075"/>
      <c r="AI632" s="2075"/>
      <c r="AJ632" s="2075"/>
      <c r="AK632" s="2075"/>
      <c r="AL632" s="2075"/>
      <c r="AM632" s="829"/>
      <c r="AN632" s="829"/>
      <c r="AO632" s="829"/>
      <c r="AP632" s="829"/>
      <c r="AQ632" s="829"/>
      <c r="AR632" s="829"/>
      <c r="AS632" s="829"/>
      <c r="AT632" s="829"/>
      <c r="AU632" s="829"/>
      <c r="AV632" s="829"/>
      <c r="AW632" s="837"/>
      <c r="AX632" s="837"/>
      <c r="AY632" s="837"/>
      <c r="AZ632" s="822"/>
      <c r="BA632" s="822"/>
      <c r="BB632" s="822"/>
      <c r="BC632" s="822"/>
      <c r="BD632" s="822"/>
      <c r="BE632" s="822"/>
      <c r="BF632" s="822"/>
      <c r="BG632" s="822"/>
    </row>
    <row r="633" spans="26:59" ht="12" customHeight="1" x14ac:dyDescent="0.2">
      <c r="Z633" s="837"/>
      <c r="AB633" s="829"/>
      <c r="AC633" s="2075"/>
      <c r="AD633" s="2075"/>
      <c r="AE633" s="2075"/>
      <c r="AF633" s="2075"/>
      <c r="AG633" s="2075"/>
      <c r="AH633" s="2075"/>
      <c r="AI633" s="2075"/>
      <c r="AJ633" s="2075"/>
      <c r="AK633" s="2075"/>
      <c r="AL633" s="2075"/>
      <c r="AM633" s="829"/>
      <c r="AN633" s="829"/>
      <c r="AO633" s="829"/>
      <c r="AP633" s="829"/>
      <c r="AQ633" s="829"/>
      <c r="AR633" s="829"/>
      <c r="AS633" s="829"/>
      <c r="AT633" s="829"/>
      <c r="AU633" s="829"/>
      <c r="AV633" s="829"/>
      <c r="AW633" s="837"/>
      <c r="AX633" s="837"/>
      <c r="AY633" s="837"/>
      <c r="AZ633" s="822"/>
      <c r="BA633" s="822"/>
      <c r="BB633" s="822"/>
      <c r="BC633" s="822"/>
      <c r="BD633" s="822"/>
      <c r="BE633" s="822"/>
      <c r="BF633" s="822"/>
      <c r="BG633" s="822"/>
    </row>
    <row r="634" spans="26:59" ht="12" customHeight="1" x14ac:dyDescent="0.2">
      <c r="Z634" s="837"/>
      <c r="AB634" s="829"/>
      <c r="AC634" s="2075"/>
      <c r="AD634" s="2075"/>
      <c r="AE634" s="2075"/>
      <c r="AF634" s="2075"/>
      <c r="AG634" s="2075"/>
      <c r="AH634" s="2075"/>
      <c r="AI634" s="2075"/>
      <c r="AJ634" s="2075"/>
      <c r="AK634" s="2075"/>
      <c r="AL634" s="2075"/>
      <c r="AM634" s="829"/>
      <c r="AN634" s="829"/>
      <c r="AO634" s="829"/>
      <c r="AP634" s="829"/>
      <c r="AQ634" s="829"/>
      <c r="AR634" s="829"/>
      <c r="AS634" s="829"/>
      <c r="AT634" s="829"/>
      <c r="AU634" s="829"/>
      <c r="AV634" s="829"/>
      <c r="AW634" s="837"/>
      <c r="AX634" s="837"/>
      <c r="AY634" s="837"/>
      <c r="AZ634" s="822"/>
      <c r="BA634" s="822"/>
      <c r="BB634" s="822"/>
      <c r="BC634" s="822"/>
      <c r="BD634" s="822"/>
      <c r="BE634" s="822"/>
      <c r="BF634" s="822"/>
      <c r="BG634" s="822"/>
    </row>
    <row r="635" spans="26:59" ht="12" customHeight="1" x14ac:dyDescent="0.2">
      <c r="Z635" s="837"/>
      <c r="AB635" s="829"/>
      <c r="AC635" s="2075"/>
      <c r="AD635" s="2075"/>
      <c r="AE635" s="2075"/>
      <c r="AF635" s="2075"/>
      <c r="AG635" s="2075"/>
      <c r="AH635" s="2075"/>
      <c r="AI635" s="2075"/>
      <c r="AJ635" s="2075"/>
      <c r="AK635" s="2075"/>
      <c r="AL635" s="2075"/>
      <c r="AM635" s="829"/>
      <c r="AN635" s="829"/>
      <c r="AO635" s="829"/>
      <c r="AP635" s="829"/>
      <c r="AQ635" s="829"/>
      <c r="AR635" s="829"/>
      <c r="AS635" s="829"/>
      <c r="AT635" s="829"/>
      <c r="AU635" s="829"/>
      <c r="AV635" s="829"/>
      <c r="AW635" s="837"/>
      <c r="AX635" s="837"/>
      <c r="AY635" s="837"/>
      <c r="AZ635" s="822"/>
      <c r="BA635" s="822"/>
      <c r="BB635" s="822"/>
      <c r="BC635" s="822"/>
      <c r="BD635" s="822"/>
      <c r="BE635" s="822"/>
      <c r="BF635" s="822"/>
      <c r="BG635" s="822"/>
    </row>
    <row r="636" spans="26:59" ht="12" customHeight="1" x14ac:dyDescent="0.2">
      <c r="Z636" s="837"/>
      <c r="AB636" s="829"/>
      <c r="AC636" s="2075"/>
      <c r="AD636" s="2075"/>
      <c r="AE636" s="2075"/>
      <c r="AF636" s="2075"/>
      <c r="AG636" s="2075"/>
      <c r="AH636" s="2075"/>
      <c r="AI636" s="2075"/>
      <c r="AJ636" s="2075"/>
      <c r="AK636" s="2075"/>
      <c r="AL636" s="2075"/>
      <c r="AM636" s="829"/>
      <c r="AN636" s="829"/>
      <c r="AO636" s="829"/>
      <c r="AP636" s="829"/>
      <c r="AQ636" s="829"/>
      <c r="AR636" s="829"/>
      <c r="AS636" s="829"/>
      <c r="AT636" s="829"/>
      <c r="AU636" s="829"/>
      <c r="AV636" s="829"/>
      <c r="AW636" s="837"/>
      <c r="AX636" s="837"/>
      <c r="AY636" s="837"/>
      <c r="AZ636" s="822"/>
      <c r="BA636" s="822"/>
      <c r="BB636" s="822"/>
      <c r="BC636" s="822"/>
      <c r="BD636" s="822"/>
      <c r="BE636" s="822"/>
      <c r="BF636" s="822"/>
      <c r="BG636" s="822"/>
    </row>
    <row r="637" spans="26:59" ht="12" customHeight="1" x14ac:dyDescent="0.2">
      <c r="Z637" s="837"/>
      <c r="AB637" s="829"/>
      <c r="AC637" s="2075"/>
      <c r="AD637" s="2075"/>
      <c r="AE637" s="2075"/>
      <c r="AF637" s="2075"/>
      <c r="AG637" s="2075"/>
      <c r="AH637" s="2075"/>
      <c r="AI637" s="2075"/>
      <c r="AJ637" s="2075"/>
      <c r="AK637" s="2075"/>
      <c r="AL637" s="2075"/>
      <c r="AM637" s="829"/>
      <c r="AN637" s="829"/>
      <c r="AO637" s="829"/>
      <c r="AP637" s="829"/>
      <c r="AQ637" s="829"/>
      <c r="AR637" s="829"/>
      <c r="AS637" s="829"/>
      <c r="AT637" s="829"/>
      <c r="AU637" s="829"/>
      <c r="AV637" s="829"/>
      <c r="AW637" s="837"/>
      <c r="AX637" s="837"/>
      <c r="AY637" s="837"/>
      <c r="AZ637" s="822"/>
      <c r="BA637" s="822"/>
      <c r="BB637" s="822"/>
      <c r="BC637" s="822"/>
      <c r="BD637" s="822"/>
      <c r="BE637" s="822"/>
      <c r="BF637" s="822"/>
      <c r="BG637" s="822"/>
    </row>
    <row r="638" spans="26:59" ht="12" customHeight="1" x14ac:dyDescent="0.2">
      <c r="Z638" s="837"/>
      <c r="AB638" s="829"/>
      <c r="AC638" s="2075"/>
      <c r="AD638" s="2075"/>
      <c r="AE638" s="2075"/>
      <c r="AF638" s="2075"/>
      <c r="AG638" s="2075"/>
      <c r="AH638" s="2075"/>
      <c r="AI638" s="2075"/>
      <c r="AJ638" s="2075"/>
      <c r="AK638" s="2075"/>
      <c r="AL638" s="2075"/>
      <c r="AM638" s="829"/>
      <c r="AN638" s="829"/>
      <c r="AO638" s="829"/>
      <c r="AP638" s="829"/>
      <c r="AQ638" s="829"/>
      <c r="AR638" s="829"/>
      <c r="AS638" s="829"/>
      <c r="AT638" s="829"/>
      <c r="AU638" s="829"/>
      <c r="AV638" s="829"/>
      <c r="AW638" s="837"/>
      <c r="AX638" s="837"/>
      <c r="AY638" s="837"/>
      <c r="AZ638" s="822"/>
      <c r="BA638" s="822"/>
      <c r="BB638" s="822"/>
      <c r="BC638" s="822"/>
      <c r="BD638" s="822"/>
      <c r="BE638" s="822"/>
      <c r="BF638" s="822"/>
      <c r="BG638" s="822"/>
    </row>
    <row r="639" spans="26:59" ht="12" customHeight="1" x14ac:dyDescent="0.2">
      <c r="Z639" s="837"/>
      <c r="AB639" s="829"/>
      <c r="AC639" s="2075"/>
      <c r="AD639" s="2075"/>
      <c r="AE639" s="2075"/>
      <c r="AF639" s="2075"/>
      <c r="AG639" s="2075"/>
      <c r="AH639" s="2075"/>
      <c r="AI639" s="2075"/>
      <c r="AJ639" s="2075"/>
      <c r="AK639" s="2075"/>
      <c r="AL639" s="2075"/>
      <c r="AM639" s="829"/>
      <c r="AN639" s="829"/>
      <c r="AO639" s="829"/>
      <c r="AP639" s="829"/>
      <c r="AQ639" s="829"/>
      <c r="AR639" s="829"/>
      <c r="AS639" s="829"/>
      <c r="AT639" s="829"/>
      <c r="AU639" s="829"/>
      <c r="AV639" s="829"/>
      <c r="AW639" s="837"/>
      <c r="AX639" s="837"/>
      <c r="AY639" s="837"/>
      <c r="AZ639" s="822"/>
      <c r="BA639" s="822"/>
      <c r="BB639" s="822"/>
      <c r="BC639" s="822"/>
      <c r="BD639" s="822"/>
      <c r="BE639" s="822"/>
      <c r="BF639" s="822"/>
      <c r="BG639" s="822"/>
    </row>
    <row r="640" spans="26:59" ht="12" customHeight="1" x14ac:dyDescent="0.2">
      <c r="Z640" s="837"/>
      <c r="AB640" s="829"/>
      <c r="AC640" s="2075"/>
      <c r="AD640" s="2075"/>
      <c r="AE640" s="2075"/>
      <c r="AF640" s="2075"/>
      <c r="AG640" s="2075"/>
      <c r="AH640" s="2075"/>
      <c r="AI640" s="2075"/>
      <c r="AJ640" s="2075"/>
      <c r="AK640" s="2075"/>
      <c r="AL640" s="2075"/>
      <c r="AM640" s="829"/>
      <c r="AN640" s="829"/>
      <c r="AO640" s="829"/>
      <c r="AP640" s="829"/>
      <c r="AQ640" s="829"/>
      <c r="AR640" s="829"/>
      <c r="AS640" s="829"/>
      <c r="AT640" s="829"/>
      <c r="AU640" s="829"/>
      <c r="AV640" s="829"/>
      <c r="AW640" s="837"/>
      <c r="AX640" s="837"/>
      <c r="AY640" s="837"/>
      <c r="AZ640" s="822"/>
      <c r="BA640" s="822"/>
      <c r="BB640" s="822"/>
      <c r="BC640" s="822"/>
      <c r="BD640" s="822"/>
      <c r="BE640" s="822"/>
      <c r="BF640" s="822"/>
      <c r="BG640" s="822"/>
    </row>
    <row r="641" spans="26:59" ht="12" customHeight="1" x14ac:dyDescent="0.2">
      <c r="Z641" s="837"/>
      <c r="AB641" s="829"/>
      <c r="AC641" s="2075"/>
      <c r="AD641" s="2075"/>
      <c r="AE641" s="2075"/>
      <c r="AF641" s="2075"/>
      <c r="AG641" s="2075"/>
      <c r="AH641" s="2075"/>
      <c r="AI641" s="2075"/>
      <c r="AJ641" s="2075"/>
      <c r="AK641" s="2075"/>
      <c r="AL641" s="2075"/>
      <c r="AM641" s="829"/>
      <c r="AN641" s="829"/>
      <c r="AO641" s="829"/>
      <c r="AP641" s="829"/>
      <c r="AQ641" s="829"/>
      <c r="AR641" s="829"/>
      <c r="AS641" s="829"/>
      <c r="AT641" s="829"/>
      <c r="AU641" s="829"/>
      <c r="AV641" s="829"/>
      <c r="AW641" s="837"/>
      <c r="AX641" s="837"/>
      <c r="AY641" s="837"/>
      <c r="AZ641" s="822"/>
      <c r="BA641" s="822"/>
      <c r="BB641" s="822"/>
      <c r="BC641" s="822"/>
      <c r="BD641" s="822"/>
      <c r="BE641" s="822"/>
      <c r="BF641" s="822"/>
      <c r="BG641" s="822"/>
    </row>
    <row r="642" spans="26:59" ht="12" customHeight="1" x14ac:dyDescent="0.2">
      <c r="Z642" s="837"/>
      <c r="AB642" s="829"/>
      <c r="AC642" s="2075"/>
      <c r="AD642" s="2075"/>
      <c r="AE642" s="2075"/>
      <c r="AF642" s="2075"/>
      <c r="AG642" s="2075"/>
      <c r="AH642" s="2075"/>
      <c r="AI642" s="2075"/>
      <c r="AJ642" s="2075"/>
      <c r="AK642" s="2075"/>
      <c r="AL642" s="2075"/>
      <c r="AM642" s="829"/>
      <c r="AN642" s="829"/>
      <c r="AO642" s="829"/>
      <c r="AP642" s="829"/>
      <c r="AQ642" s="829"/>
      <c r="AR642" s="829"/>
      <c r="AS642" s="829"/>
      <c r="AT642" s="829"/>
      <c r="AU642" s="829"/>
      <c r="AV642" s="829"/>
      <c r="AW642" s="837"/>
      <c r="AX642" s="837"/>
      <c r="AY642" s="837"/>
      <c r="AZ642" s="822"/>
      <c r="BA642" s="822"/>
      <c r="BB642" s="822"/>
      <c r="BC642" s="822"/>
      <c r="BD642" s="822"/>
      <c r="BE642" s="822"/>
      <c r="BF642" s="822"/>
      <c r="BG642" s="822"/>
    </row>
    <row r="643" spans="26:59" ht="12" customHeight="1" x14ac:dyDescent="0.2">
      <c r="Z643" s="837"/>
      <c r="AB643" s="829"/>
      <c r="AC643" s="2075"/>
      <c r="AD643" s="2075"/>
      <c r="AE643" s="2075"/>
      <c r="AF643" s="2075"/>
      <c r="AG643" s="2075"/>
      <c r="AH643" s="2075"/>
      <c r="AI643" s="2075"/>
      <c r="AJ643" s="2075"/>
      <c r="AK643" s="2075"/>
      <c r="AL643" s="2075"/>
      <c r="AM643" s="829"/>
      <c r="AN643" s="829"/>
      <c r="AO643" s="829"/>
      <c r="AP643" s="829"/>
      <c r="AQ643" s="829"/>
      <c r="AR643" s="829"/>
      <c r="AS643" s="829"/>
      <c r="AT643" s="829"/>
      <c r="AU643" s="829"/>
      <c r="AV643" s="829"/>
      <c r="AW643" s="837"/>
      <c r="AX643" s="837"/>
      <c r="AY643" s="837"/>
      <c r="AZ643" s="822"/>
      <c r="BA643" s="822"/>
      <c r="BB643" s="822"/>
      <c r="BC643" s="822"/>
      <c r="BD643" s="822"/>
      <c r="BE643" s="822"/>
      <c r="BF643" s="822"/>
      <c r="BG643" s="822"/>
    </row>
    <row r="644" spans="26:59" ht="12" customHeight="1" x14ac:dyDescent="0.2">
      <c r="Z644" s="837"/>
      <c r="AB644" s="829"/>
      <c r="AC644" s="2075"/>
      <c r="AD644" s="2075"/>
      <c r="AE644" s="2075"/>
      <c r="AF644" s="2075"/>
      <c r="AG644" s="2075"/>
      <c r="AH644" s="2075"/>
      <c r="AI644" s="2075"/>
      <c r="AJ644" s="2075"/>
      <c r="AK644" s="2075"/>
      <c r="AL644" s="2075"/>
      <c r="AM644" s="829"/>
      <c r="AN644" s="829"/>
      <c r="AO644" s="829"/>
      <c r="AP644" s="829"/>
      <c r="AQ644" s="829"/>
      <c r="AR644" s="829"/>
      <c r="AS644" s="829"/>
      <c r="AT644" s="829"/>
      <c r="AU644" s="829"/>
      <c r="AV644" s="829"/>
      <c r="AW644" s="837"/>
      <c r="AX644" s="837"/>
      <c r="AY644" s="837"/>
      <c r="AZ644" s="822"/>
      <c r="BA644" s="822"/>
      <c r="BB644" s="822"/>
      <c r="BC644" s="822"/>
      <c r="BD644" s="822"/>
      <c r="BE644" s="822"/>
      <c r="BF644" s="822"/>
      <c r="BG644" s="822"/>
    </row>
    <row r="645" spans="26:59" ht="12" customHeight="1" x14ac:dyDescent="0.2">
      <c r="Z645" s="837"/>
      <c r="AB645" s="829"/>
      <c r="AC645" s="2075"/>
      <c r="AD645" s="2075"/>
      <c r="AE645" s="2075"/>
      <c r="AF645" s="2075"/>
      <c r="AG645" s="2075"/>
      <c r="AH645" s="2075"/>
      <c r="AI645" s="2075"/>
      <c r="AJ645" s="2075"/>
      <c r="AK645" s="2075"/>
      <c r="AL645" s="2075"/>
      <c r="AM645" s="829"/>
      <c r="AN645" s="829"/>
      <c r="AO645" s="829"/>
      <c r="AP645" s="829"/>
      <c r="AQ645" s="829"/>
      <c r="AR645" s="829"/>
      <c r="AS645" s="829"/>
      <c r="AT645" s="829"/>
      <c r="AU645" s="829"/>
      <c r="AV645" s="829"/>
      <c r="AW645" s="837"/>
      <c r="AX645" s="837"/>
      <c r="AY645" s="837"/>
      <c r="AZ645" s="822"/>
      <c r="BA645" s="822"/>
      <c r="BB645" s="822"/>
      <c r="BC645" s="822"/>
      <c r="BD645" s="822"/>
      <c r="BE645" s="822"/>
      <c r="BF645" s="822"/>
      <c r="BG645" s="822"/>
    </row>
    <row r="646" spans="26:59" ht="12" customHeight="1" x14ac:dyDescent="0.2">
      <c r="Z646" s="837"/>
      <c r="AB646" s="829"/>
      <c r="AC646" s="2075"/>
      <c r="AD646" s="2075"/>
      <c r="AE646" s="2075"/>
      <c r="AF646" s="2075"/>
      <c r="AG646" s="2075"/>
      <c r="AH646" s="2075"/>
      <c r="AI646" s="2075"/>
      <c r="AJ646" s="2075"/>
      <c r="AK646" s="2075"/>
      <c r="AL646" s="2075"/>
      <c r="AM646" s="829"/>
      <c r="AN646" s="829"/>
      <c r="AO646" s="829"/>
      <c r="AP646" s="829"/>
      <c r="AQ646" s="829"/>
      <c r="AR646" s="829"/>
      <c r="AS646" s="829"/>
      <c r="AT646" s="829"/>
      <c r="AU646" s="829"/>
      <c r="AV646" s="829"/>
      <c r="AW646" s="837"/>
      <c r="AX646" s="837"/>
      <c r="AY646" s="837"/>
      <c r="AZ646" s="822"/>
      <c r="BA646" s="822"/>
      <c r="BB646" s="822"/>
      <c r="BC646" s="822"/>
      <c r="BD646" s="822"/>
      <c r="BE646" s="822"/>
      <c r="BF646" s="822"/>
      <c r="BG646" s="822"/>
    </row>
    <row r="647" spans="26:59" ht="12" customHeight="1" x14ac:dyDescent="0.2">
      <c r="Z647" s="837"/>
      <c r="AB647" s="829"/>
      <c r="AC647" s="2075"/>
      <c r="AD647" s="2075"/>
      <c r="AE647" s="2075"/>
      <c r="AF647" s="2075"/>
      <c r="AG647" s="2075"/>
      <c r="AH647" s="2075"/>
      <c r="AI647" s="2075"/>
      <c r="AJ647" s="2075"/>
      <c r="AK647" s="2075"/>
      <c r="AL647" s="2075"/>
      <c r="AM647" s="829"/>
      <c r="AN647" s="829"/>
      <c r="AO647" s="829"/>
      <c r="AP647" s="829"/>
      <c r="AQ647" s="829"/>
      <c r="AR647" s="829"/>
      <c r="AS647" s="829"/>
      <c r="AT647" s="829"/>
      <c r="AU647" s="829"/>
      <c r="AV647" s="829"/>
      <c r="AW647" s="837"/>
      <c r="AX647" s="837"/>
      <c r="AY647" s="837"/>
      <c r="AZ647" s="822"/>
      <c r="BA647" s="822"/>
      <c r="BB647" s="822"/>
      <c r="BC647" s="822"/>
      <c r="BD647" s="822"/>
      <c r="BE647" s="822"/>
      <c r="BF647" s="822"/>
      <c r="BG647" s="822"/>
    </row>
    <row r="648" spans="26:59" ht="12" customHeight="1" x14ac:dyDescent="0.2">
      <c r="Z648" s="837"/>
      <c r="AB648" s="829"/>
      <c r="AC648" s="2075"/>
      <c r="AD648" s="2075"/>
      <c r="AE648" s="2075"/>
      <c r="AF648" s="2075"/>
      <c r="AG648" s="2075"/>
      <c r="AH648" s="2075"/>
      <c r="AI648" s="2075"/>
      <c r="AJ648" s="2075"/>
      <c r="AK648" s="2075"/>
      <c r="AL648" s="2075"/>
      <c r="AM648" s="829"/>
      <c r="AN648" s="829"/>
      <c r="AO648" s="829"/>
      <c r="AP648" s="829"/>
      <c r="AQ648" s="829"/>
      <c r="AR648" s="829"/>
      <c r="AS648" s="829"/>
      <c r="AT648" s="829"/>
      <c r="AU648" s="829"/>
      <c r="AV648" s="829"/>
      <c r="AW648" s="837"/>
      <c r="AX648" s="837"/>
      <c r="AY648" s="837"/>
      <c r="AZ648" s="822"/>
      <c r="BA648" s="822"/>
      <c r="BB648" s="822"/>
      <c r="BC648" s="822"/>
      <c r="BD648" s="822"/>
      <c r="BE648" s="822"/>
      <c r="BF648" s="822"/>
      <c r="BG648" s="822"/>
    </row>
    <row r="649" spans="26:59" ht="12" customHeight="1" x14ac:dyDescent="0.2">
      <c r="Z649" s="837"/>
      <c r="AB649" s="829"/>
      <c r="AC649" s="2075"/>
      <c r="AD649" s="2075"/>
      <c r="AE649" s="2075"/>
      <c r="AF649" s="2075"/>
      <c r="AG649" s="2075"/>
      <c r="AH649" s="2075"/>
      <c r="AI649" s="2075"/>
      <c r="AJ649" s="2075"/>
      <c r="AK649" s="2075"/>
      <c r="AL649" s="2075"/>
      <c r="AM649" s="829"/>
      <c r="AN649" s="829"/>
      <c r="AO649" s="829"/>
      <c r="AP649" s="829"/>
      <c r="AQ649" s="829"/>
      <c r="AR649" s="829"/>
      <c r="AS649" s="829"/>
      <c r="AT649" s="829"/>
      <c r="AU649" s="829"/>
      <c r="AV649" s="829"/>
      <c r="AW649" s="837"/>
      <c r="AX649" s="837"/>
      <c r="AY649" s="837"/>
      <c r="AZ649" s="822"/>
      <c r="BA649" s="822"/>
      <c r="BB649" s="822"/>
      <c r="BC649" s="822"/>
      <c r="BD649" s="822"/>
      <c r="BE649" s="822"/>
      <c r="BF649" s="822"/>
      <c r="BG649" s="822"/>
    </row>
    <row r="650" spans="26:59" ht="12" customHeight="1" x14ac:dyDescent="0.2">
      <c r="Z650" s="837"/>
      <c r="AB650" s="829"/>
      <c r="AC650" s="2075"/>
      <c r="AD650" s="2075"/>
      <c r="AE650" s="2075"/>
      <c r="AF650" s="2075"/>
      <c r="AG650" s="2075"/>
      <c r="AH650" s="2075"/>
      <c r="AI650" s="2075"/>
      <c r="AJ650" s="2075"/>
      <c r="AK650" s="2075"/>
      <c r="AL650" s="2075"/>
      <c r="AM650" s="829"/>
      <c r="AN650" s="829"/>
      <c r="AO650" s="829"/>
      <c r="AP650" s="829"/>
      <c r="AQ650" s="829"/>
      <c r="AR650" s="829"/>
      <c r="AS650" s="829"/>
      <c r="AT650" s="829"/>
      <c r="AU650" s="829"/>
      <c r="AV650" s="829"/>
      <c r="AW650" s="837"/>
      <c r="AX650" s="837"/>
      <c r="AY650" s="837"/>
      <c r="AZ650" s="822"/>
      <c r="BA650" s="822"/>
      <c r="BB650" s="822"/>
      <c r="BC650" s="822"/>
      <c r="BD650" s="822"/>
      <c r="BE650" s="822"/>
      <c r="BF650" s="822"/>
      <c r="BG650" s="822"/>
    </row>
    <row r="651" spans="26:59" ht="12" customHeight="1" x14ac:dyDescent="0.2">
      <c r="Z651" s="837"/>
      <c r="AB651" s="829"/>
      <c r="AC651" s="2075"/>
      <c r="AD651" s="2075"/>
      <c r="AE651" s="2075"/>
      <c r="AF651" s="2075"/>
      <c r="AG651" s="2075"/>
      <c r="AH651" s="2075"/>
      <c r="AI651" s="2075"/>
      <c r="AJ651" s="2075"/>
      <c r="AK651" s="2075"/>
      <c r="AL651" s="2075"/>
      <c r="AM651" s="829"/>
      <c r="AN651" s="829"/>
      <c r="AO651" s="829"/>
      <c r="AP651" s="829"/>
      <c r="AQ651" s="829"/>
      <c r="AR651" s="829"/>
      <c r="AS651" s="829"/>
      <c r="AT651" s="829"/>
      <c r="AU651" s="829"/>
      <c r="AV651" s="829"/>
      <c r="AW651" s="837"/>
      <c r="AX651" s="837"/>
      <c r="AY651" s="837"/>
      <c r="AZ651" s="822"/>
      <c r="BA651" s="822"/>
      <c r="BB651" s="822"/>
      <c r="BC651" s="822"/>
      <c r="BD651" s="822"/>
      <c r="BE651" s="822"/>
      <c r="BF651" s="822"/>
      <c r="BG651" s="822"/>
    </row>
    <row r="652" spans="26:59" ht="12" customHeight="1" x14ac:dyDescent="0.2">
      <c r="Z652" s="837"/>
      <c r="AB652" s="829"/>
      <c r="AC652" s="2075"/>
      <c r="AD652" s="2075"/>
      <c r="AE652" s="2075"/>
      <c r="AF652" s="2075"/>
      <c r="AG652" s="2075"/>
      <c r="AH652" s="2075"/>
      <c r="AI652" s="2075"/>
      <c r="AJ652" s="2075"/>
      <c r="AK652" s="2075"/>
      <c r="AL652" s="2075"/>
      <c r="AM652" s="829"/>
      <c r="AN652" s="829"/>
      <c r="AO652" s="829"/>
      <c r="AP652" s="829"/>
      <c r="AQ652" s="829"/>
      <c r="AR652" s="829"/>
      <c r="AS652" s="829"/>
      <c r="AT652" s="829"/>
      <c r="AU652" s="829"/>
      <c r="AV652" s="829"/>
      <c r="AW652" s="837"/>
      <c r="AX652" s="837"/>
      <c r="AY652" s="837"/>
      <c r="AZ652" s="822"/>
      <c r="BA652" s="822"/>
      <c r="BB652" s="822"/>
      <c r="BC652" s="822"/>
      <c r="BD652" s="822"/>
      <c r="BE652" s="822"/>
      <c r="BF652" s="822"/>
      <c r="BG652" s="822"/>
    </row>
    <row r="653" spans="26:59" ht="12" customHeight="1" x14ac:dyDescent="0.2">
      <c r="Z653" s="837"/>
      <c r="AB653" s="829"/>
      <c r="AC653" s="2075"/>
      <c r="AD653" s="2075"/>
      <c r="AE653" s="2075"/>
      <c r="AF653" s="2075"/>
      <c r="AG653" s="2075"/>
      <c r="AH653" s="2075"/>
      <c r="AI653" s="2075"/>
      <c r="AJ653" s="2075"/>
      <c r="AK653" s="2075"/>
      <c r="AL653" s="2075"/>
      <c r="AM653" s="829"/>
      <c r="AN653" s="829"/>
      <c r="AO653" s="829"/>
      <c r="AP653" s="829"/>
      <c r="AQ653" s="829"/>
      <c r="AR653" s="829"/>
      <c r="AS653" s="829"/>
      <c r="AT653" s="829"/>
      <c r="AU653" s="829"/>
      <c r="AV653" s="829"/>
      <c r="AW653" s="837"/>
      <c r="AX653" s="837"/>
      <c r="AY653" s="837"/>
      <c r="AZ653" s="822"/>
      <c r="BA653" s="822"/>
      <c r="BB653" s="822"/>
      <c r="BC653" s="822"/>
      <c r="BD653" s="822"/>
      <c r="BE653" s="822"/>
      <c r="BF653" s="822"/>
      <c r="BG653" s="822"/>
    </row>
    <row r="654" spans="26:59" ht="12" customHeight="1" x14ac:dyDescent="0.2">
      <c r="Z654" s="837"/>
      <c r="AB654" s="829"/>
      <c r="AC654" s="2075"/>
      <c r="AD654" s="2075"/>
      <c r="AE654" s="2075"/>
      <c r="AF654" s="2075"/>
      <c r="AG654" s="2075"/>
      <c r="AH654" s="2075"/>
      <c r="AI654" s="2075"/>
      <c r="AJ654" s="2075"/>
      <c r="AK654" s="2075"/>
      <c r="AL654" s="2075"/>
      <c r="AM654" s="829"/>
      <c r="AN654" s="829"/>
      <c r="AO654" s="829"/>
      <c r="AP654" s="829"/>
      <c r="AQ654" s="829"/>
      <c r="AR654" s="829"/>
      <c r="AS654" s="829"/>
      <c r="AT654" s="829"/>
      <c r="AU654" s="829"/>
      <c r="AV654" s="829"/>
      <c r="AW654" s="837"/>
      <c r="AX654" s="837"/>
      <c r="AY654" s="837"/>
      <c r="AZ654" s="822"/>
      <c r="BA654" s="822"/>
      <c r="BB654" s="822"/>
      <c r="BC654" s="822"/>
      <c r="BD654" s="822"/>
      <c r="BE654" s="822"/>
      <c r="BF654" s="822"/>
      <c r="BG654" s="822"/>
    </row>
    <row r="655" spans="26:59" ht="12" customHeight="1" x14ac:dyDescent="0.2">
      <c r="Z655" s="837"/>
      <c r="AB655" s="829"/>
      <c r="AC655" s="2075"/>
      <c r="AD655" s="2075"/>
      <c r="AE655" s="2075"/>
      <c r="AF655" s="2075"/>
      <c r="AG655" s="2075"/>
      <c r="AH655" s="2075"/>
      <c r="AI655" s="2075"/>
      <c r="AJ655" s="2075"/>
      <c r="AK655" s="2075"/>
      <c r="AL655" s="2075"/>
      <c r="AM655" s="829"/>
      <c r="AN655" s="829"/>
      <c r="AO655" s="829"/>
      <c r="AP655" s="829"/>
      <c r="AQ655" s="829"/>
      <c r="AR655" s="829"/>
      <c r="AS655" s="829"/>
      <c r="AT655" s="829"/>
      <c r="AU655" s="829"/>
      <c r="AV655" s="829"/>
      <c r="AW655" s="837"/>
      <c r="AX655" s="837"/>
      <c r="AY655" s="837"/>
      <c r="AZ655" s="822"/>
      <c r="BA655" s="822"/>
      <c r="BB655" s="822"/>
      <c r="BC655" s="822"/>
      <c r="BD655" s="822"/>
      <c r="BE655" s="822"/>
      <c r="BF655" s="822"/>
      <c r="BG655" s="822"/>
    </row>
    <row r="656" spans="26:59" ht="12" customHeight="1" x14ac:dyDescent="0.2">
      <c r="Z656" s="837"/>
      <c r="AB656" s="829"/>
      <c r="AC656" s="2075"/>
      <c r="AD656" s="2075"/>
      <c r="AE656" s="2075"/>
      <c r="AF656" s="2075"/>
      <c r="AG656" s="2075"/>
      <c r="AH656" s="2075"/>
      <c r="AI656" s="2075"/>
      <c r="AJ656" s="2075"/>
      <c r="AK656" s="2075"/>
      <c r="AL656" s="2075"/>
      <c r="AM656" s="829"/>
      <c r="AN656" s="829"/>
      <c r="AO656" s="829"/>
      <c r="AP656" s="829"/>
      <c r="AQ656" s="829"/>
      <c r="AR656" s="829"/>
      <c r="AS656" s="829"/>
      <c r="AT656" s="829"/>
      <c r="AU656" s="829"/>
      <c r="AV656" s="829"/>
      <c r="AW656" s="837"/>
      <c r="AX656" s="837"/>
      <c r="AY656" s="837"/>
      <c r="AZ656" s="822"/>
      <c r="BA656" s="822"/>
      <c r="BB656" s="822"/>
      <c r="BC656" s="822"/>
      <c r="BD656" s="822"/>
      <c r="BE656" s="822"/>
      <c r="BF656" s="822"/>
      <c r="BG656" s="822"/>
    </row>
    <row r="657" spans="26:51" ht="12" customHeight="1" x14ac:dyDescent="0.2">
      <c r="Z657" s="837"/>
      <c r="AB657" s="829"/>
      <c r="AC657" s="2075"/>
      <c r="AD657" s="2075"/>
      <c r="AE657" s="2075"/>
      <c r="AF657" s="2075"/>
      <c r="AG657" s="2075"/>
      <c r="AH657" s="2075"/>
      <c r="AI657" s="2075"/>
      <c r="AJ657" s="2075"/>
      <c r="AK657" s="2075"/>
      <c r="AL657" s="2075"/>
      <c r="AM657" s="829"/>
      <c r="AN657" s="829"/>
      <c r="AO657" s="829"/>
      <c r="AP657" s="829"/>
      <c r="AQ657" s="829"/>
      <c r="AR657" s="829"/>
      <c r="AS657" s="829"/>
      <c r="AT657" s="829"/>
      <c r="AU657" s="829"/>
      <c r="AV657" s="829"/>
      <c r="AW657" s="837"/>
      <c r="AX657" s="837"/>
      <c r="AY657" s="837"/>
    </row>
    <row r="658" spans="26:51" ht="12" customHeight="1" x14ac:dyDescent="0.2">
      <c r="Z658" s="837"/>
      <c r="AB658" s="829"/>
      <c r="AC658" s="2075"/>
      <c r="AD658" s="2075"/>
      <c r="AE658" s="2075"/>
      <c r="AF658" s="2075"/>
      <c r="AG658" s="2075"/>
      <c r="AH658" s="2075"/>
      <c r="AI658" s="2075"/>
      <c r="AJ658" s="2075"/>
      <c r="AK658" s="2075"/>
      <c r="AL658" s="2075"/>
      <c r="AM658" s="829"/>
      <c r="AN658" s="829"/>
      <c r="AO658" s="829"/>
      <c r="AP658" s="829"/>
      <c r="AQ658" s="829"/>
      <c r="AR658" s="829"/>
      <c r="AS658" s="829"/>
      <c r="AT658" s="829"/>
      <c r="AU658" s="829"/>
      <c r="AV658" s="829"/>
      <c r="AW658" s="837"/>
      <c r="AX658" s="837"/>
      <c r="AY658" s="837"/>
    </row>
    <row r="659" spans="26:51" ht="12" customHeight="1" x14ac:dyDescent="0.2">
      <c r="Z659" s="837"/>
      <c r="AB659" s="829"/>
      <c r="AC659" s="2075"/>
      <c r="AD659" s="2075"/>
      <c r="AE659" s="2075"/>
      <c r="AF659" s="2075"/>
      <c r="AG659" s="2075"/>
      <c r="AH659" s="2075"/>
      <c r="AI659" s="2075"/>
      <c r="AJ659" s="2075"/>
      <c r="AK659" s="2075"/>
      <c r="AL659" s="2075"/>
      <c r="AM659" s="829"/>
      <c r="AN659" s="829"/>
      <c r="AO659" s="829"/>
      <c r="AP659" s="829"/>
      <c r="AQ659" s="829"/>
      <c r="AR659" s="829"/>
      <c r="AS659" s="829"/>
      <c r="AT659" s="829"/>
      <c r="AU659" s="829"/>
      <c r="AV659" s="829"/>
      <c r="AW659" s="837"/>
      <c r="AX659" s="837"/>
      <c r="AY659" s="837"/>
    </row>
    <row r="660" spans="26:51" ht="12" customHeight="1" x14ac:dyDescent="0.2">
      <c r="Z660" s="837"/>
      <c r="AB660" s="829"/>
      <c r="AC660" s="2075"/>
      <c r="AD660" s="2075"/>
      <c r="AE660" s="2075"/>
      <c r="AF660" s="2075"/>
      <c r="AG660" s="2075"/>
      <c r="AH660" s="2075"/>
      <c r="AI660" s="2075"/>
      <c r="AJ660" s="2075"/>
      <c r="AK660" s="2075"/>
      <c r="AL660" s="2075"/>
      <c r="AM660" s="829"/>
      <c r="AN660" s="829"/>
      <c r="AO660" s="829"/>
      <c r="AP660" s="829"/>
      <c r="AQ660" s="829"/>
      <c r="AR660" s="829"/>
      <c r="AS660" s="829"/>
      <c r="AT660" s="829"/>
      <c r="AU660" s="829"/>
      <c r="AV660" s="829"/>
      <c r="AW660" s="837"/>
      <c r="AX660" s="837"/>
      <c r="AY660" s="837"/>
    </row>
    <row r="661" spans="26:51" ht="12" customHeight="1" x14ac:dyDescent="0.2">
      <c r="Z661" s="837"/>
      <c r="AB661" s="829"/>
      <c r="AC661" s="2075"/>
      <c r="AD661" s="2075"/>
      <c r="AE661" s="2075"/>
      <c r="AF661" s="2075"/>
      <c r="AG661" s="2075"/>
      <c r="AH661" s="2075"/>
      <c r="AI661" s="2075"/>
      <c r="AJ661" s="2075"/>
      <c r="AK661" s="2075"/>
      <c r="AL661" s="2075"/>
      <c r="AM661" s="829"/>
      <c r="AN661" s="829"/>
      <c r="AO661" s="829"/>
      <c r="AP661" s="829"/>
      <c r="AQ661" s="829"/>
      <c r="AR661" s="829"/>
      <c r="AS661" s="829"/>
      <c r="AT661" s="829"/>
      <c r="AU661" s="829"/>
      <c r="AV661" s="829"/>
      <c r="AW661" s="837"/>
      <c r="AX661" s="837"/>
      <c r="AY661" s="837"/>
    </row>
    <row r="662" spans="26:51" ht="12" customHeight="1" x14ac:dyDescent="0.2">
      <c r="Z662" s="837"/>
      <c r="AB662" s="829"/>
      <c r="AC662" s="2075"/>
      <c r="AD662" s="2075"/>
      <c r="AE662" s="2075"/>
      <c r="AF662" s="2075"/>
      <c r="AG662" s="2075"/>
      <c r="AH662" s="2075"/>
      <c r="AI662" s="2075"/>
      <c r="AJ662" s="2075"/>
      <c r="AK662" s="2075"/>
      <c r="AL662" s="2075"/>
      <c r="AM662" s="829"/>
      <c r="AN662" s="829"/>
      <c r="AO662" s="829"/>
      <c r="AP662" s="829"/>
      <c r="AQ662" s="829"/>
      <c r="AR662" s="829"/>
      <c r="AS662" s="829"/>
      <c r="AT662" s="829"/>
      <c r="AU662" s="829"/>
      <c r="AV662" s="829"/>
      <c r="AW662" s="837"/>
      <c r="AX662" s="837"/>
      <c r="AY662" s="837"/>
    </row>
    <row r="663" spans="26:51" ht="12" customHeight="1" x14ac:dyDescent="0.2">
      <c r="Z663" s="837"/>
      <c r="AB663" s="829"/>
      <c r="AC663" s="2075"/>
      <c r="AD663" s="2075"/>
      <c r="AE663" s="2075"/>
      <c r="AF663" s="2075"/>
      <c r="AG663" s="2075"/>
      <c r="AH663" s="2075"/>
      <c r="AI663" s="2075"/>
      <c r="AJ663" s="2075"/>
      <c r="AK663" s="2075"/>
      <c r="AL663" s="2075"/>
      <c r="AM663" s="829"/>
      <c r="AN663" s="829"/>
      <c r="AO663" s="829"/>
      <c r="AP663" s="829"/>
      <c r="AQ663" s="829"/>
      <c r="AR663" s="829"/>
      <c r="AS663" s="829"/>
      <c r="AT663" s="829"/>
      <c r="AU663" s="829"/>
      <c r="AV663" s="829"/>
      <c r="AW663" s="837"/>
      <c r="AX663" s="837"/>
      <c r="AY663" s="837"/>
    </row>
    <row r="664" spans="26:51" ht="12" customHeight="1" x14ac:dyDescent="0.2">
      <c r="Z664" s="837"/>
      <c r="AB664" s="829"/>
      <c r="AC664" s="2075"/>
      <c r="AD664" s="2075"/>
      <c r="AE664" s="2075"/>
      <c r="AF664" s="2075"/>
      <c r="AG664" s="2075"/>
      <c r="AH664" s="2075"/>
      <c r="AI664" s="2075"/>
      <c r="AJ664" s="2075"/>
      <c r="AK664" s="2075"/>
      <c r="AL664" s="2075"/>
      <c r="AM664" s="829"/>
      <c r="AN664" s="829"/>
      <c r="AO664" s="829"/>
      <c r="AP664" s="829"/>
      <c r="AQ664" s="829"/>
      <c r="AR664" s="829"/>
      <c r="AS664" s="829"/>
      <c r="AT664" s="829"/>
      <c r="AU664" s="829"/>
      <c r="AV664" s="829"/>
      <c r="AW664" s="837"/>
      <c r="AX664" s="837"/>
      <c r="AY664" s="837"/>
    </row>
    <row r="665" spans="26:51" ht="12" customHeight="1" x14ac:dyDescent="0.2">
      <c r="Z665" s="837"/>
      <c r="AB665" s="829"/>
      <c r="AC665" s="2075"/>
      <c r="AD665" s="2075"/>
      <c r="AE665" s="2075"/>
      <c r="AF665" s="2075"/>
      <c r="AG665" s="2075"/>
      <c r="AH665" s="2075"/>
      <c r="AI665" s="2075"/>
      <c r="AJ665" s="2075"/>
      <c r="AK665" s="2075"/>
      <c r="AL665" s="2075"/>
      <c r="AM665" s="829"/>
      <c r="AN665" s="829"/>
      <c r="AO665" s="829"/>
      <c r="AP665" s="829"/>
      <c r="AQ665" s="829"/>
      <c r="AR665" s="829"/>
      <c r="AS665" s="829"/>
      <c r="AT665" s="829"/>
      <c r="AU665" s="829"/>
      <c r="AV665" s="829"/>
      <c r="AW665" s="837"/>
      <c r="AX665" s="837"/>
      <c r="AY665" s="837"/>
    </row>
    <row r="666" spans="26:51" ht="12" customHeight="1" x14ac:dyDescent="0.2">
      <c r="Z666" s="837"/>
      <c r="AB666" s="829"/>
      <c r="AC666" s="2075"/>
      <c r="AD666" s="2075"/>
      <c r="AE666" s="2075"/>
      <c r="AF666" s="2075"/>
      <c r="AG666" s="2075"/>
      <c r="AH666" s="2075"/>
      <c r="AI666" s="2075"/>
      <c r="AJ666" s="2075"/>
      <c r="AK666" s="2075"/>
      <c r="AL666" s="2075"/>
      <c r="AM666" s="829"/>
      <c r="AN666" s="829"/>
      <c r="AO666" s="829"/>
      <c r="AP666" s="829"/>
      <c r="AQ666" s="829"/>
      <c r="AR666" s="829"/>
      <c r="AS666" s="829"/>
      <c r="AT666" s="829"/>
      <c r="AU666" s="829"/>
      <c r="AV666" s="829"/>
      <c r="AW666" s="837"/>
      <c r="AX666" s="837"/>
      <c r="AY666" s="837"/>
    </row>
    <row r="667" spans="26:51" ht="12" customHeight="1" x14ac:dyDescent="0.2">
      <c r="Z667" s="837"/>
      <c r="AB667" s="829"/>
      <c r="AC667" s="2075"/>
      <c r="AD667" s="2075"/>
      <c r="AE667" s="2075"/>
      <c r="AF667" s="2075"/>
      <c r="AG667" s="2075"/>
      <c r="AH667" s="2075"/>
      <c r="AI667" s="2075"/>
      <c r="AJ667" s="2075"/>
      <c r="AK667" s="2075"/>
      <c r="AL667" s="2075"/>
      <c r="AM667" s="829"/>
      <c r="AN667" s="829"/>
      <c r="AO667" s="829"/>
      <c r="AP667" s="829"/>
      <c r="AQ667" s="829"/>
      <c r="AR667" s="829"/>
      <c r="AS667" s="829"/>
      <c r="AT667" s="829"/>
      <c r="AU667" s="829"/>
      <c r="AV667" s="829"/>
      <c r="AW667" s="837"/>
      <c r="AX667" s="837"/>
      <c r="AY667" s="837"/>
    </row>
    <row r="668" spans="26:51" ht="12" customHeight="1" x14ac:dyDescent="0.2">
      <c r="Z668" s="837"/>
      <c r="AB668" s="829"/>
      <c r="AC668" s="2075"/>
      <c r="AD668" s="2075"/>
      <c r="AE668" s="2075"/>
      <c r="AF668" s="2075"/>
      <c r="AG668" s="2075"/>
      <c r="AH668" s="2075"/>
      <c r="AI668" s="2075"/>
      <c r="AJ668" s="2075"/>
      <c r="AK668" s="2075"/>
      <c r="AL668" s="2075"/>
      <c r="AM668" s="829"/>
      <c r="AN668" s="829"/>
      <c r="AO668" s="829"/>
      <c r="AP668" s="829"/>
      <c r="AQ668" s="829"/>
      <c r="AR668" s="829"/>
      <c r="AS668" s="829"/>
      <c r="AT668" s="829"/>
      <c r="AU668" s="829"/>
      <c r="AV668" s="829"/>
      <c r="AW668" s="837"/>
      <c r="AX668" s="837"/>
      <c r="AY668" s="837"/>
    </row>
    <row r="669" spans="26:51" ht="12" customHeight="1" x14ac:dyDescent="0.2">
      <c r="Z669" s="837"/>
      <c r="AB669" s="829"/>
      <c r="AC669" s="2075"/>
      <c r="AD669" s="2075"/>
      <c r="AE669" s="2075"/>
      <c r="AF669" s="2075"/>
      <c r="AG669" s="2075"/>
      <c r="AH669" s="2075"/>
      <c r="AI669" s="2075"/>
      <c r="AJ669" s="2075"/>
      <c r="AK669" s="2075"/>
      <c r="AL669" s="2075"/>
      <c r="AM669" s="829"/>
      <c r="AN669" s="829"/>
      <c r="AO669" s="829"/>
      <c r="AP669" s="829"/>
      <c r="AQ669" s="829"/>
      <c r="AR669" s="829"/>
      <c r="AS669" s="829"/>
      <c r="AT669" s="829"/>
      <c r="AU669" s="829"/>
      <c r="AV669" s="829"/>
      <c r="AW669" s="837"/>
      <c r="AX669" s="837"/>
      <c r="AY669" s="837"/>
    </row>
    <row r="670" spans="26:51" ht="12" customHeight="1" x14ac:dyDescent="0.2">
      <c r="Z670" s="837"/>
      <c r="AB670" s="829"/>
      <c r="AC670" s="2075"/>
      <c r="AD670" s="2075"/>
      <c r="AE670" s="2075"/>
      <c r="AF670" s="2075"/>
      <c r="AG670" s="2075"/>
      <c r="AH670" s="2075"/>
      <c r="AI670" s="2075"/>
      <c r="AJ670" s="2075"/>
      <c r="AK670" s="2075"/>
      <c r="AL670" s="2075"/>
      <c r="AM670" s="829"/>
      <c r="AN670" s="829"/>
      <c r="AO670" s="829"/>
      <c r="AP670" s="829"/>
      <c r="AQ670" s="829"/>
      <c r="AR670" s="829"/>
      <c r="AS670" s="829"/>
      <c r="AT670" s="829"/>
      <c r="AU670" s="829"/>
      <c r="AV670" s="829"/>
      <c r="AW670" s="837"/>
      <c r="AX670" s="837"/>
      <c r="AY670" s="837"/>
    </row>
    <row r="671" spans="26:51" ht="12" customHeight="1" x14ac:dyDescent="0.2">
      <c r="Z671" s="837"/>
      <c r="AB671" s="829"/>
      <c r="AC671" s="2075"/>
      <c r="AD671" s="2075"/>
      <c r="AE671" s="2075"/>
      <c r="AF671" s="2075"/>
      <c r="AG671" s="2075"/>
      <c r="AH671" s="2075"/>
      <c r="AI671" s="2075"/>
      <c r="AJ671" s="2075"/>
      <c r="AK671" s="2075"/>
      <c r="AL671" s="2075"/>
      <c r="AM671" s="829"/>
      <c r="AN671" s="829"/>
      <c r="AO671" s="829"/>
      <c r="AP671" s="829"/>
      <c r="AQ671" s="829"/>
      <c r="AR671" s="829"/>
      <c r="AS671" s="829"/>
      <c r="AT671" s="829"/>
      <c r="AU671" s="829"/>
      <c r="AV671" s="829"/>
      <c r="AW671" s="837"/>
      <c r="AX671" s="837"/>
      <c r="AY671" s="837"/>
    </row>
    <row r="672" spans="26:51" ht="12" customHeight="1" x14ac:dyDescent="0.2">
      <c r="Z672" s="837"/>
      <c r="AB672" s="829"/>
      <c r="AC672" s="2075"/>
      <c r="AD672" s="2075"/>
      <c r="AE672" s="2075"/>
      <c r="AF672" s="2075"/>
      <c r="AG672" s="2075"/>
      <c r="AH672" s="2075"/>
      <c r="AI672" s="2075"/>
      <c r="AJ672" s="2075"/>
      <c r="AK672" s="2075"/>
      <c r="AL672" s="2075"/>
      <c r="AM672" s="829"/>
      <c r="AN672" s="829"/>
      <c r="AO672" s="829"/>
      <c r="AP672" s="829"/>
      <c r="AQ672" s="829"/>
      <c r="AR672" s="829"/>
      <c r="AS672" s="829"/>
      <c r="AT672" s="829"/>
      <c r="AU672" s="829"/>
      <c r="AV672" s="829"/>
      <c r="AW672" s="837"/>
      <c r="AX672" s="837"/>
      <c r="AY672" s="837"/>
    </row>
    <row r="673" spans="26:51" ht="12" customHeight="1" x14ac:dyDescent="0.2">
      <c r="Z673" s="837"/>
      <c r="AB673" s="829"/>
      <c r="AC673" s="2075"/>
      <c r="AD673" s="2075"/>
      <c r="AE673" s="2075"/>
      <c r="AF673" s="2075"/>
      <c r="AG673" s="2075"/>
      <c r="AH673" s="2075"/>
      <c r="AI673" s="2075"/>
      <c r="AJ673" s="2075"/>
      <c r="AK673" s="2075"/>
      <c r="AL673" s="2075"/>
      <c r="AM673" s="829"/>
      <c r="AN673" s="829"/>
      <c r="AO673" s="829"/>
      <c r="AP673" s="829"/>
      <c r="AQ673" s="829"/>
      <c r="AR673" s="829"/>
      <c r="AS673" s="829"/>
      <c r="AT673" s="829"/>
      <c r="AU673" s="829"/>
      <c r="AV673" s="829"/>
      <c r="AW673" s="837"/>
      <c r="AX673" s="837"/>
      <c r="AY673" s="837"/>
    </row>
    <row r="674" spans="26:51" ht="12" customHeight="1" x14ac:dyDescent="0.2">
      <c r="Z674" s="837"/>
      <c r="AB674" s="829"/>
      <c r="AC674" s="2075"/>
      <c r="AD674" s="2075"/>
      <c r="AE674" s="2075"/>
      <c r="AF674" s="2075"/>
      <c r="AG674" s="2075"/>
      <c r="AH674" s="2075"/>
      <c r="AI674" s="2075"/>
      <c r="AJ674" s="2075"/>
      <c r="AK674" s="2075"/>
      <c r="AL674" s="2075"/>
      <c r="AM674" s="829"/>
      <c r="AN674" s="829"/>
      <c r="AO674" s="829"/>
      <c r="AP674" s="829"/>
      <c r="AQ674" s="829"/>
      <c r="AR674" s="829"/>
      <c r="AS674" s="829"/>
      <c r="AT674" s="829"/>
      <c r="AU674" s="829"/>
      <c r="AV674" s="829"/>
      <c r="AW674" s="837"/>
      <c r="AX674" s="837"/>
      <c r="AY674" s="837"/>
    </row>
    <row r="675" spans="26:51" ht="12" customHeight="1" x14ac:dyDescent="0.2">
      <c r="Z675" s="837"/>
      <c r="AB675" s="829"/>
      <c r="AC675" s="2075"/>
      <c r="AD675" s="2075"/>
      <c r="AE675" s="2075"/>
      <c r="AF675" s="2075"/>
      <c r="AG675" s="2075"/>
      <c r="AH675" s="2075"/>
      <c r="AI675" s="2075"/>
      <c r="AJ675" s="2075"/>
      <c r="AK675" s="2075"/>
      <c r="AL675" s="2075"/>
      <c r="AM675" s="829"/>
      <c r="AN675" s="829"/>
      <c r="AO675" s="829"/>
      <c r="AP675" s="829"/>
      <c r="AQ675" s="829"/>
      <c r="AR675" s="829"/>
      <c r="AS675" s="829"/>
      <c r="AT675" s="829"/>
      <c r="AU675" s="829"/>
      <c r="AV675" s="829"/>
      <c r="AW675" s="837"/>
      <c r="AX675" s="837"/>
      <c r="AY675" s="837"/>
    </row>
    <row r="676" spans="26:51" ht="12" customHeight="1" x14ac:dyDescent="0.2">
      <c r="Z676" s="837"/>
      <c r="AB676" s="829"/>
      <c r="AC676" s="2075"/>
      <c r="AD676" s="2075"/>
      <c r="AE676" s="2075"/>
      <c r="AF676" s="2075"/>
      <c r="AG676" s="2075"/>
      <c r="AH676" s="2075"/>
      <c r="AI676" s="2075"/>
      <c r="AJ676" s="2075"/>
      <c r="AK676" s="2075"/>
      <c r="AL676" s="2075"/>
      <c r="AM676" s="829"/>
      <c r="AN676" s="829"/>
      <c r="AO676" s="829"/>
      <c r="AP676" s="829"/>
      <c r="AQ676" s="829"/>
      <c r="AR676" s="829"/>
      <c r="AS676" s="829"/>
      <c r="AT676" s="829"/>
      <c r="AU676" s="829"/>
      <c r="AV676" s="829"/>
      <c r="AW676" s="837"/>
      <c r="AX676" s="837"/>
      <c r="AY676" s="837"/>
    </row>
    <row r="677" spans="26:51" ht="12" customHeight="1" x14ac:dyDescent="0.2">
      <c r="Z677" s="837"/>
      <c r="AB677" s="829"/>
      <c r="AC677" s="2075"/>
      <c r="AD677" s="2075"/>
      <c r="AE677" s="2075"/>
      <c r="AF677" s="2075"/>
      <c r="AG677" s="2075"/>
      <c r="AH677" s="2075"/>
      <c r="AI677" s="2075"/>
      <c r="AJ677" s="2075"/>
      <c r="AK677" s="2075"/>
      <c r="AL677" s="2075"/>
      <c r="AM677" s="829"/>
      <c r="AN677" s="829"/>
      <c r="AO677" s="829"/>
      <c r="AP677" s="829"/>
      <c r="AQ677" s="829"/>
      <c r="AR677" s="829"/>
      <c r="AS677" s="829"/>
      <c r="AT677" s="829"/>
      <c r="AU677" s="829"/>
      <c r="AV677" s="829"/>
      <c r="AW677" s="837"/>
      <c r="AX677" s="837"/>
      <c r="AY677" s="837"/>
    </row>
    <row r="678" spans="26:51" ht="12" customHeight="1" x14ac:dyDescent="0.2">
      <c r="Z678" s="837"/>
      <c r="AB678" s="829"/>
      <c r="AC678" s="2075"/>
      <c r="AD678" s="2075"/>
      <c r="AE678" s="2075"/>
      <c r="AF678" s="2075"/>
      <c r="AG678" s="2075"/>
      <c r="AH678" s="2075"/>
      <c r="AI678" s="2075"/>
      <c r="AJ678" s="2075"/>
      <c r="AK678" s="2075"/>
      <c r="AL678" s="2075"/>
      <c r="AM678" s="829"/>
      <c r="AN678" s="829"/>
      <c r="AO678" s="829"/>
      <c r="AP678" s="829"/>
      <c r="AQ678" s="829"/>
      <c r="AR678" s="829"/>
      <c r="AS678" s="829"/>
      <c r="AT678" s="829"/>
      <c r="AU678" s="829"/>
      <c r="AV678" s="829"/>
      <c r="AW678" s="837"/>
      <c r="AX678" s="837"/>
      <c r="AY678" s="837"/>
    </row>
    <row r="679" spans="26:51" ht="12" customHeight="1" x14ac:dyDescent="0.2">
      <c r="Z679" s="837"/>
      <c r="AB679" s="829"/>
      <c r="AC679" s="2075"/>
      <c r="AD679" s="2075"/>
      <c r="AE679" s="2075"/>
      <c r="AF679" s="2075"/>
      <c r="AG679" s="2075"/>
      <c r="AH679" s="2075"/>
      <c r="AI679" s="2075"/>
      <c r="AJ679" s="2075"/>
      <c r="AK679" s="2075"/>
      <c r="AL679" s="2075"/>
      <c r="AM679" s="829"/>
      <c r="AN679" s="829"/>
      <c r="AO679" s="829"/>
      <c r="AP679" s="829"/>
      <c r="AQ679" s="829"/>
      <c r="AR679" s="829"/>
      <c r="AS679" s="829"/>
      <c r="AT679" s="829"/>
      <c r="AU679" s="829"/>
      <c r="AV679" s="829"/>
      <c r="AW679" s="837"/>
      <c r="AX679" s="837"/>
      <c r="AY679" s="837"/>
    </row>
    <row r="680" spans="26:51" ht="12" customHeight="1" x14ac:dyDescent="0.2">
      <c r="Z680" s="837"/>
      <c r="AB680" s="829"/>
      <c r="AC680" s="2075"/>
      <c r="AD680" s="2075"/>
      <c r="AE680" s="2075"/>
      <c r="AF680" s="2075"/>
      <c r="AG680" s="2075"/>
      <c r="AH680" s="2075"/>
      <c r="AI680" s="2075"/>
      <c r="AJ680" s="2075"/>
      <c r="AK680" s="2075"/>
      <c r="AL680" s="2075"/>
      <c r="AM680" s="829"/>
      <c r="AN680" s="829"/>
      <c r="AO680" s="829"/>
      <c r="AP680" s="829"/>
      <c r="AQ680" s="829"/>
      <c r="AR680" s="829"/>
      <c r="AS680" s="829"/>
      <c r="AT680" s="829"/>
      <c r="AU680" s="829"/>
      <c r="AV680" s="829"/>
      <c r="AW680" s="837"/>
      <c r="AX680" s="837"/>
      <c r="AY680" s="837"/>
    </row>
    <row r="681" spans="26:51" ht="12" customHeight="1" x14ac:dyDescent="0.2">
      <c r="Z681" s="837"/>
      <c r="AB681" s="829"/>
      <c r="AC681" s="2075"/>
      <c r="AD681" s="2075"/>
      <c r="AE681" s="2075"/>
      <c r="AF681" s="2075"/>
      <c r="AG681" s="2075"/>
      <c r="AH681" s="2075"/>
      <c r="AI681" s="2075"/>
      <c r="AJ681" s="2075"/>
      <c r="AK681" s="2075"/>
      <c r="AL681" s="2075"/>
      <c r="AM681" s="829"/>
      <c r="AN681" s="829"/>
      <c r="AO681" s="829"/>
      <c r="AP681" s="829"/>
      <c r="AQ681" s="829"/>
      <c r="AR681" s="829"/>
      <c r="AS681" s="829"/>
      <c r="AT681" s="829"/>
      <c r="AU681" s="829"/>
      <c r="AV681" s="829"/>
      <c r="AW681" s="837"/>
      <c r="AX681" s="837"/>
      <c r="AY681" s="837"/>
    </row>
    <row r="682" spans="26:51" ht="12" customHeight="1" x14ac:dyDescent="0.2">
      <c r="Z682" s="837"/>
      <c r="AB682" s="829"/>
      <c r="AC682" s="2075"/>
      <c r="AD682" s="2075"/>
      <c r="AE682" s="2075"/>
      <c r="AF682" s="2075"/>
      <c r="AG682" s="2075"/>
      <c r="AH682" s="2075"/>
      <c r="AI682" s="2075"/>
      <c r="AJ682" s="2075"/>
      <c r="AK682" s="2075"/>
      <c r="AL682" s="2075"/>
      <c r="AM682" s="829"/>
      <c r="AN682" s="829"/>
      <c r="AO682" s="829"/>
      <c r="AP682" s="829"/>
      <c r="AQ682" s="829"/>
      <c r="AR682" s="829"/>
      <c r="AS682" s="829"/>
      <c r="AT682" s="829"/>
      <c r="AU682" s="829"/>
      <c r="AV682" s="829"/>
      <c r="AW682" s="837"/>
      <c r="AX682" s="837"/>
      <c r="AY682" s="837"/>
    </row>
    <row r="683" spans="26:51" ht="12" customHeight="1" x14ac:dyDescent="0.2">
      <c r="Z683" s="837"/>
      <c r="AB683" s="829"/>
      <c r="AC683" s="2075"/>
      <c r="AD683" s="2075"/>
      <c r="AE683" s="2075"/>
      <c r="AF683" s="2075"/>
      <c r="AG683" s="2075"/>
      <c r="AH683" s="2075"/>
      <c r="AI683" s="2075"/>
      <c r="AJ683" s="2075"/>
      <c r="AK683" s="2075"/>
      <c r="AL683" s="2075"/>
      <c r="AM683" s="829"/>
      <c r="AN683" s="829"/>
      <c r="AO683" s="829"/>
      <c r="AP683" s="829"/>
      <c r="AQ683" s="829"/>
      <c r="AR683" s="829"/>
      <c r="AS683" s="829"/>
      <c r="AT683" s="829"/>
      <c r="AU683" s="829"/>
      <c r="AV683" s="829"/>
      <c r="AW683" s="837"/>
      <c r="AX683" s="837"/>
      <c r="AY683" s="837"/>
    </row>
    <row r="684" spans="26:51" ht="12" customHeight="1" x14ac:dyDescent="0.2">
      <c r="Z684" s="837"/>
      <c r="AB684" s="829"/>
      <c r="AC684" s="2075"/>
      <c r="AD684" s="2075"/>
      <c r="AE684" s="2075"/>
      <c r="AF684" s="2075"/>
      <c r="AG684" s="2075"/>
      <c r="AH684" s="2075"/>
      <c r="AI684" s="2075"/>
      <c r="AJ684" s="2075"/>
      <c r="AK684" s="2075"/>
      <c r="AL684" s="2075"/>
      <c r="AM684" s="829"/>
      <c r="AN684" s="829"/>
      <c r="AO684" s="829"/>
      <c r="AP684" s="829"/>
      <c r="AQ684" s="829"/>
      <c r="AR684" s="829"/>
      <c r="AS684" s="829"/>
      <c r="AT684" s="829"/>
      <c r="AU684" s="829"/>
      <c r="AV684" s="829"/>
      <c r="AW684" s="837"/>
      <c r="AX684" s="837"/>
      <c r="AY684" s="837"/>
    </row>
    <row r="685" spans="26:51" ht="12" customHeight="1" x14ac:dyDescent="0.2">
      <c r="Z685" s="837"/>
      <c r="AB685" s="829"/>
      <c r="AC685" s="2075"/>
      <c r="AD685" s="2075"/>
      <c r="AE685" s="2075"/>
      <c r="AF685" s="2075"/>
      <c r="AG685" s="2075"/>
      <c r="AH685" s="2075"/>
      <c r="AI685" s="2075"/>
      <c r="AJ685" s="2075"/>
      <c r="AK685" s="2075"/>
      <c r="AL685" s="2075"/>
      <c r="AM685" s="829"/>
      <c r="AN685" s="829"/>
      <c r="AO685" s="829"/>
      <c r="AP685" s="829"/>
      <c r="AQ685" s="829"/>
      <c r="AR685" s="829"/>
      <c r="AS685" s="829"/>
      <c r="AT685" s="829"/>
      <c r="AU685" s="829"/>
      <c r="AV685" s="829"/>
      <c r="AW685" s="837"/>
      <c r="AX685" s="837"/>
      <c r="AY685" s="837"/>
    </row>
    <row r="686" spans="26:51" ht="12" customHeight="1" x14ac:dyDescent="0.2">
      <c r="Z686" s="837"/>
      <c r="AB686" s="829"/>
      <c r="AC686" s="2075"/>
      <c r="AD686" s="2075"/>
      <c r="AE686" s="2075"/>
      <c r="AF686" s="2075"/>
      <c r="AG686" s="2075"/>
      <c r="AH686" s="2075"/>
      <c r="AI686" s="2075"/>
      <c r="AJ686" s="2075"/>
      <c r="AK686" s="2075"/>
      <c r="AL686" s="2075"/>
      <c r="AM686" s="829"/>
      <c r="AN686" s="829"/>
      <c r="AO686" s="829"/>
      <c r="AP686" s="829"/>
      <c r="AQ686" s="829"/>
      <c r="AR686" s="829"/>
      <c r="AS686" s="829"/>
      <c r="AT686" s="829"/>
      <c r="AU686" s="829"/>
      <c r="AV686" s="829"/>
      <c r="AW686" s="837"/>
      <c r="AX686" s="837"/>
      <c r="AY686" s="837"/>
    </row>
    <row r="687" spans="26:51" ht="12" customHeight="1" x14ac:dyDescent="0.2">
      <c r="Z687" s="837"/>
      <c r="AB687" s="829"/>
      <c r="AC687" s="2075"/>
      <c r="AD687" s="2075"/>
      <c r="AE687" s="2075"/>
      <c r="AF687" s="2075"/>
      <c r="AG687" s="2075"/>
      <c r="AH687" s="2075"/>
      <c r="AI687" s="2075"/>
      <c r="AJ687" s="2075"/>
      <c r="AK687" s="2075"/>
      <c r="AL687" s="2075"/>
      <c r="AM687" s="829"/>
      <c r="AN687" s="829"/>
      <c r="AO687" s="829"/>
      <c r="AP687" s="829"/>
      <c r="AQ687" s="829"/>
      <c r="AR687" s="829"/>
      <c r="AS687" s="829"/>
      <c r="AT687" s="829"/>
      <c r="AU687" s="829"/>
      <c r="AV687" s="829"/>
      <c r="AW687" s="837"/>
      <c r="AX687" s="837"/>
      <c r="AY687" s="837"/>
    </row>
    <row r="688" spans="26:51" ht="12" customHeight="1" x14ac:dyDescent="0.2">
      <c r="Z688" s="837"/>
      <c r="AB688" s="829"/>
      <c r="AC688" s="2075"/>
      <c r="AD688" s="2075"/>
      <c r="AE688" s="2075"/>
      <c r="AF688" s="2075"/>
      <c r="AG688" s="2075"/>
      <c r="AH688" s="2075"/>
      <c r="AI688" s="2075"/>
      <c r="AJ688" s="2075"/>
      <c r="AK688" s="2075"/>
      <c r="AL688" s="2075"/>
      <c r="AM688" s="829"/>
      <c r="AN688" s="829"/>
      <c r="AO688" s="829"/>
      <c r="AP688" s="829"/>
      <c r="AQ688" s="829"/>
      <c r="AR688" s="829"/>
      <c r="AS688" s="829"/>
      <c r="AT688" s="829"/>
      <c r="AU688" s="829"/>
      <c r="AV688" s="829"/>
      <c r="AW688" s="837"/>
      <c r="AX688" s="837"/>
      <c r="AY688" s="837"/>
    </row>
    <row r="689" spans="26:51" ht="12" customHeight="1" x14ac:dyDescent="0.2">
      <c r="Z689" s="837"/>
      <c r="AB689" s="829"/>
      <c r="AC689" s="2075"/>
      <c r="AD689" s="2075"/>
      <c r="AE689" s="2075"/>
      <c r="AF689" s="2075"/>
      <c r="AG689" s="2075"/>
      <c r="AH689" s="2075"/>
      <c r="AI689" s="2075"/>
      <c r="AJ689" s="2075"/>
      <c r="AK689" s="2075"/>
      <c r="AL689" s="2075"/>
      <c r="AM689" s="829"/>
      <c r="AN689" s="829"/>
      <c r="AO689" s="829"/>
      <c r="AP689" s="829"/>
      <c r="AQ689" s="829"/>
      <c r="AR689" s="829"/>
      <c r="AS689" s="829"/>
      <c r="AT689" s="829"/>
      <c r="AU689" s="829"/>
      <c r="AV689" s="829"/>
      <c r="AW689" s="837"/>
      <c r="AX689" s="837"/>
      <c r="AY689" s="837"/>
    </row>
    <row r="690" spans="26:51" ht="12" customHeight="1" x14ac:dyDescent="0.2">
      <c r="Z690" s="837"/>
      <c r="AB690" s="829"/>
      <c r="AC690" s="2075"/>
      <c r="AD690" s="2075"/>
      <c r="AE690" s="2075"/>
      <c r="AF690" s="2075"/>
      <c r="AG690" s="2075"/>
      <c r="AH690" s="2075"/>
      <c r="AI690" s="2075"/>
      <c r="AJ690" s="2075"/>
      <c r="AK690" s="2075"/>
      <c r="AL690" s="2075"/>
      <c r="AM690" s="829"/>
      <c r="AN690" s="829"/>
      <c r="AO690" s="829"/>
      <c r="AP690" s="829"/>
      <c r="AQ690" s="829"/>
      <c r="AR690" s="829"/>
      <c r="AS690" s="829"/>
      <c r="AT690" s="829"/>
      <c r="AU690" s="829"/>
      <c r="AV690" s="829"/>
      <c r="AW690" s="837"/>
      <c r="AX690" s="837"/>
      <c r="AY690" s="837"/>
    </row>
    <row r="691" spans="26:51" ht="12" customHeight="1" x14ac:dyDescent="0.2">
      <c r="Z691" s="837"/>
      <c r="AB691" s="829"/>
      <c r="AC691" s="2075"/>
      <c r="AD691" s="2075"/>
      <c r="AE691" s="2075"/>
      <c r="AF691" s="2075"/>
      <c r="AG691" s="2075"/>
      <c r="AH691" s="2075"/>
      <c r="AI691" s="2075"/>
      <c r="AJ691" s="2075"/>
      <c r="AK691" s="2075"/>
      <c r="AL691" s="2075"/>
      <c r="AM691" s="829"/>
      <c r="AN691" s="829"/>
      <c r="AO691" s="829"/>
      <c r="AP691" s="829"/>
      <c r="AQ691" s="829"/>
      <c r="AR691" s="829"/>
      <c r="AS691" s="829"/>
      <c r="AT691" s="829"/>
      <c r="AU691" s="829"/>
      <c r="AV691" s="829"/>
      <c r="AW691" s="837"/>
      <c r="AX691" s="837"/>
      <c r="AY691" s="837"/>
    </row>
    <row r="692" spans="26:51" ht="12" customHeight="1" x14ac:dyDescent="0.2">
      <c r="Z692" s="837"/>
      <c r="AB692" s="829"/>
      <c r="AC692" s="2075"/>
      <c r="AD692" s="2075"/>
      <c r="AE692" s="2075"/>
      <c r="AF692" s="2075"/>
      <c r="AG692" s="2075"/>
      <c r="AH692" s="2075"/>
      <c r="AI692" s="2075"/>
      <c r="AJ692" s="2075"/>
      <c r="AK692" s="2075"/>
      <c r="AL692" s="2075"/>
      <c r="AM692" s="829"/>
      <c r="AN692" s="829"/>
      <c r="AO692" s="829"/>
      <c r="AP692" s="829"/>
      <c r="AQ692" s="829"/>
      <c r="AR692" s="829"/>
      <c r="AS692" s="829"/>
      <c r="AT692" s="829"/>
      <c r="AU692" s="829"/>
      <c r="AV692" s="829"/>
      <c r="AW692" s="837"/>
      <c r="AX692" s="837"/>
      <c r="AY692" s="837"/>
    </row>
    <row r="693" spans="26:51" ht="12" customHeight="1" x14ac:dyDescent="0.2">
      <c r="Z693" s="837"/>
      <c r="AB693" s="829"/>
      <c r="AC693" s="2075"/>
      <c r="AD693" s="2075"/>
      <c r="AE693" s="2075"/>
      <c r="AF693" s="2075"/>
      <c r="AG693" s="2075"/>
      <c r="AH693" s="2075"/>
      <c r="AI693" s="2075"/>
      <c r="AJ693" s="2075"/>
      <c r="AK693" s="2075"/>
      <c r="AL693" s="2075"/>
      <c r="AM693" s="829"/>
      <c r="AN693" s="829"/>
      <c r="AO693" s="829"/>
      <c r="AP693" s="829"/>
      <c r="AQ693" s="829"/>
      <c r="AR693" s="829"/>
      <c r="AS693" s="829"/>
      <c r="AT693" s="829"/>
      <c r="AU693" s="829"/>
      <c r="AV693" s="829"/>
      <c r="AW693" s="837"/>
      <c r="AX693" s="837"/>
      <c r="AY693" s="837"/>
    </row>
    <row r="694" spans="26:51" ht="12" customHeight="1" x14ac:dyDescent="0.2">
      <c r="Z694" s="837"/>
      <c r="AB694" s="829"/>
      <c r="AC694" s="2075"/>
      <c r="AD694" s="2075"/>
      <c r="AE694" s="2075"/>
      <c r="AF694" s="2075"/>
      <c r="AG694" s="2075"/>
      <c r="AH694" s="2075"/>
      <c r="AI694" s="2075"/>
      <c r="AJ694" s="2075"/>
      <c r="AK694" s="2075"/>
      <c r="AL694" s="2075"/>
      <c r="AM694" s="829"/>
      <c r="AN694" s="829"/>
      <c r="AO694" s="829"/>
      <c r="AP694" s="829"/>
      <c r="AQ694" s="829"/>
      <c r="AR694" s="829"/>
      <c r="AS694" s="829"/>
      <c r="AT694" s="829"/>
      <c r="AU694" s="829"/>
      <c r="AV694" s="829"/>
      <c r="AW694" s="837"/>
      <c r="AX694" s="837"/>
      <c r="AY694" s="837"/>
    </row>
    <row r="695" spans="26:51" ht="12" customHeight="1" x14ac:dyDescent="0.2">
      <c r="Z695" s="837"/>
      <c r="AB695" s="829"/>
      <c r="AC695" s="2075"/>
      <c r="AD695" s="2075"/>
      <c r="AE695" s="2075"/>
      <c r="AF695" s="2075"/>
      <c r="AG695" s="2075"/>
      <c r="AH695" s="2075"/>
      <c r="AI695" s="2075"/>
      <c r="AJ695" s="2075"/>
      <c r="AK695" s="2075"/>
      <c r="AL695" s="2075"/>
      <c r="AM695" s="829"/>
      <c r="AN695" s="829"/>
      <c r="AO695" s="829"/>
      <c r="AP695" s="829"/>
      <c r="AQ695" s="829"/>
      <c r="AR695" s="829"/>
      <c r="AS695" s="829"/>
      <c r="AT695" s="829"/>
      <c r="AU695" s="829"/>
      <c r="AV695" s="829"/>
      <c r="AW695" s="837"/>
      <c r="AX695" s="837"/>
      <c r="AY695" s="837"/>
    </row>
    <row r="696" spans="26:51" ht="12" customHeight="1" x14ac:dyDescent="0.2">
      <c r="Z696" s="837"/>
      <c r="AB696" s="829"/>
      <c r="AC696" s="2075"/>
      <c r="AD696" s="2075"/>
      <c r="AE696" s="2075"/>
      <c r="AF696" s="2075"/>
      <c r="AG696" s="2075"/>
      <c r="AH696" s="2075"/>
      <c r="AI696" s="2075"/>
      <c r="AJ696" s="2075"/>
      <c r="AK696" s="2075"/>
      <c r="AL696" s="2075"/>
      <c r="AM696" s="829"/>
      <c r="AN696" s="829"/>
      <c r="AO696" s="829"/>
      <c r="AP696" s="829"/>
      <c r="AQ696" s="829"/>
      <c r="AR696" s="829"/>
      <c r="AS696" s="829"/>
      <c r="AT696" s="829"/>
      <c r="AU696" s="829"/>
      <c r="AV696" s="829"/>
      <c r="AW696" s="837"/>
      <c r="AX696" s="837"/>
      <c r="AY696" s="837"/>
    </row>
    <row r="697" spans="26:51" ht="12" customHeight="1" x14ac:dyDescent="0.2">
      <c r="Z697" s="837"/>
      <c r="AB697" s="829"/>
      <c r="AC697" s="2075"/>
      <c r="AD697" s="2075"/>
      <c r="AE697" s="2075"/>
      <c r="AF697" s="2075"/>
      <c r="AG697" s="2075"/>
      <c r="AH697" s="2075"/>
      <c r="AI697" s="2075"/>
      <c r="AJ697" s="2075"/>
      <c r="AK697" s="2075"/>
      <c r="AL697" s="2075"/>
      <c r="AM697" s="829"/>
      <c r="AN697" s="829"/>
      <c r="AO697" s="829"/>
      <c r="AP697" s="829"/>
      <c r="AQ697" s="829"/>
      <c r="AR697" s="829"/>
      <c r="AS697" s="829"/>
      <c r="AT697" s="829"/>
      <c r="AU697" s="829"/>
      <c r="AV697" s="829"/>
      <c r="AW697" s="837"/>
      <c r="AX697" s="837"/>
      <c r="AY697" s="837"/>
    </row>
    <row r="698" spans="26:51" ht="12" customHeight="1" x14ac:dyDescent="0.2">
      <c r="Z698" s="837"/>
      <c r="AB698" s="829"/>
      <c r="AC698" s="2075"/>
      <c r="AD698" s="2075"/>
      <c r="AE698" s="2075"/>
      <c r="AF698" s="2075"/>
      <c r="AG698" s="2075"/>
      <c r="AH698" s="2075"/>
      <c r="AI698" s="2075"/>
      <c r="AJ698" s="2075"/>
      <c r="AK698" s="2075"/>
      <c r="AL698" s="2075"/>
      <c r="AM698" s="829"/>
      <c r="AN698" s="829"/>
      <c r="AO698" s="829"/>
      <c r="AP698" s="829"/>
      <c r="AQ698" s="829"/>
      <c r="AR698" s="829"/>
      <c r="AS698" s="829"/>
      <c r="AT698" s="829"/>
      <c r="AU698" s="829"/>
      <c r="AV698" s="829"/>
      <c r="AW698" s="837"/>
      <c r="AX698" s="837"/>
      <c r="AY698" s="837"/>
    </row>
    <row r="699" spans="26:51" ht="12" customHeight="1" x14ac:dyDescent="0.2">
      <c r="Z699" s="837"/>
      <c r="AB699" s="829"/>
      <c r="AC699" s="2075"/>
      <c r="AD699" s="2075"/>
      <c r="AE699" s="2075"/>
      <c r="AF699" s="2075"/>
      <c r="AG699" s="2075"/>
      <c r="AH699" s="2075"/>
      <c r="AI699" s="2075"/>
      <c r="AJ699" s="2075"/>
      <c r="AK699" s="2075"/>
      <c r="AL699" s="2075"/>
      <c r="AM699" s="829"/>
      <c r="AN699" s="829"/>
      <c r="AO699" s="829"/>
      <c r="AP699" s="829"/>
      <c r="AQ699" s="829"/>
      <c r="AR699" s="829"/>
      <c r="AS699" s="829"/>
      <c r="AT699" s="829"/>
      <c r="AU699" s="829"/>
      <c r="AV699" s="829"/>
      <c r="AW699" s="837"/>
      <c r="AX699" s="837"/>
      <c r="AY699" s="837"/>
    </row>
    <row r="700" spans="26:51" ht="12" customHeight="1" x14ac:dyDescent="0.2">
      <c r="Z700" s="837"/>
      <c r="AB700" s="829"/>
      <c r="AC700" s="2075"/>
      <c r="AD700" s="2075"/>
      <c r="AE700" s="2075"/>
      <c r="AF700" s="2075"/>
      <c r="AG700" s="2075"/>
      <c r="AH700" s="2075"/>
      <c r="AI700" s="2075"/>
      <c r="AJ700" s="2075"/>
      <c r="AK700" s="2075"/>
      <c r="AL700" s="2075"/>
      <c r="AM700" s="829"/>
      <c r="AN700" s="829"/>
      <c r="AO700" s="829"/>
      <c r="AP700" s="829"/>
      <c r="AQ700" s="829"/>
      <c r="AR700" s="829"/>
      <c r="AS700" s="829"/>
      <c r="AT700" s="829"/>
      <c r="AU700" s="829"/>
      <c r="AV700" s="829"/>
      <c r="AW700" s="837"/>
      <c r="AX700" s="837"/>
      <c r="AY700" s="837"/>
    </row>
    <row r="701" spans="26:51" ht="12" customHeight="1" x14ac:dyDescent="0.2">
      <c r="Z701" s="837"/>
      <c r="AB701" s="829"/>
      <c r="AC701" s="2075"/>
      <c r="AD701" s="2075"/>
      <c r="AE701" s="2075"/>
      <c r="AF701" s="2075"/>
      <c r="AG701" s="2075"/>
      <c r="AH701" s="2075"/>
      <c r="AI701" s="2075"/>
      <c r="AJ701" s="2075"/>
      <c r="AK701" s="2075"/>
      <c r="AL701" s="2075"/>
      <c r="AM701" s="829"/>
      <c r="AN701" s="829"/>
      <c r="AO701" s="829"/>
      <c r="AP701" s="829"/>
      <c r="AQ701" s="829"/>
      <c r="AR701" s="829"/>
      <c r="AS701" s="829"/>
      <c r="AT701" s="829"/>
      <c r="AU701" s="829"/>
      <c r="AV701" s="829"/>
      <c r="AW701" s="837"/>
      <c r="AX701" s="837"/>
      <c r="AY701" s="837"/>
    </row>
    <row r="702" spans="26:51" ht="12" customHeight="1" x14ac:dyDescent="0.2">
      <c r="Z702" s="837"/>
      <c r="AB702" s="829"/>
      <c r="AC702" s="2075"/>
      <c r="AD702" s="2075"/>
      <c r="AE702" s="2075"/>
      <c r="AF702" s="2075"/>
      <c r="AG702" s="2075"/>
      <c r="AH702" s="2075"/>
      <c r="AI702" s="2075"/>
      <c r="AJ702" s="2075"/>
      <c r="AK702" s="2075"/>
      <c r="AL702" s="2075"/>
      <c r="AM702" s="829"/>
      <c r="AN702" s="829"/>
      <c r="AO702" s="829"/>
      <c r="AP702" s="829"/>
      <c r="AQ702" s="829"/>
      <c r="AR702" s="829"/>
      <c r="AS702" s="829"/>
      <c r="AT702" s="829"/>
      <c r="AU702" s="829"/>
      <c r="AV702" s="829"/>
      <c r="AW702" s="837"/>
      <c r="AX702" s="837"/>
      <c r="AY702" s="837"/>
    </row>
    <row r="703" spans="26:51" ht="12" customHeight="1" x14ac:dyDescent="0.2">
      <c r="Z703" s="837"/>
      <c r="AB703" s="829"/>
      <c r="AC703" s="2075"/>
      <c r="AD703" s="2075"/>
      <c r="AE703" s="2075"/>
      <c r="AF703" s="2075"/>
      <c r="AG703" s="2075"/>
      <c r="AH703" s="2075"/>
      <c r="AI703" s="2075"/>
      <c r="AJ703" s="2075"/>
      <c r="AK703" s="2075"/>
      <c r="AL703" s="2075"/>
      <c r="AM703" s="829"/>
      <c r="AN703" s="829"/>
      <c r="AO703" s="829"/>
      <c r="AP703" s="829"/>
      <c r="AQ703" s="829"/>
      <c r="AR703" s="829"/>
      <c r="AS703" s="829"/>
      <c r="AT703" s="829"/>
      <c r="AU703" s="829"/>
      <c r="AV703" s="829"/>
      <c r="AW703" s="837"/>
      <c r="AX703" s="837"/>
      <c r="AY703" s="837"/>
    </row>
    <row r="704" spans="26:51" ht="12" customHeight="1" x14ac:dyDescent="0.2">
      <c r="Z704" s="837"/>
      <c r="AB704" s="829"/>
      <c r="AC704" s="2075"/>
      <c r="AD704" s="2075"/>
      <c r="AE704" s="2075"/>
      <c r="AF704" s="2075"/>
      <c r="AG704" s="2075"/>
      <c r="AH704" s="2075"/>
      <c r="AI704" s="2075"/>
      <c r="AJ704" s="2075"/>
      <c r="AK704" s="2075"/>
      <c r="AL704" s="2075"/>
      <c r="AM704" s="829"/>
      <c r="AN704" s="829"/>
      <c r="AO704" s="829"/>
      <c r="AP704" s="829"/>
      <c r="AQ704" s="829"/>
      <c r="AR704" s="829"/>
      <c r="AS704" s="829"/>
      <c r="AT704" s="829"/>
      <c r="AU704" s="829"/>
      <c r="AV704" s="829"/>
      <c r="AW704" s="837"/>
      <c r="AX704" s="837"/>
      <c r="AY704" s="837"/>
    </row>
    <row r="705" spans="26:51" ht="12" customHeight="1" x14ac:dyDescent="0.2">
      <c r="Z705" s="837"/>
      <c r="AB705" s="829"/>
      <c r="AC705" s="2075"/>
      <c r="AD705" s="2075"/>
      <c r="AE705" s="2075"/>
      <c r="AF705" s="2075"/>
      <c r="AG705" s="2075"/>
      <c r="AH705" s="2075"/>
      <c r="AI705" s="2075"/>
      <c r="AJ705" s="2075"/>
      <c r="AK705" s="2075"/>
      <c r="AL705" s="2075"/>
      <c r="AM705" s="829"/>
      <c r="AN705" s="829"/>
      <c r="AO705" s="829"/>
      <c r="AP705" s="829"/>
      <c r="AQ705" s="829"/>
      <c r="AR705" s="829"/>
      <c r="AS705" s="829"/>
      <c r="AT705" s="829"/>
      <c r="AU705" s="829"/>
      <c r="AV705" s="829"/>
      <c r="AW705" s="837"/>
      <c r="AX705" s="837"/>
      <c r="AY705" s="837"/>
    </row>
    <row r="706" spans="26:51" ht="12" customHeight="1" x14ac:dyDescent="0.2">
      <c r="Z706" s="837"/>
      <c r="AB706" s="829"/>
      <c r="AC706" s="2075"/>
      <c r="AD706" s="2075"/>
      <c r="AE706" s="2075"/>
      <c r="AF706" s="2075"/>
      <c r="AG706" s="2075"/>
      <c r="AH706" s="2075"/>
      <c r="AI706" s="2075"/>
      <c r="AJ706" s="2075"/>
      <c r="AK706" s="2075"/>
      <c r="AL706" s="2075"/>
      <c r="AM706" s="829"/>
      <c r="AN706" s="829"/>
      <c r="AO706" s="829"/>
      <c r="AP706" s="829"/>
      <c r="AQ706" s="829"/>
      <c r="AR706" s="829"/>
      <c r="AS706" s="829"/>
      <c r="AT706" s="829"/>
      <c r="AU706" s="829"/>
      <c r="AV706" s="829"/>
      <c r="AW706" s="837"/>
      <c r="AX706" s="837"/>
      <c r="AY706" s="837"/>
    </row>
    <row r="707" spans="26:51" ht="12" customHeight="1" x14ac:dyDescent="0.2">
      <c r="Z707" s="837"/>
      <c r="AB707" s="829"/>
      <c r="AC707" s="2075"/>
      <c r="AD707" s="2075"/>
      <c r="AE707" s="2075"/>
      <c r="AF707" s="2075"/>
      <c r="AG707" s="2075"/>
      <c r="AH707" s="2075"/>
      <c r="AI707" s="2075"/>
      <c r="AJ707" s="2075"/>
      <c r="AK707" s="2075"/>
      <c r="AL707" s="2075"/>
      <c r="AM707" s="829"/>
      <c r="AN707" s="829"/>
      <c r="AO707" s="829"/>
      <c r="AP707" s="829"/>
      <c r="AQ707" s="829"/>
      <c r="AR707" s="829"/>
      <c r="AS707" s="829"/>
      <c r="AT707" s="829"/>
      <c r="AU707" s="829"/>
      <c r="AV707" s="829"/>
      <c r="AW707" s="837"/>
      <c r="AX707" s="837"/>
      <c r="AY707" s="837"/>
    </row>
    <row r="708" spans="26:51" ht="12" customHeight="1" x14ac:dyDescent="0.2">
      <c r="Z708" s="837"/>
      <c r="AB708" s="829"/>
      <c r="AC708" s="2075"/>
      <c r="AD708" s="2075"/>
      <c r="AE708" s="2075"/>
      <c r="AF708" s="2075"/>
      <c r="AG708" s="2075"/>
      <c r="AH708" s="2075"/>
      <c r="AI708" s="2075"/>
      <c r="AJ708" s="2075"/>
      <c r="AK708" s="2075"/>
      <c r="AL708" s="2075"/>
      <c r="AM708" s="829"/>
      <c r="AN708" s="829"/>
      <c r="AO708" s="829"/>
      <c r="AP708" s="829"/>
      <c r="AQ708" s="829"/>
      <c r="AR708" s="829"/>
      <c r="AS708" s="829"/>
      <c r="AT708" s="829"/>
      <c r="AU708" s="829"/>
      <c r="AV708" s="829"/>
      <c r="AW708" s="837"/>
      <c r="AX708" s="837"/>
      <c r="AY708" s="837"/>
    </row>
    <row r="709" spans="26:51" ht="12" customHeight="1" x14ac:dyDescent="0.2">
      <c r="Z709" s="837"/>
      <c r="AB709" s="829"/>
      <c r="AC709" s="2075"/>
      <c r="AD709" s="2075"/>
      <c r="AE709" s="2075"/>
      <c r="AF709" s="2075"/>
      <c r="AG709" s="2075"/>
      <c r="AH709" s="2075"/>
      <c r="AI709" s="2075"/>
      <c r="AJ709" s="2075"/>
      <c r="AK709" s="2075"/>
      <c r="AL709" s="2075"/>
      <c r="AM709" s="829"/>
      <c r="AN709" s="829"/>
      <c r="AO709" s="829"/>
      <c r="AP709" s="829"/>
      <c r="AQ709" s="829"/>
      <c r="AR709" s="829"/>
      <c r="AS709" s="829"/>
      <c r="AT709" s="829"/>
      <c r="AU709" s="829"/>
      <c r="AV709" s="829"/>
      <c r="AW709" s="837"/>
      <c r="AX709" s="837"/>
      <c r="AY709" s="837"/>
    </row>
    <row r="710" spans="26:51" ht="12" customHeight="1" x14ac:dyDescent="0.2">
      <c r="Z710" s="837"/>
      <c r="AB710" s="829"/>
      <c r="AC710" s="2075"/>
      <c r="AD710" s="2075"/>
      <c r="AE710" s="2075"/>
      <c r="AF710" s="2075"/>
      <c r="AG710" s="2075"/>
      <c r="AH710" s="2075"/>
      <c r="AI710" s="2075"/>
      <c r="AJ710" s="2075"/>
      <c r="AK710" s="2075"/>
      <c r="AL710" s="2075"/>
      <c r="AM710" s="829"/>
      <c r="AN710" s="829"/>
      <c r="AO710" s="829"/>
      <c r="AP710" s="829"/>
      <c r="AQ710" s="829"/>
      <c r="AR710" s="829"/>
      <c r="AS710" s="829"/>
      <c r="AT710" s="829"/>
      <c r="AU710" s="829"/>
      <c r="AV710" s="829"/>
      <c r="AW710" s="837"/>
      <c r="AX710" s="837"/>
      <c r="AY710" s="837"/>
    </row>
    <row r="711" spans="26:51" ht="12" customHeight="1" x14ac:dyDescent="0.2">
      <c r="Z711" s="837"/>
      <c r="AB711" s="829"/>
      <c r="AC711" s="2075"/>
      <c r="AD711" s="2075"/>
      <c r="AE711" s="2075"/>
      <c r="AF711" s="2075"/>
      <c r="AG711" s="2075"/>
      <c r="AH711" s="2075"/>
      <c r="AI711" s="2075"/>
      <c r="AJ711" s="2075"/>
      <c r="AK711" s="2075"/>
      <c r="AL711" s="2075"/>
      <c r="AM711" s="829"/>
      <c r="AN711" s="829"/>
      <c r="AO711" s="829"/>
      <c r="AP711" s="829"/>
      <c r="AQ711" s="829"/>
      <c r="AR711" s="829"/>
      <c r="AS711" s="829"/>
      <c r="AT711" s="829"/>
      <c r="AU711" s="829"/>
      <c r="AV711" s="829"/>
      <c r="AW711" s="837"/>
      <c r="AX711" s="837"/>
      <c r="AY711" s="837"/>
    </row>
    <row r="712" spans="26:51" ht="12" customHeight="1" x14ac:dyDescent="0.2">
      <c r="Z712" s="837"/>
      <c r="AB712" s="829"/>
      <c r="AC712" s="2075"/>
      <c r="AD712" s="2075"/>
      <c r="AE712" s="2075"/>
      <c r="AF712" s="2075"/>
      <c r="AG712" s="2075"/>
      <c r="AH712" s="2075"/>
      <c r="AI712" s="2075"/>
      <c r="AJ712" s="2075"/>
      <c r="AK712" s="2075"/>
      <c r="AL712" s="2075"/>
      <c r="AM712" s="829"/>
      <c r="AN712" s="829"/>
      <c r="AO712" s="829"/>
      <c r="AP712" s="829"/>
      <c r="AQ712" s="829"/>
      <c r="AR712" s="829"/>
      <c r="AS712" s="829"/>
      <c r="AT712" s="829"/>
      <c r="AU712" s="829"/>
      <c r="AV712" s="829"/>
      <c r="AW712" s="837"/>
      <c r="AX712" s="837"/>
      <c r="AY712" s="837"/>
    </row>
    <row r="713" spans="26:51" ht="12" customHeight="1" x14ac:dyDescent="0.2">
      <c r="Z713" s="837"/>
      <c r="AB713" s="829"/>
      <c r="AC713" s="2075"/>
      <c r="AD713" s="2075"/>
      <c r="AE713" s="2075"/>
      <c r="AF713" s="2075"/>
      <c r="AG713" s="2075"/>
      <c r="AH713" s="2075"/>
      <c r="AI713" s="2075"/>
      <c r="AJ713" s="2075"/>
      <c r="AK713" s="2075"/>
      <c r="AL713" s="2075"/>
      <c r="AM713" s="829"/>
      <c r="AN713" s="829"/>
      <c r="AO713" s="829"/>
      <c r="AP713" s="829"/>
      <c r="AQ713" s="829"/>
      <c r="AR713" s="829"/>
      <c r="AS713" s="829"/>
      <c r="AT713" s="829"/>
      <c r="AU713" s="829"/>
      <c r="AV713" s="829"/>
      <c r="AW713" s="837"/>
      <c r="AX713" s="837"/>
      <c r="AY713" s="837"/>
    </row>
    <row r="714" spans="26:51" ht="12" customHeight="1" x14ac:dyDescent="0.2">
      <c r="Z714" s="837"/>
      <c r="AB714" s="829"/>
      <c r="AC714" s="2075"/>
      <c r="AD714" s="2075"/>
      <c r="AE714" s="2075"/>
      <c r="AF714" s="2075"/>
      <c r="AG714" s="2075"/>
      <c r="AH714" s="2075"/>
      <c r="AI714" s="2075"/>
      <c r="AJ714" s="2075"/>
      <c r="AK714" s="2075"/>
      <c r="AL714" s="2075"/>
      <c r="AM714" s="829"/>
      <c r="AN714" s="829"/>
      <c r="AO714" s="829"/>
      <c r="AP714" s="829"/>
      <c r="AQ714" s="829"/>
      <c r="AR714" s="829"/>
      <c r="AS714" s="829"/>
      <c r="AT714" s="829"/>
      <c r="AU714" s="829"/>
      <c r="AV714" s="829"/>
      <c r="AW714" s="837"/>
      <c r="AX714" s="837"/>
      <c r="AY714" s="837"/>
    </row>
    <row r="715" spans="26:51" ht="12" customHeight="1" x14ac:dyDescent="0.2">
      <c r="Z715" s="837"/>
      <c r="AB715" s="829"/>
      <c r="AC715" s="2075"/>
      <c r="AD715" s="2075"/>
      <c r="AE715" s="2075"/>
      <c r="AF715" s="2075"/>
      <c r="AG715" s="2075"/>
      <c r="AH715" s="2075"/>
      <c r="AI715" s="2075"/>
      <c r="AJ715" s="2075"/>
      <c r="AK715" s="2075"/>
      <c r="AL715" s="2075"/>
      <c r="AM715" s="829"/>
      <c r="AN715" s="829"/>
      <c r="AO715" s="829"/>
      <c r="AP715" s="829"/>
      <c r="AQ715" s="829"/>
      <c r="AR715" s="829"/>
      <c r="AS715" s="829"/>
      <c r="AT715" s="829"/>
      <c r="AU715" s="829"/>
      <c r="AV715" s="829"/>
      <c r="AW715" s="837"/>
      <c r="AX715" s="837"/>
      <c r="AY715" s="837"/>
    </row>
    <row r="716" spans="26:51" ht="12" customHeight="1" x14ac:dyDescent="0.2">
      <c r="Z716" s="837"/>
      <c r="AB716" s="837"/>
      <c r="AC716" s="2075"/>
      <c r="AD716" s="2075"/>
      <c r="AE716" s="2075"/>
      <c r="AF716" s="2075"/>
      <c r="AG716" s="2075"/>
      <c r="AH716" s="2075"/>
      <c r="AI716" s="2075"/>
      <c r="AJ716" s="2075"/>
      <c r="AK716" s="2075"/>
      <c r="AL716" s="2075"/>
      <c r="AM716" s="837"/>
      <c r="AN716" s="837"/>
      <c r="AO716" s="837"/>
      <c r="AP716" s="837"/>
      <c r="AQ716" s="837"/>
      <c r="AR716" s="837"/>
      <c r="AS716" s="837"/>
      <c r="AT716" s="837"/>
      <c r="AU716" s="837"/>
      <c r="AV716" s="837"/>
      <c r="AW716" s="837"/>
      <c r="AX716" s="837"/>
      <c r="AY716" s="837"/>
    </row>
    <row r="717" spans="26:51" ht="12" customHeight="1" x14ac:dyDescent="0.2">
      <c r="Z717" s="837"/>
      <c r="AB717" s="837"/>
      <c r="AC717" s="2075"/>
      <c r="AD717" s="2075"/>
      <c r="AE717" s="2075"/>
      <c r="AF717" s="2075"/>
      <c r="AG717" s="2075"/>
      <c r="AH717" s="2075"/>
      <c r="AI717" s="2075"/>
      <c r="AJ717" s="2075"/>
      <c r="AK717" s="2075"/>
      <c r="AL717" s="2075"/>
      <c r="AM717" s="837"/>
      <c r="AN717" s="837"/>
      <c r="AO717" s="837"/>
      <c r="AP717" s="837"/>
      <c r="AQ717" s="837"/>
      <c r="AR717" s="837"/>
      <c r="AS717" s="837"/>
      <c r="AT717" s="837"/>
      <c r="AU717" s="837"/>
      <c r="AV717" s="837"/>
      <c r="AW717" s="837"/>
      <c r="AX717" s="837"/>
      <c r="AY717" s="837"/>
    </row>
    <row r="718" spans="26:51" ht="12" customHeight="1" x14ac:dyDescent="0.2">
      <c r="Z718" s="837"/>
      <c r="AB718" s="837"/>
      <c r="AC718" s="2075"/>
      <c r="AD718" s="2075"/>
      <c r="AE718" s="2075"/>
      <c r="AF718" s="2075"/>
      <c r="AG718" s="2075"/>
      <c r="AH718" s="2075"/>
      <c r="AI718" s="2075"/>
      <c r="AJ718" s="2075"/>
      <c r="AK718" s="2075"/>
      <c r="AL718" s="2075"/>
      <c r="AM718" s="837"/>
      <c r="AN718" s="837"/>
      <c r="AO718" s="837"/>
      <c r="AP718" s="837"/>
      <c r="AQ718" s="837"/>
      <c r="AR718" s="837"/>
      <c r="AS718" s="837"/>
      <c r="AT718" s="837"/>
      <c r="AU718" s="837"/>
      <c r="AV718" s="837"/>
      <c r="AW718" s="837"/>
      <c r="AX718" s="837"/>
      <c r="AY718" s="837"/>
    </row>
    <row r="719" spans="26:51" ht="12" customHeight="1" x14ac:dyDescent="0.2">
      <c r="Z719" s="837"/>
      <c r="AB719" s="837"/>
      <c r="AC719" s="2075"/>
      <c r="AD719" s="2075"/>
      <c r="AE719" s="2075"/>
      <c r="AF719" s="2075"/>
      <c r="AG719" s="2075"/>
      <c r="AH719" s="2075"/>
      <c r="AI719" s="2075"/>
      <c r="AJ719" s="2075"/>
      <c r="AK719" s="2075"/>
      <c r="AL719" s="2075"/>
      <c r="AM719" s="837"/>
      <c r="AN719" s="837"/>
      <c r="AO719" s="837"/>
      <c r="AP719" s="837"/>
      <c r="AQ719" s="837"/>
      <c r="AR719" s="837"/>
      <c r="AS719" s="837"/>
      <c r="AT719" s="837"/>
      <c r="AU719" s="837"/>
      <c r="AV719" s="837"/>
      <c r="AW719" s="837"/>
      <c r="AX719" s="837"/>
      <c r="AY719" s="837"/>
    </row>
    <row r="720" spans="26:51" ht="12" customHeight="1" x14ac:dyDescent="0.2">
      <c r="Z720" s="837"/>
      <c r="AB720" s="837"/>
      <c r="AC720" s="2075"/>
      <c r="AD720" s="2075"/>
      <c r="AE720" s="2075"/>
      <c r="AF720" s="2075"/>
      <c r="AG720" s="2075"/>
      <c r="AH720" s="2075"/>
      <c r="AI720" s="2075"/>
      <c r="AJ720" s="2075"/>
      <c r="AK720" s="2075"/>
      <c r="AL720" s="2075"/>
      <c r="AM720" s="837"/>
      <c r="AN720" s="837"/>
      <c r="AO720" s="837"/>
      <c r="AP720" s="837"/>
      <c r="AQ720" s="837"/>
      <c r="AR720" s="837"/>
      <c r="AS720" s="837"/>
      <c r="AT720" s="837"/>
      <c r="AU720" s="837"/>
      <c r="AV720" s="837"/>
      <c r="AW720" s="837"/>
      <c r="AX720" s="837"/>
      <c r="AY720" s="837"/>
    </row>
    <row r="721" spans="26:51" ht="12" customHeight="1" x14ac:dyDescent="0.2">
      <c r="Z721" s="837"/>
      <c r="AB721" s="837"/>
      <c r="AC721" s="2075"/>
      <c r="AD721" s="2075"/>
      <c r="AE721" s="2075"/>
      <c r="AF721" s="2075"/>
      <c r="AG721" s="2075"/>
      <c r="AH721" s="2075"/>
      <c r="AI721" s="2075"/>
      <c r="AJ721" s="2075"/>
      <c r="AK721" s="2075"/>
      <c r="AL721" s="2075"/>
      <c r="AM721" s="837"/>
      <c r="AN721" s="837"/>
      <c r="AO721" s="837"/>
      <c r="AP721" s="837"/>
      <c r="AQ721" s="837"/>
      <c r="AR721" s="837"/>
      <c r="AS721" s="837"/>
      <c r="AT721" s="837"/>
      <c r="AU721" s="837"/>
      <c r="AV721" s="837"/>
      <c r="AW721" s="837"/>
      <c r="AX721" s="837"/>
      <c r="AY721" s="837"/>
    </row>
    <row r="722" spans="26:51" ht="12" customHeight="1" x14ac:dyDescent="0.2">
      <c r="Z722" s="837"/>
      <c r="AB722" s="837"/>
      <c r="AC722" s="2075"/>
      <c r="AD722" s="2075"/>
      <c r="AE722" s="2075"/>
      <c r="AF722" s="2075"/>
      <c r="AG722" s="2075"/>
      <c r="AH722" s="2075"/>
      <c r="AI722" s="2075"/>
      <c r="AJ722" s="2075"/>
      <c r="AK722" s="2075"/>
      <c r="AL722" s="2075"/>
      <c r="AM722" s="837"/>
      <c r="AN722" s="837"/>
      <c r="AO722" s="837"/>
      <c r="AP722" s="837"/>
      <c r="AQ722" s="837"/>
      <c r="AR722" s="837"/>
      <c r="AS722" s="837"/>
      <c r="AT722" s="837"/>
      <c r="AU722" s="837"/>
      <c r="AV722" s="837"/>
      <c r="AW722" s="837"/>
      <c r="AX722" s="837"/>
      <c r="AY722" s="837"/>
    </row>
    <row r="723" spans="26:51" ht="12" customHeight="1" x14ac:dyDescent="0.2">
      <c r="Z723" s="837"/>
      <c r="AB723" s="837"/>
      <c r="AC723" s="2075"/>
      <c r="AD723" s="2075"/>
      <c r="AE723" s="2075"/>
      <c r="AF723" s="2075"/>
      <c r="AG723" s="2075"/>
      <c r="AH723" s="2075"/>
      <c r="AI723" s="2075"/>
      <c r="AJ723" s="2075"/>
      <c r="AK723" s="2075"/>
      <c r="AL723" s="2075"/>
      <c r="AM723" s="837"/>
      <c r="AN723" s="837"/>
      <c r="AO723" s="837"/>
      <c r="AP723" s="837"/>
      <c r="AQ723" s="837"/>
      <c r="AR723" s="837"/>
      <c r="AS723" s="837"/>
      <c r="AT723" s="837"/>
      <c r="AU723" s="837"/>
      <c r="AV723" s="837"/>
      <c r="AW723" s="837"/>
      <c r="AX723" s="837"/>
      <c r="AY723" s="837"/>
    </row>
    <row r="724" spans="26:51" ht="12" customHeight="1" x14ac:dyDescent="0.2">
      <c r="Z724" s="837"/>
      <c r="AB724" s="837"/>
      <c r="AC724" s="2075"/>
      <c r="AD724" s="2075"/>
      <c r="AE724" s="2075"/>
      <c r="AF724" s="2075"/>
      <c r="AG724" s="2075"/>
      <c r="AH724" s="2075"/>
      <c r="AI724" s="2075"/>
      <c r="AJ724" s="2075"/>
      <c r="AK724" s="2075"/>
      <c r="AL724" s="2075"/>
      <c r="AM724" s="837"/>
      <c r="AN724" s="837"/>
      <c r="AO724" s="837"/>
      <c r="AP724" s="837"/>
      <c r="AQ724" s="837"/>
      <c r="AR724" s="837"/>
      <c r="AS724" s="837"/>
      <c r="AT724" s="837"/>
      <c r="AU724" s="837"/>
      <c r="AV724" s="837"/>
      <c r="AW724" s="837"/>
      <c r="AX724" s="837"/>
      <c r="AY724" s="837"/>
    </row>
    <row r="725" spans="26:51" ht="12" customHeight="1" x14ac:dyDescent="0.2">
      <c r="Z725" s="837"/>
      <c r="AB725" s="837"/>
      <c r="AC725" s="2075"/>
      <c r="AD725" s="2075"/>
      <c r="AE725" s="2075"/>
      <c r="AF725" s="2075"/>
      <c r="AG725" s="2075"/>
      <c r="AH725" s="2075"/>
      <c r="AI725" s="2075"/>
      <c r="AJ725" s="2075"/>
      <c r="AK725" s="2075"/>
      <c r="AL725" s="2075"/>
      <c r="AM725" s="837"/>
      <c r="AN725" s="837"/>
      <c r="AO725" s="837"/>
      <c r="AP725" s="837"/>
      <c r="AQ725" s="837"/>
      <c r="AR725" s="837"/>
      <c r="AS725" s="837"/>
      <c r="AT725" s="837"/>
      <c r="AU725" s="837"/>
      <c r="AV725" s="837"/>
      <c r="AW725" s="837"/>
      <c r="AX725" s="837"/>
      <c r="AY725" s="837"/>
    </row>
    <row r="726" spans="26:51" ht="12" customHeight="1" x14ac:dyDescent="0.2">
      <c r="Z726" s="837"/>
      <c r="AB726" s="837"/>
      <c r="AC726" s="2075"/>
      <c r="AD726" s="2075"/>
      <c r="AE726" s="2075"/>
      <c r="AF726" s="2075"/>
      <c r="AG726" s="2075"/>
      <c r="AH726" s="2075"/>
      <c r="AI726" s="2075"/>
      <c r="AJ726" s="2075"/>
      <c r="AK726" s="2075"/>
      <c r="AL726" s="2075"/>
      <c r="AM726" s="837"/>
      <c r="AN726" s="837"/>
      <c r="AO726" s="837"/>
      <c r="AP726" s="837"/>
      <c r="AQ726" s="837"/>
      <c r="AR726" s="837"/>
      <c r="AS726" s="837"/>
      <c r="AT726" s="837"/>
      <c r="AU726" s="837"/>
      <c r="AV726" s="837"/>
      <c r="AW726" s="837"/>
      <c r="AX726" s="837"/>
      <c r="AY726" s="837"/>
    </row>
    <row r="727" spans="26:51" ht="12" customHeight="1" x14ac:dyDescent="0.2">
      <c r="Z727" s="837"/>
      <c r="AB727" s="837"/>
      <c r="AC727" s="2075"/>
      <c r="AD727" s="2075"/>
      <c r="AE727" s="2075"/>
      <c r="AF727" s="2075"/>
      <c r="AG727" s="2075"/>
      <c r="AH727" s="2075"/>
      <c r="AI727" s="2075"/>
      <c r="AJ727" s="2075"/>
      <c r="AK727" s="2075"/>
      <c r="AL727" s="2075"/>
      <c r="AM727" s="837"/>
      <c r="AN727" s="837"/>
      <c r="AO727" s="837"/>
      <c r="AP727" s="837"/>
      <c r="AQ727" s="837"/>
      <c r="AR727" s="837"/>
      <c r="AS727" s="837"/>
      <c r="AT727" s="837"/>
      <c r="AU727" s="837"/>
      <c r="AV727" s="837"/>
      <c r="AW727" s="837"/>
      <c r="AX727" s="837"/>
      <c r="AY727" s="837"/>
    </row>
    <row r="728" spans="26:51" ht="12" customHeight="1" x14ac:dyDescent="0.2">
      <c r="Z728" s="837"/>
      <c r="AB728" s="837"/>
      <c r="AC728" s="2075"/>
      <c r="AD728" s="2075"/>
      <c r="AE728" s="2075"/>
      <c r="AF728" s="2075"/>
      <c r="AG728" s="2075"/>
      <c r="AH728" s="2075"/>
      <c r="AI728" s="2075"/>
      <c r="AJ728" s="2075"/>
      <c r="AK728" s="2075"/>
      <c r="AL728" s="2075"/>
      <c r="AM728" s="837"/>
      <c r="AN728" s="837"/>
      <c r="AO728" s="837"/>
      <c r="AP728" s="837"/>
      <c r="AQ728" s="837"/>
      <c r="AR728" s="837"/>
      <c r="AS728" s="837"/>
      <c r="AT728" s="837"/>
      <c r="AU728" s="837"/>
      <c r="AV728" s="837"/>
      <c r="AW728" s="837"/>
      <c r="AX728" s="837"/>
      <c r="AY728" s="837"/>
    </row>
    <row r="729" spans="26:51" ht="12" customHeight="1" x14ac:dyDescent="0.2">
      <c r="Z729" s="837"/>
      <c r="AB729" s="837"/>
      <c r="AC729" s="2075"/>
      <c r="AD729" s="2075"/>
      <c r="AE729" s="2075"/>
      <c r="AF729" s="2075"/>
      <c r="AG729" s="2075"/>
      <c r="AH729" s="2075"/>
      <c r="AI729" s="2075"/>
      <c r="AJ729" s="2075"/>
      <c r="AK729" s="2075"/>
      <c r="AL729" s="2075"/>
      <c r="AM729" s="837"/>
      <c r="AN729" s="837"/>
      <c r="AO729" s="837"/>
      <c r="AP729" s="837"/>
      <c r="AQ729" s="837"/>
      <c r="AR729" s="837"/>
      <c r="AS729" s="837"/>
      <c r="AT729" s="837"/>
      <c r="AU729" s="837"/>
      <c r="AV729" s="837"/>
      <c r="AW729" s="837"/>
      <c r="AX729" s="837"/>
      <c r="AY729" s="837"/>
    </row>
    <row r="730" spans="26:51" ht="12" customHeight="1" x14ac:dyDescent="0.2">
      <c r="Z730" s="837"/>
      <c r="AB730" s="837"/>
      <c r="AC730" s="2075"/>
      <c r="AD730" s="2075"/>
      <c r="AE730" s="2075"/>
      <c r="AF730" s="2075"/>
      <c r="AG730" s="2075"/>
      <c r="AH730" s="2075"/>
      <c r="AI730" s="2075"/>
      <c r="AJ730" s="2075"/>
      <c r="AK730" s="2075"/>
      <c r="AL730" s="2075"/>
      <c r="AM730" s="837"/>
      <c r="AN730" s="837"/>
      <c r="AO730" s="837"/>
      <c r="AP730" s="837"/>
      <c r="AQ730" s="837"/>
      <c r="AR730" s="837"/>
      <c r="AS730" s="837"/>
      <c r="AT730" s="837"/>
      <c r="AU730" s="837"/>
      <c r="AV730" s="837"/>
      <c r="AW730" s="837"/>
      <c r="AX730" s="837"/>
      <c r="AY730" s="837"/>
    </row>
    <row r="731" spans="26:51" ht="12" customHeight="1" x14ac:dyDescent="0.2">
      <c r="Z731" s="837"/>
      <c r="AB731" s="837"/>
      <c r="AC731" s="2075"/>
      <c r="AD731" s="2075"/>
      <c r="AE731" s="2075"/>
      <c r="AF731" s="2075"/>
      <c r="AG731" s="2075"/>
      <c r="AH731" s="2075"/>
      <c r="AI731" s="2075"/>
      <c r="AJ731" s="2075"/>
      <c r="AK731" s="2075"/>
      <c r="AL731" s="2075"/>
      <c r="AM731" s="837"/>
      <c r="AN731" s="837"/>
      <c r="AO731" s="837"/>
      <c r="AP731" s="837"/>
      <c r="AQ731" s="837"/>
      <c r="AR731" s="837"/>
      <c r="AS731" s="837"/>
      <c r="AT731" s="837"/>
      <c r="AU731" s="837"/>
      <c r="AV731" s="837"/>
      <c r="AW731" s="837"/>
      <c r="AX731" s="837"/>
      <c r="AY731" s="837"/>
    </row>
    <row r="732" spans="26:51" ht="12" customHeight="1" x14ac:dyDescent="0.2">
      <c r="Z732" s="837"/>
      <c r="AB732" s="837"/>
      <c r="AC732" s="2075"/>
      <c r="AD732" s="2075"/>
      <c r="AE732" s="2075"/>
      <c r="AF732" s="2075"/>
      <c r="AG732" s="2075"/>
      <c r="AH732" s="2075"/>
      <c r="AI732" s="2075"/>
      <c r="AJ732" s="2075"/>
      <c r="AK732" s="2075"/>
      <c r="AL732" s="2075"/>
      <c r="AM732" s="837"/>
      <c r="AN732" s="837"/>
      <c r="AO732" s="837"/>
      <c r="AP732" s="837"/>
      <c r="AQ732" s="837"/>
      <c r="AR732" s="837"/>
      <c r="AS732" s="837"/>
      <c r="AT732" s="837"/>
      <c r="AU732" s="837"/>
      <c r="AV732" s="837"/>
      <c r="AW732" s="837"/>
      <c r="AX732" s="837"/>
      <c r="AY732" s="837"/>
    </row>
    <row r="733" spans="26:51" ht="12" customHeight="1" x14ac:dyDescent="0.2">
      <c r="Z733" s="837"/>
      <c r="AB733" s="837"/>
      <c r="AC733" s="2075"/>
      <c r="AD733" s="2075"/>
      <c r="AE733" s="2075"/>
      <c r="AF733" s="2075"/>
      <c r="AG733" s="2075"/>
      <c r="AH733" s="2075"/>
      <c r="AI733" s="2075"/>
      <c r="AJ733" s="2075"/>
      <c r="AK733" s="2075"/>
      <c r="AL733" s="2075"/>
      <c r="AM733" s="837"/>
      <c r="AN733" s="837"/>
      <c r="AO733" s="837"/>
      <c r="AP733" s="837"/>
      <c r="AQ733" s="837"/>
      <c r="AR733" s="837"/>
      <c r="AS733" s="837"/>
      <c r="AT733" s="837"/>
      <c r="AU733" s="837"/>
      <c r="AV733" s="837"/>
      <c r="AW733" s="837"/>
      <c r="AX733" s="837"/>
      <c r="AY733" s="837"/>
    </row>
    <row r="734" spans="26:51" ht="12" customHeight="1" x14ac:dyDescent="0.2">
      <c r="Z734" s="837"/>
      <c r="AB734" s="837"/>
      <c r="AC734" s="2075"/>
      <c r="AD734" s="2075"/>
      <c r="AE734" s="2075"/>
      <c r="AF734" s="2075"/>
      <c r="AG734" s="2075"/>
      <c r="AH734" s="2075"/>
      <c r="AI734" s="2075"/>
      <c r="AJ734" s="2075"/>
      <c r="AK734" s="2075"/>
      <c r="AL734" s="2075"/>
      <c r="AM734" s="837"/>
      <c r="AN734" s="837"/>
      <c r="AO734" s="837"/>
      <c r="AP734" s="837"/>
      <c r="AQ734" s="837"/>
      <c r="AR734" s="837"/>
      <c r="AS734" s="837"/>
      <c r="AT734" s="837"/>
      <c r="AU734" s="837"/>
      <c r="AV734" s="837"/>
      <c r="AW734" s="837"/>
      <c r="AX734" s="837"/>
      <c r="AY734" s="837"/>
    </row>
    <row r="735" spans="26:51" ht="12" customHeight="1" x14ac:dyDescent="0.2">
      <c r="Z735" s="837"/>
      <c r="AB735" s="837"/>
      <c r="AC735" s="2075"/>
      <c r="AD735" s="2075"/>
      <c r="AE735" s="2075"/>
      <c r="AF735" s="2075"/>
      <c r="AG735" s="2075"/>
      <c r="AH735" s="2075"/>
      <c r="AI735" s="2075"/>
      <c r="AJ735" s="2075"/>
      <c r="AK735" s="2075"/>
      <c r="AL735" s="2075"/>
      <c r="AM735" s="837"/>
      <c r="AN735" s="837"/>
      <c r="AO735" s="837"/>
      <c r="AP735" s="837"/>
      <c r="AQ735" s="837"/>
      <c r="AR735" s="837"/>
      <c r="AS735" s="837"/>
      <c r="AT735" s="837"/>
      <c r="AU735" s="837"/>
      <c r="AV735" s="837"/>
      <c r="AW735" s="837"/>
      <c r="AX735" s="837"/>
      <c r="AY735" s="837"/>
    </row>
    <row r="736" spans="26:51" ht="12" customHeight="1" x14ac:dyDescent="0.2">
      <c r="Z736" s="837"/>
      <c r="AB736" s="837"/>
      <c r="AC736" s="2075"/>
      <c r="AD736" s="2075"/>
      <c r="AE736" s="2075"/>
      <c r="AF736" s="2075"/>
      <c r="AG736" s="2075"/>
      <c r="AH736" s="2075"/>
      <c r="AI736" s="2075"/>
      <c r="AJ736" s="2075"/>
      <c r="AK736" s="2075"/>
      <c r="AL736" s="2075"/>
      <c r="AM736" s="837"/>
      <c r="AN736" s="837"/>
      <c r="AO736" s="837"/>
      <c r="AP736" s="837"/>
      <c r="AQ736" s="837"/>
      <c r="AR736" s="837"/>
      <c r="AS736" s="837"/>
      <c r="AT736" s="837"/>
      <c r="AU736" s="837"/>
      <c r="AV736" s="837"/>
      <c r="AW736" s="837"/>
      <c r="AX736" s="837"/>
      <c r="AY736" s="837"/>
    </row>
    <row r="737" spans="26:51" ht="12" customHeight="1" x14ac:dyDescent="0.2">
      <c r="Z737" s="837"/>
      <c r="AB737" s="837"/>
      <c r="AC737" s="2075"/>
      <c r="AD737" s="2075"/>
      <c r="AE737" s="2075"/>
      <c r="AF737" s="2075"/>
      <c r="AG737" s="2075"/>
      <c r="AH737" s="2075"/>
      <c r="AI737" s="2075"/>
      <c r="AJ737" s="2075"/>
      <c r="AK737" s="2075"/>
      <c r="AL737" s="2075"/>
      <c r="AM737" s="837"/>
      <c r="AN737" s="837"/>
      <c r="AO737" s="837"/>
      <c r="AP737" s="837"/>
      <c r="AQ737" s="837"/>
      <c r="AR737" s="837"/>
      <c r="AS737" s="837"/>
      <c r="AT737" s="837"/>
      <c r="AU737" s="837"/>
      <c r="AV737" s="837"/>
      <c r="AW737" s="837"/>
      <c r="AX737" s="837"/>
      <c r="AY737" s="837"/>
    </row>
    <row r="738" spans="26:51" ht="12" customHeight="1" x14ac:dyDescent="0.2">
      <c r="Z738" s="837"/>
      <c r="AB738" s="837"/>
      <c r="AC738" s="2075"/>
      <c r="AD738" s="2075"/>
      <c r="AE738" s="2075"/>
      <c r="AF738" s="2075"/>
      <c r="AG738" s="2075"/>
      <c r="AH738" s="2075"/>
      <c r="AI738" s="2075"/>
      <c r="AJ738" s="2075"/>
      <c r="AK738" s="2075"/>
      <c r="AL738" s="2075"/>
      <c r="AM738" s="837"/>
      <c r="AN738" s="837"/>
      <c r="AO738" s="837"/>
      <c r="AP738" s="837"/>
      <c r="AQ738" s="837"/>
      <c r="AR738" s="837"/>
      <c r="AS738" s="837"/>
      <c r="AT738" s="837"/>
      <c r="AU738" s="837"/>
      <c r="AV738" s="837"/>
      <c r="AW738" s="837"/>
      <c r="AX738" s="837"/>
      <c r="AY738" s="837"/>
    </row>
    <row r="739" spans="26:51" ht="12" customHeight="1" x14ac:dyDescent="0.2">
      <c r="Z739" s="837"/>
      <c r="AB739" s="837"/>
      <c r="AC739" s="2075"/>
      <c r="AD739" s="2075"/>
      <c r="AE739" s="2075"/>
      <c r="AF739" s="2075"/>
      <c r="AG739" s="2075"/>
      <c r="AH739" s="2075"/>
      <c r="AI739" s="2075"/>
      <c r="AJ739" s="2075"/>
      <c r="AK739" s="2075"/>
      <c r="AL739" s="2075"/>
      <c r="AM739" s="837"/>
      <c r="AN739" s="837"/>
      <c r="AO739" s="837"/>
      <c r="AP739" s="837"/>
      <c r="AQ739" s="837"/>
      <c r="AR739" s="837"/>
      <c r="AS739" s="837"/>
      <c r="AT739" s="837"/>
      <c r="AU739" s="837"/>
      <c r="AV739" s="837"/>
      <c r="AW739" s="837"/>
      <c r="AX739" s="837"/>
      <c r="AY739" s="837"/>
    </row>
    <row r="740" spans="26:51" ht="12" customHeight="1" x14ac:dyDescent="0.2">
      <c r="Z740" s="837"/>
      <c r="AB740" s="837"/>
      <c r="AC740" s="2075"/>
      <c r="AD740" s="2075"/>
      <c r="AE740" s="2075"/>
      <c r="AF740" s="2075"/>
      <c r="AG740" s="2075"/>
      <c r="AH740" s="2075"/>
      <c r="AI740" s="2075"/>
      <c r="AJ740" s="2075"/>
      <c r="AK740" s="2075"/>
      <c r="AL740" s="2075"/>
      <c r="AM740" s="837"/>
      <c r="AN740" s="837"/>
      <c r="AO740" s="837"/>
      <c r="AP740" s="837"/>
      <c r="AQ740" s="837"/>
      <c r="AR740" s="837"/>
      <c r="AS740" s="837"/>
      <c r="AT740" s="837"/>
      <c r="AU740" s="837"/>
      <c r="AV740" s="837"/>
      <c r="AW740" s="837"/>
      <c r="AX740" s="837"/>
      <c r="AY740" s="837"/>
    </row>
    <row r="741" spans="26:51" ht="12" customHeight="1" x14ac:dyDescent="0.2">
      <c r="Z741" s="837"/>
      <c r="AB741" s="837"/>
      <c r="AC741" s="2075"/>
      <c r="AD741" s="2075"/>
      <c r="AE741" s="2075"/>
      <c r="AF741" s="2075"/>
      <c r="AG741" s="2075"/>
      <c r="AH741" s="2075"/>
      <c r="AI741" s="2075"/>
      <c r="AJ741" s="2075"/>
      <c r="AK741" s="2075"/>
      <c r="AL741" s="2075"/>
      <c r="AM741" s="837"/>
      <c r="AN741" s="837"/>
      <c r="AO741" s="837"/>
      <c r="AP741" s="837"/>
      <c r="AQ741" s="837"/>
      <c r="AR741" s="837"/>
      <c r="AS741" s="837"/>
      <c r="AT741" s="837"/>
      <c r="AU741" s="837"/>
      <c r="AV741" s="837"/>
      <c r="AW741" s="837"/>
      <c r="AX741" s="837"/>
      <c r="AY741" s="837"/>
    </row>
    <row r="742" spans="26:51" ht="12" customHeight="1" x14ac:dyDescent="0.2">
      <c r="Z742" s="837"/>
      <c r="AB742" s="837"/>
      <c r="AC742" s="2075"/>
      <c r="AD742" s="2075"/>
      <c r="AE742" s="2075"/>
      <c r="AF742" s="2075"/>
      <c r="AG742" s="2075"/>
      <c r="AH742" s="2075"/>
      <c r="AI742" s="2075"/>
      <c r="AJ742" s="2075"/>
      <c r="AK742" s="2075"/>
      <c r="AL742" s="2075"/>
      <c r="AM742" s="837"/>
      <c r="AN742" s="837"/>
      <c r="AO742" s="837"/>
      <c r="AP742" s="837"/>
      <c r="AQ742" s="837"/>
      <c r="AR742" s="837"/>
      <c r="AS742" s="837"/>
      <c r="AT742" s="837"/>
      <c r="AU742" s="837"/>
      <c r="AV742" s="837"/>
      <c r="AW742" s="837"/>
      <c r="AX742" s="837"/>
      <c r="AY742" s="837"/>
    </row>
    <row r="743" spans="26:51" ht="12" customHeight="1" x14ac:dyDescent="0.2">
      <c r="Z743" s="837"/>
      <c r="AB743" s="837"/>
      <c r="AC743" s="2075"/>
      <c r="AD743" s="2075"/>
      <c r="AE743" s="2075"/>
      <c r="AF743" s="2075"/>
      <c r="AG743" s="2075"/>
      <c r="AH743" s="2075"/>
      <c r="AI743" s="2075"/>
      <c r="AJ743" s="2075"/>
      <c r="AK743" s="2075"/>
      <c r="AL743" s="2075"/>
      <c r="AM743" s="837"/>
      <c r="AN743" s="837"/>
      <c r="AO743" s="837"/>
      <c r="AP743" s="837"/>
      <c r="AQ743" s="837"/>
      <c r="AR743" s="837"/>
      <c r="AS743" s="837"/>
      <c r="AT743" s="837"/>
      <c r="AU743" s="837"/>
      <c r="AV743" s="837"/>
      <c r="AW743" s="837"/>
      <c r="AX743" s="837"/>
      <c r="AY743" s="837"/>
    </row>
    <row r="744" spans="26:51" ht="12" customHeight="1" x14ac:dyDescent="0.2">
      <c r="Z744" s="837"/>
      <c r="AB744" s="837"/>
      <c r="AC744" s="2075"/>
      <c r="AD744" s="2075"/>
      <c r="AE744" s="2075"/>
      <c r="AF744" s="2075"/>
      <c r="AG744" s="2075"/>
      <c r="AH744" s="2075"/>
      <c r="AI744" s="2075"/>
      <c r="AJ744" s="2075"/>
      <c r="AK744" s="2075"/>
      <c r="AL744" s="2075"/>
      <c r="AM744" s="837"/>
      <c r="AN744" s="837"/>
      <c r="AO744" s="837"/>
      <c r="AP744" s="837"/>
      <c r="AQ744" s="837"/>
      <c r="AR744" s="837"/>
      <c r="AS744" s="837"/>
      <c r="AT744" s="837"/>
      <c r="AU744" s="837"/>
      <c r="AV744" s="837"/>
      <c r="AW744" s="837"/>
      <c r="AX744" s="837"/>
      <c r="AY744" s="837"/>
    </row>
    <row r="745" spans="26:51" ht="12" customHeight="1" x14ac:dyDescent="0.2">
      <c r="Z745" s="837"/>
      <c r="AB745" s="837"/>
      <c r="AC745" s="2075"/>
      <c r="AD745" s="2075"/>
      <c r="AE745" s="2075"/>
      <c r="AF745" s="2075"/>
      <c r="AG745" s="2075"/>
      <c r="AH745" s="2075"/>
      <c r="AI745" s="2075"/>
      <c r="AJ745" s="2075"/>
      <c r="AK745" s="2075"/>
      <c r="AL745" s="2075"/>
      <c r="AM745" s="837"/>
      <c r="AN745" s="837"/>
      <c r="AO745" s="837"/>
      <c r="AP745" s="837"/>
      <c r="AQ745" s="837"/>
      <c r="AR745" s="837"/>
      <c r="AS745" s="837"/>
      <c r="AT745" s="837"/>
      <c r="AU745" s="837"/>
      <c r="AV745" s="837"/>
      <c r="AW745" s="837"/>
      <c r="AX745" s="837"/>
      <c r="AY745" s="837"/>
    </row>
    <row r="746" spans="26:51" ht="12" customHeight="1" x14ac:dyDescent="0.2">
      <c r="Z746" s="837"/>
      <c r="AB746" s="837"/>
      <c r="AC746" s="2075"/>
      <c r="AD746" s="2075"/>
      <c r="AE746" s="2075"/>
      <c r="AF746" s="2075"/>
      <c r="AG746" s="2075"/>
      <c r="AH746" s="2075"/>
      <c r="AI746" s="2075"/>
      <c r="AJ746" s="2075"/>
      <c r="AK746" s="2075"/>
      <c r="AL746" s="2075"/>
      <c r="AM746" s="837"/>
      <c r="AN746" s="837"/>
      <c r="AO746" s="837"/>
      <c r="AP746" s="837"/>
      <c r="AQ746" s="837"/>
      <c r="AR746" s="837"/>
      <c r="AS746" s="837"/>
      <c r="AT746" s="837"/>
      <c r="AU746" s="837"/>
      <c r="AV746" s="837"/>
      <c r="AW746" s="837"/>
      <c r="AX746" s="837"/>
      <c r="AY746" s="837"/>
    </row>
    <row r="747" spans="26:51" ht="12" customHeight="1" x14ac:dyDescent="0.2">
      <c r="Z747" s="837"/>
      <c r="AB747" s="837"/>
      <c r="AC747" s="2075"/>
      <c r="AD747" s="2075"/>
      <c r="AE747" s="2075"/>
      <c r="AF747" s="2075"/>
      <c r="AG747" s="2075"/>
      <c r="AH747" s="2075"/>
      <c r="AI747" s="2075"/>
      <c r="AJ747" s="2075"/>
      <c r="AK747" s="2075"/>
      <c r="AL747" s="2075"/>
      <c r="AM747" s="837"/>
      <c r="AN747" s="837"/>
      <c r="AO747" s="837"/>
      <c r="AP747" s="837"/>
      <c r="AQ747" s="837"/>
      <c r="AR747" s="837"/>
      <c r="AS747" s="837"/>
      <c r="AT747" s="837"/>
      <c r="AU747" s="837"/>
      <c r="AV747" s="837"/>
      <c r="AW747" s="837"/>
      <c r="AX747" s="837"/>
      <c r="AY747" s="837"/>
    </row>
    <row r="748" spans="26:51" ht="12" customHeight="1" x14ac:dyDescent="0.2">
      <c r="Z748" s="837"/>
      <c r="AB748" s="837"/>
      <c r="AC748" s="2075"/>
      <c r="AD748" s="2075"/>
      <c r="AE748" s="2075"/>
      <c r="AF748" s="2075"/>
      <c r="AG748" s="2075"/>
      <c r="AH748" s="2075"/>
      <c r="AI748" s="2075"/>
      <c r="AJ748" s="2075"/>
      <c r="AK748" s="2075"/>
      <c r="AL748" s="2075"/>
      <c r="AM748" s="837"/>
      <c r="AN748" s="837"/>
      <c r="AO748" s="837"/>
      <c r="AP748" s="837"/>
      <c r="AQ748" s="837"/>
      <c r="AR748" s="837"/>
      <c r="AS748" s="837"/>
      <c r="AT748" s="837"/>
      <c r="AU748" s="837"/>
      <c r="AV748" s="837"/>
      <c r="AW748" s="837"/>
      <c r="AX748" s="837"/>
      <c r="AY748" s="837"/>
    </row>
    <row r="749" spans="26:51" ht="12" customHeight="1" x14ac:dyDescent="0.2">
      <c r="Z749" s="837"/>
      <c r="AB749" s="837"/>
      <c r="AC749" s="2075"/>
      <c r="AD749" s="2075"/>
      <c r="AE749" s="2075"/>
      <c r="AF749" s="2075"/>
      <c r="AG749" s="2075"/>
      <c r="AH749" s="2075"/>
      <c r="AI749" s="2075"/>
      <c r="AJ749" s="2075"/>
      <c r="AK749" s="2075"/>
      <c r="AL749" s="2075"/>
      <c r="AM749" s="837"/>
      <c r="AN749" s="837"/>
      <c r="AO749" s="837"/>
      <c r="AP749" s="837"/>
      <c r="AQ749" s="837"/>
      <c r="AR749" s="837"/>
      <c r="AS749" s="837"/>
      <c r="AT749" s="837"/>
      <c r="AU749" s="837"/>
      <c r="AV749" s="837"/>
      <c r="AW749" s="837"/>
      <c r="AX749" s="837"/>
      <c r="AY749" s="837"/>
    </row>
    <row r="750" spans="26:51" ht="12" customHeight="1" x14ac:dyDescent="0.2">
      <c r="Z750" s="837"/>
      <c r="AB750" s="837"/>
      <c r="AC750" s="2075"/>
      <c r="AD750" s="2075"/>
      <c r="AE750" s="2075"/>
      <c r="AF750" s="2075"/>
      <c r="AG750" s="2075"/>
      <c r="AH750" s="2075"/>
      <c r="AI750" s="2075"/>
      <c r="AJ750" s="2075"/>
      <c r="AK750" s="2075"/>
      <c r="AL750" s="2075"/>
      <c r="AM750" s="837"/>
      <c r="AN750" s="837"/>
      <c r="AO750" s="837"/>
      <c r="AP750" s="837"/>
      <c r="AQ750" s="837"/>
      <c r="AR750" s="837"/>
      <c r="AS750" s="837"/>
      <c r="AT750" s="837"/>
      <c r="AU750" s="837"/>
      <c r="AV750" s="837"/>
      <c r="AW750" s="837"/>
      <c r="AX750" s="837"/>
      <c r="AY750" s="837"/>
    </row>
    <row r="751" spans="26:51" ht="12" customHeight="1" x14ac:dyDescent="0.2">
      <c r="Z751" s="837"/>
      <c r="AB751" s="837"/>
      <c r="AC751" s="2075"/>
      <c r="AD751" s="2075"/>
      <c r="AE751" s="2075"/>
      <c r="AF751" s="2075"/>
      <c r="AG751" s="2075"/>
      <c r="AH751" s="2075"/>
      <c r="AI751" s="2075"/>
      <c r="AJ751" s="2075"/>
      <c r="AK751" s="2075"/>
      <c r="AL751" s="2075"/>
      <c r="AM751" s="837"/>
      <c r="AN751" s="837"/>
      <c r="AO751" s="837"/>
      <c r="AP751" s="837"/>
      <c r="AQ751" s="837"/>
      <c r="AR751" s="837"/>
      <c r="AS751" s="837"/>
      <c r="AT751" s="837"/>
      <c r="AU751" s="837"/>
      <c r="AV751" s="837"/>
      <c r="AW751" s="837"/>
      <c r="AX751" s="837"/>
      <c r="AY751" s="837"/>
    </row>
    <row r="752" spans="26:51" ht="12" customHeight="1" x14ac:dyDescent="0.2">
      <c r="Z752" s="837"/>
      <c r="AB752" s="837"/>
      <c r="AC752" s="2075"/>
      <c r="AD752" s="2075"/>
      <c r="AE752" s="2075"/>
      <c r="AF752" s="2075"/>
      <c r="AG752" s="2075"/>
      <c r="AH752" s="2075"/>
      <c r="AI752" s="2075"/>
      <c r="AJ752" s="2075"/>
      <c r="AK752" s="2075"/>
      <c r="AL752" s="2075"/>
      <c r="AM752" s="837"/>
      <c r="AN752" s="837"/>
      <c r="AO752" s="837"/>
      <c r="AP752" s="837"/>
      <c r="AQ752" s="837"/>
      <c r="AR752" s="837"/>
      <c r="AS752" s="837"/>
      <c r="AT752" s="837"/>
      <c r="AU752" s="837"/>
      <c r="AV752" s="837"/>
      <c r="AW752" s="837"/>
      <c r="AX752" s="837"/>
      <c r="AY752" s="837"/>
    </row>
    <row r="753" spans="26:51" ht="12" customHeight="1" x14ac:dyDescent="0.2">
      <c r="Z753" s="837"/>
      <c r="AB753" s="837"/>
      <c r="AC753" s="2075"/>
      <c r="AD753" s="2075"/>
      <c r="AE753" s="2075"/>
      <c r="AF753" s="2075"/>
      <c r="AG753" s="2075"/>
      <c r="AH753" s="2075"/>
      <c r="AI753" s="2075"/>
      <c r="AJ753" s="2075"/>
      <c r="AK753" s="2075"/>
      <c r="AL753" s="2075"/>
      <c r="AM753" s="837"/>
      <c r="AN753" s="837"/>
      <c r="AO753" s="837"/>
      <c r="AP753" s="837"/>
      <c r="AQ753" s="837"/>
      <c r="AR753" s="837"/>
      <c r="AS753" s="837"/>
      <c r="AT753" s="837"/>
      <c r="AU753" s="837"/>
      <c r="AV753" s="837"/>
      <c r="AW753" s="837"/>
      <c r="AX753" s="837"/>
      <c r="AY753" s="837"/>
    </row>
    <row r="754" spans="26:51" ht="12" customHeight="1" x14ac:dyDescent="0.2">
      <c r="Z754" s="837"/>
      <c r="AB754" s="837"/>
      <c r="AC754" s="2075"/>
      <c r="AD754" s="2075"/>
      <c r="AE754" s="2075"/>
      <c r="AF754" s="2075"/>
      <c r="AG754" s="2075"/>
      <c r="AH754" s="2075"/>
      <c r="AI754" s="2075"/>
      <c r="AJ754" s="2075"/>
      <c r="AK754" s="2075"/>
      <c r="AL754" s="2075"/>
      <c r="AM754" s="837"/>
      <c r="AN754" s="837"/>
      <c r="AO754" s="837"/>
      <c r="AP754" s="837"/>
      <c r="AQ754" s="837"/>
      <c r="AR754" s="837"/>
      <c r="AS754" s="837"/>
      <c r="AT754" s="837"/>
      <c r="AU754" s="837"/>
      <c r="AV754" s="837"/>
      <c r="AW754" s="837"/>
      <c r="AX754" s="837"/>
      <c r="AY754" s="837"/>
    </row>
    <row r="755" spans="26:51" ht="12" customHeight="1" x14ac:dyDescent="0.2">
      <c r="Z755" s="837"/>
      <c r="AB755" s="837"/>
      <c r="AC755" s="2075"/>
      <c r="AD755" s="2075"/>
      <c r="AE755" s="2075"/>
      <c r="AF755" s="2075"/>
      <c r="AG755" s="2075"/>
      <c r="AH755" s="2075"/>
      <c r="AI755" s="2075"/>
      <c r="AJ755" s="2075"/>
      <c r="AK755" s="2075"/>
      <c r="AL755" s="2075"/>
      <c r="AM755" s="837"/>
      <c r="AN755" s="837"/>
      <c r="AO755" s="837"/>
      <c r="AP755" s="837"/>
      <c r="AQ755" s="837"/>
      <c r="AR755" s="837"/>
      <c r="AS755" s="837"/>
      <c r="AT755" s="837"/>
      <c r="AU755" s="837"/>
      <c r="AV755" s="837"/>
      <c r="AW755" s="837"/>
      <c r="AX755" s="837"/>
      <c r="AY755" s="837"/>
    </row>
    <row r="756" spans="26:51" ht="12" customHeight="1" x14ac:dyDescent="0.2">
      <c r="Z756" s="837"/>
      <c r="AB756" s="837"/>
      <c r="AC756" s="2075"/>
      <c r="AD756" s="2075"/>
      <c r="AE756" s="2075"/>
      <c r="AF756" s="2075"/>
      <c r="AG756" s="2075"/>
      <c r="AH756" s="2075"/>
      <c r="AI756" s="2075"/>
      <c r="AJ756" s="2075"/>
      <c r="AK756" s="2075"/>
      <c r="AL756" s="2075"/>
      <c r="AM756" s="837"/>
      <c r="AN756" s="837"/>
      <c r="AO756" s="837"/>
      <c r="AP756" s="837"/>
      <c r="AQ756" s="837"/>
      <c r="AR756" s="837"/>
      <c r="AS756" s="837"/>
      <c r="AT756" s="837"/>
      <c r="AU756" s="837"/>
      <c r="AV756" s="837"/>
      <c r="AW756" s="837"/>
      <c r="AX756" s="837"/>
      <c r="AY756" s="837"/>
    </row>
    <row r="757" spans="26:51" ht="12" customHeight="1" x14ac:dyDescent="0.2">
      <c r="Z757" s="837"/>
      <c r="AB757" s="837"/>
      <c r="AC757" s="2075"/>
      <c r="AD757" s="2075"/>
      <c r="AE757" s="2075"/>
      <c r="AF757" s="2075"/>
      <c r="AG757" s="2075"/>
      <c r="AH757" s="2075"/>
      <c r="AI757" s="2075"/>
      <c r="AJ757" s="2075"/>
      <c r="AK757" s="2075"/>
      <c r="AL757" s="2075"/>
      <c r="AM757" s="837"/>
      <c r="AN757" s="837"/>
      <c r="AO757" s="837"/>
      <c r="AP757" s="837"/>
      <c r="AQ757" s="837"/>
      <c r="AR757" s="837"/>
      <c r="AS757" s="837"/>
      <c r="AT757" s="837"/>
      <c r="AU757" s="837"/>
      <c r="AV757" s="837"/>
      <c r="AW757" s="837"/>
      <c r="AX757" s="837"/>
      <c r="AY757" s="837"/>
    </row>
    <row r="758" spans="26:51" ht="12" customHeight="1" x14ac:dyDescent="0.2">
      <c r="Z758" s="837"/>
      <c r="AB758" s="837"/>
      <c r="AC758" s="2075"/>
      <c r="AD758" s="2075"/>
      <c r="AE758" s="2075"/>
      <c r="AF758" s="2075"/>
      <c r="AG758" s="2075"/>
      <c r="AH758" s="2075"/>
      <c r="AI758" s="2075"/>
      <c r="AJ758" s="2075"/>
      <c r="AK758" s="2075"/>
      <c r="AL758" s="2075"/>
      <c r="AM758" s="837"/>
      <c r="AN758" s="837"/>
      <c r="AO758" s="837"/>
      <c r="AP758" s="837"/>
      <c r="AQ758" s="837"/>
      <c r="AR758" s="837"/>
      <c r="AS758" s="837"/>
      <c r="AT758" s="837"/>
      <c r="AU758" s="837"/>
      <c r="AV758" s="837"/>
      <c r="AW758" s="837"/>
      <c r="AX758" s="837"/>
      <c r="AY758" s="837"/>
    </row>
    <row r="759" spans="26:51" ht="12" customHeight="1" x14ac:dyDescent="0.2">
      <c r="Z759" s="837"/>
      <c r="AB759" s="837"/>
      <c r="AC759" s="2075"/>
      <c r="AD759" s="2075"/>
      <c r="AE759" s="2075"/>
      <c r="AF759" s="2075"/>
      <c r="AG759" s="2075"/>
      <c r="AH759" s="2075"/>
      <c r="AI759" s="2075"/>
      <c r="AJ759" s="2075"/>
      <c r="AK759" s="2075"/>
      <c r="AL759" s="2075"/>
      <c r="AM759" s="837"/>
      <c r="AN759" s="837"/>
      <c r="AO759" s="837"/>
      <c r="AP759" s="837"/>
      <c r="AQ759" s="837"/>
      <c r="AR759" s="837"/>
      <c r="AS759" s="837"/>
      <c r="AT759" s="837"/>
      <c r="AU759" s="837"/>
      <c r="AV759" s="837"/>
      <c r="AW759" s="837"/>
      <c r="AX759" s="837"/>
      <c r="AY759" s="837"/>
    </row>
    <row r="760" spans="26:51" ht="12" customHeight="1" x14ac:dyDescent="0.2">
      <c r="Z760" s="837"/>
      <c r="AB760" s="837"/>
      <c r="AC760" s="2075"/>
      <c r="AD760" s="2075"/>
      <c r="AE760" s="2075"/>
      <c r="AF760" s="2075"/>
      <c r="AG760" s="2075"/>
      <c r="AH760" s="2075"/>
      <c r="AI760" s="2075"/>
      <c r="AJ760" s="2075"/>
      <c r="AK760" s="2075"/>
      <c r="AL760" s="2075"/>
      <c r="AM760" s="837"/>
      <c r="AN760" s="837"/>
      <c r="AO760" s="837"/>
      <c r="AP760" s="837"/>
      <c r="AQ760" s="837"/>
      <c r="AR760" s="837"/>
      <c r="AS760" s="837"/>
      <c r="AT760" s="837"/>
      <c r="AU760" s="837"/>
      <c r="AV760" s="837"/>
      <c r="AW760" s="837"/>
      <c r="AX760" s="837"/>
      <c r="AY760" s="837"/>
    </row>
    <row r="761" spans="26:51" ht="12" customHeight="1" x14ac:dyDescent="0.2">
      <c r="Z761" s="837"/>
      <c r="AB761" s="837"/>
      <c r="AC761" s="2075"/>
      <c r="AD761" s="2075"/>
      <c r="AE761" s="2075"/>
      <c r="AF761" s="2075"/>
      <c r="AG761" s="2075"/>
      <c r="AH761" s="2075"/>
      <c r="AI761" s="2075"/>
      <c r="AJ761" s="2075"/>
      <c r="AK761" s="2075"/>
      <c r="AL761" s="2075"/>
      <c r="AM761" s="837"/>
      <c r="AN761" s="837"/>
      <c r="AO761" s="837"/>
      <c r="AP761" s="837"/>
      <c r="AQ761" s="837"/>
      <c r="AR761" s="837"/>
      <c r="AS761" s="837"/>
      <c r="AT761" s="837"/>
      <c r="AU761" s="837"/>
      <c r="AV761" s="837"/>
      <c r="AW761" s="837"/>
      <c r="AX761" s="837"/>
      <c r="AY761" s="837"/>
    </row>
    <row r="762" spans="26:51" ht="12" customHeight="1" x14ac:dyDescent="0.2">
      <c r="Z762" s="837"/>
      <c r="AB762" s="837"/>
      <c r="AC762" s="2075"/>
      <c r="AD762" s="2075"/>
      <c r="AE762" s="2075"/>
      <c r="AF762" s="2075"/>
      <c r="AG762" s="2075"/>
      <c r="AH762" s="2075"/>
      <c r="AI762" s="2075"/>
      <c r="AJ762" s="2075"/>
      <c r="AK762" s="2075"/>
      <c r="AL762" s="2075"/>
      <c r="AM762" s="837"/>
      <c r="AN762" s="837"/>
      <c r="AO762" s="837"/>
      <c r="AP762" s="837"/>
      <c r="AQ762" s="837"/>
      <c r="AR762" s="837"/>
      <c r="AS762" s="837"/>
      <c r="AT762" s="837"/>
      <c r="AU762" s="837"/>
      <c r="AV762" s="837"/>
      <c r="AW762" s="837"/>
      <c r="AX762" s="837"/>
      <c r="AY762" s="837"/>
    </row>
    <row r="763" spans="26:51" ht="12" customHeight="1" x14ac:dyDescent="0.2">
      <c r="Z763" s="837"/>
      <c r="AB763" s="837"/>
      <c r="AC763" s="2075"/>
      <c r="AD763" s="2075"/>
      <c r="AE763" s="2075"/>
      <c r="AF763" s="2075"/>
      <c r="AG763" s="2075"/>
      <c r="AH763" s="2075"/>
      <c r="AI763" s="2075"/>
      <c r="AJ763" s="2075"/>
      <c r="AK763" s="2075"/>
      <c r="AL763" s="2075"/>
      <c r="AM763" s="837"/>
      <c r="AN763" s="837"/>
      <c r="AO763" s="837"/>
      <c r="AP763" s="837"/>
      <c r="AQ763" s="837"/>
      <c r="AR763" s="837"/>
      <c r="AS763" s="837"/>
      <c r="AT763" s="837"/>
      <c r="AU763" s="837"/>
      <c r="AV763" s="837"/>
      <c r="AW763" s="837"/>
      <c r="AX763" s="837"/>
      <c r="AY763" s="837"/>
    </row>
    <row r="764" spans="26:51" ht="12" customHeight="1" x14ac:dyDescent="0.2">
      <c r="Z764" s="837"/>
      <c r="AB764" s="837"/>
      <c r="AC764" s="2075"/>
      <c r="AD764" s="2075"/>
      <c r="AE764" s="2075"/>
      <c r="AF764" s="2075"/>
      <c r="AG764" s="2075"/>
      <c r="AH764" s="2075"/>
      <c r="AI764" s="2075"/>
      <c r="AJ764" s="2075"/>
      <c r="AK764" s="2075"/>
      <c r="AL764" s="2075"/>
      <c r="AM764" s="837"/>
      <c r="AN764" s="837"/>
      <c r="AO764" s="837"/>
      <c r="AP764" s="837"/>
      <c r="AQ764" s="837"/>
      <c r="AR764" s="837"/>
      <c r="AS764" s="837"/>
      <c r="AT764" s="837"/>
      <c r="AU764" s="837"/>
      <c r="AV764" s="837"/>
      <c r="AW764" s="837"/>
      <c r="AX764" s="837"/>
      <c r="AY764" s="837"/>
    </row>
    <row r="765" spans="26:51" ht="12" customHeight="1" x14ac:dyDescent="0.2">
      <c r="Z765" s="837"/>
      <c r="AB765" s="837"/>
      <c r="AC765" s="2075"/>
      <c r="AD765" s="2075"/>
      <c r="AE765" s="2075"/>
      <c r="AF765" s="2075"/>
      <c r="AG765" s="2075"/>
      <c r="AH765" s="2075"/>
      <c r="AI765" s="2075"/>
      <c r="AJ765" s="2075"/>
      <c r="AK765" s="2075"/>
      <c r="AL765" s="2075"/>
      <c r="AM765" s="837"/>
      <c r="AN765" s="837"/>
      <c r="AO765" s="837"/>
      <c r="AP765" s="837"/>
      <c r="AQ765" s="837"/>
      <c r="AR765" s="837"/>
      <c r="AS765" s="837"/>
      <c r="AT765" s="837"/>
      <c r="AU765" s="837"/>
      <c r="AV765" s="837"/>
      <c r="AW765" s="837"/>
      <c r="AX765" s="837"/>
      <c r="AY765" s="837"/>
    </row>
    <row r="766" spans="26:51" ht="12" customHeight="1" x14ac:dyDescent="0.2">
      <c r="Z766" s="837"/>
      <c r="AB766" s="837"/>
      <c r="AC766" s="2075"/>
      <c r="AD766" s="2075"/>
      <c r="AE766" s="2075"/>
      <c r="AF766" s="2075"/>
      <c r="AG766" s="2075"/>
      <c r="AH766" s="2075"/>
      <c r="AI766" s="2075"/>
      <c r="AJ766" s="2075"/>
      <c r="AK766" s="2075"/>
      <c r="AL766" s="2075"/>
      <c r="AM766" s="837"/>
      <c r="AN766" s="837"/>
      <c r="AO766" s="837"/>
      <c r="AP766" s="837"/>
      <c r="AQ766" s="837"/>
      <c r="AR766" s="837"/>
      <c r="AS766" s="837"/>
      <c r="AT766" s="837"/>
      <c r="AU766" s="837"/>
      <c r="AV766" s="837"/>
      <c r="AW766" s="837"/>
      <c r="AX766" s="837"/>
      <c r="AY766" s="837"/>
    </row>
    <row r="767" spans="26:51" ht="12" customHeight="1" x14ac:dyDescent="0.2">
      <c r="Z767" s="837"/>
      <c r="AB767" s="837"/>
      <c r="AC767" s="2075"/>
      <c r="AD767" s="2075"/>
      <c r="AE767" s="2075"/>
      <c r="AF767" s="2075"/>
      <c r="AG767" s="2075"/>
      <c r="AH767" s="2075"/>
      <c r="AI767" s="2075"/>
      <c r="AJ767" s="2075"/>
      <c r="AK767" s="2075"/>
      <c r="AL767" s="2075"/>
      <c r="AM767" s="837"/>
      <c r="AN767" s="837"/>
      <c r="AO767" s="837"/>
      <c r="AP767" s="837"/>
      <c r="AQ767" s="837"/>
      <c r="AR767" s="837"/>
      <c r="AS767" s="837"/>
      <c r="AT767" s="837"/>
      <c r="AU767" s="837"/>
      <c r="AV767" s="837"/>
      <c r="AW767" s="837"/>
      <c r="AX767" s="837"/>
      <c r="AY767" s="837"/>
    </row>
    <row r="768" spans="26:51" ht="12" customHeight="1" x14ac:dyDescent="0.2">
      <c r="Z768" s="837"/>
      <c r="AB768" s="837"/>
      <c r="AC768" s="2075"/>
      <c r="AD768" s="2075"/>
      <c r="AE768" s="2075"/>
      <c r="AF768" s="2075"/>
      <c r="AG768" s="2075"/>
      <c r="AH768" s="2075"/>
      <c r="AI768" s="2075"/>
      <c r="AJ768" s="2075"/>
      <c r="AK768" s="2075"/>
      <c r="AL768" s="2075"/>
      <c r="AM768" s="837"/>
      <c r="AN768" s="837"/>
      <c r="AO768" s="837"/>
      <c r="AP768" s="837"/>
      <c r="AQ768" s="837"/>
      <c r="AR768" s="837"/>
      <c r="AS768" s="837"/>
      <c r="AT768" s="837"/>
      <c r="AU768" s="837"/>
      <c r="AV768" s="837"/>
      <c r="AW768" s="837"/>
      <c r="AX768" s="837"/>
      <c r="AY768" s="837"/>
    </row>
    <row r="769" spans="26:51" ht="12" customHeight="1" x14ac:dyDescent="0.2">
      <c r="Z769" s="837"/>
      <c r="AB769" s="837"/>
      <c r="AC769" s="2075"/>
      <c r="AD769" s="2075"/>
      <c r="AE769" s="2075"/>
      <c r="AF769" s="2075"/>
      <c r="AG769" s="2075"/>
      <c r="AH769" s="2075"/>
      <c r="AI769" s="2075"/>
      <c r="AJ769" s="2075"/>
      <c r="AK769" s="2075"/>
      <c r="AL769" s="2075"/>
      <c r="AM769" s="837"/>
      <c r="AN769" s="837"/>
      <c r="AO769" s="837"/>
      <c r="AP769" s="837"/>
      <c r="AQ769" s="837"/>
      <c r="AR769" s="837"/>
      <c r="AS769" s="837"/>
      <c r="AT769" s="837"/>
      <c r="AU769" s="837"/>
      <c r="AV769" s="837"/>
      <c r="AW769" s="837"/>
      <c r="AX769" s="837"/>
      <c r="AY769" s="837"/>
    </row>
    <row r="770" spans="26:51" ht="12" customHeight="1" x14ac:dyDescent="0.2">
      <c r="Z770" s="837"/>
      <c r="AB770" s="837"/>
      <c r="AC770" s="2075"/>
      <c r="AD770" s="2075"/>
      <c r="AE770" s="2075"/>
      <c r="AF770" s="2075"/>
      <c r="AG770" s="2075"/>
      <c r="AH770" s="2075"/>
      <c r="AI770" s="2075"/>
      <c r="AJ770" s="2075"/>
      <c r="AK770" s="2075"/>
      <c r="AL770" s="2075"/>
      <c r="AM770" s="837"/>
      <c r="AN770" s="837"/>
      <c r="AO770" s="837"/>
      <c r="AP770" s="837"/>
      <c r="AQ770" s="837"/>
      <c r="AR770" s="837"/>
      <c r="AS770" s="837"/>
      <c r="AT770" s="837"/>
      <c r="AU770" s="837"/>
      <c r="AV770" s="837"/>
      <c r="AW770" s="837"/>
      <c r="AX770" s="837"/>
      <c r="AY770" s="837"/>
    </row>
    <row r="771" spans="26:51" ht="12" customHeight="1" x14ac:dyDescent="0.2">
      <c r="Z771" s="837"/>
      <c r="AB771" s="837"/>
      <c r="AC771" s="2075"/>
      <c r="AD771" s="2075"/>
      <c r="AE771" s="2075"/>
      <c r="AF771" s="2075"/>
      <c r="AG771" s="2075"/>
      <c r="AH771" s="2075"/>
      <c r="AI771" s="2075"/>
      <c r="AJ771" s="2075"/>
      <c r="AK771" s="2075"/>
      <c r="AL771" s="2075"/>
      <c r="AM771" s="837"/>
      <c r="AN771" s="837"/>
      <c r="AO771" s="837"/>
      <c r="AP771" s="837"/>
      <c r="AQ771" s="837"/>
      <c r="AR771" s="837"/>
      <c r="AS771" s="837"/>
      <c r="AT771" s="837"/>
      <c r="AU771" s="837"/>
      <c r="AV771" s="837"/>
      <c r="AW771" s="837"/>
      <c r="AX771" s="837"/>
      <c r="AY771" s="837"/>
    </row>
    <row r="772" spans="26:51" ht="12" customHeight="1" x14ac:dyDescent="0.2">
      <c r="Z772" s="837"/>
      <c r="AB772" s="837"/>
      <c r="AC772" s="2075"/>
      <c r="AD772" s="2075"/>
      <c r="AE772" s="2075"/>
      <c r="AF772" s="2075"/>
      <c r="AG772" s="2075"/>
      <c r="AH772" s="2075"/>
      <c r="AI772" s="2075"/>
      <c r="AJ772" s="2075"/>
      <c r="AK772" s="2075"/>
      <c r="AL772" s="2075"/>
      <c r="AM772" s="837"/>
      <c r="AN772" s="837"/>
      <c r="AO772" s="837"/>
      <c r="AP772" s="837"/>
      <c r="AQ772" s="837"/>
      <c r="AR772" s="837"/>
      <c r="AS772" s="837"/>
      <c r="AT772" s="837"/>
      <c r="AU772" s="837"/>
      <c r="AV772" s="837"/>
      <c r="AW772" s="837"/>
      <c r="AX772" s="837"/>
      <c r="AY772" s="837"/>
    </row>
    <row r="773" spans="26:51" ht="12" customHeight="1" x14ac:dyDescent="0.2">
      <c r="Z773" s="837"/>
      <c r="AB773" s="837"/>
      <c r="AC773" s="2075"/>
      <c r="AD773" s="2075"/>
      <c r="AE773" s="2075"/>
      <c r="AF773" s="2075"/>
      <c r="AG773" s="2075"/>
      <c r="AH773" s="2075"/>
      <c r="AI773" s="2075"/>
      <c r="AJ773" s="2075"/>
      <c r="AK773" s="2075"/>
      <c r="AL773" s="2075"/>
      <c r="AM773" s="837"/>
      <c r="AN773" s="837"/>
      <c r="AO773" s="837"/>
      <c r="AP773" s="837"/>
      <c r="AQ773" s="837"/>
      <c r="AR773" s="837"/>
      <c r="AS773" s="837"/>
      <c r="AT773" s="837"/>
      <c r="AU773" s="837"/>
      <c r="AV773" s="837"/>
      <c r="AW773" s="837"/>
      <c r="AX773" s="837"/>
      <c r="AY773" s="837"/>
    </row>
    <row r="774" spans="26:51" ht="12" customHeight="1" x14ac:dyDescent="0.2">
      <c r="Z774" s="837"/>
      <c r="AB774" s="837"/>
      <c r="AC774" s="2075"/>
      <c r="AD774" s="2075"/>
      <c r="AE774" s="2075"/>
      <c r="AF774" s="2075"/>
      <c r="AG774" s="2075"/>
      <c r="AH774" s="2075"/>
      <c r="AI774" s="2075"/>
      <c r="AJ774" s="2075"/>
      <c r="AK774" s="2075"/>
      <c r="AL774" s="2075"/>
      <c r="AM774" s="837"/>
      <c r="AN774" s="837"/>
      <c r="AO774" s="837"/>
      <c r="AP774" s="837"/>
      <c r="AQ774" s="837"/>
      <c r="AR774" s="837"/>
      <c r="AS774" s="837"/>
      <c r="AT774" s="837"/>
      <c r="AU774" s="837"/>
      <c r="AV774" s="837"/>
      <c r="AW774" s="837"/>
      <c r="AX774" s="837"/>
      <c r="AY774" s="837"/>
    </row>
    <row r="775" spans="26:51" ht="12" customHeight="1" x14ac:dyDescent="0.2">
      <c r="Z775" s="837"/>
      <c r="AB775" s="837"/>
      <c r="AC775" s="2075"/>
      <c r="AD775" s="2075"/>
      <c r="AE775" s="2075"/>
      <c r="AF775" s="2075"/>
      <c r="AG775" s="2075"/>
      <c r="AH775" s="2075"/>
      <c r="AI775" s="2075"/>
      <c r="AJ775" s="2075"/>
      <c r="AK775" s="2075"/>
      <c r="AL775" s="2075"/>
      <c r="AM775" s="837"/>
      <c r="AN775" s="837"/>
      <c r="AO775" s="837"/>
      <c r="AP775" s="837"/>
      <c r="AQ775" s="837"/>
      <c r="AR775" s="837"/>
      <c r="AS775" s="837"/>
      <c r="AT775" s="837"/>
      <c r="AU775" s="837"/>
      <c r="AV775" s="837"/>
      <c r="AW775" s="837"/>
      <c r="AX775" s="837"/>
      <c r="AY775" s="837"/>
    </row>
    <row r="776" spans="26:51" ht="12" customHeight="1" x14ac:dyDescent="0.2">
      <c r="Z776" s="837"/>
      <c r="AB776" s="837"/>
      <c r="AC776" s="2075"/>
      <c r="AD776" s="2075"/>
      <c r="AE776" s="2075"/>
      <c r="AF776" s="2075"/>
      <c r="AG776" s="2075"/>
      <c r="AH776" s="2075"/>
      <c r="AI776" s="2075"/>
      <c r="AJ776" s="2075"/>
      <c r="AK776" s="2075"/>
      <c r="AL776" s="2075"/>
      <c r="AM776" s="837"/>
      <c r="AN776" s="837"/>
      <c r="AO776" s="837"/>
      <c r="AP776" s="837"/>
      <c r="AQ776" s="837"/>
      <c r="AR776" s="837"/>
      <c r="AS776" s="837"/>
      <c r="AT776" s="837"/>
      <c r="AU776" s="837"/>
      <c r="AV776" s="837"/>
      <c r="AW776" s="837"/>
      <c r="AX776" s="837"/>
      <c r="AY776" s="837"/>
    </row>
    <row r="777" spans="26:51" ht="12" customHeight="1" x14ac:dyDescent="0.2">
      <c r="Z777" s="837"/>
      <c r="AB777" s="837"/>
      <c r="AC777" s="2075"/>
      <c r="AD777" s="2075"/>
      <c r="AE777" s="2075"/>
      <c r="AF777" s="2075"/>
      <c r="AG777" s="2075"/>
      <c r="AH777" s="2075"/>
      <c r="AI777" s="2075"/>
      <c r="AJ777" s="2075"/>
      <c r="AK777" s="2075"/>
      <c r="AL777" s="2075"/>
      <c r="AM777" s="837"/>
      <c r="AN777" s="837"/>
      <c r="AO777" s="837"/>
      <c r="AP777" s="837"/>
      <c r="AQ777" s="837"/>
      <c r="AR777" s="837"/>
      <c r="AS777" s="837"/>
      <c r="AT777" s="837"/>
      <c r="AU777" s="837"/>
      <c r="AV777" s="837"/>
      <c r="AW777" s="837"/>
      <c r="AX777" s="837"/>
      <c r="AY777" s="837"/>
    </row>
    <row r="778" spans="26:51" ht="12" customHeight="1" x14ac:dyDescent="0.2">
      <c r="Z778" s="837"/>
      <c r="AB778" s="837"/>
      <c r="AC778" s="2075"/>
      <c r="AD778" s="2075"/>
      <c r="AE778" s="2075"/>
      <c r="AF778" s="2075"/>
      <c r="AG778" s="2075"/>
      <c r="AH778" s="2075"/>
      <c r="AI778" s="2075"/>
      <c r="AJ778" s="2075"/>
      <c r="AK778" s="2075"/>
      <c r="AL778" s="2075"/>
      <c r="AM778" s="837"/>
      <c r="AN778" s="837"/>
      <c r="AO778" s="837"/>
      <c r="AP778" s="837"/>
      <c r="AQ778" s="837"/>
      <c r="AR778" s="837"/>
      <c r="AS778" s="837"/>
      <c r="AT778" s="837"/>
      <c r="AU778" s="837"/>
      <c r="AV778" s="837"/>
      <c r="AW778" s="837"/>
      <c r="AX778" s="837"/>
      <c r="AY778" s="837"/>
    </row>
    <row r="779" spans="26:51" ht="12" customHeight="1" x14ac:dyDescent="0.2">
      <c r="Z779" s="837"/>
      <c r="AB779" s="837"/>
      <c r="AC779" s="2075"/>
      <c r="AD779" s="2075"/>
      <c r="AE779" s="2075"/>
      <c r="AF779" s="2075"/>
      <c r="AG779" s="2075"/>
      <c r="AH779" s="2075"/>
      <c r="AI779" s="2075"/>
      <c r="AJ779" s="2075"/>
      <c r="AK779" s="2075"/>
      <c r="AL779" s="2075"/>
      <c r="AM779" s="837"/>
      <c r="AN779" s="837"/>
      <c r="AO779" s="837"/>
      <c r="AP779" s="837"/>
      <c r="AQ779" s="837"/>
      <c r="AR779" s="837"/>
      <c r="AS779" s="837"/>
      <c r="AT779" s="837"/>
      <c r="AU779" s="837"/>
      <c r="AV779" s="837"/>
      <c r="AW779" s="837"/>
      <c r="AX779" s="837"/>
      <c r="AY779" s="837"/>
    </row>
    <row r="780" spans="26:51" ht="12" customHeight="1" x14ac:dyDescent="0.2">
      <c r="Z780" s="837"/>
      <c r="AB780" s="837"/>
      <c r="AC780" s="2075"/>
      <c r="AD780" s="2075"/>
      <c r="AE780" s="2075"/>
      <c r="AF780" s="2075"/>
      <c r="AG780" s="2075"/>
      <c r="AH780" s="2075"/>
      <c r="AI780" s="2075"/>
      <c r="AJ780" s="2075"/>
      <c r="AK780" s="2075"/>
      <c r="AL780" s="2075"/>
      <c r="AM780" s="837"/>
      <c r="AN780" s="837"/>
      <c r="AO780" s="837"/>
      <c r="AP780" s="837"/>
      <c r="AQ780" s="837"/>
      <c r="AR780" s="837"/>
      <c r="AS780" s="837"/>
      <c r="AT780" s="837"/>
      <c r="AU780" s="837"/>
      <c r="AV780" s="837"/>
      <c r="AW780" s="837"/>
      <c r="AX780" s="837"/>
      <c r="AY780" s="837"/>
    </row>
    <row r="781" spans="26:51" ht="12" customHeight="1" x14ac:dyDescent="0.2">
      <c r="Z781" s="837"/>
      <c r="AB781" s="837"/>
      <c r="AC781" s="2075"/>
      <c r="AD781" s="2075"/>
      <c r="AE781" s="2075"/>
      <c r="AF781" s="2075"/>
      <c r="AG781" s="2075"/>
      <c r="AH781" s="2075"/>
      <c r="AI781" s="2075"/>
      <c r="AJ781" s="2075"/>
      <c r="AK781" s="2075"/>
      <c r="AL781" s="2075"/>
      <c r="AM781" s="837"/>
      <c r="AN781" s="837"/>
      <c r="AO781" s="837"/>
      <c r="AP781" s="837"/>
      <c r="AQ781" s="837"/>
      <c r="AR781" s="837"/>
      <c r="AS781" s="837"/>
      <c r="AT781" s="837"/>
      <c r="AU781" s="837"/>
      <c r="AV781" s="837"/>
      <c r="AW781" s="837"/>
      <c r="AX781" s="837"/>
      <c r="AY781" s="837"/>
    </row>
    <row r="782" spans="26:51" ht="12" customHeight="1" x14ac:dyDescent="0.2">
      <c r="Z782" s="837"/>
      <c r="AB782" s="837"/>
      <c r="AC782" s="2075"/>
      <c r="AD782" s="2075"/>
      <c r="AE782" s="2075"/>
      <c r="AF782" s="2075"/>
      <c r="AG782" s="2075"/>
      <c r="AH782" s="2075"/>
      <c r="AI782" s="2075"/>
      <c r="AJ782" s="2075"/>
      <c r="AK782" s="2075"/>
      <c r="AL782" s="2075"/>
      <c r="AM782" s="837"/>
      <c r="AN782" s="837"/>
      <c r="AO782" s="837"/>
      <c r="AP782" s="837"/>
      <c r="AQ782" s="837"/>
      <c r="AR782" s="837"/>
      <c r="AS782" s="837"/>
      <c r="AT782" s="837"/>
      <c r="AU782" s="837"/>
      <c r="AV782" s="837"/>
      <c r="AW782" s="837"/>
      <c r="AX782" s="837"/>
      <c r="AY782" s="837"/>
    </row>
    <row r="783" spans="26:51" ht="12" customHeight="1" x14ac:dyDescent="0.2">
      <c r="Z783" s="837"/>
      <c r="AB783" s="837"/>
      <c r="AC783" s="2075"/>
      <c r="AD783" s="2075"/>
      <c r="AE783" s="2075"/>
      <c r="AF783" s="2075"/>
      <c r="AG783" s="2075"/>
      <c r="AH783" s="2075"/>
      <c r="AI783" s="2075"/>
      <c r="AJ783" s="2075"/>
      <c r="AK783" s="2075"/>
      <c r="AL783" s="2075"/>
      <c r="AM783" s="837"/>
      <c r="AN783" s="837"/>
      <c r="AO783" s="837"/>
      <c r="AP783" s="837"/>
      <c r="AQ783" s="837"/>
      <c r="AR783" s="837"/>
      <c r="AS783" s="837"/>
      <c r="AT783" s="837"/>
      <c r="AU783" s="837"/>
      <c r="AV783" s="837"/>
      <c r="AW783" s="837"/>
      <c r="AX783" s="837"/>
      <c r="AY783" s="837"/>
    </row>
    <row r="784" spans="26:51" ht="12" customHeight="1" x14ac:dyDescent="0.2">
      <c r="Z784" s="837"/>
      <c r="AB784" s="837"/>
      <c r="AC784" s="2075"/>
      <c r="AD784" s="2075"/>
      <c r="AE784" s="2075"/>
      <c r="AF784" s="2075"/>
      <c r="AG784" s="2075"/>
      <c r="AH784" s="2075"/>
      <c r="AI784" s="2075"/>
      <c r="AJ784" s="2075"/>
      <c r="AK784" s="2075"/>
      <c r="AL784" s="2075"/>
      <c r="AM784" s="837"/>
      <c r="AN784" s="837"/>
      <c r="AO784" s="837"/>
      <c r="AP784" s="837"/>
      <c r="AQ784" s="837"/>
      <c r="AR784" s="837"/>
      <c r="AS784" s="837"/>
      <c r="AT784" s="837"/>
      <c r="AU784" s="837"/>
      <c r="AV784" s="837"/>
      <c r="AW784" s="837"/>
      <c r="AX784" s="837"/>
      <c r="AY784" s="837"/>
    </row>
    <row r="785" spans="26:51" ht="12" customHeight="1" x14ac:dyDescent="0.2">
      <c r="Z785" s="837"/>
      <c r="AB785" s="837"/>
      <c r="AC785" s="2075"/>
      <c r="AD785" s="2075"/>
      <c r="AE785" s="2075"/>
      <c r="AF785" s="2075"/>
      <c r="AG785" s="2075"/>
      <c r="AH785" s="2075"/>
      <c r="AI785" s="2075"/>
      <c r="AJ785" s="2075"/>
      <c r="AK785" s="2075"/>
      <c r="AL785" s="2075"/>
      <c r="AM785" s="837"/>
      <c r="AN785" s="837"/>
      <c r="AO785" s="837"/>
      <c r="AP785" s="837"/>
      <c r="AQ785" s="837"/>
      <c r="AR785" s="837"/>
      <c r="AS785" s="837"/>
      <c r="AT785" s="837"/>
      <c r="AU785" s="837"/>
      <c r="AV785" s="837"/>
      <c r="AW785" s="837"/>
      <c r="AX785" s="837"/>
      <c r="AY785" s="837"/>
    </row>
    <row r="786" spans="26:51" ht="12" customHeight="1" x14ac:dyDescent="0.2">
      <c r="Z786" s="837"/>
      <c r="AB786" s="837"/>
      <c r="AC786" s="2075"/>
      <c r="AD786" s="2075"/>
      <c r="AE786" s="2075"/>
      <c r="AF786" s="2075"/>
      <c r="AG786" s="2075"/>
      <c r="AH786" s="2075"/>
      <c r="AI786" s="2075"/>
      <c r="AJ786" s="2075"/>
      <c r="AK786" s="2075"/>
      <c r="AL786" s="2075"/>
      <c r="AM786" s="837"/>
      <c r="AN786" s="837"/>
      <c r="AO786" s="837"/>
      <c r="AP786" s="837"/>
      <c r="AQ786" s="837"/>
      <c r="AR786" s="837"/>
      <c r="AS786" s="837"/>
      <c r="AT786" s="837"/>
      <c r="AU786" s="837"/>
      <c r="AV786" s="837"/>
      <c r="AW786" s="837"/>
      <c r="AX786" s="837"/>
      <c r="AY786" s="837"/>
    </row>
    <row r="787" spans="26:51" ht="12" customHeight="1" x14ac:dyDescent="0.2">
      <c r="Z787" s="837"/>
      <c r="AB787" s="837"/>
      <c r="AC787" s="2075"/>
      <c r="AD787" s="2075"/>
      <c r="AE787" s="2075"/>
      <c r="AF787" s="2075"/>
      <c r="AG787" s="2075"/>
      <c r="AH787" s="2075"/>
      <c r="AI787" s="2075"/>
      <c r="AJ787" s="2075"/>
      <c r="AK787" s="2075"/>
      <c r="AL787" s="2075"/>
      <c r="AM787" s="837"/>
      <c r="AN787" s="837"/>
      <c r="AO787" s="837"/>
      <c r="AP787" s="837"/>
      <c r="AQ787" s="837"/>
      <c r="AR787" s="837"/>
      <c r="AS787" s="837"/>
      <c r="AT787" s="837"/>
      <c r="AU787" s="837"/>
      <c r="AV787" s="837"/>
      <c r="AW787" s="837"/>
      <c r="AX787" s="837"/>
      <c r="AY787" s="837"/>
    </row>
    <row r="788" spans="26:51" ht="12" customHeight="1" x14ac:dyDescent="0.2">
      <c r="Z788" s="837"/>
      <c r="AB788" s="837"/>
      <c r="AC788" s="2075"/>
      <c r="AD788" s="2075"/>
      <c r="AE788" s="2075"/>
      <c r="AF788" s="2075"/>
      <c r="AG788" s="2075"/>
      <c r="AH788" s="2075"/>
      <c r="AI788" s="2075"/>
      <c r="AJ788" s="2075"/>
      <c r="AK788" s="2075"/>
      <c r="AL788" s="2075"/>
      <c r="AM788" s="837"/>
      <c r="AN788" s="837"/>
      <c r="AO788" s="837"/>
      <c r="AP788" s="837"/>
      <c r="AQ788" s="837"/>
      <c r="AR788" s="837"/>
      <c r="AS788" s="837"/>
      <c r="AT788" s="837"/>
      <c r="AU788" s="837"/>
      <c r="AV788" s="837"/>
      <c r="AW788" s="837"/>
      <c r="AX788" s="837"/>
      <c r="AY788" s="837"/>
    </row>
    <row r="789" spans="26:51" ht="12" customHeight="1" x14ac:dyDescent="0.2">
      <c r="Z789" s="837"/>
      <c r="AB789" s="837"/>
      <c r="AC789" s="2075"/>
      <c r="AD789" s="2075"/>
      <c r="AE789" s="2075"/>
      <c r="AF789" s="2075"/>
      <c r="AG789" s="2075"/>
      <c r="AH789" s="2075"/>
      <c r="AI789" s="2075"/>
      <c r="AJ789" s="2075"/>
      <c r="AK789" s="2075"/>
      <c r="AL789" s="2075"/>
      <c r="AM789" s="837"/>
      <c r="AN789" s="837"/>
      <c r="AO789" s="837"/>
      <c r="AP789" s="837"/>
      <c r="AQ789" s="837"/>
      <c r="AR789" s="837"/>
      <c r="AS789" s="837"/>
      <c r="AT789" s="837"/>
      <c r="AU789" s="837"/>
      <c r="AV789" s="837"/>
      <c r="AW789" s="837"/>
      <c r="AX789" s="837"/>
      <c r="AY789" s="837"/>
    </row>
    <row r="790" spans="26:51" ht="12" customHeight="1" x14ac:dyDescent="0.2">
      <c r="Z790" s="837"/>
      <c r="AB790" s="837"/>
      <c r="AC790" s="2075"/>
      <c r="AD790" s="2075"/>
      <c r="AE790" s="2075"/>
      <c r="AF790" s="2075"/>
      <c r="AG790" s="2075"/>
      <c r="AH790" s="2075"/>
      <c r="AI790" s="2075"/>
      <c r="AJ790" s="2075"/>
      <c r="AK790" s="2075"/>
      <c r="AL790" s="2075"/>
      <c r="AM790" s="837"/>
      <c r="AN790" s="837"/>
      <c r="AO790" s="837"/>
      <c r="AP790" s="837"/>
      <c r="AQ790" s="837"/>
      <c r="AR790" s="837"/>
      <c r="AS790" s="837"/>
      <c r="AT790" s="837"/>
      <c r="AU790" s="837"/>
      <c r="AV790" s="837"/>
      <c r="AW790" s="837"/>
      <c r="AX790" s="837"/>
      <c r="AY790" s="837"/>
    </row>
    <row r="791" spans="26:51" ht="12" customHeight="1" x14ac:dyDescent="0.2">
      <c r="Z791" s="837"/>
      <c r="AB791" s="837"/>
      <c r="AC791" s="2075"/>
      <c r="AD791" s="2075"/>
      <c r="AE791" s="2075"/>
      <c r="AF791" s="2075"/>
      <c r="AG791" s="2075"/>
      <c r="AH791" s="2075"/>
      <c r="AI791" s="2075"/>
      <c r="AJ791" s="2075"/>
      <c r="AK791" s="2075"/>
      <c r="AL791" s="2075"/>
      <c r="AM791" s="837"/>
      <c r="AN791" s="837"/>
      <c r="AO791" s="837"/>
      <c r="AP791" s="837"/>
      <c r="AQ791" s="837"/>
      <c r="AR791" s="837"/>
      <c r="AS791" s="837"/>
      <c r="AT791" s="837"/>
      <c r="AU791" s="837"/>
      <c r="AV791" s="837"/>
      <c r="AW791" s="837"/>
      <c r="AX791" s="837"/>
      <c r="AY791" s="837"/>
    </row>
    <row r="792" spans="26:51" ht="12" customHeight="1" x14ac:dyDescent="0.2">
      <c r="Z792" s="837"/>
      <c r="AB792" s="837"/>
      <c r="AC792" s="2075"/>
      <c r="AD792" s="2075"/>
      <c r="AE792" s="2075"/>
      <c r="AF792" s="2075"/>
      <c r="AG792" s="2075"/>
      <c r="AH792" s="2075"/>
      <c r="AI792" s="2075"/>
      <c r="AJ792" s="2075"/>
      <c r="AK792" s="2075"/>
      <c r="AL792" s="2075"/>
      <c r="AM792" s="837"/>
      <c r="AN792" s="837"/>
      <c r="AO792" s="837"/>
      <c r="AP792" s="837"/>
      <c r="AQ792" s="837"/>
      <c r="AR792" s="837"/>
      <c r="AS792" s="837"/>
      <c r="AT792" s="837"/>
      <c r="AU792" s="837"/>
      <c r="AV792" s="837"/>
      <c r="AW792" s="837"/>
      <c r="AX792" s="837"/>
      <c r="AY792" s="837"/>
    </row>
    <row r="793" spans="26:51" ht="12" customHeight="1" x14ac:dyDescent="0.2">
      <c r="Z793" s="837"/>
      <c r="AB793" s="837"/>
      <c r="AC793" s="2075"/>
      <c r="AD793" s="2075"/>
      <c r="AE793" s="2075"/>
      <c r="AF793" s="2075"/>
      <c r="AG793" s="2075"/>
      <c r="AH793" s="2075"/>
      <c r="AI793" s="2075"/>
      <c r="AJ793" s="2075"/>
      <c r="AK793" s="2075"/>
      <c r="AL793" s="2075"/>
      <c r="AM793" s="837"/>
      <c r="AN793" s="837"/>
      <c r="AO793" s="837"/>
      <c r="AP793" s="837"/>
      <c r="AQ793" s="837"/>
      <c r="AR793" s="837"/>
      <c r="AS793" s="837"/>
      <c r="AT793" s="837"/>
      <c r="AU793" s="837"/>
      <c r="AV793" s="837"/>
      <c r="AW793" s="837"/>
      <c r="AX793" s="837"/>
      <c r="AY793" s="837"/>
    </row>
    <row r="794" spans="26:51" ht="12" customHeight="1" x14ac:dyDescent="0.2">
      <c r="Z794" s="837"/>
      <c r="AB794" s="837"/>
      <c r="AC794" s="2075"/>
      <c r="AD794" s="2075"/>
      <c r="AE794" s="2075"/>
      <c r="AF794" s="2075"/>
      <c r="AG794" s="2075"/>
      <c r="AH794" s="2075"/>
      <c r="AI794" s="2075"/>
      <c r="AJ794" s="2075"/>
      <c r="AK794" s="2075"/>
      <c r="AL794" s="2075"/>
      <c r="AM794" s="837"/>
      <c r="AN794" s="837"/>
      <c r="AO794" s="837"/>
      <c r="AP794" s="837"/>
      <c r="AQ794" s="837"/>
      <c r="AR794" s="837"/>
      <c r="AS794" s="837"/>
      <c r="AT794" s="837"/>
      <c r="AU794" s="837"/>
      <c r="AV794" s="837"/>
      <c r="AW794" s="837"/>
      <c r="AX794" s="837"/>
      <c r="AY794" s="837"/>
    </row>
    <row r="795" spans="26:51" ht="12" customHeight="1" x14ac:dyDescent="0.2">
      <c r="Z795" s="837"/>
      <c r="AB795" s="837"/>
      <c r="AC795" s="2075"/>
      <c r="AD795" s="2075"/>
      <c r="AE795" s="2075"/>
      <c r="AF795" s="2075"/>
      <c r="AG795" s="2075"/>
      <c r="AH795" s="2075"/>
      <c r="AI795" s="2075"/>
      <c r="AJ795" s="2075"/>
      <c r="AK795" s="2075"/>
      <c r="AL795" s="2075"/>
      <c r="AM795" s="837"/>
      <c r="AN795" s="837"/>
      <c r="AO795" s="837"/>
      <c r="AP795" s="837"/>
      <c r="AQ795" s="837"/>
      <c r="AR795" s="837"/>
      <c r="AS795" s="837"/>
      <c r="AT795" s="837"/>
      <c r="AU795" s="837"/>
      <c r="AV795" s="837"/>
      <c r="AW795" s="837"/>
      <c r="AX795" s="837"/>
      <c r="AY795" s="837"/>
    </row>
    <row r="796" spans="26:51" ht="12" customHeight="1" x14ac:dyDescent="0.2">
      <c r="Z796" s="837"/>
      <c r="AB796" s="837"/>
      <c r="AC796" s="2075"/>
      <c r="AD796" s="2075"/>
      <c r="AE796" s="2075"/>
      <c r="AF796" s="2075"/>
      <c r="AG796" s="2075"/>
      <c r="AH796" s="2075"/>
      <c r="AI796" s="2075"/>
      <c r="AJ796" s="2075"/>
      <c r="AK796" s="2075"/>
      <c r="AL796" s="2075"/>
      <c r="AM796" s="837"/>
      <c r="AN796" s="837"/>
      <c r="AO796" s="837"/>
      <c r="AP796" s="837"/>
      <c r="AQ796" s="837"/>
      <c r="AR796" s="837"/>
      <c r="AS796" s="837"/>
      <c r="AT796" s="837"/>
      <c r="AU796" s="837"/>
      <c r="AV796" s="837"/>
      <c r="AW796" s="837"/>
      <c r="AX796" s="837"/>
      <c r="AY796" s="837"/>
    </row>
    <row r="797" spans="26:51" ht="12" customHeight="1" x14ac:dyDescent="0.2">
      <c r="Z797" s="837"/>
      <c r="AB797" s="837"/>
      <c r="AC797" s="2075"/>
      <c r="AD797" s="2075"/>
      <c r="AE797" s="2075"/>
      <c r="AF797" s="2075"/>
      <c r="AG797" s="2075"/>
      <c r="AH797" s="2075"/>
      <c r="AI797" s="2075"/>
      <c r="AJ797" s="2075"/>
      <c r="AK797" s="2075"/>
      <c r="AL797" s="2075"/>
      <c r="AM797" s="837"/>
      <c r="AN797" s="837"/>
      <c r="AO797" s="837"/>
      <c r="AP797" s="837"/>
      <c r="AQ797" s="837"/>
      <c r="AR797" s="837"/>
      <c r="AS797" s="837"/>
      <c r="AT797" s="837"/>
      <c r="AU797" s="837"/>
      <c r="AV797" s="837"/>
      <c r="AW797" s="837"/>
      <c r="AX797" s="837"/>
      <c r="AY797" s="837"/>
    </row>
    <row r="798" spans="26:51" ht="12" customHeight="1" x14ac:dyDescent="0.2">
      <c r="Z798" s="837"/>
      <c r="AB798" s="837"/>
      <c r="AC798" s="2075"/>
      <c r="AD798" s="2075"/>
      <c r="AE798" s="2075"/>
      <c r="AF798" s="2075"/>
      <c r="AG798" s="2075"/>
      <c r="AH798" s="2075"/>
      <c r="AI798" s="2075"/>
      <c r="AJ798" s="2075"/>
      <c r="AK798" s="2075"/>
      <c r="AL798" s="2075"/>
      <c r="AM798" s="837"/>
      <c r="AN798" s="837"/>
      <c r="AO798" s="837"/>
      <c r="AP798" s="837"/>
      <c r="AQ798" s="837"/>
      <c r="AR798" s="837"/>
      <c r="AS798" s="837"/>
      <c r="AT798" s="837"/>
      <c r="AU798" s="837"/>
      <c r="AV798" s="837"/>
      <c r="AW798" s="837"/>
      <c r="AX798" s="837"/>
      <c r="AY798" s="837"/>
    </row>
    <row r="799" spans="26:51" ht="12" customHeight="1" x14ac:dyDescent="0.2">
      <c r="Z799" s="837"/>
      <c r="AB799" s="837"/>
      <c r="AC799" s="2075"/>
      <c r="AD799" s="2075"/>
      <c r="AE799" s="2075"/>
      <c r="AF799" s="2075"/>
      <c r="AG799" s="2075"/>
      <c r="AH799" s="2075"/>
      <c r="AI799" s="2075"/>
      <c r="AJ799" s="2075"/>
      <c r="AK799" s="2075"/>
      <c r="AL799" s="2075"/>
      <c r="AM799" s="837"/>
      <c r="AN799" s="837"/>
      <c r="AO799" s="837"/>
      <c r="AP799" s="837"/>
      <c r="AQ799" s="837"/>
      <c r="AR799" s="837"/>
      <c r="AS799" s="837"/>
      <c r="AT799" s="837"/>
      <c r="AU799" s="837"/>
      <c r="AV799" s="837"/>
      <c r="AW799" s="837"/>
      <c r="AX799" s="837"/>
      <c r="AY799" s="837"/>
    </row>
    <row r="800" spans="26:51" ht="12" customHeight="1" x14ac:dyDescent="0.2">
      <c r="Z800" s="837"/>
      <c r="AB800" s="837"/>
      <c r="AC800" s="2075"/>
      <c r="AD800" s="2075"/>
      <c r="AE800" s="2075"/>
      <c r="AF800" s="2075"/>
      <c r="AG800" s="2075"/>
      <c r="AH800" s="2075"/>
      <c r="AI800" s="2075"/>
      <c r="AJ800" s="2075"/>
      <c r="AK800" s="2075"/>
      <c r="AL800" s="2075"/>
      <c r="AM800" s="837"/>
      <c r="AN800" s="837"/>
      <c r="AO800" s="837"/>
      <c r="AP800" s="837"/>
      <c r="AQ800" s="837"/>
      <c r="AR800" s="837"/>
      <c r="AS800" s="837"/>
      <c r="AT800" s="837"/>
      <c r="AU800" s="837"/>
      <c r="AV800" s="837"/>
      <c r="AW800" s="837"/>
      <c r="AX800" s="837"/>
      <c r="AY800" s="837"/>
    </row>
    <row r="801" spans="26:51" ht="12" customHeight="1" x14ac:dyDescent="0.2">
      <c r="Z801" s="837"/>
      <c r="AB801" s="837"/>
      <c r="AC801" s="2075"/>
      <c r="AD801" s="2075"/>
      <c r="AE801" s="2075"/>
      <c r="AF801" s="2075"/>
      <c r="AG801" s="2075"/>
      <c r="AH801" s="2075"/>
      <c r="AI801" s="2075"/>
      <c r="AJ801" s="2075"/>
      <c r="AK801" s="2075"/>
      <c r="AL801" s="2075"/>
      <c r="AM801" s="837"/>
      <c r="AN801" s="837"/>
      <c r="AO801" s="837"/>
      <c r="AP801" s="837"/>
      <c r="AQ801" s="837"/>
      <c r="AR801" s="837"/>
      <c r="AS801" s="837"/>
      <c r="AT801" s="837"/>
      <c r="AU801" s="837"/>
      <c r="AV801" s="837"/>
      <c r="AW801" s="837"/>
      <c r="AX801" s="837"/>
      <c r="AY801" s="837"/>
    </row>
    <row r="802" spans="26:51" ht="12" customHeight="1" x14ac:dyDescent="0.2">
      <c r="Z802" s="837"/>
      <c r="AB802" s="837"/>
      <c r="AC802" s="2075"/>
      <c r="AD802" s="2075"/>
      <c r="AE802" s="2075"/>
      <c r="AF802" s="2075"/>
      <c r="AG802" s="2075"/>
      <c r="AH802" s="2075"/>
      <c r="AI802" s="2075"/>
      <c r="AJ802" s="2075"/>
      <c r="AK802" s="2075"/>
      <c r="AL802" s="2075"/>
      <c r="AM802" s="837"/>
      <c r="AN802" s="837"/>
      <c r="AO802" s="837"/>
      <c r="AP802" s="837"/>
      <c r="AQ802" s="837"/>
      <c r="AR802" s="837"/>
      <c r="AS802" s="837"/>
      <c r="AT802" s="837"/>
      <c r="AU802" s="837"/>
      <c r="AV802" s="837"/>
      <c r="AW802" s="837"/>
      <c r="AX802" s="837"/>
      <c r="AY802" s="837"/>
    </row>
    <row r="803" spans="26:51" ht="12" customHeight="1" x14ac:dyDescent="0.2">
      <c r="Z803" s="837"/>
      <c r="AB803" s="837"/>
      <c r="AC803" s="2075"/>
      <c r="AD803" s="2075"/>
      <c r="AE803" s="2075"/>
      <c r="AF803" s="2075"/>
      <c r="AG803" s="2075"/>
      <c r="AH803" s="2075"/>
      <c r="AI803" s="2075"/>
      <c r="AJ803" s="2075"/>
      <c r="AK803" s="2075"/>
      <c r="AL803" s="2075"/>
      <c r="AM803" s="837"/>
      <c r="AN803" s="837"/>
      <c r="AO803" s="837"/>
      <c r="AP803" s="837"/>
      <c r="AQ803" s="837"/>
      <c r="AR803" s="837"/>
      <c r="AS803" s="837"/>
      <c r="AT803" s="837"/>
      <c r="AU803" s="837"/>
      <c r="AV803" s="837"/>
      <c r="AW803" s="837"/>
      <c r="AX803" s="837"/>
      <c r="AY803" s="837"/>
    </row>
    <row r="804" spans="26:51" ht="12" customHeight="1" x14ac:dyDescent="0.2">
      <c r="Z804" s="837"/>
      <c r="AB804" s="837"/>
      <c r="AC804" s="2075"/>
      <c r="AD804" s="2075"/>
      <c r="AE804" s="2075"/>
      <c r="AF804" s="2075"/>
      <c r="AG804" s="2075"/>
      <c r="AH804" s="2075"/>
      <c r="AI804" s="2075"/>
      <c r="AJ804" s="2075"/>
      <c r="AK804" s="2075"/>
      <c r="AL804" s="2075"/>
      <c r="AM804" s="837"/>
      <c r="AN804" s="837"/>
      <c r="AO804" s="837"/>
      <c r="AP804" s="837"/>
      <c r="AQ804" s="837"/>
      <c r="AR804" s="837"/>
      <c r="AS804" s="837"/>
      <c r="AT804" s="837"/>
      <c r="AU804" s="837"/>
      <c r="AV804" s="837"/>
      <c r="AW804" s="837"/>
      <c r="AX804" s="837"/>
      <c r="AY804" s="837"/>
    </row>
    <row r="805" spans="26:51" ht="12" customHeight="1" x14ac:dyDescent="0.2">
      <c r="Z805" s="837"/>
      <c r="AB805" s="837"/>
      <c r="AC805" s="2075"/>
      <c r="AD805" s="2075"/>
      <c r="AE805" s="2075"/>
      <c r="AF805" s="2075"/>
      <c r="AG805" s="2075"/>
      <c r="AH805" s="2075"/>
      <c r="AI805" s="2075"/>
      <c r="AJ805" s="2075"/>
      <c r="AK805" s="2075"/>
      <c r="AL805" s="2075"/>
      <c r="AM805" s="837"/>
      <c r="AN805" s="837"/>
      <c r="AO805" s="837"/>
      <c r="AP805" s="837"/>
      <c r="AQ805" s="837"/>
      <c r="AR805" s="837"/>
      <c r="AS805" s="837"/>
      <c r="AT805" s="837"/>
      <c r="AU805" s="837"/>
      <c r="AV805" s="837"/>
      <c r="AW805" s="837"/>
      <c r="AX805" s="837"/>
      <c r="AY805" s="837"/>
    </row>
    <row r="806" spans="26:51" ht="12" customHeight="1" x14ac:dyDescent="0.2">
      <c r="Z806" s="837"/>
      <c r="AB806" s="837"/>
      <c r="AC806" s="2075"/>
      <c r="AD806" s="2075"/>
      <c r="AE806" s="2075"/>
      <c r="AF806" s="2075"/>
      <c r="AG806" s="2075"/>
      <c r="AH806" s="2075"/>
      <c r="AI806" s="2075"/>
      <c r="AJ806" s="2075"/>
      <c r="AK806" s="2075"/>
      <c r="AL806" s="2075"/>
      <c r="AM806" s="837"/>
      <c r="AN806" s="837"/>
      <c r="AO806" s="837"/>
      <c r="AP806" s="837"/>
      <c r="AQ806" s="837"/>
      <c r="AR806" s="837"/>
      <c r="AS806" s="837"/>
      <c r="AT806" s="837"/>
      <c r="AU806" s="837"/>
      <c r="AV806" s="837"/>
      <c r="AW806" s="837"/>
      <c r="AX806" s="837"/>
      <c r="AY806" s="837"/>
    </row>
    <row r="807" spans="26:51" ht="12" customHeight="1" x14ac:dyDescent="0.2">
      <c r="Z807" s="837"/>
      <c r="AB807" s="837"/>
      <c r="AC807" s="2075"/>
      <c r="AD807" s="2075"/>
      <c r="AE807" s="2075"/>
      <c r="AF807" s="2075"/>
      <c r="AG807" s="2075"/>
      <c r="AH807" s="2075"/>
      <c r="AI807" s="2075"/>
      <c r="AJ807" s="2075"/>
      <c r="AK807" s="2075"/>
      <c r="AL807" s="2075"/>
      <c r="AM807" s="837"/>
      <c r="AN807" s="837"/>
      <c r="AO807" s="837"/>
      <c r="AP807" s="837"/>
      <c r="AQ807" s="837"/>
      <c r="AR807" s="837"/>
      <c r="AS807" s="837"/>
      <c r="AT807" s="837"/>
      <c r="AU807" s="837"/>
      <c r="AV807" s="837"/>
      <c r="AW807" s="837"/>
      <c r="AX807" s="837"/>
      <c r="AY807" s="837"/>
    </row>
    <row r="808" spans="26:51" ht="12" customHeight="1" x14ac:dyDescent="0.2">
      <c r="Z808" s="837"/>
      <c r="AB808" s="837"/>
      <c r="AC808" s="2075"/>
      <c r="AD808" s="2075"/>
      <c r="AE808" s="2075"/>
      <c r="AF808" s="2075"/>
      <c r="AG808" s="2075"/>
      <c r="AH808" s="2075"/>
      <c r="AI808" s="2075"/>
      <c r="AJ808" s="2075"/>
      <c r="AK808" s="2075"/>
      <c r="AL808" s="2075"/>
      <c r="AM808" s="837"/>
      <c r="AN808" s="837"/>
      <c r="AO808" s="837"/>
      <c r="AP808" s="837"/>
      <c r="AQ808" s="837"/>
      <c r="AR808" s="837"/>
      <c r="AS808" s="837"/>
      <c r="AT808" s="837"/>
      <c r="AU808" s="837"/>
      <c r="AV808" s="837"/>
      <c r="AW808" s="837"/>
      <c r="AX808" s="837"/>
      <c r="AY808" s="837"/>
    </row>
    <row r="809" spans="26:51" ht="12" customHeight="1" x14ac:dyDescent="0.2">
      <c r="Z809" s="837"/>
      <c r="AB809" s="837"/>
      <c r="AC809" s="2075"/>
      <c r="AD809" s="2075"/>
      <c r="AE809" s="2075"/>
      <c r="AF809" s="2075"/>
      <c r="AG809" s="2075"/>
      <c r="AH809" s="2075"/>
      <c r="AI809" s="2075"/>
      <c r="AJ809" s="2075"/>
      <c r="AK809" s="2075"/>
      <c r="AL809" s="2075"/>
      <c r="AM809" s="837"/>
      <c r="AN809" s="837"/>
      <c r="AO809" s="837"/>
      <c r="AP809" s="837"/>
      <c r="AQ809" s="837"/>
      <c r="AR809" s="837"/>
      <c r="AS809" s="837"/>
      <c r="AT809" s="837"/>
      <c r="AU809" s="837"/>
      <c r="AV809" s="837"/>
      <c r="AW809" s="837"/>
      <c r="AX809" s="837"/>
      <c r="AY809" s="837"/>
    </row>
    <row r="810" spans="26:51" ht="12" customHeight="1" x14ac:dyDescent="0.2">
      <c r="Z810" s="837"/>
      <c r="AB810" s="837"/>
      <c r="AC810" s="2075"/>
      <c r="AD810" s="2075"/>
      <c r="AE810" s="2075"/>
      <c r="AF810" s="2075"/>
      <c r="AG810" s="2075"/>
      <c r="AH810" s="2075"/>
      <c r="AI810" s="2075"/>
      <c r="AJ810" s="2075"/>
      <c r="AK810" s="2075"/>
      <c r="AL810" s="2075"/>
      <c r="AM810" s="837"/>
      <c r="AN810" s="837"/>
      <c r="AO810" s="837"/>
      <c r="AP810" s="837"/>
      <c r="AQ810" s="837"/>
      <c r="AR810" s="837"/>
      <c r="AS810" s="837"/>
      <c r="AT810" s="837"/>
      <c r="AU810" s="837"/>
      <c r="AV810" s="837"/>
      <c r="AW810" s="837"/>
      <c r="AX810" s="837"/>
      <c r="AY810" s="837"/>
    </row>
    <row r="811" spans="26:51" ht="12" customHeight="1" x14ac:dyDescent="0.2">
      <c r="Z811" s="837"/>
      <c r="AB811" s="837"/>
      <c r="AC811" s="2075"/>
      <c r="AD811" s="2075"/>
      <c r="AE811" s="2075"/>
      <c r="AF811" s="2075"/>
      <c r="AG811" s="2075"/>
      <c r="AH811" s="2075"/>
      <c r="AI811" s="2075"/>
      <c r="AJ811" s="2075"/>
      <c r="AK811" s="2075"/>
      <c r="AL811" s="2075"/>
      <c r="AM811" s="837"/>
      <c r="AN811" s="837"/>
      <c r="AO811" s="837"/>
      <c r="AP811" s="837"/>
      <c r="AQ811" s="837"/>
      <c r="AR811" s="837"/>
      <c r="AS811" s="837"/>
      <c r="AT811" s="837"/>
      <c r="AU811" s="837"/>
      <c r="AV811" s="837"/>
      <c r="AW811" s="837"/>
      <c r="AX811" s="837"/>
      <c r="AY811" s="837"/>
    </row>
    <row r="812" spans="26:51" ht="12" customHeight="1" x14ac:dyDescent="0.2">
      <c r="Z812" s="837"/>
      <c r="AB812" s="837"/>
      <c r="AC812" s="2075"/>
      <c r="AD812" s="2075"/>
      <c r="AE812" s="2075"/>
      <c r="AF812" s="2075"/>
      <c r="AG812" s="2075"/>
      <c r="AH812" s="2075"/>
      <c r="AI812" s="2075"/>
      <c r="AJ812" s="2075"/>
      <c r="AK812" s="2075"/>
      <c r="AL812" s="2075"/>
      <c r="AM812" s="837"/>
      <c r="AN812" s="837"/>
      <c r="AO812" s="837"/>
      <c r="AP812" s="837"/>
      <c r="AQ812" s="837"/>
      <c r="AR812" s="837"/>
      <c r="AS812" s="837"/>
      <c r="AT812" s="837"/>
      <c r="AU812" s="837"/>
      <c r="AV812" s="837"/>
      <c r="AW812" s="837"/>
      <c r="AX812" s="837"/>
      <c r="AY812" s="837"/>
    </row>
    <row r="813" spans="26:51" ht="12" customHeight="1" x14ac:dyDescent="0.2">
      <c r="Z813" s="837"/>
      <c r="AB813" s="837"/>
      <c r="AC813" s="2075"/>
      <c r="AD813" s="2075"/>
      <c r="AE813" s="2075"/>
      <c r="AF813" s="2075"/>
      <c r="AG813" s="2075"/>
      <c r="AH813" s="2075"/>
      <c r="AI813" s="2075"/>
      <c r="AJ813" s="2075"/>
      <c r="AK813" s="2075"/>
      <c r="AL813" s="2075"/>
      <c r="AM813" s="837"/>
      <c r="AN813" s="837"/>
      <c r="AO813" s="837"/>
      <c r="AP813" s="837"/>
      <c r="AQ813" s="837"/>
      <c r="AR813" s="837"/>
      <c r="AS813" s="837"/>
      <c r="AT813" s="837"/>
      <c r="AU813" s="837"/>
      <c r="AV813" s="837"/>
      <c r="AW813" s="837"/>
      <c r="AX813" s="837"/>
      <c r="AY813" s="837"/>
    </row>
    <row r="814" spans="26:51" ht="12" customHeight="1" x14ac:dyDescent="0.2">
      <c r="Z814" s="837"/>
      <c r="AB814" s="837"/>
      <c r="AC814" s="2075"/>
      <c r="AD814" s="2075"/>
      <c r="AE814" s="2075"/>
      <c r="AF814" s="2075"/>
      <c r="AG814" s="2075"/>
      <c r="AH814" s="2075"/>
      <c r="AI814" s="2075"/>
      <c r="AJ814" s="2075"/>
      <c r="AK814" s="2075"/>
      <c r="AL814" s="2075"/>
      <c r="AM814" s="837"/>
      <c r="AN814" s="837"/>
      <c r="AO814" s="837"/>
      <c r="AP814" s="837"/>
      <c r="AQ814" s="837"/>
      <c r="AR814" s="837"/>
      <c r="AS814" s="837"/>
      <c r="AT814" s="837"/>
      <c r="AU814" s="837"/>
      <c r="AV814" s="837"/>
      <c r="AW814" s="837"/>
      <c r="AX814" s="837"/>
      <c r="AY814" s="837"/>
    </row>
    <row r="815" spans="26:51" ht="12" customHeight="1" x14ac:dyDescent="0.2">
      <c r="Z815" s="837"/>
      <c r="AB815" s="837"/>
      <c r="AC815" s="2075"/>
      <c r="AD815" s="2075"/>
      <c r="AE815" s="2075"/>
      <c r="AF815" s="2075"/>
      <c r="AG815" s="2075"/>
      <c r="AH815" s="2075"/>
      <c r="AI815" s="2075"/>
      <c r="AJ815" s="2075"/>
      <c r="AK815" s="2075"/>
      <c r="AL815" s="2075"/>
      <c r="AM815" s="837"/>
      <c r="AN815" s="837"/>
      <c r="AO815" s="837"/>
      <c r="AP815" s="837"/>
      <c r="AQ815" s="837"/>
      <c r="AR815" s="837"/>
      <c r="AS815" s="837"/>
      <c r="AT815" s="837"/>
      <c r="AU815" s="837"/>
      <c r="AV815" s="837"/>
      <c r="AW815" s="837"/>
      <c r="AX815" s="837"/>
      <c r="AY815" s="837"/>
    </row>
    <row r="816" spans="26:51" ht="12" customHeight="1" x14ac:dyDescent="0.2">
      <c r="Z816" s="837"/>
      <c r="AB816" s="837"/>
      <c r="AC816" s="2075"/>
      <c r="AD816" s="2075"/>
      <c r="AE816" s="2075"/>
      <c r="AF816" s="2075"/>
      <c r="AG816" s="2075"/>
      <c r="AH816" s="2075"/>
      <c r="AI816" s="2075"/>
      <c r="AJ816" s="2075"/>
      <c r="AK816" s="2075"/>
      <c r="AL816" s="2075"/>
      <c r="AM816" s="837"/>
      <c r="AN816" s="837"/>
      <c r="AO816" s="837"/>
      <c r="AP816" s="837"/>
      <c r="AQ816" s="837"/>
      <c r="AR816" s="837"/>
      <c r="AS816" s="837"/>
      <c r="AT816" s="837"/>
      <c r="AU816" s="837"/>
      <c r="AV816" s="837"/>
      <c r="AW816" s="837"/>
      <c r="AX816" s="837"/>
      <c r="AY816" s="837"/>
    </row>
    <row r="817" spans="26:51" ht="12" customHeight="1" x14ac:dyDescent="0.2">
      <c r="Z817" s="837"/>
      <c r="AB817" s="837"/>
      <c r="AC817" s="2075"/>
      <c r="AD817" s="2075"/>
      <c r="AE817" s="2075"/>
      <c r="AF817" s="2075"/>
      <c r="AG817" s="2075"/>
      <c r="AH817" s="2075"/>
      <c r="AI817" s="2075"/>
      <c r="AJ817" s="2075"/>
      <c r="AK817" s="2075"/>
      <c r="AL817" s="2075"/>
      <c r="AM817" s="837"/>
      <c r="AN817" s="837"/>
      <c r="AO817" s="837"/>
      <c r="AP817" s="837"/>
      <c r="AQ817" s="837"/>
      <c r="AR817" s="837"/>
      <c r="AS817" s="837"/>
      <c r="AT817" s="837"/>
      <c r="AU817" s="837"/>
      <c r="AV817" s="837"/>
      <c r="AW817" s="837"/>
      <c r="AX817" s="837"/>
      <c r="AY817" s="837"/>
    </row>
    <row r="818" spans="26:51" ht="12" customHeight="1" x14ac:dyDescent="0.2">
      <c r="Z818" s="837"/>
      <c r="AB818" s="837"/>
      <c r="AC818" s="2075"/>
      <c r="AD818" s="2075"/>
      <c r="AE818" s="2075"/>
      <c r="AF818" s="2075"/>
      <c r="AG818" s="2075"/>
      <c r="AH818" s="2075"/>
      <c r="AI818" s="2075"/>
      <c r="AJ818" s="2075"/>
      <c r="AK818" s="2075"/>
      <c r="AL818" s="2075"/>
      <c r="AM818" s="837"/>
      <c r="AN818" s="837"/>
      <c r="AO818" s="837"/>
      <c r="AP818" s="837"/>
      <c r="AQ818" s="837"/>
      <c r="AR818" s="837"/>
      <c r="AS818" s="837"/>
      <c r="AT818" s="837"/>
      <c r="AU818" s="837"/>
      <c r="AV818" s="837"/>
      <c r="AW818" s="837"/>
      <c r="AX818" s="837"/>
      <c r="AY818" s="837"/>
    </row>
    <row r="819" spans="26:51" ht="12" customHeight="1" x14ac:dyDescent="0.2">
      <c r="Z819" s="837"/>
      <c r="AB819" s="837"/>
      <c r="AC819" s="2075"/>
      <c r="AD819" s="2075"/>
      <c r="AE819" s="2075"/>
      <c r="AF819" s="2075"/>
      <c r="AG819" s="2075"/>
      <c r="AH819" s="2075"/>
      <c r="AI819" s="2075"/>
      <c r="AJ819" s="2075"/>
      <c r="AK819" s="2075"/>
      <c r="AL819" s="2075"/>
      <c r="AM819" s="837"/>
      <c r="AN819" s="837"/>
      <c r="AO819" s="837"/>
      <c r="AP819" s="837"/>
      <c r="AQ819" s="837"/>
      <c r="AR819" s="837"/>
      <c r="AS819" s="837"/>
      <c r="AT819" s="837"/>
      <c r="AU819" s="837"/>
      <c r="AV819" s="837"/>
      <c r="AW819" s="837"/>
      <c r="AX819" s="837"/>
      <c r="AY819" s="837"/>
    </row>
    <row r="820" spans="26:51" ht="12" customHeight="1" x14ac:dyDescent="0.2">
      <c r="Z820" s="837"/>
      <c r="AB820" s="837"/>
      <c r="AC820" s="2075"/>
      <c r="AD820" s="2075"/>
      <c r="AE820" s="2075"/>
      <c r="AF820" s="2075"/>
      <c r="AG820" s="2075"/>
      <c r="AH820" s="2075"/>
      <c r="AI820" s="2075"/>
      <c r="AJ820" s="2075"/>
      <c r="AK820" s="2075"/>
      <c r="AL820" s="2075"/>
      <c r="AM820" s="837"/>
      <c r="AN820" s="837"/>
      <c r="AO820" s="837"/>
      <c r="AP820" s="837"/>
      <c r="AQ820" s="837"/>
      <c r="AR820" s="837"/>
      <c r="AS820" s="837"/>
      <c r="AT820" s="837"/>
      <c r="AU820" s="837"/>
      <c r="AV820" s="837"/>
      <c r="AW820" s="837"/>
      <c r="AX820" s="837"/>
      <c r="AY820" s="837"/>
    </row>
    <row r="821" spans="26:51" ht="12" customHeight="1" x14ac:dyDescent="0.2">
      <c r="Z821" s="837"/>
      <c r="AB821" s="837"/>
      <c r="AC821" s="2075"/>
      <c r="AD821" s="2075"/>
      <c r="AE821" s="2075"/>
      <c r="AF821" s="2075"/>
      <c r="AG821" s="2075"/>
      <c r="AH821" s="2075"/>
      <c r="AI821" s="2075"/>
      <c r="AJ821" s="2075"/>
      <c r="AK821" s="2075"/>
      <c r="AL821" s="2075"/>
      <c r="AM821" s="837"/>
      <c r="AN821" s="837"/>
      <c r="AO821" s="837"/>
      <c r="AP821" s="837"/>
      <c r="AQ821" s="837"/>
      <c r="AR821" s="837"/>
      <c r="AS821" s="837"/>
      <c r="AT821" s="837"/>
      <c r="AU821" s="837"/>
      <c r="AV821" s="837"/>
      <c r="AW821" s="837"/>
      <c r="AX821" s="837"/>
      <c r="AY821" s="837"/>
    </row>
    <row r="822" spans="26:51" ht="12" customHeight="1" x14ac:dyDescent="0.2">
      <c r="Z822" s="837"/>
      <c r="AB822" s="837"/>
      <c r="AC822" s="2075"/>
      <c r="AD822" s="2075"/>
      <c r="AE822" s="2075"/>
      <c r="AF822" s="2075"/>
      <c r="AG822" s="2075"/>
      <c r="AH822" s="2075"/>
      <c r="AI822" s="2075"/>
      <c r="AJ822" s="2075"/>
      <c r="AK822" s="2075"/>
      <c r="AL822" s="2075"/>
      <c r="AM822" s="837"/>
      <c r="AN822" s="837"/>
      <c r="AO822" s="837"/>
      <c r="AP822" s="837"/>
      <c r="AQ822" s="837"/>
      <c r="AR822" s="837"/>
      <c r="AS822" s="837"/>
      <c r="AT822" s="837"/>
      <c r="AU822" s="837"/>
      <c r="AV822" s="837"/>
      <c r="AW822" s="837"/>
      <c r="AX822" s="837"/>
      <c r="AY822" s="837"/>
    </row>
    <row r="823" spans="26:51" ht="12" customHeight="1" x14ac:dyDescent="0.2">
      <c r="Z823" s="837"/>
      <c r="AB823" s="837"/>
      <c r="AC823" s="2075"/>
      <c r="AD823" s="2075"/>
      <c r="AE823" s="2075"/>
      <c r="AF823" s="2075"/>
      <c r="AG823" s="2075"/>
      <c r="AH823" s="2075"/>
      <c r="AI823" s="2075"/>
      <c r="AJ823" s="2075"/>
      <c r="AK823" s="2075"/>
      <c r="AL823" s="2075"/>
      <c r="AM823" s="837"/>
      <c r="AN823" s="837"/>
      <c r="AO823" s="837"/>
      <c r="AP823" s="837"/>
      <c r="AQ823" s="837"/>
      <c r="AR823" s="837"/>
      <c r="AS823" s="837"/>
      <c r="AT823" s="837"/>
      <c r="AU823" s="837"/>
      <c r="AV823" s="837"/>
      <c r="AW823" s="837"/>
      <c r="AX823" s="837"/>
      <c r="AY823" s="837"/>
    </row>
    <row r="824" spans="26:51" ht="12" customHeight="1" x14ac:dyDescent="0.2">
      <c r="Z824" s="837"/>
      <c r="AB824" s="837"/>
      <c r="AC824" s="2075"/>
      <c r="AD824" s="2075"/>
      <c r="AE824" s="2075"/>
      <c r="AF824" s="2075"/>
      <c r="AG824" s="2075"/>
      <c r="AH824" s="2075"/>
      <c r="AI824" s="2075"/>
      <c r="AJ824" s="2075"/>
      <c r="AK824" s="2075"/>
      <c r="AL824" s="2075"/>
      <c r="AM824" s="837"/>
      <c r="AN824" s="837"/>
      <c r="AO824" s="837"/>
      <c r="AP824" s="837"/>
      <c r="AQ824" s="837"/>
      <c r="AR824" s="837"/>
      <c r="AS824" s="837"/>
      <c r="AT824" s="837"/>
      <c r="AU824" s="837"/>
      <c r="AV824" s="837"/>
      <c r="AW824" s="837"/>
      <c r="AX824" s="837"/>
      <c r="AY824" s="837"/>
    </row>
    <row r="825" spans="26:51" ht="12" customHeight="1" x14ac:dyDescent="0.2">
      <c r="Z825" s="837"/>
      <c r="AB825" s="837"/>
      <c r="AC825" s="2075"/>
      <c r="AD825" s="2075"/>
      <c r="AE825" s="2075"/>
      <c r="AF825" s="2075"/>
      <c r="AG825" s="2075"/>
      <c r="AH825" s="2075"/>
      <c r="AI825" s="2075"/>
      <c r="AJ825" s="2075"/>
      <c r="AK825" s="2075"/>
      <c r="AL825" s="2075"/>
      <c r="AM825" s="837"/>
      <c r="AN825" s="837"/>
      <c r="AO825" s="837"/>
      <c r="AP825" s="837"/>
      <c r="AQ825" s="837"/>
      <c r="AR825" s="837"/>
      <c r="AS825" s="837"/>
      <c r="AT825" s="837"/>
      <c r="AU825" s="837"/>
      <c r="AV825" s="837"/>
      <c r="AW825" s="837"/>
      <c r="AX825" s="837"/>
      <c r="AY825" s="837"/>
    </row>
    <row r="826" spans="26:51" ht="12" customHeight="1" x14ac:dyDescent="0.2">
      <c r="Z826" s="837"/>
      <c r="AB826" s="837"/>
      <c r="AC826" s="2075"/>
      <c r="AD826" s="2075"/>
      <c r="AE826" s="2075"/>
      <c r="AF826" s="2075"/>
      <c r="AG826" s="2075"/>
      <c r="AH826" s="2075"/>
      <c r="AI826" s="2075"/>
      <c r="AJ826" s="2075"/>
      <c r="AK826" s="2075"/>
      <c r="AL826" s="2075"/>
      <c r="AM826" s="837"/>
      <c r="AN826" s="837"/>
      <c r="AO826" s="837"/>
      <c r="AP826" s="837"/>
      <c r="AQ826" s="837"/>
      <c r="AR826" s="837"/>
      <c r="AS826" s="837"/>
      <c r="AT826" s="837"/>
      <c r="AU826" s="837"/>
      <c r="AV826" s="837"/>
      <c r="AW826" s="837"/>
      <c r="AX826" s="837"/>
      <c r="AY826" s="837"/>
    </row>
    <row r="827" spans="26:51" ht="12" customHeight="1" x14ac:dyDescent="0.2">
      <c r="Z827" s="837"/>
      <c r="AB827" s="837"/>
      <c r="AC827" s="2075"/>
      <c r="AD827" s="2075"/>
      <c r="AE827" s="2075"/>
      <c r="AF827" s="2075"/>
      <c r="AG827" s="2075"/>
      <c r="AH827" s="2075"/>
      <c r="AI827" s="2075"/>
      <c r="AJ827" s="2075"/>
      <c r="AK827" s="2075"/>
      <c r="AL827" s="2075"/>
      <c r="AM827" s="837"/>
      <c r="AN827" s="837"/>
      <c r="AO827" s="837"/>
      <c r="AP827" s="837"/>
      <c r="AQ827" s="837"/>
      <c r="AR827" s="837"/>
      <c r="AS827" s="837"/>
      <c r="AT827" s="837"/>
      <c r="AU827" s="837"/>
      <c r="AV827" s="837"/>
      <c r="AW827" s="837"/>
      <c r="AX827" s="837"/>
      <c r="AY827" s="837"/>
    </row>
    <row r="828" spans="26:51" ht="12" customHeight="1" x14ac:dyDescent="0.2">
      <c r="Z828" s="837"/>
      <c r="AB828" s="837"/>
      <c r="AC828" s="2075"/>
      <c r="AD828" s="2075"/>
      <c r="AE828" s="2075"/>
      <c r="AF828" s="2075"/>
      <c r="AG828" s="2075"/>
      <c r="AH828" s="2075"/>
      <c r="AI828" s="2075"/>
      <c r="AJ828" s="2075"/>
      <c r="AK828" s="2075"/>
      <c r="AL828" s="2075"/>
      <c r="AM828" s="837"/>
      <c r="AN828" s="837"/>
      <c r="AO828" s="837"/>
      <c r="AP828" s="837"/>
      <c r="AQ828" s="837"/>
      <c r="AR828" s="837"/>
      <c r="AS828" s="837"/>
      <c r="AT828" s="837"/>
      <c r="AU828" s="837"/>
      <c r="AV828" s="837"/>
      <c r="AW828" s="837"/>
      <c r="AX828" s="837"/>
      <c r="AY828" s="837"/>
    </row>
    <row r="829" spans="26:51" ht="12" customHeight="1" x14ac:dyDescent="0.2">
      <c r="Z829" s="837"/>
      <c r="AB829" s="837"/>
      <c r="AC829" s="2075"/>
      <c r="AD829" s="2075"/>
      <c r="AE829" s="2075"/>
      <c r="AF829" s="2075"/>
      <c r="AG829" s="2075"/>
      <c r="AH829" s="2075"/>
      <c r="AI829" s="2075"/>
      <c r="AJ829" s="2075"/>
      <c r="AK829" s="2075"/>
      <c r="AL829" s="2075"/>
      <c r="AM829" s="837"/>
      <c r="AN829" s="837"/>
      <c r="AO829" s="837"/>
      <c r="AP829" s="837"/>
      <c r="AQ829" s="837"/>
      <c r="AR829" s="837"/>
      <c r="AS829" s="837"/>
      <c r="AT829" s="837"/>
      <c r="AU829" s="837"/>
      <c r="AV829" s="837"/>
      <c r="AW829" s="837"/>
      <c r="AX829" s="837"/>
      <c r="AY829" s="837"/>
    </row>
    <row r="830" spans="26:51" ht="12" customHeight="1" x14ac:dyDescent="0.2">
      <c r="Z830" s="837"/>
      <c r="AB830" s="837"/>
      <c r="AC830" s="2075"/>
      <c r="AD830" s="2075"/>
      <c r="AE830" s="2075"/>
      <c r="AF830" s="2075"/>
      <c r="AG830" s="2075"/>
      <c r="AH830" s="2075"/>
      <c r="AI830" s="2075"/>
      <c r="AJ830" s="2075"/>
      <c r="AK830" s="2075"/>
      <c r="AL830" s="2075"/>
      <c r="AM830" s="837"/>
      <c r="AN830" s="837"/>
      <c r="AO830" s="837"/>
      <c r="AP830" s="837"/>
      <c r="AQ830" s="837"/>
      <c r="AR830" s="837"/>
      <c r="AS830" s="837"/>
      <c r="AT830" s="837"/>
      <c r="AU830" s="837"/>
      <c r="AV830" s="837"/>
      <c r="AW830" s="837"/>
      <c r="AX830" s="837"/>
      <c r="AY830" s="837"/>
    </row>
    <row r="831" spans="26:51" ht="12" customHeight="1" x14ac:dyDescent="0.2">
      <c r="Z831" s="837"/>
      <c r="AB831" s="837"/>
      <c r="AC831" s="2075"/>
      <c r="AD831" s="2075"/>
      <c r="AE831" s="2075"/>
      <c r="AF831" s="2075"/>
      <c r="AG831" s="2075"/>
      <c r="AH831" s="2075"/>
      <c r="AI831" s="2075"/>
      <c r="AJ831" s="2075"/>
      <c r="AK831" s="2075"/>
      <c r="AL831" s="2075"/>
      <c r="AM831" s="837"/>
      <c r="AN831" s="837"/>
      <c r="AO831" s="837"/>
      <c r="AP831" s="837"/>
      <c r="AQ831" s="837"/>
      <c r="AR831" s="837"/>
      <c r="AS831" s="837"/>
      <c r="AT831" s="837"/>
      <c r="AU831" s="837"/>
      <c r="AV831" s="837"/>
      <c r="AW831" s="837"/>
      <c r="AX831" s="837"/>
      <c r="AY831" s="837"/>
    </row>
    <row r="832" spans="26:51" ht="12" customHeight="1" x14ac:dyDescent="0.2">
      <c r="Z832" s="837"/>
      <c r="AB832" s="837"/>
      <c r="AC832" s="2075"/>
      <c r="AD832" s="2075"/>
      <c r="AE832" s="2075"/>
      <c r="AF832" s="2075"/>
      <c r="AG832" s="2075"/>
      <c r="AH832" s="2075"/>
      <c r="AI832" s="2075"/>
      <c r="AJ832" s="2075"/>
      <c r="AK832" s="2075"/>
      <c r="AL832" s="2075"/>
      <c r="AM832" s="837"/>
      <c r="AN832" s="837"/>
      <c r="AO832" s="837"/>
      <c r="AP832" s="837"/>
      <c r="AQ832" s="837"/>
      <c r="AR832" s="837"/>
      <c r="AS832" s="837"/>
      <c r="AT832" s="837"/>
      <c r="AU832" s="837"/>
      <c r="AV832" s="837"/>
      <c r="AW832" s="837"/>
      <c r="AX832" s="837"/>
      <c r="AY832" s="837"/>
    </row>
    <row r="833" spans="26:51" ht="12" customHeight="1" x14ac:dyDescent="0.2">
      <c r="Z833" s="837"/>
      <c r="AB833" s="837"/>
      <c r="AC833" s="2075"/>
      <c r="AD833" s="2075"/>
      <c r="AE833" s="2075"/>
      <c r="AF833" s="2075"/>
      <c r="AG833" s="2075"/>
      <c r="AH833" s="2075"/>
      <c r="AI833" s="2075"/>
      <c r="AJ833" s="2075"/>
      <c r="AK833" s="2075"/>
      <c r="AL833" s="2075"/>
      <c r="AM833" s="837"/>
      <c r="AN833" s="837"/>
      <c r="AO833" s="837"/>
      <c r="AP833" s="837"/>
      <c r="AQ833" s="837"/>
      <c r="AR833" s="837"/>
      <c r="AS833" s="837"/>
      <c r="AT833" s="837"/>
      <c r="AU833" s="837"/>
      <c r="AV833" s="837"/>
      <c r="AW833" s="837"/>
      <c r="AX833" s="837"/>
      <c r="AY833" s="837"/>
    </row>
    <row r="834" spans="26:51" ht="12" customHeight="1" x14ac:dyDescent="0.2">
      <c r="Z834" s="837"/>
      <c r="AB834" s="837"/>
      <c r="AC834" s="2075"/>
      <c r="AD834" s="2075"/>
      <c r="AE834" s="2075"/>
      <c r="AF834" s="2075"/>
      <c r="AG834" s="2075"/>
      <c r="AH834" s="2075"/>
      <c r="AI834" s="2075"/>
      <c r="AJ834" s="2075"/>
      <c r="AK834" s="2075"/>
      <c r="AL834" s="2075"/>
      <c r="AM834" s="837"/>
      <c r="AN834" s="837"/>
      <c r="AO834" s="837"/>
      <c r="AP834" s="837"/>
      <c r="AQ834" s="837"/>
      <c r="AR834" s="837"/>
      <c r="AS834" s="837"/>
      <c r="AT834" s="837"/>
      <c r="AU834" s="837"/>
      <c r="AV834" s="837"/>
      <c r="AW834" s="837"/>
      <c r="AX834" s="837"/>
      <c r="AY834" s="837"/>
    </row>
    <row r="835" spans="26:51" ht="12" customHeight="1" x14ac:dyDescent="0.2">
      <c r="Z835" s="837"/>
      <c r="AB835" s="837"/>
      <c r="AC835" s="2075"/>
      <c r="AD835" s="2075"/>
      <c r="AE835" s="2075"/>
      <c r="AF835" s="2075"/>
      <c r="AG835" s="2075"/>
      <c r="AH835" s="2075"/>
      <c r="AI835" s="2075"/>
      <c r="AJ835" s="2075"/>
      <c r="AK835" s="2075"/>
      <c r="AL835" s="2075"/>
      <c r="AM835" s="837"/>
      <c r="AN835" s="837"/>
      <c r="AO835" s="837"/>
      <c r="AP835" s="837"/>
      <c r="AQ835" s="837"/>
      <c r="AR835" s="837"/>
      <c r="AS835" s="837"/>
      <c r="AT835" s="837"/>
      <c r="AU835" s="837"/>
      <c r="AV835" s="837"/>
      <c r="AW835" s="837"/>
      <c r="AX835" s="837"/>
      <c r="AY835" s="837"/>
    </row>
    <row r="836" spans="26:51" ht="12" customHeight="1" x14ac:dyDescent="0.2">
      <c r="Z836" s="837"/>
      <c r="AB836" s="837"/>
      <c r="AC836" s="2075"/>
      <c r="AD836" s="2075"/>
      <c r="AE836" s="2075"/>
      <c r="AF836" s="2075"/>
      <c r="AG836" s="2075"/>
      <c r="AH836" s="2075"/>
      <c r="AI836" s="2075"/>
      <c r="AJ836" s="2075"/>
      <c r="AK836" s="2075"/>
      <c r="AL836" s="2075"/>
      <c r="AM836" s="837"/>
      <c r="AN836" s="837"/>
      <c r="AO836" s="837"/>
      <c r="AP836" s="837"/>
      <c r="AQ836" s="837"/>
      <c r="AR836" s="837"/>
      <c r="AS836" s="837"/>
      <c r="AT836" s="837"/>
      <c r="AU836" s="837"/>
      <c r="AV836" s="837"/>
      <c r="AW836" s="837"/>
      <c r="AX836" s="837"/>
      <c r="AY836" s="837"/>
    </row>
    <row r="837" spans="26:51" ht="12" customHeight="1" x14ac:dyDescent="0.2">
      <c r="Z837" s="837"/>
      <c r="AB837" s="837"/>
      <c r="AC837" s="2075"/>
      <c r="AD837" s="2075"/>
      <c r="AE837" s="2075"/>
      <c r="AF837" s="2075"/>
      <c r="AG837" s="2075"/>
      <c r="AH837" s="2075"/>
      <c r="AI837" s="2075"/>
      <c r="AJ837" s="2075"/>
      <c r="AK837" s="2075"/>
      <c r="AL837" s="2075"/>
      <c r="AM837" s="837"/>
      <c r="AN837" s="837"/>
      <c r="AO837" s="837"/>
      <c r="AP837" s="837"/>
      <c r="AQ837" s="837"/>
      <c r="AR837" s="837"/>
      <c r="AS837" s="837"/>
      <c r="AT837" s="837"/>
      <c r="AU837" s="837"/>
      <c r="AV837" s="837"/>
      <c r="AW837" s="837"/>
      <c r="AX837" s="837"/>
      <c r="AY837" s="837"/>
    </row>
    <row r="838" spans="26:51" ht="12" customHeight="1" x14ac:dyDescent="0.2">
      <c r="Z838" s="837"/>
      <c r="AB838" s="837"/>
      <c r="AC838" s="2075"/>
      <c r="AD838" s="2075"/>
      <c r="AE838" s="2075"/>
      <c r="AF838" s="2075"/>
      <c r="AG838" s="2075"/>
      <c r="AH838" s="2075"/>
      <c r="AI838" s="2075"/>
      <c r="AJ838" s="2075"/>
      <c r="AK838" s="2075"/>
      <c r="AL838" s="2075"/>
      <c r="AM838" s="837"/>
      <c r="AN838" s="837"/>
      <c r="AO838" s="837"/>
      <c r="AP838" s="837"/>
      <c r="AQ838" s="837"/>
      <c r="AR838" s="837"/>
      <c r="AS838" s="837"/>
      <c r="AT838" s="837"/>
      <c r="AU838" s="837"/>
      <c r="AV838" s="837"/>
      <c r="AW838" s="837"/>
      <c r="AX838" s="837"/>
      <c r="AY838" s="837"/>
    </row>
    <row r="839" spans="26:51" ht="12" customHeight="1" x14ac:dyDescent="0.2">
      <c r="Z839" s="837"/>
      <c r="AB839" s="837"/>
      <c r="AC839" s="2075"/>
      <c r="AD839" s="2075"/>
      <c r="AE839" s="2075"/>
      <c r="AF839" s="2075"/>
      <c r="AG839" s="2075"/>
      <c r="AH839" s="2075"/>
      <c r="AI839" s="2075"/>
      <c r="AJ839" s="2075"/>
      <c r="AK839" s="2075"/>
      <c r="AL839" s="2075"/>
      <c r="AM839" s="837"/>
      <c r="AN839" s="837"/>
      <c r="AO839" s="837"/>
      <c r="AP839" s="837"/>
      <c r="AQ839" s="837"/>
      <c r="AR839" s="837"/>
      <c r="AS839" s="837"/>
      <c r="AT839" s="837"/>
      <c r="AU839" s="837"/>
      <c r="AV839" s="837"/>
      <c r="AW839" s="837"/>
      <c r="AX839" s="837"/>
      <c r="AY839" s="837"/>
    </row>
    <row r="840" spans="26:51" ht="12" customHeight="1" x14ac:dyDescent="0.2">
      <c r="Z840" s="837"/>
      <c r="AB840" s="837"/>
      <c r="AC840" s="2075"/>
      <c r="AD840" s="2075"/>
      <c r="AE840" s="2075"/>
      <c r="AF840" s="2075"/>
      <c r="AG840" s="2075"/>
      <c r="AH840" s="2075"/>
      <c r="AI840" s="2075"/>
      <c r="AJ840" s="2075"/>
      <c r="AK840" s="2075"/>
      <c r="AL840" s="2075"/>
      <c r="AM840" s="837"/>
      <c r="AN840" s="837"/>
      <c r="AO840" s="837"/>
      <c r="AP840" s="837"/>
      <c r="AQ840" s="837"/>
      <c r="AR840" s="837"/>
      <c r="AS840" s="837"/>
      <c r="AT840" s="837"/>
      <c r="AU840" s="837"/>
      <c r="AV840" s="837"/>
      <c r="AW840" s="837"/>
      <c r="AX840" s="837"/>
      <c r="AY840" s="837"/>
    </row>
    <row r="841" spans="26:51" ht="12" customHeight="1" x14ac:dyDescent="0.2">
      <c r="Z841" s="837"/>
      <c r="AB841" s="837"/>
      <c r="AC841" s="2075"/>
      <c r="AD841" s="2075"/>
      <c r="AE841" s="2075"/>
      <c r="AF841" s="2075"/>
      <c r="AG841" s="2075"/>
      <c r="AH841" s="2075"/>
      <c r="AI841" s="2075"/>
      <c r="AJ841" s="2075"/>
      <c r="AK841" s="2075"/>
      <c r="AL841" s="2075"/>
      <c r="AM841" s="837"/>
      <c r="AN841" s="837"/>
      <c r="AO841" s="837"/>
      <c r="AP841" s="837"/>
      <c r="AQ841" s="837"/>
      <c r="AR841" s="837"/>
      <c r="AS841" s="837"/>
      <c r="AT841" s="837"/>
      <c r="AU841" s="837"/>
      <c r="AV841" s="837"/>
      <c r="AW841" s="837"/>
      <c r="AX841" s="837"/>
      <c r="AY841" s="837"/>
    </row>
    <row r="842" spans="26:51" ht="12" customHeight="1" x14ac:dyDescent="0.2">
      <c r="Z842" s="837"/>
      <c r="AB842" s="837"/>
      <c r="AC842" s="2075"/>
      <c r="AD842" s="2075"/>
      <c r="AE842" s="2075"/>
      <c r="AF842" s="2075"/>
      <c r="AG842" s="2075"/>
      <c r="AH842" s="2075"/>
      <c r="AI842" s="2075"/>
      <c r="AJ842" s="2075"/>
      <c r="AK842" s="2075"/>
      <c r="AL842" s="2075"/>
      <c r="AM842" s="837"/>
      <c r="AN842" s="837"/>
      <c r="AO842" s="837"/>
      <c r="AP842" s="837"/>
      <c r="AQ842" s="837"/>
      <c r="AR842" s="837"/>
      <c r="AS842" s="837"/>
      <c r="AT842" s="837"/>
      <c r="AU842" s="837"/>
      <c r="AV842" s="837"/>
      <c r="AW842" s="837"/>
      <c r="AX842" s="837"/>
      <c r="AY842" s="837"/>
    </row>
    <row r="843" spans="26:51" ht="12" customHeight="1" x14ac:dyDescent="0.2">
      <c r="Z843" s="837"/>
      <c r="AB843" s="837"/>
      <c r="AC843" s="2075"/>
      <c r="AD843" s="2075"/>
      <c r="AE843" s="2075"/>
      <c r="AF843" s="2075"/>
      <c r="AG843" s="2075"/>
      <c r="AH843" s="2075"/>
      <c r="AI843" s="2075"/>
      <c r="AJ843" s="2075"/>
      <c r="AK843" s="2075"/>
      <c r="AL843" s="2075"/>
      <c r="AM843" s="837"/>
      <c r="AN843" s="837"/>
      <c r="AO843" s="837"/>
      <c r="AP843" s="837"/>
      <c r="AQ843" s="837"/>
      <c r="AR843" s="837"/>
      <c r="AS843" s="837"/>
      <c r="AT843" s="837"/>
      <c r="AU843" s="837"/>
      <c r="AV843" s="837"/>
      <c r="AW843" s="837"/>
      <c r="AX843" s="837"/>
      <c r="AY843" s="837"/>
    </row>
    <row r="844" spans="26:51" ht="12" customHeight="1" x14ac:dyDescent="0.2">
      <c r="Z844" s="837"/>
      <c r="AB844" s="837"/>
      <c r="AC844" s="2075"/>
      <c r="AD844" s="2075"/>
      <c r="AE844" s="2075"/>
      <c r="AF844" s="2075"/>
      <c r="AG844" s="2075"/>
      <c r="AH844" s="2075"/>
      <c r="AI844" s="2075"/>
      <c r="AJ844" s="2075"/>
      <c r="AK844" s="2075"/>
      <c r="AL844" s="2075"/>
      <c r="AM844" s="837"/>
      <c r="AN844" s="837"/>
      <c r="AO844" s="837"/>
      <c r="AP844" s="837"/>
      <c r="AQ844" s="837"/>
      <c r="AR844" s="837"/>
      <c r="AS844" s="837"/>
      <c r="AT844" s="837"/>
      <c r="AU844" s="837"/>
      <c r="AV844" s="837"/>
      <c r="AW844" s="837"/>
      <c r="AX844" s="837"/>
      <c r="AY844" s="837"/>
    </row>
    <row r="845" spans="26:51" ht="12" customHeight="1" x14ac:dyDescent="0.2">
      <c r="Z845" s="837"/>
      <c r="AB845" s="837"/>
      <c r="AC845" s="2075"/>
      <c r="AD845" s="2075"/>
      <c r="AE845" s="2075"/>
      <c r="AF845" s="2075"/>
      <c r="AG845" s="2075"/>
      <c r="AH845" s="2075"/>
      <c r="AI845" s="2075"/>
      <c r="AJ845" s="2075"/>
      <c r="AK845" s="2075"/>
      <c r="AL845" s="2075"/>
      <c r="AM845" s="837"/>
      <c r="AN845" s="837"/>
      <c r="AO845" s="837"/>
      <c r="AP845" s="837"/>
      <c r="AQ845" s="837"/>
      <c r="AR845" s="837"/>
      <c r="AS845" s="837"/>
      <c r="AT845" s="837"/>
      <c r="AU845" s="837"/>
      <c r="AV845" s="837"/>
      <c r="AW845" s="837"/>
      <c r="AX845" s="837"/>
      <c r="AY845" s="837"/>
    </row>
    <row r="846" spans="26:51" ht="12" customHeight="1" x14ac:dyDescent="0.2">
      <c r="Z846" s="837"/>
      <c r="AB846" s="837"/>
      <c r="AC846" s="2075"/>
      <c r="AD846" s="2075"/>
      <c r="AE846" s="2075"/>
      <c r="AF846" s="2075"/>
      <c r="AG846" s="2075"/>
      <c r="AH846" s="2075"/>
      <c r="AI846" s="2075"/>
      <c r="AJ846" s="2075"/>
      <c r="AK846" s="2075"/>
      <c r="AL846" s="2075"/>
      <c r="AM846" s="837"/>
      <c r="AN846" s="837"/>
      <c r="AO846" s="837"/>
      <c r="AP846" s="837"/>
      <c r="AQ846" s="837"/>
      <c r="AR846" s="837"/>
      <c r="AS846" s="837"/>
      <c r="AT846" s="837"/>
      <c r="AU846" s="837"/>
      <c r="AV846" s="837"/>
      <c r="AW846" s="837"/>
      <c r="AX846" s="837"/>
      <c r="AY846" s="837"/>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8" customWidth="1"/>
    <col min="2" max="2" width="4.140625" style="48" customWidth="1"/>
    <col min="3" max="8" width="5.7109375" style="48"/>
    <col min="9" max="9" width="5.7109375" style="48" customWidth="1"/>
    <col min="10"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10" customWidth="1"/>
    <col min="39" max="39" width="1.7109375" style="1910" customWidth="1"/>
    <col min="40" max="40" width="1.28515625" style="1910" customWidth="1"/>
    <col min="41" max="41" width="5.7109375" style="1910"/>
    <col min="42" max="42" width="6.28515625" style="1910" bestFit="1" customWidth="1"/>
    <col min="43" max="43" width="1.7109375" style="49" customWidth="1"/>
    <col min="44" max="44" width="8.42578125" style="1910" bestFit="1" customWidth="1"/>
    <col min="45"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6"/>
      <c r="AL1" s="1909"/>
      <c r="AM1" s="1909"/>
    </row>
    <row r="2" spans="1:44" ht="12" customHeight="1" thickBot="1" x14ac:dyDescent="0.25">
      <c r="A2" s="212"/>
      <c r="B2" s="285"/>
      <c r="C2" s="146"/>
      <c r="D2" s="146"/>
      <c r="E2" s="146"/>
      <c r="F2" s="146"/>
      <c r="G2" s="146"/>
      <c r="H2" s="146"/>
      <c r="I2" s="146"/>
      <c r="J2" s="146"/>
      <c r="K2" s="146"/>
      <c r="L2" s="146"/>
      <c r="M2" s="146"/>
      <c r="N2" s="146"/>
      <c r="O2" s="146"/>
      <c r="P2" s="146"/>
      <c r="Q2" s="146"/>
      <c r="R2" s="286"/>
      <c r="S2" s="61"/>
      <c r="T2" s="61"/>
      <c r="U2" s="2115"/>
      <c r="V2" s="2116"/>
      <c r="W2" s="2116"/>
      <c r="X2" s="2116"/>
      <c r="Y2" s="2116"/>
      <c r="Z2" s="2116"/>
      <c r="AA2" s="2116"/>
      <c r="AB2" s="2116"/>
      <c r="AC2" s="2116"/>
      <c r="AD2" s="2116"/>
      <c r="AE2" s="2116"/>
      <c r="AF2" s="2116"/>
      <c r="AG2" s="2116"/>
      <c r="AH2" s="2116"/>
      <c r="AI2" s="2116"/>
      <c r="AJ2" s="2116"/>
      <c r="AK2" s="2753"/>
      <c r="AL2" s="2275"/>
      <c r="AM2" s="1909"/>
    </row>
    <row r="3" spans="1:44" ht="12" customHeight="1" thickBot="1" x14ac:dyDescent="0.25">
      <c r="A3" s="212"/>
      <c r="B3" s="70"/>
      <c r="C3" s="3046"/>
      <c r="D3" s="3046"/>
      <c r="E3" s="3046"/>
      <c r="F3" s="3046"/>
      <c r="G3" s="3046"/>
      <c r="H3" s="3046"/>
      <c r="I3" s="13"/>
      <c r="J3" s="13"/>
      <c r="K3" s="13"/>
      <c r="L3" s="13"/>
      <c r="M3" s="13"/>
      <c r="N3" s="13"/>
      <c r="O3" s="13"/>
      <c r="P3" s="13"/>
      <c r="Q3" s="14"/>
      <c r="R3" s="75"/>
      <c r="S3" s="61"/>
      <c r="T3" s="61"/>
      <c r="U3" s="1906"/>
      <c r="V3" s="4225"/>
      <c r="W3" s="4226"/>
      <c r="X3" s="4226"/>
      <c r="Y3" s="4226"/>
      <c r="Z3" s="4226"/>
      <c r="AA3" s="4226"/>
      <c r="AB3" s="1774"/>
      <c r="AC3" s="1774"/>
      <c r="AD3" s="1774"/>
      <c r="AE3" s="1774"/>
      <c r="AF3" s="1774"/>
      <c r="AG3" s="1774"/>
      <c r="AH3" s="1774"/>
      <c r="AI3" s="1774"/>
      <c r="AJ3" s="1774"/>
      <c r="AK3" s="1776"/>
      <c r="AL3" s="2276"/>
      <c r="AM3" s="1909"/>
      <c r="AN3" s="2150"/>
      <c r="AO3" s="2150"/>
      <c r="AP3" s="2150"/>
      <c r="AQ3" s="2907"/>
      <c r="AR3" s="2020"/>
    </row>
    <row r="4" spans="1:44" ht="12" customHeight="1" thickBot="1" x14ac:dyDescent="0.25">
      <c r="A4" s="212"/>
      <c r="B4" s="70"/>
      <c r="C4" s="3046"/>
      <c r="D4" s="3046"/>
      <c r="E4" s="3046"/>
      <c r="F4" s="3046"/>
      <c r="G4" s="3046"/>
      <c r="H4" s="3046"/>
      <c r="I4" s="16"/>
      <c r="J4" s="2963" t="s">
        <v>2169</v>
      </c>
      <c r="K4" s="2963"/>
      <c r="L4" s="2964" t="str">
        <f>IF(OR(General!$G$22="",General!$G$22=0),"",General!$G$22)</f>
        <v/>
      </c>
      <c r="M4" s="2964"/>
      <c r="N4" s="2964"/>
      <c r="O4" s="2964"/>
      <c r="P4" s="2964"/>
      <c r="Q4" s="17"/>
      <c r="R4" s="75"/>
      <c r="S4" s="61"/>
      <c r="T4" s="61"/>
      <c r="U4" s="1906"/>
      <c r="V4" s="4227"/>
      <c r="W4" s="3046"/>
      <c r="X4" s="3046"/>
      <c r="Y4" s="3046"/>
      <c r="Z4" s="3046"/>
      <c r="AA4" s="3046"/>
      <c r="AB4" s="16"/>
      <c r="AC4" s="2963" t="s">
        <v>2169</v>
      </c>
      <c r="AD4" s="2963"/>
      <c r="AE4" s="2964" t="str">
        <f>IF(OR(General!$G$22="",General!$G$22=0),"",General!$G$22)</f>
        <v/>
      </c>
      <c r="AF4" s="2964"/>
      <c r="AG4" s="2964"/>
      <c r="AH4" s="2964"/>
      <c r="AI4" s="2964"/>
      <c r="AJ4" s="2374"/>
      <c r="AK4" s="2217"/>
      <c r="AL4" s="2276"/>
      <c r="AM4" s="1909"/>
      <c r="AN4" s="2150"/>
      <c r="AO4" s="2150"/>
      <c r="AP4" s="2789"/>
      <c r="AQ4" s="2873"/>
      <c r="AR4" s="2020"/>
    </row>
    <row r="5" spans="1:44" ht="12" customHeight="1" thickBot="1" x14ac:dyDescent="0.25">
      <c r="A5" s="212"/>
      <c r="B5" s="70"/>
      <c r="C5" s="3046"/>
      <c r="D5" s="3046"/>
      <c r="E5" s="3046"/>
      <c r="F5" s="3046"/>
      <c r="G5" s="3046"/>
      <c r="H5" s="3046"/>
      <c r="I5" s="16"/>
      <c r="J5" s="3042" t="s">
        <v>2170</v>
      </c>
      <c r="K5" s="3042"/>
      <c r="L5" s="3043" t="str">
        <f>Principal!$L$5</f>
        <v>Hechicero</v>
      </c>
      <c r="M5" s="3043"/>
      <c r="N5" s="3043"/>
      <c r="O5" s="18" t="s">
        <v>2171</v>
      </c>
      <c r="P5" s="19" t="str">
        <f>Principal!$P$5</f>
        <v>1 + 2</v>
      </c>
      <c r="Q5" s="20"/>
      <c r="R5" s="75"/>
      <c r="S5" s="61"/>
      <c r="T5" s="61"/>
      <c r="U5" s="1906"/>
      <c r="V5" s="4227"/>
      <c r="W5" s="3046"/>
      <c r="X5" s="3046"/>
      <c r="Y5" s="3046"/>
      <c r="Z5" s="3046"/>
      <c r="AA5" s="3046"/>
      <c r="AB5" s="16"/>
      <c r="AC5" s="3042" t="s">
        <v>2170</v>
      </c>
      <c r="AD5" s="3042"/>
      <c r="AE5" s="3043" t="str">
        <f>Principal!$L$5</f>
        <v>Hechicero</v>
      </c>
      <c r="AF5" s="3043"/>
      <c r="AG5" s="3043"/>
      <c r="AH5" s="18" t="s">
        <v>2171</v>
      </c>
      <c r="AI5" s="19" t="str">
        <f>Principal!$P$5</f>
        <v>1 + 2</v>
      </c>
      <c r="AJ5" s="16"/>
      <c r="AK5" s="2218"/>
      <c r="AL5" s="2276"/>
      <c r="AM5" s="1909"/>
      <c r="AN5" s="2752"/>
      <c r="AO5" s="2752"/>
      <c r="AP5" s="2797"/>
      <c r="AQ5" s="2948"/>
      <c r="AR5" s="2020"/>
    </row>
    <row r="6" spans="1:44" ht="12" customHeight="1" thickBot="1" x14ac:dyDescent="0.25">
      <c r="A6" s="212"/>
      <c r="B6" s="70"/>
      <c r="C6" s="3046"/>
      <c r="D6" s="3046"/>
      <c r="E6" s="3046"/>
      <c r="F6" s="3046"/>
      <c r="G6" s="3046"/>
      <c r="H6" s="3046"/>
      <c r="I6" s="16"/>
      <c r="J6" s="3044" t="s">
        <v>2665</v>
      </c>
      <c r="K6" s="3044"/>
      <c r="L6" s="3044"/>
      <c r="M6" s="3044"/>
      <c r="N6" s="3044"/>
      <c r="O6" s="3044"/>
      <c r="P6" s="3044"/>
      <c r="Q6" s="20"/>
      <c r="R6" s="75"/>
      <c r="S6" s="61"/>
      <c r="T6" s="61"/>
      <c r="U6" s="1906"/>
      <c r="V6" s="4227"/>
      <c r="W6" s="3046"/>
      <c r="X6" s="3046"/>
      <c r="Y6" s="3046"/>
      <c r="Z6" s="3046"/>
      <c r="AA6" s="3046"/>
      <c r="AB6" s="16"/>
      <c r="AC6" s="3044" t="s">
        <v>2666</v>
      </c>
      <c r="AD6" s="3044"/>
      <c r="AE6" s="3044"/>
      <c r="AF6" s="3044"/>
      <c r="AG6" s="3044"/>
      <c r="AH6" s="3044"/>
      <c r="AI6" s="3044"/>
      <c r="AJ6" s="16"/>
      <c r="AK6" s="2218"/>
      <c r="AL6" s="2276"/>
      <c r="AM6" s="1909"/>
      <c r="AN6" s="2151"/>
      <c r="AO6" s="2151"/>
      <c r="AP6" s="2798"/>
      <c r="AQ6" s="2949"/>
      <c r="AR6" s="2020"/>
    </row>
    <row r="7" spans="1:44" ht="12" customHeight="1" thickBot="1" x14ac:dyDescent="0.25">
      <c r="A7" s="212"/>
      <c r="B7" s="70"/>
      <c r="C7" s="3046"/>
      <c r="D7" s="3046"/>
      <c r="E7" s="3046"/>
      <c r="F7" s="3046"/>
      <c r="G7" s="3046"/>
      <c r="H7" s="3046"/>
      <c r="I7" s="16"/>
      <c r="J7" s="3044"/>
      <c r="K7" s="3044"/>
      <c r="L7" s="3044"/>
      <c r="M7" s="3044"/>
      <c r="N7" s="3044"/>
      <c r="O7" s="3044"/>
      <c r="P7" s="3044"/>
      <c r="Q7" s="20"/>
      <c r="R7" s="75"/>
      <c r="S7" s="61"/>
      <c r="T7" s="61"/>
      <c r="U7" s="1906"/>
      <c r="V7" s="4227"/>
      <c r="W7" s="3046"/>
      <c r="X7" s="3046"/>
      <c r="Y7" s="3046"/>
      <c r="Z7" s="3046"/>
      <c r="AA7" s="3046"/>
      <c r="AB7" s="16"/>
      <c r="AC7" s="3044"/>
      <c r="AD7" s="3044"/>
      <c r="AE7" s="3044"/>
      <c r="AF7" s="3044"/>
      <c r="AG7" s="3044"/>
      <c r="AH7" s="3044"/>
      <c r="AI7" s="3044"/>
      <c r="AJ7" s="16"/>
      <c r="AK7" s="2218"/>
      <c r="AL7" s="2276"/>
      <c r="AM7" s="1909"/>
      <c r="AN7" s="2752"/>
      <c r="AO7" s="2752"/>
      <c r="AP7" s="2797"/>
      <c r="AQ7" s="2948"/>
      <c r="AR7" s="2020"/>
    </row>
    <row r="8" spans="1:44" ht="12" customHeight="1" thickBot="1" x14ac:dyDescent="0.25">
      <c r="A8" s="212"/>
      <c r="B8" s="70"/>
      <c r="C8" s="3046"/>
      <c r="D8" s="3046"/>
      <c r="E8" s="3046"/>
      <c r="F8" s="3046"/>
      <c r="G8" s="3046"/>
      <c r="H8" s="3046"/>
      <c r="I8" s="21"/>
      <c r="J8" s="21"/>
      <c r="K8" s="21"/>
      <c r="L8" s="21"/>
      <c r="M8" s="21"/>
      <c r="N8" s="21"/>
      <c r="O8" s="21"/>
      <c r="P8" s="21"/>
      <c r="Q8" s="22"/>
      <c r="R8" s="75"/>
      <c r="S8" s="61"/>
      <c r="T8" s="61"/>
      <c r="U8" s="1906"/>
      <c r="V8" s="4228"/>
      <c r="W8" s="4229"/>
      <c r="X8" s="4229"/>
      <c r="Y8" s="4229"/>
      <c r="Z8" s="4229"/>
      <c r="AA8" s="4229"/>
      <c r="AB8" s="2221"/>
      <c r="AC8" s="2221"/>
      <c r="AD8" s="2221"/>
      <c r="AE8" s="2221"/>
      <c r="AF8" s="2221"/>
      <c r="AG8" s="2221"/>
      <c r="AH8" s="2221"/>
      <c r="AI8" s="2221"/>
      <c r="AJ8" s="2221"/>
      <c r="AK8" s="2222"/>
      <c r="AL8" s="2276"/>
      <c r="AM8" s="1909"/>
      <c r="AN8" s="2151"/>
      <c r="AO8" s="2151"/>
      <c r="AP8" s="2798"/>
      <c r="AQ8" s="2949"/>
      <c r="AR8" s="2020"/>
    </row>
    <row r="9" spans="1:44" ht="12" customHeight="1" thickBot="1" x14ac:dyDescent="0.25">
      <c r="A9" s="212"/>
      <c r="B9" s="70"/>
      <c r="C9" s="73"/>
      <c r="D9" s="73"/>
      <c r="E9" s="73"/>
      <c r="F9" s="73"/>
      <c r="G9" s="73"/>
      <c r="H9" s="73"/>
      <c r="I9" s="73"/>
      <c r="J9" s="73"/>
      <c r="K9" s="73"/>
      <c r="L9" s="73"/>
      <c r="M9" s="73"/>
      <c r="N9" s="73"/>
      <c r="O9" s="73"/>
      <c r="P9" s="73"/>
      <c r="Q9" s="73"/>
      <c r="R9" s="75"/>
      <c r="S9" s="61"/>
      <c r="T9" s="61"/>
      <c r="U9" s="1906"/>
      <c r="V9" s="73"/>
      <c r="W9" s="73"/>
      <c r="X9" s="73"/>
      <c r="Y9" s="73"/>
      <c r="Z9" s="73"/>
      <c r="AA9" s="73"/>
      <c r="AB9" s="73"/>
      <c r="AC9" s="2020"/>
      <c r="AD9" s="73"/>
      <c r="AE9" s="73"/>
      <c r="AF9" s="73"/>
      <c r="AG9" s="73"/>
      <c r="AH9" s="73"/>
      <c r="AI9" s="73"/>
      <c r="AJ9" s="73"/>
      <c r="AK9" s="111"/>
      <c r="AL9" s="2795" t="s">
        <v>9879</v>
      </c>
      <c r="AM9" s="1909"/>
      <c r="AN9" s="2799"/>
      <c r="AO9" s="2799"/>
      <c r="AP9" s="2800"/>
      <c r="AQ9" s="2950"/>
      <c r="AR9" s="2793" t="str">
        <f>IF('Tablas psiquica'!AF70&gt;1,"AGI_DES_AMBOS","AGI_DES")</f>
        <v>AGI_DES</v>
      </c>
    </row>
    <row r="10" spans="1:44" ht="12" customHeight="1" thickBot="1" x14ac:dyDescent="0.25">
      <c r="A10" s="212"/>
      <c r="B10" s="70"/>
      <c r="C10" s="3293" t="s">
        <v>2667</v>
      </c>
      <c r="D10" s="3293"/>
      <c r="E10" s="3293"/>
      <c r="F10" s="3293"/>
      <c r="G10" s="35"/>
      <c r="H10" s="3028" t="s">
        <v>2668</v>
      </c>
      <c r="I10" s="3028"/>
      <c r="J10" s="3028"/>
      <c r="K10" s="3028"/>
      <c r="L10" s="393" t="s">
        <v>2669</v>
      </c>
      <c r="M10" s="134"/>
      <c r="O10" s="3028" t="s">
        <v>2670</v>
      </c>
      <c r="P10" s="3028"/>
      <c r="Q10" s="3028"/>
      <c r="R10" s="75"/>
      <c r="S10" s="61"/>
      <c r="T10" s="61"/>
      <c r="U10" s="1906"/>
      <c r="V10" s="3136" t="s">
        <v>2671</v>
      </c>
      <c r="W10" s="3137"/>
      <c r="X10" s="3137"/>
      <c r="Y10" s="3137"/>
      <c r="Z10" s="3137"/>
      <c r="AA10" s="2061" t="s">
        <v>2672</v>
      </c>
      <c r="AB10" s="2062" t="s">
        <v>2220</v>
      </c>
      <c r="AC10" s="2751"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222" t="s">
        <v>9875</v>
      </c>
      <c r="AE10" s="4223"/>
      <c r="AF10" s="4223"/>
      <c r="AG10" s="4223"/>
      <c r="AH10" s="4224"/>
      <c r="AI10" s="2061" t="s">
        <v>2672</v>
      </c>
      <c r="AJ10" s="2061" t="s">
        <v>8912</v>
      </c>
      <c r="AK10" s="2062" t="s">
        <v>1768</v>
      </c>
      <c r="AL10" s="2796">
        <f>COUNTA(AD11,AD13,AD15,AD17,AD19,AD21,AD23,AD25,AD27,AD29,AD31,AD33,AD35,AD37,AD39,AD41,AD43,AD45,AD47,AD49,AD51,AD53,AD55,AD57,AD59,AD61,AD63)</f>
        <v>1</v>
      </c>
      <c r="AM10" s="1909"/>
      <c r="AN10" s="2801"/>
      <c r="AO10" s="4212" t="s">
        <v>9898</v>
      </c>
      <c r="AP10" s="4213"/>
      <c r="AQ10" s="2951"/>
      <c r="AR10" s="2791" t="s">
        <v>2231</v>
      </c>
    </row>
    <row r="11" spans="1:44" ht="12" customHeight="1" x14ac:dyDescent="0.2">
      <c r="A11" s="212"/>
      <c r="B11" s="70"/>
      <c r="C11" s="3167" t="s">
        <v>2673</v>
      </c>
      <c r="D11" s="3167"/>
      <c r="E11" s="3084" t="s">
        <v>2674</v>
      </c>
      <c r="F11" s="3084"/>
      <c r="G11" s="73"/>
      <c r="H11" s="4239">
        <f>IF(VOL=0,0,VLOOKUP(VOL,Tabla_PotPsi,2))+IF(M10=0,0,VLOOKUP(M10,Tabla_PotPsitporCV,2))+J13+IF(Combate!$AB$15&lt;0,Combate!$AB$15,0)</f>
        <v>40</v>
      </c>
      <c r="I11" s="4239"/>
      <c r="J11" s="395" t="str">
        <f>IF(J13=0,"","Sumar")</f>
        <v/>
      </c>
      <c r="K11" s="395" t="str">
        <f>IF(J13=0,"",TRUNC(J13/5,0))</f>
        <v/>
      </c>
      <c r="L11" s="4253" t="str">
        <f>IF(J13=0,"","a la Fatiga")</f>
        <v/>
      </c>
      <c r="M11" s="4253"/>
      <c r="O11" s="396" t="s">
        <v>2246</v>
      </c>
      <c r="P11" s="258" t="s">
        <v>2430</v>
      </c>
      <c r="Q11" s="25" t="s">
        <v>2563</v>
      </c>
      <c r="R11" s="75"/>
      <c r="S11" s="61"/>
      <c r="T11" s="61"/>
      <c r="U11" s="2118">
        <f>IF(V11=0,0,1)</f>
        <v>1</v>
      </c>
      <c r="V11" s="4234" t="s">
        <v>358</v>
      </c>
      <c r="W11" s="4235"/>
      <c r="X11" s="4235"/>
      <c r="Y11" s="4235"/>
      <c r="Z11" s="4235"/>
      <c r="AA11" s="4251"/>
      <c r="AB11" s="4233" t="str">
        <f>IF(AA11=0,"",IF(AA11*10&lt;100,AA11*10,100))</f>
        <v/>
      </c>
      <c r="AD11" s="4234"/>
      <c r="AE11" s="4235"/>
      <c r="AF11" s="4235"/>
      <c r="AG11" s="4235"/>
      <c r="AH11" s="4235"/>
      <c r="AI11" s="4245"/>
      <c r="AJ11" s="4260"/>
      <c r="AK11" s="4233" t="str">
        <f>IF(AD11&lt;&gt;"",INDEX(Tablas!$N$139:$N$151,MAX(1+MATCH(VLOOKUP(Psiquicos!$AD11,'Tablas psiquica'!$D$7:$U$145,18,FALSE),'Tablas psiquica'!$I$6:$R$6,0),MAX(SUMPRODUCT(--(Tablas!$M$139:$M$151&lt;=(AL11-20*AI11)))+IF(Tablas!$F$661&gt;0,1,0)+IF(COUNTIF($C$39:$E$50,"Introversión")&gt;0,1,0),SUMPRODUCT(--(Tablas!$M$139:$M$151&lt;=(AL11)))))),"")</f>
        <v/>
      </c>
      <c r="AL11" s="4216">
        <f>$H$11+IF(ISNA(VLOOKUP(AD11,$V$11:$AB$64,7,FALSE)),0,IF(VLOOKUP(AD11,$V$11:$AB$64,7,FALSE)="",0,VLOOKUP(AD11,$V$11:$AB$64,7,FALSE)))+AI11*20+AJ11</f>
        <v>40</v>
      </c>
      <c r="AM11" s="1909"/>
      <c r="AN11" s="2801"/>
      <c r="AO11" s="4214"/>
      <c r="AP11" s="4215"/>
      <c r="AQ11" s="2950"/>
      <c r="AR11" s="2792" t="s">
        <v>2226</v>
      </c>
    </row>
    <row r="12" spans="1:44" ht="12" customHeight="1" thickBot="1" x14ac:dyDescent="0.25">
      <c r="A12" s="212"/>
      <c r="B12" s="70"/>
      <c r="C12" s="4236">
        <f>CV_final</f>
        <v>0</v>
      </c>
      <c r="D12" s="4236"/>
      <c r="E12" s="4237">
        <f>F18+F15+F16+F17+F19</f>
        <v>8</v>
      </c>
      <c r="F12" s="4237"/>
      <c r="G12" s="73"/>
      <c r="H12" s="4239"/>
      <c r="I12" s="4239"/>
      <c r="J12" s="4247" t="str">
        <f>IF(SUM(Tablas!$F$666:$F$678)+SUM(Tablas!$G$1690:$G$1702),"+1 grado: Des. Psíquico.","")</f>
        <v/>
      </c>
      <c r="K12" s="4247"/>
      <c r="L12" s="4247"/>
      <c r="M12" s="4247"/>
      <c r="O12" s="4248">
        <f>Principal!D28</f>
        <v>6</v>
      </c>
      <c r="P12" s="4238">
        <f>IF(PDs!E110="Tabla de Proyección Psíquica",Proyecciónpsíquica_final-PDs!V109+PDs!V22,Proyecciónpsíquica_final)</f>
        <v>10</v>
      </c>
      <c r="Q12" s="4250">
        <f>IF(PDs!E110="Tabla de Proyección Psíquica",Proyecciónpsíquica_final-PDs!V109+MAX(PDs!V23,PDs!V24),Proyecciónpsíquica_final)</f>
        <v>10</v>
      </c>
      <c r="R12" s="75"/>
      <c r="S12" s="61"/>
      <c r="T12" s="61"/>
      <c r="U12" s="2118"/>
      <c r="V12" s="4246" t="str">
        <f>IF(V11=0,"",VLOOKUP(V11,Tablas!$D$2390:$F$2528,2,FALSE))</f>
        <v>Incremento Físico</v>
      </c>
      <c r="W12" s="3206"/>
      <c r="X12" s="3206"/>
      <c r="Y12" s="2761" t="s">
        <v>2171</v>
      </c>
      <c r="Z12" s="2771">
        <f>IF(V11=0,"",VLOOKUP(V11,Tablas!$D$2390:$F$2528,3,FALSE))</f>
        <v>1</v>
      </c>
      <c r="AA12" s="4251"/>
      <c r="AB12" s="4233"/>
      <c r="AD12" s="4246" t="str">
        <f>IF(AD11=0,"",VLOOKUP(AD11,Tablas!$D$2390:$F$2528,2,FALSE))</f>
        <v/>
      </c>
      <c r="AE12" s="3206"/>
      <c r="AF12" s="3206"/>
      <c r="AG12" s="2761" t="s">
        <v>2171</v>
      </c>
      <c r="AH12" s="2771" t="str">
        <f>IF(AD11=0,"",VLOOKUP(AD11,Tablas!$D$2390:$F$2528,3,FALSE))</f>
        <v/>
      </c>
      <c r="AI12" s="4245"/>
      <c r="AJ12" s="4219"/>
      <c r="AK12" s="4233"/>
      <c r="AL12" s="4216"/>
      <c r="AM12" s="1909"/>
      <c r="AN12" s="2802"/>
      <c r="AO12" s="4217" t="s">
        <v>2226</v>
      </c>
      <c r="AP12" s="4218"/>
      <c r="AQ12" s="2951"/>
      <c r="AR12" s="2792" t="s">
        <v>9899</v>
      </c>
    </row>
    <row r="13" spans="1:44" ht="12" customHeight="1" thickBot="1" x14ac:dyDescent="0.25">
      <c r="A13" s="212"/>
      <c r="B13" s="70"/>
      <c r="C13" s="4236"/>
      <c r="D13" s="4236"/>
      <c r="E13" s="4237"/>
      <c r="F13" s="4237"/>
      <c r="G13" s="73"/>
      <c r="H13" s="4249" t="s">
        <v>2675</v>
      </c>
      <c r="I13" s="4249"/>
      <c r="J13" s="101"/>
      <c r="K13" s="4252" t="s">
        <v>2676</v>
      </c>
      <c r="L13" s="4252"/>
      <c r="M13" s="397"/>
      <c r="O13" s="4248"/>
      <c r="P13" s="4238"/>
      <c r="Q13" s="4250"/>
      <c r="R13" s="75"/>
      <c r="S13" s="61"/>
      <c r="T13" s="61"/>
      <c r="U13" s="2118">
        <f>IF(V13=0,0,1)</f>
        <v>1</v>
      </c>
      <c r="V13" s="4241" t="s">
        <v>360</v>
      </c>
      <c r="W13" s="4242"/>
      <c r="X13" s="4242"/>
      <c r="Y13" s="4242"/>
      <c r="Z13" s="4242"/>
      <c r="AA13" s="4243"/>
      <c r="AB13" s="4244" t="str">
        <f>IF(AA13=0,"",IF(AA13*10&lt;100,AA13*10,100))</f>
        <v/>
      </c>
      <c r="AD13" s="4241"/>
      <c r="AE13" s="4242"/>
      <c r="AF13" s="4242"/>
      <c r="AG13" s="4242"/>
      <c r="AH13" s="4242"/>
      <c r="AI13" s="4240"/>
      <c r="AJ13" s="4220"/>
      <c r="AK13" s="4244" t="str">
        <f>IF(AD13&lt;&gt;"",INDEX(Tablas!$N$139:$N$151,MAX(1+MATCH(VLOOKUP(Psiquicos!$AD13,'Tablas psiquica'!$D$7:$U$145,18,FALSE),'Tablas psiquica'!$I$6:$R$6,0),MAX(SUMPRODUCT(--(Tablas!$M$139:$M$151&lt;=(AL13-20*AI13)))+IF(Tablas!$F$661&gt;0,1,0)+IF(COUNTIF($C$39:$E$50,"Introversión")&gt;0,1,0),SUMPRODUCT(--(Tablas!$M$139:$M$151&lt;=(AL13)))))),"")</f>
        <v/>
      </c>
      <c r="AL13" s="4216">
        <f t="shared" ref="AL13" si="0">$H$11+IF(ISNA(VLOOKUP(AD13,$V$11:$AB$64,7,FALSE)),0,IF(VLOOKUP(AD13,$V$11:$AB$64,7,FALSE)="",0,VLOOKUP(AD13,$V$11:$AB$64,7,FALSE)))+AI13*20+AJ13</f>
        <v>40</v>
      </c>
      <c r="AM13" s="1909"/>
      <c r="AN13" s="2799"/>
      <c r="AO13" s="2799"/>
      <c r="AP13" s="2800"/>
      <c r="AQ13" s="2950"/>
      <c r="AR13" s="2020"/>
    </row>
    <row r="14" spans="1:44" ht="12" customHeight="1" thickBot="1" x14ac:dyDescent="0.25">
      <c r="A14" s="212"/>
      <c r="B14" s="70"/>
      <c r="C14" s="4230" t="s">
        <v>2677</v>
      </c>
      <c r="D14" s="4230"/>
      <c r="E14" s="4230"/>
      <c r="F14" s="398" t="s">
        <v>2672</v>
      </c>
      <c r="G14" s="73"/>
      <c r="H14" s="111"/>
      <c r="I14" s="111"/>
      <c r="J14" s="111"/>
      <c r="K14" s="111"/>
      <c r="L14" s="111"/>
      <c r="M14" s="111"/>
      <c r="O14" s="73"/>
      <c r="P14" s="73"/>
      <c r="Q14" s="73"/>
      <c r="R14" s="75"/>
      <c r="S14" s="61"/>
      <c r="T14" s="61"/>
      <c r="U14" s="2118"/>
      <c r="V14" s="4231" t="str">
        <f>IF(V13=0,"",VLOOKUP(V13,Tablas!$D$2390:$F$2528,2,FALSE))</f>
        <v>Incremento Físico</v>
      </c>
      <c r="W14" s="4232"/>
      <c r="X14" s="4232"/>
      <c r="Y14" s="2769" t="s">
        <v>2171</v>
      </c>
      <c r="Z14" s="2772">
        <f>IF(V13=0,"",VLOOKUP(V13,Tablas!$D$2390:$F$2528,3,FALSE))</f>
        <v>1</v>
      </c>
      <c r="AA14" s="4243"/>
      <c r="AB14" s="4244"/>
      <c r="AD14" s="4231" t="str">
        <f>IF(AD13=0,"",VLOOKUP(AD13,Tablas!$D$2390:$F$2528,2,FALSE))</f>
        <v/>
      </c>
      <c r="AE14" s="4232"/>
      <c r="AF14" s="4232"/>
      <c r="AG14" s="2769" t="s">
        <v>2171</v>
      </c>
      <c r="AH14" s="2772" t="str">
        <f>IF(AD13=0,"",VLOOKUP(AD13,Tablas!$D$2390:$F$2528,3,FALSE))</f>
        <v/>
      </c>
      <c r="AI14" s="4240"/>
      <c r="AJ14" s="4220"/>
      <c r="AK14" s="4244"/>
      <c r="AL14" s="4216"/>
      <c r="AM14" s="1909"/>
      <c r="AN14" s="2151"/>
      <c r="AO14" s="2151"/>
      <c r="AP14" s="2798"/>
      <c r="AQ14" s="2949"/>
      <c r="AR14" s="2020"/>
    </row>
    <row r="15" spans="1:44" ht="12" customHeight="1" thickBot="1" x14ac:dyDescent="0.25">
      <c r="A15" s="212"/>
      <c r="B15" s="70"/>
      <c r="C15" s="3183" t="s">
        <v>2665</v>
      </c>
      <c r="D15" s="3183"/>
      <c r="E15" s="3183"/>
      <c r="F15" s="273">
        <f>IF(C25=0,0,1)+IF(C27=0,0,1)+IF(C29=0,0,1)+IF(C31=0,0,1)+IF(C33=0,0,1)+IF(C35=0,0,1)</f>
        <v>2</v>
      </c>
      <c r="G15" s="73"/>
      <c r="H15" s="3028" t="s">
        <v>2678</v>
      </c>
      <c r="I15" s="3028"/>
      <c r="J15" s="3028"/>
      <c r="K15" s="3028"/>
      <c r="L15" s="3028"/>
      <c r="M15" s="3028"/>
      <c r="O15" s="3028" t="s">
        <v>2679</v>
      </c>
      <c r="P15" s="3028"/>
      <c r="Q15" s="3028"/>
      <c r="R15" s="75"/>
      <c r="S15" s="61"/>
      <c r="T15" s="61"/>
      <c r="U15" s="2118">
        <f>IF(V15=0,0,1)</f>
        <v>1</v>
      </c>
      <c r="V15" s="4234" t="s">
        <v>365</v>
      </c>
      <c r="W15" s="4235"/>
      <c r="X15" s="4235"/>
      <c r="Y15" s="4235"/>
      <c r="Z15" s="4235"/>
      <c r="AA15" s="4251"/>
      <c r="AB15" s="4233" t="str">
        <f>IF(AA15=0,"",IF(AA15*10&lt;100,AA15*10,100))</f>
        <v/>
      </c>
      <c r="AD15" s="4254" t="s">
        <v>318</v>
      </c>
      <c r="AE15" s="4255"/>
      <c r="AF15" s="4255"/>
      <c r="AG15" s="4255"/>
      <c r="AH15" s="4256"/>
      <c r="AI15" s="4245">
        <v>100</v>
      </c>
      <c r="AJ15" s="4219"/>
      <c r="AK15" s="4233" t="str">
        <f>IF(AD15&lt;&gt;"",INDEX(Tablas!$N$139:$N$151,MAX(1+MATCH(VLOOKUP(Psiquicos!$AD15,'Tablas psiquica'!$D$7:$U$145,18,FALSE),'Tablas psiquica'!$I$6:$R$6,0),MAX(SUMPRODUCT(--(Tablas!$M$139:$M$151&lt;=(AL15-20*AI15)))+IF(Tablas!$F$661&gt;0,1,0)+IF(COUNTIF($C$39:$E$50,"Introversión")&gt;0,1,0),SUMPRODUCT(--(Tablas!$M$139:$M$151&lt;=(AL15)))))),"")</f>
        <v>ZEN</v>
      </c>
      <c r="AL15" s="4216">
        <f t="shared" ref="AL15" si="1">$H$11+IF(ISNA(VLOOKUP(AD15,$V$11:$AB$64,7,FALSE)),0,IF(VLOOKUP(AD15,$V$11:$AB$64,7,FALSE)="",0,VLOOKUP(AD15,$V$11:$AB$64,7,FALSE)))+AI15*20+AJ15</f>
        <v>2040</v>
      </c>
      <c r="AM15" s="1909"/>
      <c r="AN15" s="2151"/>
      <c r="AO15" s="2752"/>
      <c r="AP15" s="2797"/>
      <c r="AQ15" s="2948"/>
      <c r="AR15" s="2020"/>
    </row>
    <row r="16" spans="1:44" ht="12" customHeight="1" thickBot="1" x14ac:dyDescent="0.25">
      <c r="A16" s="212"/>
      <c r="B16" s="70"/>
      <c r="C16" s="4264" t="s">
        <v>2666</v>
      </c>
      <c r="D16" s="4264"/>
      <c r="E16" s="4264"/>
      <c r="F16" s="399">
        <f>SUM(U11:U63)</f>
        <v>6</v>
      </c>
      <c r="G16" s="400"/>
      <c r="H16" s="4257" t="s">
        <v>9880</v>
      </c>
      <c r="I16" s="5183">
        <f>F20-SUM(AI11:AI64)</f>
        <v>-108</v>
      </c>
      <c r="J16" s="4258"/>
      <c r="K16" s="4258"/>
      <c r="L16" s="4258"/>
      <c r="M16" s="4258"/>
      <c r="O16" s="3045" t="s">
        <v>2594</v>
      </c>
      <c r="P16" s="3045"/>
      <c r="Q16" s="394" t="s">
        <v>2220</v>
      </c>
      <c r="R16" s="75"/>
      <c r="S16" s="61"/>
      <c r="T16" s="61"/>
      <c r="U16" s="2118"/>
      <c r="V16" s="4246" t="str">
        <f>IF(V15=0,"",VLOOKUP(V15,Tablas!$D$2390:$F$2528,2,FALSE))</f>
        <v>Incremento Físico</v>
      </c>
      <c r="W16" s="3206"/>
      <c r="X16" s="3206"/>
      <c r="Y16" s="2761" t="s">
        <v>2171</v>
      </c>
      <c r="Z16" s="2771">
        <f>IF(V15=0,"",VLOOKUP(V15,Tablas!$D$2390:$F$2528,3,FALSE))</f>
        <v>3</v>
      </c>
      <c r="AA16" s="4251"/>
      <c r="AB16" s="4233"/>
      <c r="AC16" s="2790"/>
      <c r="AD16" s="4246" t="str">
        <f>IF(AD15=0,"",VLOOKUP(AD15,Tablas!$D$2390:$F$2528,2,FALSE))</f>
        <v>Telequinesis</v>
      </c>
      <c r="AE16" s="3226"/>
      <c r="AF16" s="3226"/>
      <c r="AG16" s="2761" t="s">
        <v>2171</v>
      </c>
      <c r="AH16" s="2771">
        <f>IF(AD15=0,"",VLOOKUP(AD15,Tablas!$D$2390:$F$2528,3,FALSE))</f>
        <v>1</v>
      </c>
      <c r="AI16" s="4245"/>
      <c r="AJ16" s="4219"/>
      <c r="AK16" s="4233"/>
      <c r="AL16" s="4216"/>
      <c r="AM16" s="1909"/>
      <c r="AN16" s="2151"/>
      <c r="AO16" s="2151"/>
      <c r="AP16" s="2798"/>
      <c r="AQ16" s="2949"/>
      <c r="AR16" s="2020"/>
    </row>
    <row r="17" spans="1:44" ht="12" customHeight="1" x14ac:dyDescent="0.2">
      <c r="A17" s="212"/>
      <c r="B17" s="70"/>
      <c r="C17" s="4265" t="s">
        <v>2680</v>
      </c>
      <c r="D17" s="4265"/>
      <c r="E17" s="4265"/>
      <c r="F17" s="273">
        <f>SUM(AA11:AA64)</f>
        <v>0</v>
      </c>
      <c r="G17" s="73"/>
      <c r="H17" s="4257"/>
      <c r="I17" s="5184"/>
      <c r="J17" s="4258"/>
      <c r="K17" s="4258"/>
      <c r="L17" s="4258"/>
      <c r="M17" s="4258"/>
      <c r="O17" s="3896" t="s">
        <v>2602</v>
      </c>
      <c r="P17" s="3896"/>
      <c r="Q17" s="401" t="str">
        <f>IF(OR(Tablas!F761&gt;0,Tablas!G1724&gt;0),"+0",IF(AND(Tablas!F659=0,Tablas!G1688=0),"+10","+20"))</f>
        <v>+10</v>
      </c>
      <c r="R17" s="75"/>
      <c r="S17" s="61"/>
      <c r="T17" s="61"/>
      <c r="U17" s="2118">
        <f>IF(V17=0,0,1)</f>
        <v>1</v>
      </c>
      <c r="V17" s="4241" t="s">
        <v>361</v>
      </c>
      <c r="W17" s="4242"/>
      <c r="X17" s="4242"/>
      <c r="Y17" s="4242"/>
      <c r="Z17" s="4242"/>
      <c r="AA17" s="4243"/>
      <c r="AB17" s="4244" t="str">
        <f>IF(AA17=0,"",IF(AA17*10&lt;100,AA17*10,100))</f>
        <v/>
      </c>
      <c r="AC17" s="192"/>
      <c r="AD17" s="4241"/>
      <c r="AE17" s="4242"/>
      <c r="AF17" s="4242"/>
      <c r="AG17" s="4242"/>
      <c r="AH17" s="4242"/>
      <c r="AI17" s="4259"/>
      <c r="AJ17" s="4220"/>
      <c r="AK17" s="4244" t="str">
        <f>IF(AD17&lt;&gt;"",INDEX(Tablas!$N$139:$N$151,MAX(1+MATCH(VLOOKUP(Psiquicos!$AD17,'Tablas psiquica'!$D$7:$U$145,18,FALSE),'Tablas psiquica'!$I$6:$R$6,0),MAX(SUMPRODUCT(--(Tablas!$M$139:$M$151&lt;=(AL17-20*AI17)))+IF(Tablas!$F$661&gt;0,1,0)+IF(COUNTIF($C$39:$E$50,"Introversión")&gt;0,1,0),SUMPRODUCT(--(Tablas!$M$139:$M$151&lt;=(AL17)))))),"")</f>
        <v/>
      </c>
      <c r="AL17" s="4216">
        <f t="shared" ref="AL17" si="2">$H$11+IF(ISNA(VLOOKUP(AD17,$V$11:$AB$64,7,FALSE)),0,IF(VLOOKUP(AD17,$V$11:$AB$64,7,FALSE)="",0,VLOOKUP(AD17,$V$11:$AB$64,7,FALSE)))+AI17*20+AJ17</f>
        <v>40</v>
      </c>
      <c r="AM17" s="1909"/>
      <c r="AN17" s="2151"/>
      <c r="AO17" s="2752"/>
      <c r="AP17" s="2797"/>
      <c r="AQ17" s="2948"/>
      <c r="AR17" s="2020"/>
    </row>
    <row r="18" spans="1:44" ht="12" customHeight="1" x14ac:dyDescent="0.2">
      <c r="A18" s="212"/>
      <c r="B18" s="70"/>
      <c r="C18" s="4261" t="s">
        <v>2681</v>
      </c>
      <c r="D18" s="4261"/>
      <c r="E18" s="4261"/>
      <c r="F18" s="399">
        <f>M10</f>
        <v>0</v>
      </c>
      <c r="G18" s="73"/>
      <c r="H18" s="403" t="s">
        <v>2682</v>
      </c>
      <c r="I18" s="404"/>
      <c r="J18" s="61"/>
      <c r="K18" s="405" t="str">
        <f>IF(AND(Tablas!F660=0,Tablas!G1689=0),"+10 / CV","+20 / CV")</f>
        <v>+10 / CV</v>
      </c>
      <c r="L18" s="4262" t="str">
        <f>IF(AND(Tablas!F660=0,Tablas!G1721=0),"(Max +50)","(Max +100)")</f>
        <v>(Max +50)</v>
      </c>
      <c r="M18" s="4262"/>
      <c r="O18" s="3894" t="s">
        <v>2605</v>
      </c>
      <c r="P18" s="3894"/>
      <c r="Q18" s="401" t="str">
        <f>IF(OR(Tablas!F761&gt;0,Tablas!G1724&gt;0),"+0",IF(AND(Tablas!F659=0,Tablas!G1688=0),"+20","+40"))</f>
        <v>+20</v>
      </c>
      <c r="R18" s="75"/>
      <c r="S18" s="61"/>
      <c r="T18" s="61"/>
      <c r="U18" s="2118"/>
      <c r="V18" s="4231" t="str">
        <f>IF(V17=0,"",VLOOKUP(V17,Tablas!$D$2390:$F$2528,2,FALSE))</f>
        <v>Incremento Físico</v>
      </c>
      <c r="W18" s="4232"/>
      <c r="X18" s="4232"/>
      <c r="Y18" s="2769" t="s">
        <v>2171</v>
      </c>
      <c r="Z18" s="2772">
        <f>IF(V17=0,"",VLOOKUP(V17,Tablas!$D$2390:$F$2528,3,FALSE))</f>
        <v>2</v>
      </c>
      <c r="AA18" s="4243"/>
      <c r="AB18" s="4244"/>
      <c r="AC18" s="192"/>
      <c r="AD18" s="4231" t="str">
        <f>IF(AD17=0,"",VLOOKUP(AD17,Tablas!$D$2390:$F$2528,2,FALSE))</f>
        <v/>
      </c>
      <c r="AE18" s="4263"/>
      <c r="AF18" s="4263"/>
      <c r="AG18" s="2769" t="s">
        <v>2171</v>
      </c>
      <c r="AH18" s="2772" t="str">
        <f>IF(AD17=0,"",VLOOKUP(AD17,Tablas!$D$2390:$F$2528,3,FALSE))</f>
        <v/>
      </c>
      <c r="AI18" s="4259"/>
      <c r="AJ18" s="4220"/>
      <c r="AK18" s="4244"/>
      <c r="AL18" s="4216"/>
      <c r="AM18" s="1909"/>
      <c r="AN18" s="2151"/>
      <c r="AO18" s="2151"/>
      <c r="AP18" s="2798"/>
      <c r="AQ18" s="2949"/>
      <c r="AR18" s="2020"/>
    </row>
    <row r="19" spans="1:44" ht="12" customHeight="1" x14ac:dyDescent="0.2">
      <c r="A19" s="212"/>
      <c r="B19" s="70"/>
      <c r="C19" s="3185" t="s">
        <v>2683</v>
      </c>
      <c r="D19" s="3185"/>
      <c r="E19" s="3185"/>
      <c r="F19" s="406">
        <f>2*M13</f>
        <v>0</v>
      </c>
      <c r="G19" s="73"/>
      <c r="H19" s="407" t="s">
        <v>2684</v>
      </c>
      <c r="I19" s="408"/>
      <c r="J19" s="73"/>
      <c r="K19" s="409" t="s">
        <v>2685</v>
      </c>
      <c r="L19" s="4271" t="s">
        <v>2686</v>
      </c>
      <c r="M19" s="4271"/>
      <c r="O19" s="3894" t="s">
        <v>2608</v>
      </c>
      <c r="P19" s="3894"/>
      <c r="Q19" s="401" t="str">
        <f>IF(OR(Tablas!F761&gt;0,Tablas!G1724&gt;0),"+0",IF(AND(Tablas!F659=0,Tablas!G1688=0),"+30","+60"))</f>
        <v>+30</v>
      </c>
      <c r="R19" s="75"/>
      <c r="S19" s="61"/>
      <c r="T19" s="61"/>
      <c r="U19" s="2118">
        <f>IF(V19=0,0,1)</f>
        <v>1</v>
      </c>
      <c r="V19" s="4234" t="s">
        <v>359</v>
      </c>
      <c r="W19" s="4235"/>
      <c r="X19" s="4235"/>
      <c r="Y19" s="4235"/>
      <c r="Z19" s="4235"/>
      <c r="AA19" s="4251"/>
      <c r="AB19" s="4233" t="str">
        <f>IF(AA19=0,"",IF(AA19*10&lt;100,AA19*10,100))</f>
        <v/>
      </c>
      <c r="AC19" s="192"/>
      <c r="AD19" s="4254"/>
      <c r="AE19" s="4255"/>
      <c r="AF19" s="4255"/>
      <c r="AG19" s="4255"/>
      <c r="AH19" s="4256"/>
      <c r="AI19" s="4270"/>
      <c r="AJ19" s="4219"/>
      <c r="AK19" s="4233" t="str">
        <f>IF(AD19&lt;&gt;"",INDEX(Tablas!$N$139:$N$151,MAX(1+MATCH(VLOOKUP(Psiquicos!$AD19,'Tablas psiquica'!$D$7:$U$145,18,FALSE),'Tablas psiquica'!$I$6:$R$6,0),MAX(SUMPRODUCT(--(Tablas!$M$139:$M$151&lt;=(AL19-20*AI19)))+IF(Tablas!$F$661&gt;0,1,0)+IF(COUNTIF($C$39:$E$50,"Introversión")&gt;0,1,0),SUMPRODUCT(--(Tablas!$M$139:$M$151&lt;=(AL19)))))),"")</f>
        <v/>
      </c>
      <c r="AL19" s="4216">
        <f t="shared" ref="AL19" si="3">$H$11+IF(ISNA(VLOOKUP(AD19,$V$11:$AB$64,7,FALSE)),0,IF(VLOOKUP(AD19,$V$11:$AB$64,7,FALSE)="",0,VLOOKUP(AD19,$V$11:$AB$64,7,FALSE)))+AI19*20+AJ19</f>
        <v>40</v>
      </c>
      <c r="AM19" s="1909"/>
      <c r="AN19" s="2151"/>
      <c r="AO19" s="2752"/>
      <c r="AP19" s="2797"/>
      <c r="AQ19" s="2948"/>
      <c r="AR19" s="2020"/>
    </row>
    <row r="20" spans="1:44" ht="12" customHeight="1" x14ac:dyDescent="0.2">
      <c r="A20" s="212"/>
      <c r="B20" s="70"/>
      <c r="C20" s="4266" t="s">
        <v>2678</v>
      </c>
      <c r="D20" s="4266"/>
      <c r="E20" s="4266"/>
      <c r="F20" s="4267">
        <f>C12-E12</f>
        <v>-8</v>
      </c>
      <c r="G20" s="73"/>
      <c r="H20" s="403" t="s">
        <v>2687</v>
      </c>
      <c r="I20" s="294"/>
      <c r="J20" s="61"/>
      <c r="K20" s="405" t="s">
        <v>2685</v>
      </c>
      <c r="L20" s="4262" t="s">
        <v>2686</v>
      </c>
      <c r="M20" s="4262"/>
      <c r="O20" s="3894" t="s">
        <v>2610</v>
      </c>
      <c r="P20" s="3894"/>
      <c r="Q20" s="401" t="str">
        <f>IF(OR(Tablas!F761&gt;0,Tablas!G1724&gt;0),"+0",IF(AND(Tablas!F659=0,Tablas!G1688=0),"+40","+80"))</f>
        <v>+40</v>
      </c>
      <c r="R20" s="75"/>
      <c r="S20" s="61"/>
      <c r="T20" s="61"/>
      <c r="U20" s="2118"/>
      <c r="V20" s="4246" t="str">
        <f>IF(V19=0,"",VLOOKUP(V19,Tablas!$D$2390:$F$2528,2,FALSE))</f>
        <v>Incremento Físico</v>
      </c>
      <c r="W20" s="3206"/>
      <c r="X20" s="3206"/>
      <c r="Y20" s="2761" t="s">
        <v>2171</v>
      </c>
      <c r="Z20" s="2771">
        <f>IF(V19=0,"",VLOOKUP(V19,Tablas!$D$2390:$F$2528,3,FALSE))</f>
        <v>1</v>
      </c>
      <c r="AA20" s="4251"/>
      <c r="AB20" s="4233"/>
      <c r="AC20" s="192"/>
      <c r="AD20" s="4246" t="str">
        <f>IF(AD19=0,"",VLOOKUP(AD19,Tablas!$D$2390:$F$2528,2,FALSE))</f>
        <v/>
      </c>
      <c r="AE20" s="3226"/>
      <c r="AF20" s="3226"/>
      <c r="AG20" s="2761" t="s">
        <v>2171</v>
      </c>
      <c r="AH20" s="2771" t="str">
        <f>IF(AD19=0,"",VLOOKUP(AD19,Tablas!$D$2390:$F$2528,3,FALSE))</f>
        <v/>
      </c>
      <c r="AI20" s="4270"/>
      <c r="AJ20" s="4219"/>
      <c r="AK20" s="4233"/>
      <c r="AL20" s="4216"/>
      <c r="AM20" s="1909"/>
      <c r="AN20" s="2151"/>
      <c r="AO20" s="2151"/>
      <c r="AP20" s="2798"/>
      <c r="AQ20" s="2949"/>
      <c r="AR20" s="2020"/>
    </row>
    <row r="21" spans="1:44" ht="12" customHeight="1" x14ac:dyDescent="0.2">
      <c r="A21" s="212"/>
      <c r="B21" s="70"/>
      <c r="C21" s="4266"/>
      <c r="D21" s="4266"/>
      <c r="E21" s="4266"/>
      <c r="F21" s="4267"/>
      <c r="G21" s="73"/>
      <c r="H21" s="407" t="s">
        <v>2688</v>
      </c>
      <c r="I21" s="408"/>
      <c r="J21" s="73"/>
      <c r="K21" s="409" t="s">
        <v>2689</v>
      </c>
      <c r="L21" s="4271" t="s">
        <v>2690</v>
      </c>
      <c r="M21" s="4271"/>
      <c r="O21" s="4272" t="s">
        <v>2613</v>
      </c>
      <c r="P21" s="4272"/>
      <c r="Q21" s="410" t="str">
        <f>IF(OR(Tablas!F761&gt;0,Tablas!G1724&gt;0),"+0",IF(AND(Tablas!F659=0,Tablas!G1688=0),"+50","+100"))</f>
        <v>+50</v>
      </c>
      <c r="R21" s="75"/>
      <c r="S21" s="61"/>
      <c r="T21" s="61"/>
      <c r="U21" s="2118">
        <f>IF(V21=0,0,1)</f>
        <v>1</v>
      </c>
      <c r="V21" s="4241" t="s">
        <v>318</v>
      </c>
      <c r="W21" s="4242"/>
      <c r="X21" s="4242"/>
      <c r="Y21" s="4242"/>
      <c r="Z21" s="4242"/>
      <c r="AA21" s="4243"/>
      <c r="AB21" s="4244" t="str">
        <f>IF(AA21=0,"",IF(AA21*10&lt;100,AA21*10,100))</f>
        <v/>
      </c>
      <c r="AC21" s="192"/>
      <c r="AD21" s="4241"/>
      <c r="AE21" s="4242"/>
      <c r="AF21" s="4242"/>
      <c r="AG21" s="4242"/>
      <c r="AH21" s="4242"/>
      <c r="AI21" s="4240"/>
      <c r="AJ21" s="4220"/>
      <c r="AK21" s="4244" t="str">
        <f>IF(AD21&lt;&gt;"",INDEX(Tablas!$N$139:$N$151,MAX(1+MATCH(VLOOKUP(Psiquicos!$AD21,'Tablas psiquica'!$D$7:$U$145,18,FALSE),'Tablas psiquica'!$I$6:$R$6,0),MAX(SUMPRODUCT(--(Tablas!$M$139:$M$151&lt;=(AL21-20*AI21)))+IF(Tablas!$F$661&gt;0,1,0)+IF(COUNTIF($C$39:$E$50,"Introversión")&gt;0,1,0),SUMPRODUCT(--(Tablas!$M$139:$M$151&lt;=(AL21)))))),"")</f>
        <v/>
      </c>
      <c r="AL21" s="4216">
        <f t="shared" ref="AL21" si="4">$H$11+IF(ISNA(VLOOKUP(AD21,$V$11:$AB$64,7,FALSE)),0,IF(VLOOKUP(AD21,$V$11:$AB$64,7,FALSE)="",0,VLOOKUP(AD21,$V$11:$AB$64,7,FALSE)))+AI21*20+AJ21</f>
        <v>40</v>
      </c>
      <c r="AM21" s="1909"/>
      <c r="AN21" s="2151"/>
      <c r="AO21" s="2752"/>
      <c r="AP21" s="2797"/>
      <c r="AQ21" s="2948"/>
      <c r="AR21" s="2020"/>
    </row>
    <row r="22" spans="1:44" ht="12" customHeight="1" thickBot="1" x14ac:dyDescent="0.25">
      <c r="A22" s="212"/>
      <c r="B22" s="70"/>
      <c r="C22" s="4268" t="str">
        <f>IF(F20&lt;0,"Exceso de CVs",IF(AL10&gt;M13,"Exceso de innatos activos",""))</f>
        <v>Exceso de CVs</v>
      </c>
      <c r="D22" s="4268"/>
      <c r="E22" s="4268"/>
      <c r="F22" s="4268"/>
      <c r="G22" s="411"/>
      <c r="H22" s="412" t="s">
        <v>2691</v>
      </c>
      <c r="I22" s="413"/>
      <c r="J22" s="156"/>
      <c r="K22" s="414" t="s">
        <v>2689</v>
      </c>
      <c r="L22" s="3771" t="s">
        <v>2692</v>
      </c>
      <c r="M22" s="3771"/>
      <c r="O22" s="4269" t="str">
        <f>IF(OR(Tablas!F761&gt;0,Tablas!G1724&gt;0),"Sin concentración",IF(AND(Tablas!F659=0,Tablas!G1688=0),"","Concentración extrema"))</f>
        <v/>
      </c>
      <c r="P22" s="4269"/>
      <c r="Q22" s="4269"/>
      <c r="R22" s="75"/>
      <c r="S22" s="61"/>
      <c r="T22" s="61"/>
      <c r="U22" s="2118"/>
      <c r="V22" s="4231" t="str">
        <f>IF(V21=0,"",VLOOKUP(V21,Tablas!$D$2390:$F$2528,2,FALSE))</f>
        <v>Telequinesis</v>
      </c>
      <c r="W22" s="4232"/>
      <c r="X22" s="4232"/>
      <c r="Y22" s="2769" t="s">
        <v>2171</v>
      </c>
      <c r="Z22" s="2772">
        <f>IF(V21=0,"",VLOOKUP(V21,Tablas!$D$2390:$F$2528,3,FALSE))</f>
        <v>1</v>
      </c>
      <c r="AA22" s="4243"/>
      <c r="AB22" s="4244"/>
      <c r="AC22" s="192"/>
      <c r="AD22" s="4231" t="str">
        <f>IF(AD21=0,"",VLOOKUP(AD21,Tablas!$D$2390:$F$2528,2,FALSE))</f>
        <v/>
      </c>
      <c r="AE22" s="4263"/>
      <c r="AF22" s="4263"/>
      <c r="AG22" s="2769" t="s">
        <v>2171</v>
      </c>
      <c r="AH22" s="2772" t="str">
        <f>IF(AD21=0,"",VLOOKUP(AD21,Tablas!$D$2390:$F$2528,3,FALSE))</f>
        <v/>
      </c>
      <c r="AI22" s="4240"/>
      <c r="AJ22" s="4220"/>
      <c r="AK22" s="4244"/>
      <c r="AL22" s="4216"/>
      <c r="AM22" s="1909"/>
      <c r="AN22" s="2151"/>
      <c r="AO22" s="2151"/>
      <c r="AP22" s="2798"/>
      <c r="AQ22" s="2949"/>
      <c r="AR22" s="2020"/>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18">
        <f>IF(V23=0,0,1)</f>
        <v>0</v>
      </c>
      <c r="V23" s="4234"/>
      <c r="W23" s="4235"/>
      <c r="X23" s="4235"/>
      <c r="Y23" s="4235"/>
      <c r="Z23" s="4235"/>
      <c r="AA23" s="4251"/>
      <c r="AB23" s="4233" t="str">
        <f>IF(AA23=0,"",IF(AA23*10&lt;100,AA23*10,100))</f>
        <v/>
      </c>
      <c r="AC23" s="192"/>
      <c r="AD23" s="4254"/>
      <c r="AE23" s="4255"/>
      <c r="AF23" s="4255"/>
      <c r="AG23" s="4255"/>
      <c r="AH23" s="4256"/>
      <c r="AI23" s="4245"/>
      <c r="AJ23" s="4219"/>
      <c r="AK23" s="4233" t="str">
        <f>IF(AD23&lt;&gt;"",INDEX(Tablas!$N$139:$N$151,MAX(1+MATCH(VLOOKUP(Psiquicos!$AD23,'Tablas psiquica'!$D$7:$U$145,18,FALSE),'Tablas psiquica'!$I$6:$R$6,0),MAX(SUMPRODUCT(--(Tablas!$M$139:$M$151&lt;=(AL23-20*AI23)))+IF(Tablas!$F$661&gt;0,1,0)+IF(COUNTIF($C$39:$E$50,"Introversión")&gt;0,1,0),SUMPRODUCT(--(Tablas!$M$139:$M$151&lt;=(AL23)))))),"")</f>
        <v/>
      </c>
      <c r="AL23" s="4216">
        <f t="shared" ref="AL23" si="5">$H$11+IF(ISNA(VLOOKUP(AD23,$V$11:$AB$64,7,FALSE)),0,IF(VLOOKUP(AD23,$V$11:$AB$64,7,FALSE)="",0,VLOOKUP(AD23,$V$11:$AB$64,7,FALSE)))+AI23*20+AJ23</f>
        <v>40</v>
      </c>
      <c r="AM23" s="1909"/>
      <c r="AN23" s="2752"/>
      <c r="AO23" s="2752"/>
      <c r="AP23" s="2797"/>
      <c r="AQ23" s="2948"/>
      <c r="AR23" s="2020"/>
    </row>
    <row r="24" spans="1:44" ht="12" customHeight="1" thickBot="1" x14ac:dyDescent="0.25">
      <c r="A24" s="212"/>
      <c r="B24" s="70"/>
      <c r="C24" s="3028" t="s">
        <v>2693</v>
      </c>
      <c r="D24" s="3028"/>
      <c r="E24" s="3028"/>
      <c r="F24" s="3680" t="s">
        <v>2694</v>
      </c>
      <c r="G24" s="3680"/>
      <c r="H24" s="3680"/>
      <c r="I24" s="3680"/>
      <c r="J24" s="3680"/>
      <c r="K24" s="3680"/>
      <c r="L24" s="3680"/>
      <c r="M24" s="3680"/>
      <c r="N24" s="3680"/>
      <c r="O24" s="3680"/>
      <c r="P24" s="3680"/>
      <c r="Q24" s="3680"/>
      <c r="R24" s="75"/>
      <c r="S24" s="61"/>
      <c r="T24" s="61"/>
      <c r="U24" s="2118"/>
      <c r="V24" s="4246" t="str">
        <f>IF(V23=0,"",VLOOKUP(V23,Tablas!$D$2390:$F$2528,2,FALSE))</f>
        <v/>
      </c>
      <c r="W24" s="3206"/>
      <c r="X24" s="3206"/>
      <c r="Y24" s="2761" t="s">
        <v>2171</v>
      </c>
      <c r="Z24" s="2771" t="str">
        <f>IF(V23=0,"",VLOOKUP(V23,Tablas!$D$2390:$F$2528,3,FALSE))</f>
        <v/>
      </c>
      <c r="AA24" s="4251"/>
      <c r="AB24" s="4233"/>
      <c r="AC24" s="192"/>
      <c r="AD24" s="4246" t="str">
        <f>IF(AD23=0,"",VLOOKUP(AD23,Tablas!$D$2390:$F$2528,2,FALSE))</f>
        <v/>
      </c>
      <c r="AE24" s="3226"/>
      <c r="AF24" s="3226"/>
      <c r="AG24" s="2761" t="s">
        <v>2171</v>
      </c>
      <c r="AH24" s="2771" t="str">
        <f>IF(AD23=0,"",VLOOKUP(AD23,Tablas!$D$2390:$F$2528,3,FALSE))</f>
        <v/>
      </c>
      <c r="AI24" s="4245"/>
      <c r="AJ24" s="4219"/>
      <c r="AK24" s="4233"/>
      <c r="AL24" s="4216"/>
      <c r="AM24" s="1909"/>
      <c r="AN24" s="2151"/>
      <c r="AO24" s="2151"/>
      <c r="AP24" s="2798"/>
      <c r="AQ24" s="2949"/>
      <c r="AR24" s="2020"/>
    </row>
    <row r="25" spans="1:44" ht="12" customHeight="1" x14ac:dyDescent="0.2">
      <c r="A25" s="212"/>
      <c r="B25" s="70"/>
      <c r="C25" s="4273" t="s">
        <v>9917</v>
      </c>
      <c r="D25" s="4273"/>
      <c r="E25" s="4273"/>
      <c r="F25" s="4274" t="str">
        <f>IF(C25=0,"",VLOOKUP(C25,Tablas!$C$2373:$D$2385,2,FALSE))</f>
        <v>Sin modificador</v>
      </c>
      <c r="G25" s="4274"/>
      <c r="H25" s="4274"/>
      <c r="I25" s="4274"/>
      <c r="J25" s="4274"/>
      <c r="K25" s="4274"/>
      <c r="L25" s="4274"/>
      <c r="M25" s="4274"/>
      <c r="N25" s="4274"/>
      <c r="O25" s="4274"/>
      <c r="P25" s="4274"/>
      <c r="Q25" s="4274"/>
      <c r="R25" s="75"/>
      <c r="S25" s="61"/>
      <c r="T25" s="61"/>
      <c r="U25" s="2118">
        <f>IF(V25=0,0,1)</f>
        <v>0</v>
      </c>
      <c r="V25" s="4241"/>
      <c r="W25" s="4242"/>
      <c r="X25" s="4242"/>
      <c r="Y25" s="4242"/>
      <c r="Z25" s="4242"/>
      <c r="AA25" s="4243"/>
      <c r="AB25" s="4244" t="str">
        <f>IF(AA25=0,"",IF(AA25*10&lt;100,AA25*10,100))</f>
        <v/>
      </c>
      <c r="AC25" s="192"/>
      <c r="AD25" s="4241"/>
      <c r="AE25" s="4242"/>
      <c r="AF25" s="4242"/>
      <c r="AG25" s="4242"/>
      <c r="AH25" s="4242"/>
      <c r="AI25" s="4240"/>
      <c r="AJ25" s="4220"/>
      <c r="AK25" s="4244" t="str">
        <f>IF(AD25&lt;&gt;"",INDEX(Tablas!$N$139:$N$151,MAX(1+MATCH(VLOOKUP(Psiquicos!$AD25,'Tablas psiquica'!$D$7:$U$145,18,FALSE),'Tablas psiquica'!$I$6:$R$6,0),MAX(SUMPRODUCT(--(Tablas!$M$139:$M$151&lt;=(AL25-20*AI25)))+IF(Tablas!$F$661&gt;0,1,0)+IF(COUNTIF($C$39:$E$50,"Introversión")&gt;0,1,0),SUMPRODUCT(--(Tablas!$M$139:$M$151&lt;=(AL25)))))),"")</f>
        <v/>
      </c>
      <c r="AL25" s="4216">
        <f t="shared" ref="AL25" si="6">$H$11+IF(ISNA(VLOOKUP(AD25,$V$11:$AB$64,7,FALSE)),0,IF(VLOOKUP(AD25,$V$11:$AB$64,7,FALSE)="",0,VLOOKUP(AD25,$V$11:$AB$64,7,FALSE)))+AI25*20+AJ25</f>
        <v>40</v>
      </c>
      <c r="AM25" s="1909"/>
      <c r="AN25" s="2803"/>
      <c r="AO25" s="2150"/>
      <c r="AP25" s="2150"/>
      <c r="AQ25" s="248"/>
      <c r="AR25" s="2020"/>
    </row>
    <row r="26" spans="1:44" ht="12" customHeight="1" x14ac:dyDescent="0.2">
      <c r="A26" s="212"/>
      <c r="B26" s="70"/>
      <c r="C26" s="4273"/>
      <c r="D26" s="4273"/>
      <c r="E26" s="4273"/>
      <c r="F26" s="4274"/>
      <c r="G26" s="4274"/>
      <c r="H26" s="4274"/>
      <c r="I26" s="4274"/>
      <c r="J26" s="4274"/>
      <c r="K26" s="4274"/>
      <c r="L26" s="4274"/>
      <c r="M26" s="4274"/>
      <c r="N26" s="4274"/>
      <c r="O26" s="4274"/>
      <c r="P26" s="4274"/>
      <c r="Q26" s="4274"/>
      <c r="R26" s="75"/>
      <c r="S26" s="61"/>
      <c r="T26" s="61"/>
      <c r="U26" s="2118"/>
      <c r="V26" s="4231" t="str">
        <f>IF(V25=0,"",VLOOKUP(V25,Tablas!$D$2390:$F$2528,2,FALSE))</f>
        <v/>
      </c>
      <c r="W26" s="4232"/>
      <c r="X26" s="4232"/>
      <c r="Y26" s="2769" t="s">
        <v>2171</v>
      </c>
      <c r="Z26" s="2772" t="str">
        <f>IF(V25=0,"",VLOOKUP(V25,Tablas!$D$2390:$F$2528,3,FALSE))</f>
        <v/>
      </c>
      <c r="AA26" s="4243"/>
      <c r="AB26" s="4244"/>
      <c r="AC26" s="243"/>
      <c r="AD26" s="4231" t="str">
        <f>IF(AD25=0,"",VLOOKUP(AD25,Tablas!$D$2390:$F$2528,2,FALSE))</f>
        <v/>
      </c>
      <c r="AE26" s="4263"/>
      <c r="AF26" s="4263"/>
      <c r="AG26" s="2769" t="s">
        <v>2171</v>
      </c>
      <c r="AH26" s="2772" t="str">
        <f>IF(AD25=0,"",VLOOKUP(AD25,Tablas!$D$2390:$F$2528,3,FALSE))</f>
        <v/>
      </c>
      <c r="AI26" s="4240"/>
      <c r="AJ26" s="4220"/>
      <c r="AK26" s="4244"/>
      <c r="AL26" s="4216"/>
      <c r="AM26" s="1909"/>
      <c r="AO26" s="2149"/>
      <c r="AP26" s="2149"/>
      <c r="AQ26" s="27"/>
    </row>
    <row r="27" spans="1:44" ht="12" customHeight="1" x14ac:dyDescent="0.2">
      <c r="A27" s="212"/>
      <c r="B27" s="70"/>
      <c r="C27" s="4275" t="s">
        <v>9924</v>
      </c>
      <c r="D27" s="4275"/>
      <c r="E27" s="4275"/>
      <c r="F27" s="4274" t="str">
        <f>IF(C27=0,"",VLOOKUP(C27,Tablas!$C$2373:$D$2385,2,FALSE))</f>
        <v>Sin modificador</v>
      </c>
      <c r="G27" s="4274"/>
      <c r="H27" s="4274"/>
      <c r="I27" s="4274"/>
      <c r="J27" s="4274"/>
      <c r="K27" s="4274"/>
      <c r="L27" s="4274"/>
      <c r="M27" s="4274"/>
      <c r="N27" s="4274"/>
      <c r="O27" s="4274"/>
      <c r="P27" s="4274"/>
      <c r="Q27" s="4274"/>
      <c r="R27" s="75"/>
      <c r="S27" s="61"/>
      <c r="T27" s="61"/>
      <c r="U27" s="2118">
        <f>IF(V27=0,0,1)</f>
        <v>0</v>
      </c>
      <c r="V27" s="4234"/>
      <c r="W27" s="4235"/>
      <c r="X27" s="4235"/>
      <c r="Y27" s="4235"/>
      <c r="Z27" s="4235"/>
      <c r="AA27" s="4251"/>
      <c r="AB27" s="4233" t="str">
        <f>IF(AA27=0,"",IF(AA27*10&lt;100,AA27*10,100))</f>
        <v/>
      </c>
      <c r="AC27" s="243"/>
      <c r="AD27" s="4254"/>
      <c r="AE27" s="4255"/>
      <c r="AF27" s="4255"/>
      <c r="AG27" s="4255"/>
      <c r="AH27" s="4256"/>
      <c r="AI27" s="4245"/>
      <c r="AJ27" s="4219"/>
      <c r="AK27" s="4233" t="str">
        <f>IF(AD27&lt;&gt;"",INDEX(Tablas!$N$139:$N$151,MAX(1+MATCH(VLOOKUP(Psiquicos!$AD27,'Tablas psiquica'!$D$7:$U$145,18,FALSE),'Tablas psiquica'!$I$6:$R$6,0),MAX(SUMPRODUCT(--(Tablas!$M$139:$M$151&lt;=(AL27-20*AI27)))+IF(Tablas!$F$661&gt;0,1,0)+IF(COUNTIF($C$39:$E$50,"Introversión")&gt;0,1,0),SUMPRODUCT(--(Tablas!$M$139:$M$151&lt;=(AL27)))))),"")</f>
        <v/>
      </c>
      <c r="AL27" s="4216">
        <f t="shared" ref="AL27" si="7">$H$11+IF(ISNA(VLOOKUP(AD27,$V$11:$AB$64,7,FALSE)),0,IF(VLOOKUP(AD27,$V$11:$AB$64,7,FALSE)="",0,VLOOKUP(AD27,$V$11:$AB$64,7,FALSE)))+AI27*20+AJ27</f>
        <v>40</v>
      </c>
      <c r="AM27" s="1909"/>
      <c r="AQ27" s="2907"/>
      <c r="AR27" s="2150"/>
    </row>
    <row r="28" spans="1:44" ht="12" customHeight="1" x14ac:dyDescent="0.2">
      <c r="A28" s="212"/>
      <c r="B28" s="70"/>
      <c r="C28" s="4275"/>
      <c r="D28" s="4275"/>
      <c r="E28" s="4275"/>
      <c r="F28" s="4274"/>
      <c r="G28" s="4274"/>
      <c r="H28" s="4274"/>
      <c r="I28" s="4274"/>
      <c r="J28" s="4274"/>
      <c r="K28" s="4274"/>
      <c r="L28" s="4274"/>
      <c r="M28" s="4274"/>
      <c r="N28" s="4274"/>
      <c r="O28" s="4274"/>
      <c r="P28" s="4274"/>
      <c r="Q28" s="4274"/>
      <c r="R28" s="75"/>
      <c r="S28" s="61"/>
      <c r="T28" s="61"/>
      <c r="U28" s="2118"/>
      <c r="V28" s="4246" t="str">
        <f>IF(V27=0,"",VLOOKUP(V27,Tablas!$D$2390:$F$2528,2,FALSE))</f>
        <v/>
      </c>
      <c r="W28" s="3206"/>
      <c r="X28" s="3206"/>
      <c r="Y28" s="2761" t="s">
        <v>2171</v>
      </c>
      <c r="Z28" s="2771" t="str">
        <f>IF(V27=0,"",VLOOKUP(V27,Tablas!$D$2390:$F$2528,3,FALSE))</f>
        <v/>
      </c>
      <c r="AA28" s="4251"/>
      <c r="AB28" s="4233"/>
      <c r="AC28" s="233"/>
      <c r="AD28" s="4246" t="str">
        <f>IF(AD27=0,"",VLOOKUP(AD27,Tablas!$D$2390:$F$2528,2,FALSE))</f>
        <v/>
      </c>
      <c r="AE28" s="3226"/>
      <c r="AF28" s="3226"/>
      <c r="AG28" s="2761" t="s">
        <v>2171</v>
      </c>
      <c r="AH28" s="2771" t="str">
        <f>IF(AD27=0,"",VLOOKUP(AD27,Tablas!$D$2390:$F$2528,3,FALSE))</f>
        <v/>
      </c>
      <c r="AI28" s="4245"/>
      <c r="AJ28" s="4219"/>
      <c r="AK28" s="4233"/>
      <c r="AL28" s="4216"/>
      <c r="AM28" s="1909"/>
      <c r="AQ28" s="111"/>
      <c r="AR28" s="2789"/>
    </row>
    <row r="29" spans="1:44" ht="12" customHeight="1" x14ac:dyDescent="0.2">
      <c r="A29" s="212"/>
      <c r="B29" s="70"/>
      <c r="C29" s="4275"/>
      <c r="D29" s="4275"/>
      <c r="E29" s="4275"/>
      <c r="F29" s="4274" t="str">
        <f>IF(C29=0,"",VLOOKUP(C29,Tablas!$C$2373:$D$2385,2,FALSE))</f>
        <v/>
      </c>
      <c r="G29" s="4274"/>
      <c r="H29" s="4274"/>
      <c r="I29" s="4274"/>
      <c r="J29" s="4274"/>
      <c r="K29" s="4274"/>
      <c r="L29" s="4274"/>
      <c r="M29" s="4274"/>
      <c r="N29" s="4274"/>
      <c r="O29" s="4274"/>
      <c r="P29" s="4274"/>
      <c r="Q29" s="4274"/>
      <c r="R29" s="75"/>
      <c r="S29" s="61"/>
      <c r="T29" s="61"/>
      <c r="U29" s="2118">
        <f>IF(V29=0,0,1)</f>
        <v>0</v>
      </c>
      <c r="V29" s="4241"/>
      <c r="W29" s="4242"/>
      <c r="X29" s="4242"/>
      <c r="Y29" s="4242"/>
      <c r="Z29" s="4242"/>
      <c r="AA29" s="4243"/>
      <c r="AB29" s="4244" t="str">
        <f>IF(AA29=0,"",IF(AA29*10&lt;100,AA29*10,100))</f>
        <v/>
      </c>
      <c r="AC29" s="290"/>
      <c r="AD29" s="4241"/>
      <c r="AE29" s="4242"/>
      <c r="AF29" s="4242"/>
      <c r="AG29" s="4242"/>
      <c r="AH29" s="4242"/>
      <c r="AI29" s="4240"/>
      <c r="AJ29" s="4220"/>
      <c r="AK29" s="4244" t="str">
        <f>IF(AD29&lt;&gt;"",INDEX(Tablas!$N$139:$N$151,MAX(1+MATCH(VLOOKUP(Psiquicos!$AD29,'Tablas psiquica'!$D$7:$U$145,18,FALSE),'Tablas psiquica'!$I$6:$R$6,0),MAX(SUMPRODUCT(--(Tablas!$M$139:$M$151&lt;=(AL29-20*AI29)))+IF(Tablas!$F$661&gt;0,1,0)+IF(COUNTIF($C$39:$E$50,"Introversión")&gt;0,1,0),SUMPRODUCT(--(Tablas!$M$139:$M$151&lt;=(AL29)))))),"")</f>
        <v/>
      </c>
      <c r="AL29" s="4216">
        <f t="shared" ref="AL29" si="8">$H$11+IF(ISNA(VLOOKUP(AD29,$V$11:$AB$64,7,FALSE)),0,IF(VLOOKUP(AD29,$V$11:$AB$64,7,FALSE)="",0,VLOOKUP(AD29,$V$11:$AB$64,7,FALSE)))+AI29*20+AJ29</f>
        <v>40</v>
      </c>
      <c r="AM29" s="1909"/>
      <c r="AQ29" s="111"/>
      <c r="AR29" s="2794"/>
    </row>
    <row r="30" spans="1:44" ht="12" customHeight="1" x14ac:dyDescent="0.2">
      <c r="A30" s="212"/>
      <c r="B30" s="70"/>
      <c r="C30" s="4275"/>
      <c r="D30" s="4275"/>
      <c r="E30" s="4275"/>
      <c r="F30" s="4274"/>
      <c r="G30" s="4274"/>
      <c r="H30" s="4274"/>
      <c r="I30" s="4274"/>
      <c r="J30" s="4274"/>
      <c r="K30" s="4274"/>
      <c r="L30" s="4274"/>
      <c r="M30" s="4274"/>
      <c r="N30" s="4274"/>
      <c r="O30" s="4274"/>
      <c r="P30" s="4274"/>
      <c r="Q30" s="4274"/>
      <c r="R30" s="75"/>
      <c r="S30" s="61"/>
      <c r="T30" s="61"/>
      <c r="U30" s="2118"/>
      <c r="V30" s="4231" t="str">
        <f>IF(V29=0,"",VLOOKUP(V29,Tablas!$D$2390:$F$2528,2,FALSE))</f>
        <v/>
      </c>
      <c r="W30" s="4232"/>
      <c r="X30" s="4232"/>
      <c r="Y30" s="2769" t="s">
        <v>2171</v>
      </c>
      <c r="Z30" s="2772" t="str">
        <f>IF(V29=0,"",VLOOKUP(V29,Tablas!$D$2390:$F$2528,3,FALSE))</f>
        <v/>
      </c>
      <c r="AA30" s="4243"/>
      <c r="AB30" s="4244"/>
      <c r="AC30" s="243"/>
      <c r="AD30" s="4231" t="str">
        <f>IF(AD29=0,"",VLOOKUP(AD29,Tablas!$D$2390:$F$2528,2,FALSE))</f>
        <v/>
      </c>
      <c r="AE30" s="4263"/>
      <c r="AF30" s="4263"/>
      <c r="AG30" s="2769" t="s">
        <v>2171</v>
      </c>
      <c r="AH30" s="2772" t="str">
        <f>IF(AD29=0,"",VLOOKUP(AD29,Tablas!$D$2390:$F$2528,3,FALSE))</f>
        <v/>
      </c>
      <c r="AI30" s="4240"/>
      <c r="AJ30" s="4220"/>
      <c r="AK30" s="4244"/>
      <c r="AL30" s="4216"/>
      <c r="AM30" s="1909"/>
      <c r="AQ30" s="111"/>
      <c r="AR30" s="2794"/>
    </row>
    <row r="31" spans="1:44" ht="12" customHeight="1" x14ac:dyDescent="0.2">
      <c r="A31" s="212"/>
      <c r="B31" s="70"/>
      <c r="C31" s="4275"/>
      <c r="D31" s="4275"/>
      <c r="E31" s="4275"/>
      <c r="F31" s="4274" t="str">
        <f>IF(C31=0,"",VLOOKUP(C31,Tablas!$C$2373:$D$2385,2,FALSE))</f>
        <v/>
      </c>
      <c r="G31" s="4274"/>
      <c r="H31" s="4274"/>
      <c r="I31" s="4274"/>
      <c r="J31" s="4274"/>
      <c r="K31" s="4274"/>
      <c r="L31" s="4274"/>
      <c r="M31" s="4274"/>
      <c r="N31" s="4274"/>
      <c r="O31" s="4274"/>
      <c r="P31" s="4274"/>
      <c r="Q31" s="4274"/>
      <c r="R31" s="75"/>
      <c r="S31" s="61"/>
      <c r="T31" s="61"/>
      <c r="U31" s="2118">
        <f>IF(V31=0,0,1)</f>
        <v>0</v>
      </c>
      <c r="V31" s="4234"/>
      <c r="W31" s="4235"/>
      <c r="X31" s="4235"/>
      <c r="Y31" s="4235"/>
      <c r="Z31" s="4235"/>
      <c r="AA31" s="4251"/>
      <c r="AB31" s="4233" t="str">
        <f>IF(AA31=0,"",IF(AA31*10&lt;100,AA31*10,100))</f>
        <v/>
      </c>
      <c r="AC31" s="243"/>
      <c r="AD31" s="4254"/>
      <c r="AE31" s="4255"/>
      <c r="AF31" s="4255"/>
      <c r="AG31" s="4255"/>
      <c r="AH31" s="4256"/>
      <c r="AI31" s="4245"/>
      <c r="AJ31" s="4219"/>
      <c r="AK31" s="4233" t="str">
        <f>IF(AD31&lt;&gt;"",INDEX(Tablas!$N$139:$N$151,MAX(1+MATCH(VLOOKUP(Psiquicos!$AD31,'Tablas psiquica'!$D$7:$U$145,18,FALSE),'Tablas psiquica'!$I$6:$R$6,0),MAX(SUMPRODUCT(--(Tablas!$M$139:$M$151&lt;=(AL31-20*AI31)))+IF(Tablas!$F$661&gt;0,1,0)+IF(COUNTIF($C$39:$E$50,"Introversión")&gt;0,1,0),SUMPRODUCT(--(Tablas!$M$139:$M$151&lt;=(AL31)))))),"")</f>
        <v/>
      </c>
      <c r="AL31" s="4216">
        <f t="shared" ref="AL31" si="9">$H$11+IF(ISNA(VLOOKUP(AD31,$V$11:$AB$64,7,FALSE)),0,IF(VLOOKUP(AD31,$V$11:$AB$64,7,FALSE)="",0,VLOOKUP(AD31,$V$11:$AB$64,7,FALSE)))+AI31*20+AJ31</f>
        <v>40</v>
      </c>
      <c r="AM31" s="1909"/>
      <c r="AQ31" s="111"/>
      <c r="AR31" s="2794"/>
    </row>
    <row r="32" spans="1:44" ht="12" customHeight="1" x14ac:dyDescent="0.2">
      <c r="A32" s="212"/>
      <c r="B32" s="70"/>
      <c r="C32" s="4275"/>
      <c r="D32" s="4275"/>
      <c r="E32" s="4275"/>
      <c r="F32" s="4274"/>
      <c r="G32" s="4274"/>
      <c r="H32" s="4274"/>
      <c r="I32" s="4274"/>
      <c r="J32" s="4274"/>
      <c r="K32" s="4274"/>
      <c r="L32" s="4274"/>
      <c r="M32" s="4274"/>
      <c r="N32" s="4274"/>
      <c r="O32" s="4274"/>
      <c r="P32" s="4274"/>
      <c r="Q32" s="4274"/>
      <c r="R32" s="75"/>
      <c r="S32" s="61"/>
      <c r="T32" s="61"/>
      <c r="U32" s="2118"/>
      <c r="V32" s="4246" t="str">
        <f>IF(V31=0,"",VLOOKUP(V31,Tablas!$D$2390:$F$2528,2,FALSE))</f>
        <v/>
      </c>
      <c r="W32" s="3206"/>
      <c r="X32" s="3206"/>
      <c r="Y32" s="2761" t="s">
        <v>2171</v>
      </c>
      <c r="Z32" s="2771" t="str">
        <f>IF(V31=0,"",VLOOKUP(V31,Tablas!$D$2390:$F$2528,3,FALSE))</f>
        <v/>
      </c>
      <c r="AA32" s="4251"/>
      <c r="AB32" s="4233"/>
      <c r="AC32" s="291"/>
      <c r="AD32" s="4246" t="str">
        <f>IF(AD31=0,"",VLOOKUP(AD31,Tablas!$D$2390:$F$2528,2,FALSE))</f>
        <v/>
      </c>
      <c r="AE32" s="3226"/>
      <c r="AF32" s="3226"/>
      <c r="AG32" s="2761" t="s">
        <v>2171</v>
      </c>
      <c r="AH32" s="2771" t="str">
        <f>IF(AD31=0,"",VLOOKUP(AD31,Tablas!$D$2390:$F$2528,3,FALSE))</f>
        <v/>
      </c>
      <c r="AI32" s="4245"/>
      <c r="AJ32" s="4219"/>
      <c r="AK32" s="4233"/>
      <c r="AL32" s="4216"/>
      <c r="AM32" s="1909"/>
      <c r="AQ32" s="111"/>
      <c r="AR32" s="2794"/>
    </row>
    <row r="33" spans="1:44" ht="12" customHeight="1" x14ac:dyDescent="0.2">
      <c r="A33" s="212"/>
      <c r="B33" s="70"/>
      <c r="C33" s="4275"/>
      <c r="D33" s="4275"/>
      <c r="E33" s="4275"/>
      <c r="F33" s="4274" t="str">
        <f>IF(C33=0,"",VLOOKUP(C33,Tablas!$C$2373:$D$2385,2,FALSE))</f>
        <v/>
      </c>
      <c r="G33" s="4274"/>
      <c r="H33" s="4274"/>
      <c r="I33" s="4274"/>
      <c r="J33" s="4274"/>
      <c r="K33" s="4274"/>
      <c r="L33" s="4274"/>
      <c r="M33" s="4274"/>
      <c r="N33" s="4274"/>
      <c r="O33" s="4274"/>
      <c r="P33" s="4274"/>
      <c r="Q33" s="4274"/>
      <c r="R33" s="75"/>
      <c r="S33" s="61"/>
      <c r="T33" s="61"/>
      <c r="U33" s="2118">
        <f>IF(V33=0,0,1)</f>
        <v>0</v>
      </c>
      <c r="V33" s="4241"/>
      <c r="W33" s="4242"/>
      <c r="X33" s="4242"/>
      <c r="Y33" s="4242"/>
      <c r="Z33" s="4242"/>
      <c r="AA33" s="4243"/>
      <c r="AB33" s="4244" t="str">
        <f>IF(AA33=0,"",IF(AA33*10&lt;100,AA33*10,100))</f>
        <v/>
      </c>
      <c r="AC33" s="291"/>
      <c r="AD33" s="4241"/>
      <c r="AE33" s="4242"/>
      <c r="AF33" s="4242"/>
      <c r="AG33" s="4242"/>
      <c r="AH33" s="4242"/>
      <c r="AI33" s="4240"/>
      <c r="AJ33" s="4220"/>
      <c r="AK33" s="4244" t="str">
        <f>IF(AD33&lt;&gt;"",INDEX(Tablas!$N$139:$N$151,MAX(1+MATCH(VLOOKUP(Psiquicos!$AD33,'Tablas psiquica'!$D$7:$U$145,18,FALSE),'Tablas psiquica'!$I$6:$R$6,0),MAX(SUMPRODUCT(--(Tablas!$M$139:$M$151&lt;=(AL33-20*AI33)))+IF(Tablas!$F$661&gt;0,1,0)+IF(COUNTIF($C$39:$E$50,"Introversión")&gt;0,1,0),SUMPRODUCT(--(Tablas!$M$139:$M$151&lt;=(AL33)))))),"")</f>
        <v/>
      </c>
      <c r="AL33" s="4216">
        <f t="shared" ref="AL33" si="10">$H$11+IF(ISNA(VLOOKUP(AD33,$V$11:$AB$64,7,FALSE)),0,IF(VLOOKUP(AD33,$V$11:$AB$64,7,FALSE)="",0,VLOOKUP(AD33,$V$11:$AB$64,7,FALSE)))+AI33*20+AJ33</f>
        <v>40</v>
      </c>
      <c r="AM33" s="1909"/>
      <c r="AQ33" s="111"/>
      <c r="AR33" s="2794"/>
    </row>
    <row r="34" spans="1:44" ht="12" customHeight="1" x14ac:dyDescent="0.2">
      <c r="A34" s="212"/>
      <c r="B34" s="70"/>
      <c r="C34" s="4275"/>
      <c r="D34" s="4275"/>
      <c r="E34" s="4275"/>
      <c r="F34" s="4274"/>
      <c r="G34" s="4274"/>
      <c r="H34" s="4274"/>
      <c r="I34" s="4274"/>
      <c r="J34" s="4274"/>
      <c r="K34" s="4274"/>
      <c r="L34" s="4274"/>
      <c r="M34" s="4274"/>
      <c r="N34" s="4274"/>
      <c r="O34" s="4274"/>
      <c r="P34" s="4274"/>
      <c r="Q34" s="4274"/>
      <c r="R34" s="75"/>
      <c r="S34" s="61"/>
      <c r="T34" s="61"/>
      <c r="U34" s="2118"/>
      <c r="V34" s="4231" t="str">
        <f>IF(V33=0,"",VLOOKUP(V33,Tablas!$D$2390:$F$2528,2,FALSE))</f>
        <v/>
      </c>
      <c r="W34" s="4232"/>
      <c r="X34" s="4232"/>
      <c r="Y34" s="2769" t="s">
        <v>2171</v>
      </c>
      <c r="Z34" s="2772" t="str">
        <f>IF(V33=0,"",VLOOKUP(V33,Tablas!$D$2390:$F$2528,3,FALSE))</f>
        <v/>
      </c>
      <c r="AA34" s="4243"/>
      <c r="AB34" s="4244"/>
      <c r="AC34" s="192"/>
      <c r="AD34" s="4231" t="str">
        <f>IF(AD33=0,"",VLOOKUP(AD33,Tablas!$D$2390:$F$2528,2,FALSE))</f>
        <v/>
      </c>
      <c r="AE34" s="4232"/>
      <c r="AF34" s="4232"/>
      <c r="AG34" s="2769" t="s">
        <v>2171</v>
      </c>
      <c r="AH34" s="2772" t="str">
        <f>IF(AD33=0,"",VLOOKUP(AD33,Tablas!$D$2390:$F$2528,3,FALSE))</f>
        <v/>
      </c>
      <c r="AI34" s="4240"/>
      <c r="AJ34" s="4220"/>
      <c r="AK34" s="4244"/>
      <c r="AL34" s="4216"/>
      <c r="AM34" s="1909"/>
      <c r="AQ34" s="111"/>
      <c r="AR34" s="2794"/>
    </row>
    <row r="35" spans="1:44" ht="12" customHeight="1" thickBot="1" x14ac:dyDescent="0.25">
      <c r="A35" s="212"/>
      <c r="B35" s="70"/>
      <c r="C35" s="4276"/>
      <c r="D35" s="4276"/>
      <c r="E35" s="4276"/>
      <c r="F35" s="4277" t="str">
        <f>IF(C35=0,"",VLOOKUP(C35,Tablas!$C$2373:$D$2385,2,FALSE))</f>
        <v/>
      </c>
      <c r="G35" s="4277"/>
      <c r="H35" s="4277"/>
      <c r="I35" s="4277"/>
      <c r="J35" s="4277"/>
      <c r="K35" s="4277"/>
      <c r="L35" s="4277"/>
      <c r="M35" s="4277"/>
      <c r="N35" s="4277"/>
      <c r="O35" s="4277"/>
      <c r="P35" s="4277"/>
      <c r="Q35" s="4277"/>
      <c r="R35" s="75"/>
      <c r="S35" s="61"/>
      <c r="T35" s="61"/>
      <c r="U35" s="2118">
        <f>IF(V35=0,0,1)</f>
        <v>0</v>
      </c>
      <c r="V35" s="4234"/>
      <c r="W35" s="4235"/>
      <c r="X35" s="4235"/>
      <c r="Y35" s="4235"/>
      <c r="Z35" s="4235"/>
      <c r="AA35" s="4251"/>
      <c r="AB35" s="4233" t="str">
        <f>IF(AA35=0,"",IF(AA35*10&lt;100,AA35*10,100))</f>
        <v/>
      </c>
      <c r="AC35" s="243"/>
      <c r="AD35" s="4234"/>
      <c r="AE35" s="4235"/>
      <c r="AF35" s="4235"/>
      <c r="AG35" s="4235"/>
      <c r="AH35" s="4235"/>
      <c r="AI35" s="4245"/>
      <c r="AJ35" s="4219"/>
      <c r="AK35" s="4233" t="str">
        <f>IF(AD35&lt;&gt;"",INDEX(Tablas!$N$139:$N$151,MAX(1+MATCH(VLOOKUP(Psiquicos!$AD35,'Tablas psiquica'!$D$7:$U$145,18,FALSE),'Tablas psiquica'!$I$6:$R$6,0),MAX(SUMPRODUCT(--(Tablas!$M$139:$M$151&lt;=(AL35-20*AI35)))+IF(Tablas!$F$661&gt;0,1,0)+IF(COUNTIF($C$39:$E$50,"Introversión")&gt;0,1,0),SUMPRODUCT(--(Tablas!$M$139:$M$151&lt;=(AL35)))))),"")</f>
        <v/>
      </c>
      <c r="AL35" s="4216">
        <f t="shared" ref="AL35" si="11">$H$11+IF(ISNA(VLOOKUP(AD35,$V$11:$AB$64,7,FALSE)),0,IF(VLOOKUP(AD35,$V$11:$AB$64,7,FALSE)="",0,VLOOKUP(AD35,$V$11:$AB$64,7,FALSE)))+AI35*20+AJ35</f>
        <v>40</v>
      </c>
      <c r="AM35" s="1909"/>
      <c r="AQ35" s="111"/>
      <c r="AR35" s="2794"/>
    </row>
    <row r="36" spans="1:44" ht="12" customHeight="1" thickBot="1" x14ac:dyDescent="0.25">
      <c r="A36" s="212"/>
      <c r="B36" s="70"/>
      <c r="C36" s="4276"/>
      <c r="D36" s="4276"/>
      <c r="E36" s="4276"/>
      <c r="F36" s="4277"/>
      <c r="G36" s="4277"/>
      <c r="H36" s="4277"/>
      <c r="I36" s="4277"/>
      <c r="J36" s="4277"/>
      <c r="K36" s="4277"/>
      <c r="L36" s="4277"/>
      <c r="M36" s="4277"/>
      <c r="N36" s="4277"/>
      <c r="O36" s="4277"/>
      <c r="P36" s="4277"/>
      <c r="Q36" s="4277"/>
      <c r="R36" s="75"/>
      <c r="S36" s="61"/>
      <c r="T36" s="61"/>
      <c r="U36" s="2118"/>
      <c r="V36" s="4246" t="str">
        <f>IF(V35=0,"",VLOOKUP(V35,Tablas!$D$2390:$F$2528,2,FALSE))</f>
        <v/>
      </c>
      <c r="W36" s="3206"/>
      <c r="X36" s="3206"/>
      <c r="Y36" s="2761" t="s">
        <v>2171</v>
      </c>
      <c r="Z36" s="2771" t="str">
        <f>IF(V35=0,"",VLOOKUP(V35,Tablas!$D$2390:$F$2528,3,FALSE))</f>
        <v/>
      </c>
      <c r="AA36" s="4251"/>
      <c r="AB36" s="4233"/>
      <c r="AC36" s="243"/>
      <c r="AD36" s="4246" t="str">
        <f>IF(AD35=0,"",VLOOKUP(AD35,Tablas!$D$2390:$F$2528,2,FALSE))</f>
        <v/>
      </c>
      <c r="AE36" s="3206"/>
      <c r="AF36" s="3206"/>
      <c r="AG36" s="2761" t="s">
        <v>2171</v>
      </c>
      <c r="AH36" s="2771" t="str">
        <f>IF(AD35=0,"",VLOOKUP(AD35,Tablas!$D$2390:$F$2528,3,FALSE))</f>
        <v/>
      </c>
      <c r="AI36" s="4245"/>
      <c r="AJ36" s="4219"/>
      <c r="AK36" s="4233"/>
      <c r="AL36" s="4216"/>
      <c r="AM36" s="1909"/>
      <c r="AQ36" s="111"/>
      <c r="AR36" s="2794"/>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18">
        <f>IF(V37=0,0,1)</f>
        <v>0</v>
      </c>
      <c r="V37" s="4241"/>
      <c r="W37" s="4242"/>
      <c r="X37" s="4242"/>
      <c r="Y37" s="4242"/>
      <c r="Z37" s="4242"/>
      <c r="AA37" s="4243"/>
      <c r="AB37" s="4244" t="str">
        <f>IF(AA37=0,"",IF(AA37*10&lt;100,AA37*10,100))</f>
        <v/>
      </c>
      <c r="AC37" s="233"/>
      <c r="AD37" s="4241"/>
      <c r="AE37" s="4242"/>
      <c r="AF37" s="4242"/>
      <c r="AG37" s="4242"/>
      <c r="AH37" s="4242"/>
      <c r="AI37" s="4240"/>
      <c r="AJ37" s="4220"/>
      <c r="AK37" s="4244" t="str">
        <f>IF(AD37&lt;&gt;"",INDEX(Tablas!$N$139:$N$151,MAX(1+MATCH(VLOOKUP(Psiquicos!$AD37,'Tablas psiquica'!$D$7:$U$145,18,FALSE),'Tablas psiquica'!$I$6:$R$6,0),MAX(SUMPRODUCT(--(Tablas!$M$139:$M$151&lt;=(AL37-20*AI37)))+IF(Tablas!$F$661&gt;0,1,0)+IF(COUNTIF($C$39:$E$50,"Introversión")&gt;0,1,0),SUMPRODUCT(--(Tablas!$M$139:$M$151&lt;=(AL37)))))),"")</f>
        <v/>
      </c>
      <c r="AL37" s="4216">
        <f t="shared" ref="AL37" si="12">$H$11+IF(ISNA(VLOOKUP(AD37,$V$11:$AB$64,7,FALSE)),0,IF(VLOOKUP(AD37,$V$11:$AB$64,7,FALSE)="",0,VLOOKUP(AD37,$V$11:$AB$64,7,FALSE)))+AI37*20+AJ37</f>
        <v>40</v>
      </c>
      <c r="AM37" s="1909"/>
      <c r="AQ37" s="111"/>
      <c r="AR37" s="2794"/>
    </row>
    <row r="38" spans="1:44" ht="12" customHeight="1" thickBot="1" x14ac:dyDescent="0.25">
      <c r="A38" s="212"/>
      <c r="B38" s="70"/>
      <c r="C38" s="3028" t="s">
        <v>2380</v>
      </c>
      <c r="D38" s="3028"/>
      <c r="E38" s="3028"/>
      <c r="F38" s="3680" t="s">
        <v>2694</v>
      </c>
      <c r="G38" s="3680"/>
      <c r="H38" s="3680"/>
      <c r="I38" s="3680"/>
      <c r="J38" s="3680"/>
      <c r="K38" s="3680"/>
      <c r="L38" s="3680"/>
      <c r="M38" s="3680"/>
      <c r="N38" s="3680"/>
      <c r="O38" s="3680"/>
      <c r="P38" s="3680"/>
      <c r="Q38" s="3680"/>
      <c r="R38" s="75"/>
      <c r="S38" s="61"/>
      <c r="T38" s="61"/>
      <c r="U38" s="2118"/>
      <c r="V38" s="4231" t="str">
        <f>IF(V37=0,"",VLOOKUP(V37,Tablas!$D$2390:$F$2528,2,FALSE))</f>
        <v/>
      </c>
      <c r="W38" s="4232"/>
      <c r="X38" s="4232"/>
      <c r="Y38" s="2769" t="s">
        <v>2171</v>
      </c>
      <c r="Z38" s="2772" t="str">
        <f>IF(V37=0,"",VLOOKUP(V37,Tablas!$D$2390:$F$2528,3,FALSE))</f>
        <v/>
      </c>
      <c r="AA38" s="4243"/>
      <c r="AB38" s="4244"/>
      <c r="AC38" s="290"/>
      <c r="AD38" s="4231" t="str">
        <f>IF(AD37=0,"",VLOOKUP(AD37,Tablas!$D$2390:$F$2528,2,FALSE))</f>
        <v/>
      </c>
      <c r="AE38" s="4232"/>
      <c r="AF38" s="4232"/>
      <c r="AG38" s="2769" t="s">
        <v>2171</v>
      </c>
      <c r="AH38" s="2772" t="str">
        <f>IF(AD37=0,"",VLOOKUP(AD37,Tablas!$D$2390:$F$2528,3,FALSE))</f>
        <v/>
      </c>
      <c r="AI38" s="4240"/>
      <c r="AJ38" s="4220"/>
      <c r="AK38" s="4244"/>
      <c r="AL38" s="4216"/>
      <c r="AM38" s="1909"/>
      <c r="AQ38" s="111"/>
      <c r="AR38" s="2794"/>
    </row>
    <row r="39" spans="1:44" ht="12" customHeight="1" thickBot="1" x14ac:dyDescent="0.25">
      <c r="A39" s="212"/>
      <c r="B39" s="70"/>
      <c r="C39" s="4278" t="str">
        <f>IF(PDs!E111=0,"",PDs!E111)</f>
        <v/>
      </c>
      <c r="D39" s="4278"/>
      <c r="E39" s="4278"/>
      <c r="F39" s="4279" t="str">
        <f>IF(C39="","",VLOOKUP(C39,Tablas!$C$2289:$Q$2304,15,FALSE))</f>
        <v/>
      </c>
      <c r="G39" s="4279"/>
      <c r="H39" s="4279"/>
      <c r="I39" s="4279"/>
      <c r="J39" s="4279"/>
      <c r="K39" s="4279"/>
      <c r="L39" s="4279"/>
      <c r="M39" s="4279"/>
      <c r="N39" s="4279"/>
      <c r="O39" s="4279"/>
      <c r="P39" s="4279"/>
      <c r="Q39" s="4279"/>
      <c r="R39" s="75"/>
      <c r="S39" s="61"/>
      <c r="T39" s="61"/>
      <c r="U39" s="2118">
        <f>IF(V39=0,0,1)</f>
        <v>0</v>
      </c>
      <c r="V39" s="4234"/>
      <c r="W39" s="4235"/>
      <c r="X39" s="4235"/>
      <c r="Y39" s="4235"/>
      <c r="Z39" s="4235"/>
      <c r="AA39" s="4251"/>
      <c r="AB39" s="4233" t="str">
        <f>IF(AA39=0,"",IF(AA39*10&lt;100,AA39*10,100))</f>
        <v/>
      </c>
      <c r="AC39" s="243"/>
      <c r="AD39" s="4234"/>
      <c r="AE39" s="4235"/>
      <c r="AF39" s="4235"/>
      <c r="AG39" s="4235"/>
      <c r="AH39" s="4235"/>
      <c r="AI39" s="4245"/>
      <c r="AJ39" s="4219"/>
      <c r="AK39" s="4233" t="str">
        <f>IF(AD39&lt;&gt;"",INDEX(Tablas!$N$139:$N$151,MAX(1+MATCH(VLOOKUP(Psiquicos!$AD39,'Tablas psiquica'!$D$7:$U$145,18,FALSE),'Tablas psiquica'!$I$6:$R$6,0),MAX(SUMPRODUCT(--(Tablas!$M$139:$M$151&lt;=(AL39-20*AI39)))+IF(Tablas!$F$661&gt;0,1,0)+IF(COUNTIF($C$39:$E$50,"Introversión")&gt;0,1,0),SUMPRODUCT(--(Tablas!$M$139:$M$151&lt;=(AL39)))))),"")</f>
        <v/>
      </c>
      <c r="AL39" s="4216">
        <f t="shared" ref="AL39" si="13">$H$11+IF(ISNA(VLOOKUP(AD39,$V$11:$AB$64,7,FALSE)),0,IF(VLOOKUP(AD39,$V$11:$AB$64,7,FALSE)="",0,VLOOKUP(AD39,$V$11:$AB$64,7,FALSE)))+AI39*20+AJ39</f>
        <v>40</v>
      </c>
      <c r="AM39" s="1909"/>
      <c r="AQ39" s="111"/>
      <c r="AR39" s="2794"/>
    </row>
    <row r="40" spans="1:44" ht="12" customHeight="1" x14ac:dyDescent="0.2">
      <c r="A40" s="212"/>
      <c r="B40" s="70"/>
      <c r="C40" s="4278"/>
      <c r="D40" s="4278"/>
      <c r="E40" s="4278"/>
      <c r="F40" s="3401" t="str">
        <f>IF(C39="","",VLOOKUP(C39,Tablas!$C$2289:$Q$2304,7,FALSE))</f>
        <v/>
      </c>
      <c r="G40" s="3401"/>
      <c r="H40" s="3401"/>
      <c r="I40" s="3401"/>
      <c r="J40" s="3401"/>
      <c r="K40" s="3401"/>
      <c r="L40" s="3401"/>
      <c r="M40" s="3401"/>
      <c r="N40" s="3401"/>
      <c r="O40" s="3401"/>
      <c r="P40" s="3401"/>
      <c r="Q40" s="3401"/>
      <c r="R40" s="75"/>
      <c r="S40" s="61"/>
      <c r="T40" s="61"/>
      <c r="U40" s="2118"/>
      <c r="V40" s="4246" t="str">
        <f>IF(V39=0,"",VLOOKUP(V39,Tablas!$D$2390:$F$2528,2,FALSE))</f>
        <v/>
      </c>
      <c r="W40" s="3206"/>
      <c r="X40" s="3206"/>
      <c r="Y40" s="2761" t="s">
        <v>2171</v>
      </c>
      <c r="Z40" s="2771" t="str">
        <f>IF(V39=0,"",VLOOKUP(V39,Tablas!$D$2390:$F$2528,3,FALSE))</f>
        <v/>
      </c>
      <c r="AA40" s="4251"/>
      <c r="AB40" s="4233"/>
      <c r="AC40" s="243"/>
      <c r="AD40" s="4246" t="str">
        <f>IF(AD39=0,"",VLOOKUP(AD39,Tablas!$D$2390:$F$2528,2,FALSE))</f>
        <v/>
      </c>
      <c r="AE40" s="3206"/>
      <c r="AF40" s="3206"/>
      <c r="AG40" s="2761" t="s">
        <v>2171</v>
      </c>
      <c r="AH40" s="2771" t="str">
        <f>IF(AD39=0,"",VLOOKUP(AD39,Tablas!$D$2390:$F$2528,3,FALSE))</f>
        <v/>
      </c>
      <c r="AI40" s="4245"/>
      <c r="AJ40" s="4219"/>
      <c r="AK40" s="4233"/>
      <c r="AL40" s="4216"/>
      <c r="AM40" s="1909"/>
      <c r="AQ40" s="111"/>
      <c r="AR40" s="2794"/>
    </row>
    <row r="41" spans="1:44" ht="12" customHeight="1" x14ac:dyDescent="0.2">
      <c r="A41" s="212"/>
      <c r="B41" s="70"/>
      <c r="C41" s="4280" t="str">
        <f>IF(PDs!E112=0,"",PDs!E112)</f>
        <v/>
      </c>
      <c r="D41" s="4280"/>
      <c r="E41" s="4280"/>
      <c r="F41" s="3401" t="str">
        <f>IF(C41="","",VLOOKUP(C41,Tablas!$C$2289:$Q$2304,15,FALSE))</f>
        <v/>
      </c>
      <c r="G41" s="3401"/>
      <c r="H41" s="3401"/>
      <c r="I41" s="3401"/>
      <c r="J41" s="3401"/>
      <c r="K41" s="3401"/>
      <c r="L41" s="3401"/>
      <c r="M41" s="3401"/>
      <c r="N41" s="3401"/>
      <c r="O41" s="3401"/>
      <c r="P41" s="3401"/>
      <c r="Q41" s="3401"/>
      <c r="R41" s="75"/>
      <c r="S41" s="61"/>
      <c r="T41" s="61"/>
      <c r="U41" s="2118">
        <f>IF(V41=0,0,1)</f>
        <v>0</v>
      </c>
      <c r="V41" s="4241"/>
      <c r="W41" s="4242"/>
      <c r="X41" s="4242"/>
      <c r="Y41" s="4242"/>
      <c r="Z41" s="4242"/>
      <c r="AA41" s="4243"/>
      <c r="AB41" s="4244" t="str">
        <f>IF(AA41=0,"",IF(AA41*10&lt;100,AA41*10,100))</f>
        <v/>
      </c>
      <c r="AC41" s="291"/>
      <c r="AD41" s="4241"/>
      <c r="AE41" s="4242"/>
      <c r="AF41" s="4242"/>
      <c r="AG41" s="4242"/>
      <c r="AH41" s="4242"/>
      <c r="AI41" s="4240"/>
      <c r="AJ41" s="4220"/>
      <c r="AK41" s="4244" t="str">
        <f>IF(AD41&lt;&gt;"",INDEX(Tablas!$N$139:$N$151,MAX(1+MATCH(VLOOKUP(Psiquicos!$AD41,'Tablas psiquica'!$D$7:$U$145,18,FALSE),'Tablas psiquica'!$I$6:$R$6,0),MAX(SUMPRODUCT(--(Tablas!$M$139:$M$151&lt;=(AL41-20*AI41)))+IF(Tablas!$F$661&gt;0,1,0)+IF(COUNTIF($C$39:$E$50,"Introversión")&gt;0,1,0),SUMPRODUCT(--(Tablas!$M$139:$M$151&lt;=(AL41)))))),"")</f>
        <v/>
      </c>
      <c r="AL41" s="4216">
        <f t="shared" ref="AL41" si="14">$H$11+IF(ISNA(VLOOKUP(AD41,$V$11:$AB$64,7,FALSE)),0,IF(VLOOKUP(AD41,$V$11:$AB$64,7,FALSE)="",0,VLOOKUP(AD41,$V$11:$AB$64,7,FALSE)))+AI41*20+AJ41</f>
        <v>40</v>
      </c>
      <c r="AM41" s="1909"/>
      <c r="AQ41" s="111"/>
      <c r="AR41" s="2794"/>
    </row>
    <row r="42" spans="1:44" ht="12" customHeight="1" x14ac:dyDescent="0.2">
      <c r="A42" s="212"/>
      <c r="B42" s="70"/>
      <c r="C42" s="4280"/>
      <c r="D42" s="4280"/>
      <c r="E42" s="4280"/>
      <c r="F42" s="3401" t="str">
        <f>IF(C41="","",VLOOKUP(C41,Tablas!$C$2289:$Q$2304,7,FALSE))</f>
        <v/>
      </c>
      <c r="G42" s="3401"/>
      <c r="H42" s="3401"/>
      <c r="I42" s="3401"/>
      <c r="J42" s="3401"/>
      <c r="K42" s="3401"/>
      <c r="L42" s="3401"/>
      <c r="M42" s="3401"/>
      <c r="N42" s="3401"/>
      <c r="O42" s="3401"/>
      <c r="P42" s="3401"/>
      <c r="Q42" s="3401"/>
      <c r="R42" s="75"/>
      <c r="S42" s="61"/>
      <c r="T42" s="61"/>
      <c r="U42" s="2118"/>
      <c r="V42" s="4231" t="str">
        <f>IF(V41=0,"",VLOOKUP(V41,Tablas!$D$2390:$F$2528,2,FALSE))</f>
        <v/>
      </c>
      <c r="W42" s="4232"/>
      <c r="X42" s="4232"/>
      <c r="Y42" s="2769" t="s">
        <v>2171</v>
      </c>
      <c r="Z42" s="2772" t="str">
        <f>IF(V41=0,"",VLOOKUP(V41,Tablas!$D$2390:$F$2528,3,FALSE))</f>
        <v/>
      </c>
      <c r="AA42" s="4243"/>
      <c r="AB42" s="4244"/>
      <c r="AC42" s="291"/>
      <c r="AD42" s="4231" t="str">
        <f>IF(AD41=0,"",VLOOKUP(AD41,Tablas!$D$2390:$F$2528,2,FALSE))</f>
        <v/>
      </c>
      <c r="AE42" s="4232"/>
      <c r="AF42" s="4232"/>
      <c r="AG42" s="2769" t="s">
        <v>2171</v>
      </c>
      <c r="AH42" s="2772" t="str">
        <f>IF(AD41=0,"",VLOOKUP(AD41,Tablas!$D$2390:$F$2528,3,FALSE))</f>
        <v/>
      </c>
      <c r="AI42" s="4240"/>
      <c r="AJ42" s="4220"/>
      <c r="AK42" s="4244"/>
      <c r="AL42" s="4216"/>
      <c r="AM42" s="1909"/>
      <c r="AQ42" s="111"/>
      <c r="AR42" s="2794"/>
    </row>
    <row r="43" spans="1:44" ht="12" customHeight="1" x14ac:dyDescent="0.2">
      <c r="A43" s="212"/>
      <c r="B43" s="70"/>
      <c r="C43" s="4280" t="str">
        <f>IF(PDs!E113=0,"",PDs!E113)</f>
        <v/>
      </c>
      <c r="D43" s="4280"/>
      <c r="E43" s="4280"/>
      <c r="F43" s="3401" t="str">
        <f>IF(C43="","",VLOOKUP(C43,Tablas!$C$2289:$Q$2304,15,FALSE))</f>
        <v/>
      </c>
      <c r="G43" s="3401"/>
      <c r="H43" s="3401"/>
      <c r="I43" s="3401"/>
      <c r="J43" s="3401"/>
      <c r="K43" s="3401"/>
      <c r="L43" s="3401"/>
      <c r="M43" s="3401"/>
      <c r="N43" s="3401"/>
      <c r="O43" s="3401"/>
      <c r="P43" s="3401"/>
      <c r="Q43" s="3401"/>
      <c r="R43" s="75"/>
      <c r="S43" s="61"/>
      <c r="T43" s="61"/>
      <c r="U43" s="2118">
        <f>IF(V43=0,0,1)</f>
        <v>0</v>
      </c>
      <c r="V43" s="4234"/>
      <c r="W43" s="4235"/>
      <c r="X43" s="4235"/>
      <c r="Y43" s="4235"/>
      <c r="Z43" s="4235"/>
      <c r="AA43" s="4251"/>
      <c r="AB43" s="4233" t="str">
        <f>IF(AA43=0,"",IF(AA43*10&lt;100,AA43*10,100))</f>
        <v/>
      </c>
      <c r="AC43" s="192"/>
      <c r="AD43" s="4234"/>
      <c r="AE43" s="4235"/>
      <c r="AF43" s="4235"/>
      <c r="AG43" s="4235"/>
      <c r="AH43" s="4235"/>
      <c r="AI43" s="4245"/>
      <c r="AJ43" s="4219"/>
      <c r="AK43" s="4233" t="str">
        <f>IF(AD43&lt;&gt;"",INDEX(Tablas!$N$139:$N$151,MAX(1+MATCH(VLOOKUP(Psiquicos!$AD43,'Tablas psiquica'!$D$7:$U$145,18,FALSE),'Tablas psiquica'!$I$6:$R$6,0),MAX(SUMPRODUCT(--(Tablas!$M$139:$M$151&lt;=(AL43-20*AI43)))+IF(Tablas!$F$661&gt;0,1,0)+IF(COUNTIF($C$39:$E$50,"Introversión")&gt;0,1,0),SUMPRODUCT(--(Tablas!$M$139:$M$151&lt;=(AL43)))))),"")</f>
        <v/>
      </c>
      <c r="AL43" s="4216">
        <f t="shared" ref="AL43" si="15">$H$11+IF(ISNA(VLOOKUP(AD43,$V$11:$AB$64,7,FALSE)),0,IF(VLOOKUP(AD43,$V$11:$AB$64,7,FALSE)="",0,VLOOKUP(AD43,$V$11:$AB$64,7,FALSE)))+AI43*20+AJ43</f>
        <v>40</v>
      </c>
      <c r="AM43" s="1909"/>
      <c r="AQ43" s="111"/>
      <c r="AR43" s="2794"/>
    </row>
    <row r="44" spans="1:44" ht="12" customHeight="1" x14ac:dyDescent="0.2">
      <c r="A44" s="212"/>
      <c r="B44" s="70"/>
      <c r="C44" s="4280"/>
      <c r="D44" s="4280"/>
      <c r="E44" s="4280"/>
      <c r="F44" s="3401" t="str">
        <f>IF(C43="","",VLOOKUP(C43,Tablas!$C$2289:$Q$2304,7,FALSE))</f>
        <v/>
      </c>
      <c r="G44" s="3401"/>
      <c r="H44" s="3401"/>
      <c r="I44" s="3401"/>
      <c r="J44" s="3401"/>
      <c r="K44" s="3401"/>
      <c r="L44" s="3401"/>
      <c r="M44" s="3401"/>
      <c r="N44" s="3401"/>
      <c r="O44" s="3401"/>
      <c r="P44" s="3401"/>
      <c r="Q44" s="3401"/>
      <c r="R44" s="75"/>
      <c r="S44" s="61"/>
      <c r="T44" s="61"/>
      <c r="U44" s="2118"/>
      <c r="V44" s="4246" t="str">
        <f>IF(V43=0,"",VLOOKUP(V43,Tablas!$D$2390:$F$2528,2,FALSE))</f>
        <v/>
      </c>
      <c r="W44" s="3206"/>
      <c r="X44" s="3206"/>
      <c r="Y44" s="2761" t="s">
        <v>2171</v>
      </c>
      <c r="Z44" s="2771" t="str">
        <f>IF(V43=0,"",VLOOKUP(V43,Tablas!$D$2390:$F$2528,3,FALSE))</f>
        <v/>
      </c>
      <c r="AA44" s="4251"/>
      <c r="AB44" s="4233"/>
      <c r="AC44" s="73"/>
      <c r="AD44" s="4246" t="str">
        <f>IF(AD43=0,"",VLOOKUP(AD43,Tablas!$D$2390:$F$2528,2,FALSE))</f>
        <v/>
      </c>
      <c r="AE44" s="3206"/>
      <c r="AF44" s="3206"/>
      <c r="AG44" s="2761" t="s">
        <v>2171</v>
      </c>
      <c r="AH44" s="2771" t="str">
        <f>IF(AD43=0,"",VLOOKUP(AD43,Tablas!$D$2390:$F$2528,3,FALSE))</f>
        <v/>
      </c>
      <c r="AI44" s="4245"/>
      <c r="AJ44" s="4219"/>
      <c r="AK44" s="4233"/>
      <c r="AL44" s="4216"/>
      <c r="AM44" s="1909"/>
      <c r="AQ44" s="111"/>
      <c r="AR44" s="2794"/>
    </row>
    <row r="45" spans="1:44" ht="12" customHeight="1" x14ac:dyDescent="0.2">
      <c r="A45" s="212"/>
      <c r="B45" s="70"/>
      <c r="C45" s="4280" t="str">
        <f>IF(PDs!E114=0,"",PDs!E114)</f>
        <v/>
      </c>
      <c r="D45" s="4280"/>
      <c r="E45" s="4280"/>
      <c r="F45" s="3401" t="str">
        <f>IF(C45="","",VLOOKUP(C45,Tablas!$C$2289:$Q$2304,15,FALSE))</f>
        <v/>
      </c>
      <c r="G45" s="3401"/>
      <c r="H45" s="3401"/>
      <c r="I45" s="3401"/>
      <c r="J45" s="3401"/>
      <c r="K45" s="3401"/>
      <c r="L45" s="3401"/>
      <c r="M45" s="3401"/>
      <c r="N45" s="3401"/>
      <c r="O45" s="3401"/>
      <c r="P45" s="3401"/>
      <c r="Q45" s="3401"/>
      <c r="R45" s="75"/>
      <c r="S45" s="61"/>
      <c r="T45" s="61"/>
      <c r="U45" s="2118">
        <f>IF(V45=0,0,1)</f>
        <v>0</v>
      </c>
      <c r="V45" s="4241"/>
      <c r="W45" s="4242"/>
      <c r="X45" s="4242"/>
      <c r="Y45" s="4242"/>
      <c r="Z45" s="4242"/>
      <c r="AA45" s="4243"/>
      <c r="AB45" s="4244" t="str">
        <f>IF(AA45=0,"",IF(AA45*10&lt;100,AA45*10,100))</f>
        <v/>
      </c>
      <c r="AC45" s="73"/>
      <c r="AD45" s="4241"/>
      <c r="AE45" s="4242"/>
      <c r="AF45" s="4242"/>
      <c r="AG45" s="4242"/>
      <c r="AH45" s="4242"/>
      <c r="AI45" s="4240"/>
      <c r="AJ45" s="4220"/>
      <c r="AK45" s="4244" t="str">
        <f>IF(AD45&lt;&gt;"",INDEX(Tablas!$N$139:$N$151,MAX(1+MATCH(VLOOKUP(Psiquicos!$AD45,'Tablas psiquica'!$D$7:$U$145,18,FALSE),'Tablas psiquica'!$I$6:$R$6,0),MAX(SUMPRODUCT(--(Tablas!$M$139:$M$151&lt;=(AL45-20*AI45)))+IF(Tablas!$F$661&gt;0,1,0)+IF(COUNTIF($C$39:$E$50,"Introversión")&gt;0,1,0),SUMPRODUCT(--(Tablas!$M$139:$M$151&lt;=(AL45)))))),"")</f>
        <v/>
      </c>
      <c r="AL45" s="4216">
        <f t="shared" ref="AL45" si="16">$H$11+IF(ISNA(VLOOKUP(AD45,$V$11:$AB$64,7,FALSE)),0,IF(VLOOKUP(AD45,$V$11:$AB$64,7,FALSE)="",0,VLOOKUP(AD45,$V$11:$AB$64,7,FALSE)))+AI45*20+AJ45</f>
        <v>40</v>
      </c>
      <c r="AM45" s="1909"/>
      <c r="AQ45" s="111"/>
      <c r="AR45" s="2794"/>
    </row>
    <row r="46" spans="1:44" ht="12" customHeight="1" x14ac:dyDescent="0.2">
      <c r="A46" s="212"/>
      <c r="B46" s="70"/>
      <c r="C46" s="4280"/>
      <c r="D46" s="4280"/>
      <c r="E46" s="4280"/>
      <c r="F46" s="3401" t="str">
        <f>IF(C45="","",VLOOKUP(C45,Tablas!$C$2289:$Q$2304,7,FALSE))</f>
        <v/>
      </c>
      <c r="G46" s="3401"/>
      <c r="H46" s="3401"/>
      <c r="I46" s="3401"/>
      <c r="J46" s="3401"/>
      <c r="K46" s="3401"/>
      <c r="L46" s="3401"/>
      <c r="M46" s="3401"/>
      <c r="N46" s="3401"/>
      <c r="O46" s="3401"/>
      <c r="P46" s="3401"/>
      <c r="Q46" s="3401"/>
      <c r="R46" s="75"/>
      <c r="S46" s="61"/>
      <c r="T46" s="61"/>
      <c r="U46" s="2118"/>
      <c r="V46" s="4231" t="str">
        <f>IF(V45=0,"",VLOOKUP(V45,Tablas!$D$2390:$F$2528,2,FALSE))</f>
        <v/>
      </c>
      <c r="W46" s="4232"/>
      <c r="X46" s="4232"/>
      <c r="Y46" s="2769" t="s">
        <v>2171</v>
      </c>
      <c r="Z46" s="2772" t="str">
        <f>IF(V45=0,"",VLOOKUP(V45,Tablas!$D$2390:$F$2528,3,FALSE))</f>
        <v/>
      </c>
      <c r="AA46" s="4243"/>
      <c r="AB46" s="4244"/>
      <c r="AC46" s="73"/>
      <c r="AD46" s="4231" t="str">
        <f>IF(AD45=0,"",VLOOKUP(AD45,Tablas!$D$2390:$F$2528,2,FALSE))</f>
        <v/>
      </c>
      <c r="AE46" s="4232"/>
      <c r="AF46" s="4232"/>
      <c r="AG46" s="2769" t="s">
        <v>2171</v>
      </c>
      <c r="AH46" s="2772" t="str">
        <f>IF(AD45=0,"",VLOOKUP(AD45,Tablas!$D$2390:$F$2528,3,FALSE))</f>
        <v/>
      </c>
      <c r="AI46" s="4240"/>
      <c r="AJ46" s="4220"/>
      <c r="AK46" s="4244"/>
      <c r="AL46" s="4216"/>
      <c r="AM46" s="1909"/>
      <c r="AQ46" s="111"/>
      <c r="AR46" s="2794"/>
    </row>
    <row r="47" spans="1:44" ht="12" customHeight="1" x14ac:dyDescent="0.2">
      <c r="A47" s="212"/>
      <c r="B47" s="70"/>
      <c r="C47" s="4280" t="str">
        <f>IF(PDs!E115=0,"",PDs!E115)</f>
        <v/>
      </c>
      <c r="D47" s="4280"/>
      <c r="E47" s="4280"/>
      <c r="F47" s="3401" t="str">
        <f>IF(C47="","",VLOOKUP(C47,Tablas!$C$2289:$Q$2304,15,FALSE))</f>
        <v/>
      </c>
      <c r="G47" s="3401"/>
      <c r="H47" s="3401"/>
      <c r="I47" s="3401"/>
      <c r="J47" s="3401"/>
      <c r="K47" s="3401"/>
      <c r="L47" s="3401"/>
      <c r="M47" s="3401"/>
      <c r="N47" s="3401"/>
      <c r="O47" s="3401"/>
      <c r="P47" s="3401"/>
      <c r="Q47" s="3401"/>
      <c r="R47" s="75"/>
      <c r="S47" s="61"/>
      <c r="T47" s="61"/>
      <c r="U47" s="2118">
        <f>IF(V47=0,0,1)</f>
        <v>0</v>
      </c>
      <c r="V47" s="4234"/>
      <c r="W47" s="4235"/>
      <c r="X47" s="4235"/>
      <c r="Y47" s="4235"/>
      <c r="Z47" s="4235"/>
      <c r="AA47" s="4251"/>
      <c r="AB47" s="4233" t="str">
        <f>IF(AA47=0,"",IF(AA47*10&lt;100,AA47*10,100))</f>
        <v/>
      </c>
      <c r="AC47" s="73"/>
      <c r="AD47" s="4234"/>
      <c r="AE47" s="4235"/>
      <c r="AF47" s="4235"/>
      <c r="AG47" s="4235"/>
      <c r="AH47" s="4235"/>
      <c r="AI47" s="4245"/>
      <c r="AJ47" s="4219"/>
      <c r="AK47" s="4233" t="str">
        <f>IF(AD47&lt;&gt;"",INDEX(Tablas!$N$139:$N$151,MAX(1+MATCH(VLOOKUP(Psiquicos!$AD47,'Tablas psiquica'!$D$7:$U$145,18,FALSE),'Tablas psiquica'!$I$6:$R$6,0),MAX(SUMPRODUCT(--(Tablas!$M$139:$M$151&lt;=(AL47-20*AI47)))+IF(Tablas!$F$661&gt;0,1,0)+IF(COUNTIF($C$39:$E$50,"Introversión")&gt;0,1,0),SUMPRODUCT(--(Tablas!$M$139:$M$151&lt;=(AL47)))))),"")</f>
        <v/>
      </c>
      <c r="AL47" s="4216">
        <f t="shared" ref="AL47" si="17">$H$11+IF(ISNA(VLOOKUP(AD47,$V$11:$AB$64,7,FALSE)),0,IF(VLOOKUP(AD47,$V$11:$AB$64,7,FALSE)="",0,VLOOKUP(AD47,$V$11:$AB$64,7,FALSE)))+AI47*20+AJ47</f>
        <v>40</v>
      </c>
      <c r="AM47" s="1909"/>
      <c r="AQ47" s="111"/>
      <c r="AR47" s="2794"/>
    </row>
    <row r="48" spans="1:44" ht="12" customHeight="1" x14ac:dyDescent="0.2">
      <c r="A48" s="212"/>
      <c r="B48" s="70"/>
      <c r="C48" s="4280"/>
      <c r="D48" s="4280"/>
      <c r="E48" s="4280"/>
      <c r="F48" s="3401" t="str">
        <f>IF(C47="","",VLOOKUP(C47,Tablas!$C$2289:$Q$2304,7,FALSE))</f>
        <v/>
      </c>
      <c r="G48" s="3401"/>
      <c r="H48" s="3401"/>
      <c r="I48" s="3401"/>
      <c r="J48" s="3401"/>
      <c r="K48" s="3401"/>
      <c r="L48" s="3401"/>
      <c r="M48" s="3401"/>
      <c r="N48" s="3401"/>
      <c r="O48" s="3401"/>
      <c r="P48" s="3401"/>
      <c r="Q48" s="3401"/>
      <c r="R48" s="75"/>
      <c r="S48" s="61"/>
      <c r="T48" s="61"/>
      <c r="U48" s="2118"/>
      <c r="V48" s="4246" t="str">
        <f>IF(V47=0,"",VLOOKUP(V47,Tablas!$D$2390:$F$2528,2,FALSE))</f>
        <v/>
      </c>
      <c r="W48" s="3206"/>
      <c r="X48" s="3206"/>
      <c r="Y48" s="2761" t="s">
        <v>2171</v>
      </c>
      <c r="Z48" s="2771" t="str">
        <f>IF(V47=0,"",VLOOKUP(V47,Tablas!$D$2390:$F$2528,3,FALSE))</f>
        <v/>
      </c>
      <c r="AA48" s="4251"/>
      <c r="AB48" s="4233"/>
      <c r="AC48" s="73"/>
      <c r="AD48" s="4246" t="str">
        <f>IF(AD47=0,"",VLOOKUP(AD47,Tablas!$D$2390:$F$2528,2,FALSE))</f>
        <v/>
      </c>
      <c r="AE48" s="3206"/>
      <c r="AF48" s="3206"/>
      <c r="AG48" s="2761" t="s">
        <v>2171</v>
      </c>
      <c r="AH48" s="2771" t="str">
        <f>IF(AD47=0,"",VLOOKUP(AD47,Tablas!$D$2390:$F$2528,3,FALSE))</f>
        <v/>
      </c>
      <c r="AI48" s="4245"/>
      <c r="AJ48" s="4219"/>
      <c r="AK48" s="4233"/>
      <c r="AL48" s="4216"/>
      <c r="AM48" s="1909"/>
      <c r="AQ48" s="111"/>
      <c r="AR48" s="2794"/>
    </row>
    <row r="49" spans="1:44" ht="12" customHeight="1" thickBot="1" x14ac:dyDescent="0.25">
      <c r="A49" s="212"/>
      <c r="B49" s="70"/>
      <c r="C49" s="4282" t="str">
        <f>IF(PDs!E116=0,"",PDs!E116)</f>
        <v/>
      </c>
      <c r="D49" s="4282"/>
      <c r="E49" s="4282"/>
      <c r="F49" s="3401" t="str">
        <f>IF(C49="","",VLOOKUP(C49,Tablas!$C$2289:$Q$2304,15,FALSE))</f>
        <v/>
      </c>
      <c r="G49" s="3401"/>
      <c r="H49" s="3401"/>
      <c r="I49" s="3401"/>
      <c r="J49" s="3401"/>
      <c r="K49" s="3401"/>
      <c r="L49" s="3401"/>
      <c r="M49" s="3401"/>
      <c r="N49" s="3401"/>
      <c r="O49" s="3401"/>
      <c r="P49" s="3401"/>
      <c r="Q49" s="3401"/>
      <c r="R49" s="75"/>
      <c r="S49" s="61"/>
      <c r="T49" s="61"/>
      <c r="U49" s="2118">
        <f>IF(V49=0,0,1)</f>
        <v>0</v>
      </c>
      <c r="V49" s="4241"/>
      <c r="W49" s="4242"/>
      <c r="X49" s="4242"/>
      <c r="Y49" s="4242"/>
      <c r="Z49" s="4242"/>
      <c r="AA49" s="4243"/>
      <c r="AB49" s="4244" t="str">
        <f>IF(AA49=0,"",IF(AA49*10&lt;100,AA49*10,100))</f>
        <v/>
      </c>
      <c r="AC49" s="73"/>
      <c r="AD49" s="4241"/>
      <c r="AE49" s="4242"/>
      <c r="AF49" s="4242"/>
      <c r="AG49" s="4242"/>
      <c r="AH49" s="4242"/>
      <c r="AI49" s="4240"/>
      <c r="AJ49" s="4220"/>
      <c r="AK49" s="4244" t="str">
        <f>IF(AD49&lt;&gt;"",INDEX(Tablas!$N$139:$N$151,MAX(1+MATCH(VLOOKUP(Psiquicos!$AD49,'Tablas psiquica'!$D$7:$U$145,18,FALSE),'Tablas psiquica'!$I$6:$R$6,0),MAX(SUMPRODUCT(--(Tablas!$M$139:$M$151&lt;=(AL49-20*AI49)))+IF(Tablas!$F$661&gt;0,1,0)+IF(COUNTIF($C$39:$E$50,"Introversión")&gt;0,1,0),SUMPRODUCT(--(Tablas!$M$139:$M$151&lt;=(AL49)))))),"")</f>
        <v/>
      </c>
      <c r="AL49" s="4216">
        <f t="shared" ref="AL49" si="18">$H$11+IF(ISNA(VLOOKUP(AD49,$V$11:$AB$64,7,FALSE)),0,IF(VLOOKUP(AD49,$V$11:$AB$64,7,FALSE)="",0,VLOOKUP(AD49,$V$11:$AB$64,7,FALSE)))+AI49*20+AJ49</f>
        <v>40</v>
      </c>
      <c r="AM49" s="1909"/>
      <c r="AQ49" s="111"/>
      <c r="AR49" s="2794"/>
    </row>
    <row r="50" spans="1:44" ht="12" customHeight="1" thickBot="1" x14ac:dyDescent="0.25">
      <c r="A50" s="212"/>
      <c r="B50" s="70"/>
      <c r="C50" s="4282"/>
      <c r="D50" s="4282"/>
      <c r="E50" s="4282"/>
      <c r="F50" s="4281" t="str">
        <f>IF(C49="","",VLOOKUP(C49,Tablas!$C$2289:$Q$2304,7,FALSE))</f>
        <v/>
      </c>
      <c r="G50" s="4281"/>
      <c r="H50" s="4281"/>
      <c r="I50" s="4281"/>
      <c r="J50" s="4281"/>
      <c r="K50" s="4281"/>
      <c r="L50" s="4281"/>
      <c r="M50" s="4281"/>
      <c r="N50" s="4281"/>
      <c r="O50" s="4281"/>
      <c r="P50" s="4281"/>
      <c r="Q50" s="4281"/>
      <c r="R50" s="75"/>
      <c r="S50" s="61"/>
      <c r="T50" s="61"/>
      <c r="U50" s="2118"/>
      <c r="V50" s="4231" t="str">
        <f>IF(V49=0,"",VLOOKUP(V49,Tablas!$D$2390:$F$2528,2,FALSE))</f>
        <v/>
      </c>
      <c r="W50" s="4232"/>
      <c r="X50" s="4232"/>
      <c r="Y50" s="2769" t="s">
        <v>2171</v>
      </c>
      <c r="Z50" s="2772" t="str">
        <f>IF(V49=0,"",VLOOKUP(V49,Tablas!$D$2390:$F$2528,3,FALSE))</f>
        <v/>
      </c>
      <c r="AA50" s="4243"/>
      <c r="AB50" s="4244"/>
      <c r="AC50" s="73"/>
      <c r="AD50" s="4231" t="str">
        <f>IF(AD49=0,"",VLOOKUP(AD49,Tablas!$D$2390:$F$2528,2,FALSE))</f>
        <v/>
      </c>
      <c r="AE50" s="4232"/>
      <c r="AF50" s="4232"/>
      <c r="AG50" s="2769" t="s">
        <v>2171</v>
      </c>
      <c r="AH50" s="2772" t="str">
        <f>IF(AD49=0,"",VLOOKUP(AD49,Tablas!$D$2390:$F$2528,3,FALSE))</f>
        <v/>
      </c>
      <c r="AI50" s="4240"/>
      <c r="AJ50" s="4220"/>
      <c r="AK50" s="4244"/>
      <c r="AL50" s="4216"/>
      <c r="AM50" s="1909"/>
      <c r="AQ50" s="111"/>
      <c r="AR50" s="2794"/>
    </row>
    <row r="51" spans="1:44" ht="12" customHeight="1" thickBot="1" x14ac:dyDescent="0.25">
      <c r="A51" s="212"/>
      <c r="B51" s="297"/>
      <c r="C51" s="288"/>
      <c r="E51" s="288"/>
      <c r="F51" s="288"/>
      <c r="G51" s="288"/>
      <c r="H51" s="415"/>
      <c r="I51" s="416"/>
      <c r="J51" s="73"/>
      <c r="K51" s="288"/>
      <c r="L51" s="288"/>
      <c r="M51" s="288"/>
      <c r="N51" s="288"/>
      <c r="O51" s="288"/>
      <c r="P51" s="415"/>
      <c r="Q51" s="416"/>
      <c r="R51" s="85"/>
      <c r="S51" s="417"/>
      <c r="T51" s="417"/>
      <c r="U51" s="2118">
        <f>IF(V51=0,0,1)</f>
        <v>0</v>
      </c>
      <c r="V51" s="4234"/>
      <c r="W51" s="4235"/>
      <c r="X51" s="4235"/>
      <c r="Y51" s="4235"/>
      <c r="Z51" s="4235"/>
      <c r="AA51" s="4251"/>
      <c r="AB51" s="4233" t="str">
        <f>IF(AA51=0,"",IF(AA51*10&lt;100,AA51*10,100))</f>
        <v/>
      </c>
      <c r="AC51" s="73"/>
      <c r="AD51" s="4234"/>
      <c r="AE51" s="4235"/>
      <c r="AF51" s="4235"/>
      <c r="AG51" s="4235"/>
      <c r="AH51" s="4235"/>
      <c r="AI51" s="4245"/>
      <c r="AJ51" s="4219"/>
      <c r="AK51" s="4233" t="str">
        <f>IF(AD51&lt;&gt;"",INDEX(Tablas!$N$139:$N$151,MAX(1+MATCH(VLOOKUP(Psiquicos!$AD51,'Tablas psiquica'!$D$7:$U$145,18,FALSE),'Tablas psiquica'!$I$6:$R$6,0),MAX(SUMPRODUCT(--(Tablas!$M$139:$M$151&lt;=(AL51-20*AI51)))+IF(Tablas!$F$661&gt;0,1,0)+IF(COUNTIF($C$39:$E$50,"Introversión")&gt;0,1,0),SUMPRODUCT(--(Tablas!$M$139:$M$151&lt;=(AL51)))))),"")</f>
        <v/>
      </c>
      <c r="AL51" s="4216">
        <f t="shared" ref="AL51" si="19">$H$11+IF(ISNA(VLOOKUP(AD51,$V$11:$AB$64,7,FALSE)),0,IF(VLOOKUP(AD51,$V$11:$AB$64,7,FALSE)="",0,VLOOKUP(AD51,$V$11:$AB$64,7,FALSE)))+AI51*20+AJ51</f>
        <v>40</v>
      </c>
      <c r="AM51" s="1909"/>
      <c r="AQ51" s="111"/>
      <c r="AR51" s="2794"/>
    </row>
    <row r="52" spans="1:44" ht="12" customHeight="1" thickBot="1" x14ac:dyDescent="0.25">
      <c r="A52" s="212"/>
      <c r="B52" s="297"/>
      <c r="C52" s="3028" t="s">
        <v>2330</v>
      </c>
      <c r="D52" s="3028"/>
      <c r="E52" s="3028"/>
      <c r="F52" s="3028"/>
      <c r="G52" s="3028"/>
      <c r="H52" s="3028"/>
      <c r="J52" s="3826" t="s">
        <v>2592</v>
      </c>
      <c r="K52" s="3826"/>
      <c r="L52" s="3826"/>
      <c r="M52" s="3905" t="s">
        <v>2670</v>
      </c>
      <c r="N52" s="3905"/>
      <c r="O52" s="3905"/>
      <c r="P52" s="3905"/>
      <c r="Q52" s="3905"/>
      <c r="R52" s="85"/>
      <c r="S52" s="417"/>
      <c r="T52" s="417"/>
      <c r="U52" s="2118"/>
      <c r="V52" s="4246" t="str">
        <f>IF(V51=0,"",VLOOKUP(V51,Tablas!$D$2390:$F$2528,2,FALSE))</f>
        <v/>
      </c>
      <c r="W52" s="3206"/>
      <c r="X52" s="3206"/>
      <c r="Y52" s="2761" t="s">
        <v>2171</v>
      </c>
      <c r="Z52" s="2771" t="str">
        <f>IF(V51=0,"",VLOOKUP(V51,Tablas!$D$2390:$F$2528,3,FALSE))</f>
        <v/>
      </c>
      <c r="AA52" s="4251"/>
      <c r="AB52" s="4233"/>
      <c r="AC52" s="73"/>
      <c r="AD52" s="4246" t="str">
        <f>IF(AD51=0,"",VLOOKUP(AD51,Tablas!$D$2390:$F$2528,2,FALSE))</f>
        <v/>
      </c>
      <c r="AE52" s="3206"/>
      <c r="AF52" s="3206"/>
      <c r="AG52" s="2761" t="s">
        <v>2171</v>
      </c>
      <c r="AH52" s="2771" t="str">
        <f>IF(AD51=0,"",VLOOKUP(AD51,Tablas!$D$2390:$F$2528,3,FALSE))</f>
        <v/>
      </c>
      <c r="AI52" s="4245"/>
      <c r="AJ52" s="4219"/>
      <c r="AK52" s="4233"/>
      <c r="AL52" s="4216"/>
      <c r="AM52" s="1909"/>
      <c r="AQ52" s="111"/>
      <c r="AR52" s="2794"/>
    </row>
    <row r="53" spans="1:44" ht="12" customHeight="1" thickBot="1" x14ac:dyDescent="0.25">
      <c r="A53" s="212"/>
      <c r="B53" s="297"/>
      <c r="C53" s="4283"/>
      <c r="D53" s="4283"/>
      <c r="E53" s="4283"/>
      <c r="F53" s="4283"/>
      <c r="G53" s="4283"/>
      <c r="H53" s="4283"/>
      <c r="J53" s="314">
        <v>20</v>
      </c>
      <c r="K53" s="3895" t="s">
        <v>2596</v>
      </c>
      <c r="L53" s="3895"/>
      <c r="M53" s="3901" t="s">
        <v>2597</v>
      </c>
      <c r="N53" s="3901"/>
      <c r="O53" s="3901"/>
      <c r="P53" s="3901"/>
      <c r="Q53" s="3901"/>
      <c r="R53" s="85"/>
      <c r="S53" s="417"/>
      <c r="T53" s="417"/>
      <c r="U53" s="2118">
        <f>IF(V53=0,0,1)</f>
        <v>0</v>
      </c>
      <c r="V53" s="4241"/>
      <c r="W53" s="4242"/>
      <c r="X53" s="4242"/>
      <c r="Y53" s="4242"/>
      <c r="Z53" s="4242"/>
      <c r="AA53" s="4243"/>
      <c r="AB53" s="4244" t="str">
        <f>IF(AA53=0,"",IF(AA53*10&lt;100,AA53*10,100))</f>
        <v/>
      </c>
      <c r="AC53" s="73"/>
      <c r="AD53" s="4241"/>
      <c r="AE53" s="4242"/>
      <c r="AF53" s="4242"/>
      <c r="AG53" s="4242"/>
      <c r="AH53" s="4242"/>
      <c r="AI53" s="4240"/>
      <c r="AJ53" s="4220"/>
      <c r="AK53" s="4244" t="str">
        <f>IF(AD53&lt;&gt;"",INDEX(Tablas!$N$139:$N$151,MAX(1+MATCH(VLOOKUP(Psiquicos!$AD53,'Tablas psiquica'!$D$7:$U$145,18,FALSE),'Tablas psiquica'!$I$6:$R$6,0),MAX(SUMPRODUCT(--(Tablas!$M$139:$M$151&lt;=(AL53-20*AI53)))+IF(Tablas!$F$661&gt;0,1,0)+IF(COUNTIF($C$39:$E$50,"Introversión")&gt;0,1,0),SUMPRODUCT(--(Tablas!$M$139:$M$151&lt;=(AL53)))))),"")</f>
        <v/>
      </c>
      <c r="AL53" s="4216">
        <f t="shared" ref="AL53" si="20">$H$11+IF(ISNA(VLOOKUP(AD53,$V$11:$AB$64,7,FALSE)),0,IF(VLOOKUP(AD53,$V$11:$AB$64,7,FALSE)="",0,VLOOKUP(AD53,$V$11:$AB$64,7,FALSE)))+AI53*20+AJ53</f>
        <v>40</v>
      </c>
      <c r="AM53" s="1909"/>
      <c r="AQ53" s="111"/>
      <c r="AR53" s="2794"/>
    </row>
    <row r="54" spans="1:44" ht="12" customHeight="1" thickBot="1" x14ac:dyDescent="0.25">
      <c r="A54" s="212"/>
      <c r="B54" s="297"/>
      <c r="C54" s="4283"/>
      <c r="D54" s="4283"/>
      <c r="E54" s="4283"/>
      <c r="F54" s="4283"/>
      <c r="G54" s="4283"/>
      <c r="H54" s="4283"/>
      <c r="J54" s="314">
        <v>40</v>
      </c>
      <c r="K54" s="3895" t="s">
        <v>2600</v>
      </c>
      <c r="L54" s="3895"/>
      <c r="M54" s="3893" t="s">
        <v>2601</v>
      </c>
      <c r="N54" s="3893"/>
      <c r="O54" s="3893"/>
      <c r="P54" s="3893"/>
      <c r="Q54" s="3893"/>
      <c r="R54" s="85"/>
      <c r="S54" s="417"/>
      <c r="T54" s="417"/>
      <c r="U54" s="2118"/>
      <c r="V54" s="4231" t="str">
        <f>IF(V53=0,"",VLOOKUP(V53,Tablas!$D$2390:$F$2528,2,FALSE))</f>
        <v/>
      </c>
      <c r="W54" s="4232"/>
      <c r="X54" s="4232"/>
      <c r="Y54" s="2769" t="s">
        <v>2171</v>
      </c>
      <c r="Z54" s="2772" t="str">
        <f>IF(V53=0,"",VLOOKUP(V53,Tablas!$D$2390:$F$2528,3,FALSE))</f>
        <v/>
      </c>
      <c r="AA54" s="4243"/>
      <c r="AB54" s="4244"/>
      <c r="AC54" s="73"/>
      <c r="AD54" s="4231" t="str">
        <f>IF(AD53=0,"",VLOOKUP(AD53,Tablas!$D$2390:$F$2528,2,FALSE))</f>
        <v/>
      </c>
      <c r="AE54" s="4232"/>
      <c r="AF54" s="4232"/>
      <c r="AG54" s="2769" t="s">
        <v>2171</v>
      </c>
      <c r="AH54" s="2772" t="str">
        <f>IF(AD53=0,"",VLOOKUP(AD53,Tablas!$D$2390:$F$2528,3,FALSE))</f>
        <v/>
      </c>
      <c r="AI54" s="4240"/>
      <c r="AJ54" s="4220"/>
      <c r="AK54" s="4244"/>
      <c r="AL54" s="4216"/>
      <c r="AM54" s="1909"/>
      <c r="AQ54" s="111"/>
      <c r="AR54" s="2794"/>
    </row>
    <row r="55" spans="1:44" ht="12" customHeight="1" thickBot="1" x14ac:dyDescent="0.25">
      <c r="A55" s="212"/>
      <c r="B55" s="297"/>
      <c r="C55" s="4283"/>
      <c r="D55" s="4283"/>
      <c r="E55" s="4283"/>
      <c r="F55" s="4283"/>
      <c r="G55" s="4283"/>
      <c r="H55" s="4283"/>
      <c r="J55" s="314">
        <v>80</v>
      </c>
      <c r="K55" s="3895" t="s">
        <v>2603</v>
      </c>
      <c r="L55" s="3895"/>
      <c r="M55" s="3893" t="s">
        <v>2604</v>
      </c>
      <c r="N55" s="3893"/>
      <c r="O55" s="3893"/>
      <c r="P55" s="3893"/>
      <c r="Q55" s="3893"/>
      <c r="R55" s="85"/>
      <c r="S55" s="417"/>
      <c r="T55" s="417"/>
      <c r="U55" s="2118">
        <f>IF(V55=0,0,1)</f>
        <v>0</v>
      </c>
      <c r="V55" s="4234"/>
      <c r="W55" s="4235"/>
      <c r="X55" s="4235"/>
      <c r="Y55" s="4235"/>
      <c r="Z55" s="4235"/>
      <c r="AA55" s="4251"/>
      <c r="AB55" s="4233" t="str">
        <f>IF(AA55=0,"",IF(AA55*10&lt;100,AA55*10,100))</f>
        <v/>
      </c>
      <c r="AC55" s="73"/>
      <c r="AD55" s="4234"/>
      <c r="AE55" s="4235"/>
      <c r="AF55" s="4235"/>
      <c r="AG55" s="4235"/>
      <c r="AH55" s="4235"/>
      <c r="AI55" s="4245"/>
      <c r="AJ55" s="4219"/>
      <c r="AK55" s="4233" t="str">
        <f>IF(AD55&lt;&gt;"",INDEX(Tablas!$N$139:$N$151,MAX(1+MATCH(VLOOKUP(Psiquicos!$AD55,'Tablas psiquica'!$D$7:$U$145,18,FALSE),'Tablas psiquica'!$I$6:$R$6,0),MAX(SUMPRODUCT(--(Tablas!$M$139:$M$151&lt;=(AL55-20*AI55)))+IF(Tablas!$F$661&gt;0,1,0)+IF(COUNTIF($C$39:$E$50,"Introversión")&gt;0,1,0),SUMPRODUCT(--(Tablas!$M$139:$M$151&lt;=(AL55)))))),"")</f>
        <v/>
      </c>
      <c r="AL55" s="4216">
        <f t="shared" ref="AL55" si="21">$H$11+IF(ISNA(VLOOKUP(AD55,$V$11:$AB$64,7,FALSE)),0,IF(VLOOKUP(AD55,$V$11:$AB$64,7,FALSE)="",0,VLOOKUP(AD55,$V$11:$AB$64,7,FALSE)))+AI55*20+AJ55</f>
        <v>40</v>
      </c>
      <c r="AM55" s="1909"/>
      <c r="AQ55" s="111"/>
      <c r="AR55" s="2794"/>
    </row>
    <row r="56" spans="1:44" ht="12" customHeight="1" thickBot="1" x14ac:dyDescent="0.25">
      <c r="A56" s="212"/>
      <c r="B56" s="297"/>
      <c r="C56" s="4283"/>
      <c r="D56" s="4283"/>
      <c r="E56" s="4283"/>
      <c r="F56" s="4283"/>
      <c r="G56" s="4283"/>
      <c r="H56" s="4283"/>
      <c r="J56" s="314">
        <v>120</v>
      </c>
      <c r="K56" s="3895" t="s">
        <v>2607</v>
      </c>
      <c r="L56" s="3895"/>
      <c r="M56" s="3893" t="s">
        <v>2695</v>
      </c>
      <c r="N56" s="3893"/>
      <c r="O56" s="3893"/>
      <c r="P56" s="3893"/>
      <c r="Q56" s="3893"/>
      <c r="R56" s="85"/>
      <c r="S56" s="417"/>
      <c r="T56" s="417"/>
      <c r="U56" s="2118"/>
      <c r="V56" s="4246" t="str">
        <f>IF(V55=0,"",VLOOKUP(V55,Tablas!$D$2390:$F$2528,2,FALSE))</f>
        <v/>
      </c>
      <c r="W56" s="3206"/>
      <c r="X56" s="3206"/>
      <c r="Y56" s="2761" t="s">
        <v>2171</v>
      </c>
      <c r="Z56" s="2771" t="str">
        <f>IF(V55=0,"",VLOOKUP(V55,Tablas!$D$2390:$F$2528,3,FALSE))</f>
        <v/>
      </c>
      <c r="AA56" s="4251"/>
      <c r="AB56" s="4233"/>
      <c r="AC56" s="73"/>
      <c r="AD56" s="4246" t="str">
        <f>IF(AD55=0,"",VLOOKUP(AD55,Tablas!$D$2390:$F$2528,2,FALSE))</f>
        <v/>
      </c>
      <c r="AE56" s="3206"/>
      <c r="AF56" s="3206"/>
      <c r="AG56" s="2761" t="s">
        <v>2171</v>
      </c>
      <c r="AH56" s="2771" t="str">
        <f>IF(AD55=0,"",VLOOKUP(AD55,Tablas!$D$2390:$F$2528,3,FALSE))</f>
        <v/>
      </c>
      <c r="AI56" s="4245"/>
      <c r="AJ56" s="4219"/>
      <c r="AK56" s="4233"/>
      <c r="AL56" s="4216"/>
      <c r="AM56" s="1909"/>
      <c r="AQ56" s="111"/>
      <c r="AR56" s="2794"/>
    </row>
    <row r="57" spans="1:44" ht="12" customHeight="1" thickBot="1" x14ac:dyDescent="0.25">
      <c r="A57" s="212"/>
      <c r="B57" s="297"/>
      <c r="C57" s="4283"/>
      <c r="D57" s="4283"/>
      <c r="E57" s="4283"/>
      <c r="F57" s="4283"/>
      <c r="G57" s="4283"/>
      <c r="H57" s="4283"/>
      <c r="J57" s="314">
        <v>140</v>
      </c>
      <c r="K57" s="3895" t="s">
        <v>2609</v>
      </c>
      <c r="L57" s="3895"/>
      <c r="M57" s="3893" t="s">
        <v>2696</v>
      </c>
      <c r="N57" s="3893"/>
      <c r="O57" s="3893"/>
      <c r="P57" s="3893"/>
      <c r="Q57" s="3893"/>
      <c r="R57" s="85"/>
      <c r="S57" s="417"/>
      <c r="T57" s="417"/>
      <c r="U57" s="2118">
        <f>IF(V57=0,0,1)</f>
        <v>0</v>
      </c>
      <c r="V57" s="4241"/>
      <c r="W57" s="4242"/>
      <c r="X57" s="4242"/>
      <c r="Y57" s="4242"/>
      <c r="Z57" s="4242"/>
      <c r="AA57" s="4243"/>
      <c r="AB57" s="4244" t="str">
        <f>IF(AA57=0,"",IF(AA57*10&lt;100,AA57*10,100))</f>
        <v/>
      </c>
      <c r="AC57" s="73"/>
      <c r="AD57" s="4241"/>
      <c r="AE57" s="4242"/>
      <c r="AF57" s="4242"/>
      <c r="AG57" s="4242"/>
      <c r="AH57" s="4242"/>
      <c r="AI57" s="4240"/>
      <c r="AJ57" s="4220"/>
      <c r="AK57" s="4244" t="str">
        <f>IF(AD57&lt;&gt;"",INDEX(Tablas!$N$139:$N$151,MAX(1+MATCH(VLOOKUP(Psiquicos!$AD57,'Tablas psiquica'!$D$7:$U$145,18,FALSE),'Tablas psiquica'!$I$6:$R$6,0),MAX(SUMPRODUCT(--(Tablas!$M$139:$M$151&lt;=(AL57-20*AI57)))+IF(Tablas!$F$661&gt;0,1,0)+IF(COUNTIF($C$39:$E$50,"Introversión")&gt;0,1,0),SUMPRODUCT(--(Tablas!$M$139:$M$151&lt;=(AL57)))))),"")</f>
        <v/>
      </c>
      <c r="AL57" s="4216">
        <f t="shared" ref="AL57" si="22">$H$11+IF(ISNA(VLOOKUP(AD57,$V$11:$AB$64,7,FALSE)),0,IF(VLOOKUP(AD57,$V$11:$AB$64,7,FALSE)="",0,VLOOKUP(AD57,$V$11:$AB$64,7,FALSE)))+AI57*20+AJ57</f>
        <v>40</v>
      </c>
      <c r="AM57" s="1909"/>
      <c r="AQ57" s="111"/>
      <c r="AR57" s="2794"/>
    </row>
    <row r="58" spans="1:44" ht="12" customHeight="1" thickBot="1" x14ac:dyDescent="0.25">
      <c r="A58" s="212"/>
      <c r="B58" s="297"/>
      <c r="C58" s="4283"/>
      <c r="D58" s="4283"/>
      <c r="E58" s="4283"/>
      <c r="F58" s="4283"/>
      <c r="G58" s="4283"/>
      <c r="H58" s="4283"/>
      <c r="J58" s="314">
        <v>180</v>
      </c>
      <c r="K58" s="3895" t="s">
        <v>2612</v>
      </c>
      <c r="L58" s="3895"/>
      <c r="M58" s="3893" t="s">
        <v>2697</v>
      </c>
      <c r="N58" s="3893"/>
      <c r="O58" s="3893"/>
      <c r="P58" s="3893"/>
      <c r="Q58" s="3893"/>
      <c r="R58" s="85"/>
      <c r="S58" s="417"/>
      <c r="T58" s="417"/>
      <c r="U58" s="2118"/>
      <c r="V58" s="4231" t="str">
        <f>IF(V57=0,"",VLOOKUP(V57,Tablas!$D$2390:$F$2528,2,FALSE))</f>
        <v/>
      </c>
      <c r="W58" s="4232"/>
      <c r="X58" s="4232"/>
      <c r="Y58" s="2769" t="s">
        <v>2171</v>
      </c>
      <c r="Z58" s="2772" t="str">
        <f>IF(V57=0,"",VLOOKUP(V57,Tablas!$D$2390:$F$2528,3,FALSE))</f>
        <v/>
      </c>
      <c r="AA58" s="4243"/>
      <c r="AB58" s="4244"/>
      <c r="AC58" s="243"/>
      <c r="AD58" s="4231" t="str">
        <f>IF(AD57=0,"",VLOOKUP(AD57,Tablas!$D$2390:$F$2528,2,FALSE))</f>
        <v/>
      </c>
      <c r="AE58" s="4232"/>
      <c r="AF58" s="4232"/>
      <c r="AG58" s="2769" t="s">
        <v>2171</v>
      </c>
      <c r="AH58" s="2772" t="str">
        <f>IF(AD57=0,"",VLOOKUP(AD57,Tablas!$D$2390:$F$2528,3,FALSE))</f>
        <v/>
      </c>
      <c r="AI58" s="4240"/>
      <c r="AJ58" s="4220"/>
      <c r="AK58" s="4244"/>
      <c r="AL58" s="4216"/>
      <c r="AM58" s="1909"/>
      <c r="AQ58" s="111"/>
      <c r="AR58" s="2794"/>
    </row>
    <row r="59" spans="1:44" ht="12" customHeight="1" thickBot="1" x14ac:dyDescent="0.25">
      <c r="A59" s="212"/>
      <c r="B59" s="297"/>
      <c r="C59" s="4283"/>
      <c r="D59" s="4283"/>
      <c r="E59" s="4283"/>
      <c r="F59" s="4283"/>
      <c r="G59" s="4283"/>
      <c r="H59" s="4283"/>
      <c r="J59" s="314">
        <v>240</v>
      </c>
      <c r="K59" s="3895" t="s">
        <v>2614</v>
      </c>
      <c r="L59" s="3895"/>
      <c r="M59" s="3893" t="s">
        <v>2698</v>
      </c>
      <c r="N59" s="3893"/>
      <c r="O59" s="3893"/>
      <c r="P59" s="3893"/>
      <c r="Q59" s="3893"/>
      <c r="R59" s="85"/>
      <c r="S59" s="417"/>
      <c r="T59" s="417"/>
      <c r="U59" s="2118">
        <f>IF(V59=0,0,1)</f>
        <v>0</v>
      </c>
      <c r="V59" s="4234"/>
      <c r="W59" s="4235"/>
      <c r="X59" s="4235"/>
      <c r="Y59" s="4235"/>
      <c r="Z59" s="4235"/>
      <c r="AA59" s="4251"/>
      <c r="AB59" s="4233" t="str">
        <f>IF(AA59=0,"",IF(AA59*10&lt;100,AA59*10,100))</f>
        <v/>
      </c>
      <c r="AC59" s="73"/>
      <c r="AD59" s="4234"/>
      <c r="AE59" s="4235"/>
      <c r="AF59" s="4235"/>
      <c r="AG59" s="4235"/>
      <c r="AH59" s="4235"/>
      <c r="AI59" s="4245"/>
      <c r="AJ59" s="4219"/>
      <c r="AK59" s="4233" t="str">
        <f>IF(AD59&lt;&gt;"",INDEX(Tablas!$N$139:$N$151,MAX(1+MATCH(VLOOKUP(Psiquicos!$AD59,'Tablas psiquica'!$D$7:$U$145,18,FALSE),'Tablas psiquica'!$I$6:$R$6,0),MAX(SUMPRODUCT(--(Tablas!$M$139:$M$151&lt;=(AL59-20*AI59)))+IF(Tablas!$F$661&gt;0,1,0)+IF(COUNTIF($C$39:$E$50,"Introversión")&gt;0,1,0),SUMPRODUCT(--(Tablas!$M$139:$M$151&lt;=(AL59)))))),"")</f>
        <v/>
      </c>
      <c r="AL59" s="4216">
        <f t="shared" ref="AL59" si="23">$H$11+IF(ISNA(VLOOKUP(AD59,$V$11:$AB$64,7,FALSE)),0,IF(VLOOKUP(AD59,$V$11:$AB$64,7,FALSE)="",0,VLOOKUP(AD59,$V$11:$AB$64,7,FALSE)))+AI59*20+AJ59</f>
        <v>40</v>
      </c>
      <c r="AM59" s="1909"/>
      <c r="AQ59" s="111"/>
      <c r="AR59" s="2794"/>
    </row>
    <row r="60" spans="1:44" ht="12" customHeight="1" thickBot="1" x14ac:dyDescent="0.25">
      <c r="A60" s="212"/>
      <c r="B60" s="297"/>
      <c r="C60" s="4283"/>
      <c r="D60" s="4283"/>
      <c r="E60" s="4283"/>
      <c r="F60" s="4283"/>
      <c r="G60" s="4283"/>
      <c r="H60" s="4283"/>
      <c r="J60" s="314">
        <v>280</v>
      </c>
      <c r="K60" s="3895" t="s">
        <v>2617</v>
      </c>
      <c r="L60" s="3895"/>
      <c r="M60" s="3893" t="s">
        <v>2699</v>
      </c>
      <c r="N60" s="3893"/>
      <c r="O60" s="3893"/>
      <c r="P60" s="3893"/>
      <c r="Q60" s="3893"/>
      <c r="R60" s="85"/>
      <c r="S60" s="417"/>
      <c r="T60" s="417"/>
      <c r="U60" s="2118"/>
      <c r="V60" s="4246" t="str">
        <f>IF(V59=0,"",VLOOKUP(V59,Tablas!$D$2390:$F$2528,2,FALSE))</f>
        <v/>
      </c>
      <c r="W60" s="3206"/>
      <c r="X60" s="3206"/>
      <c r="Y60" s="2761" t="s">
        <v>2171</v>
      </c>
      <c r="Z60" s="2771" t="str">
        <f>IF(V59=0,"",VLOOKUP(V59,Tablas!$D$2390:$F$2528,3,FALSE))</f>
        <v/>
      </c>
      <c r="AA60" s="4251"/>
      <c r="AB60" s="4233"/>
      <c r="AC60" s="73"/>
      <c r="AD60" s="4246" t="str">
        <f>IF(AD59=0,"",VLOOKUP(AD59,Tablas!$D$2390:$F$2528,2,FALSE))</f>
        <v/>
      </c>
      <c r="AE60" s="3206"/>
      <c r="AF60" s="3206"/>
      <c r="AG60" s="2761" t="s">
        <v>2171</v>
      </c>
      <c r="AH60" s="2771" t="str">
        <f>IF(AD59=0,"",VLOOKUP(AD59,Tablas!$D$2390:$F$2528,3,FALSE))</f>
        <v/>
      </c>
      <c r="AI60" s="4245"/>
      <c r="AJ60" s="4219"/>
      <c r="AK60" s="4233"/>
      <c r="AL60" s="4216"/>
      <c r="AM60" s="1909"/>
      <c r="AQ60" s="111"/>
      <c r="AR60" s="2794"/>
    </row>
    <row r="61" spans="1:44" ht="12" customHeight="1" thickBot="1" x14ac:dyDescent="0.25">
      <c r="A61" s="212"/>
      <c r="B61" s="297"/>
      <c r="C61" s="4283"/>
      <c r="D61" s="4283"/>
      <c r="E61" s="4283"/>
      <c r="F61" s="4283"/>
      <c r="G61" s="4283"/>
      <c r="H61" s="4283"/>
      <c r="J61" s="314">
        <v>320</v>
      </c>
      <c r="K61" s="3895" t="s">
        <v>2619</v>
      </c>
      <c r="L61" s="3895"/>
      <c r="M61" s="3893" t="s">
        <v>2310</v>
      </c>
      <c r="N61" s="3893"/>
      <c r="O61" s="3893"/>
      <c r="P61" s="3893"/>
      <c r="Q61" s="3893"/>
      <c r="R61" s="85"/>
      <c r="S61" s="417"/>
      <c r="T61" s="417"/>
      <c r="U61" s="2118">
        <f>IF(V61=0,0,1)</f>
        <v>0</v>
      </c>
      <c r="V61" s="4241"/>
      <c r="W61" s="4242"/>
      <c r="X61" s="4242"/>
      <c r="Y61" s="4242"/>
      <c r="Z61" s="4242"/>
      <c r="AA61" s="4243"/>
      <c r="AB61" s="4244" t="str">
        <f>IF(AA61=0,"",IF(AA61*10&lt;100,AA61*10,100))</f>
        <v/>
      </c>
      <c r="AC61" s="73"/>
      <c r="AD61" s="4241"/>
      <c r="AE61" s="4242"/>
      <c r="AF61" s="4242"/>
      <c r="AG61" s="4242"/>
      <c r="AH61" s="4242"/>
      <c r="AI61" s="4240"/>
      <c r="AJ61" s="4220"/>
      <c r="AK61" s="4244" t="str">
        <f>IF(AD61&lt;&gt;"",INDEX(Tablas!$N$139:$N$151,MAX(1+MATCH(VLOOKUP(Psiquicos!$AD61,'Tablas psiquica'!$D$7:$U$145,18,FALSE),'Tablas psiquica'!$I$6:$R$6,0),MAX(SUMPRODUCT(--(Tablas!$M$139:$M$151&lt;=(AL61-20*AI61)))+IF(Tablas!$F$661&gt;0,1,0)+IF(COUNTIF($C$39:$E$50,"Introversión")&gt;0,1,0),SUMPRODUCT(--(Tablas!$M$139:$M$151&lt;=(AL61)))))),"")</f>
        <v/>
      </c>
      <c r="AL61" s="4216">
        <f t="shared" ref="AL61" si="24">$H$11+IF(ISNA(VLOOKUP(AD61,$V$11:$AB$64,7,FALSE)),0,IF(VLOOKUP(AD61,$V$11:$AB$64,7,FALSE)="",0,VLOOKUP(AD61,$V$11:$AB$64,7,FALSE)))+AI61*20+AJ61</f>
        <v>40</v>
      </c>
      <c r="AM61" s="1909"/>
      <c r="AQ61" s="111"/>
      <c r="AR61" s="2794"/>
    </row>
    <row r="62" spans="1:44" ht="12" customHeight="1" thickBot="1" x14ac:dyDescent="0.25">
      <c r="A62" s="212"/>
      <c r="B62" s="297"/>
      <c r="C62" s="4283"/>
      <c r="D62" s="4283"/>
      <c r="E62" s="4283"/>
      <c r="F62" s="4283"/>
      <c r="G62" s="4283"/>
      <c r="H62" s="4283"/>
      <c r="J62" s="317">
        <v>440</v>
      </c>
      <c r="K62" s="3908" t="s">
        <v>2553</v>
      </c>
      <c r="L62" s="3908"/>
      <c r="M62" s="3909" t="s">
        <v>2310</v>
      </c>
      <c r="N62" s="3909"/>
      <c r="O62" s="3909"/>
      <c r="P62" s="3909"/>
      <c r="Q62" s="3909"/>
      <c r="R62" s="85"/>
      <c r="S62" s="417"/>
      <c r="T62" s="417"/>
      <c r="U62" s="2118"/>
      <c r="V62" s="4231" t="str">
        <f>IF(V61=0,"",VLOOKUP(V61,Tablas!$D$2390:$F$2528,2,FALSE))</f>
        <v/>
      </c>
      <c r="W62" s="4232"/>
      <c r="X62" s="4232"/>
      <c r="Y62" s="2769" t="s">
        <v>2171</v>
      </c>
      <c r="Z62" s="2772" t="str">
        <f>IF(V61=0,"",VLOOKUP(V61,Tablas!$D$2390:$F$2528,3,FALSE))</f>
        <v/>
      </c>
      <c r="AA62" s="4243"/>
      <c r="AB62" s="4244"/>
      <c r="AC62" s="73"/>
      <c r="AD62" s="4231" t="str">
        <f>IF(AD61=0,"",VLOOKUP(AD61,Tablas!$D$2390:$F$2528,2,FALSE))</f>
        <v/>
      </c>
      <c r="AE62" s="4232"/>
      <c r="AF62" s="4232"/>
      <c r="AG62" s="2769" t="s">
        <v>2171</v>
      </c>
      <c r="AH62" s="2772" t="str">
        <f>IF(AD61=0,"",VLOOKUP(AD61,Tablas!$D$2390:$F$2528,3,FALSE))</f>
        <v/>
      </c>
      <c r="AI62" s="4240"/>
      <c r="AJ62" s="4220"/>
      <c r="AK62" s="4244"/>
      <c r="AL62" s="4216"/>
      <c r="AM62" s="1909"/>
      <c r="AQ62" s="111"/>
      <c r="AR62" s="2794"/>
    </row>
    <row r="63" spans="1:44" ht="12" customHeight="1" thickBot="1" x14ac:dyDescent="0.25">
      <c r="A63" s="212"/>
      <c r="B63" s="297"/>
      <c r="C63" s="4283"/>
      <c r="D63" s="4283"/>
      <c r="E63" s="4283"/>
      <c r="F63" s="4283"/>
      <c r="G63" s="4283"/>
      <c r="H63" s="4283"/>
      <c r="J63" s="3910"/>
      <c r="K63" s="3910"/>
      <c r="L63" s="3910"/>
      <c r="M63" s="3910"/>
      <c r="N63" s="3910"/>
      <c r="O63" s="3910"/>
      <c r="P63" s="3910"/>
      <c r="Q63" s="3910"/>
      <c r="R63" s="85"/>
      <c r="S63" s="417"/>
      <c r="T63" s="417"/>
      <c r="U63" s="2118">
        <f>IF(V63=0,0,1)</f>
        <v>0</v>
      </c>
      <c r="V63" s="4234"/>
      <c r="W63" s="4235"/>
      <c r="X63" s="4235"/>
      <c r="Y63" s="4235"/>
      <c r="Z63" s="4235"/>
      <c r="AA63" s="4288"/>
      <c r="AB63" s="4284" t="str">
        <f>IF(AA63=0,"",IF(AA63*10&lt;100,AA63*10,100))</f>
        <v/>
      </c>
      <c r="AC63" s="192"/>
      <c r="AD63" s="4234"/>
      <c r="AE63" s="4235"/>
      <c r="AF63" s="4235"/>
      <c r="AG63" s="4235"/>
      <c r="AH63" s="4235"/>
      <c r="AI63" s="4290"/>
      <c r="AJ63" s="4219"/>
      <c r="AK63" s="4284" t="str">
        <f>IF(AD63&lt;&gt;"",INDEX(Tablas!$N$139:$N$151,MAX(1+MATCH(VLOOKUP(Psiquicos!$AD63,'Tablas psiquica'!$D$7:$U$145,18,FALSE),'Tablas psiquica'!$I$6:$R$6,0),MAX(SUMPRODUCT(--(Tablas!$M$139:$M$151&lt;=(AL63-20*AI63)))+IF(Tablas!$F$661&gt;0,1,0)+IF(COUNTIF($C$39:$E$50,"Introversión")&gt;0,1,0),SUMPRODUCT(--(Tablas!$M$139:$M$151&lt;=(AL63)))))),"")</f>
        <v/>
      </c>
      <c r="AL63" s="4216">
        <f t="shared" ref="AL63" si="25">$H$11+IF(ISNA(VLOOKUP(AD63,$V$11:$AB$64,7,FALSE)),0,IF(VLOOKUP(AD63,$V$11:$AB$64,7,FALSE)="",0,VLOOKUP(AD63,$V$11:$AB$64,7,FALSE)))+AI63*20+AJ63</f>
        <v>40</v>
      </c>
      <c r="AM63" s="1909"/>
      <c r="AQ63" s="111"/>
      <c r="AR63" s="2794"/>
    </row>
    <row r="64" spans="1:44" ht="12" customHeight="1" thickBot="1" x14ac:dyDescent="0.25">
      <c r="A64" s="212"/>
      <c r="B64" s="70"/>
      <c r="C64" s="4283"/>
      <c r="D64" s="4283"/>
      <c r="E64" s="4283"/>
      <c r="F64" s="4283"/>
      <c r="G64" s="4283"/>
      <c r="H64" s="4283"/>
      <c r="J64" s="3910"/>
      <c r="K64" s="3910"/>
      <c r="L64" s="3910"/>
      <c r="M64" s="3910"/>
      <c r="N64" s="3910"/>
      <c r="O64" s="3910"/>
      <c r="P64" s="3910"/>
      <c r="Q64" s="3910"/>
      <c r="R64" s="75"/>
      <c r="S64" s="61"/>
      <c r="T64" s="61"/>
      <c r="U64" s="2754"/>
      <c r="V64" s="4286" t="str">
        <f>IF(V63=0,"",VLOOKUP(V63,Tablas!$D$2390:$F$2528,2,FALSE))</f>
        <v/>
      </c>
      <c r="W64" s="4287"/>
      <c r="X64" s="4287"/>
      <c r="Y64" s="2765" t="s">
        <v>2171</v>
      </c>
      <c r="Z64" s="1465" t="str">
        <f>IF(V63=0,"",VLOOKUP(V63,Tablas!$D$2390:$F$2528,3,FALSE))</f>
        <v/>
      </c>
      <c r="AA64" s="4289"/>
      <c r="AB64" s="4285"/>
      <c r="AC64" s="192"/>
      <c r="AD64" s="4286" t="str">
        <f>IF(AD63=0,"",VLOOKUP(AD63,Tablas!$D$2390:$F$2528,2,FALSE))</f>
        <v/>
      </c>
      <c r="AE64" s="4287"/>
      <c r="AF64" s="4287"/>
      <c r="AG64" s="2765" t="s">
        <v>2171</v>
      </c>
      <c r="AH64" s="1465" t="str">
        <f>IF(AD63=0,"",VLOOKUP(AD63,Tablas!$D$2390:$F$2528,3,FALSE))</f>
        <v/>
      </c>
      <c r="AI64" s="4291"/>
      <c r="AJ64" s="4221"/>
      <c r="AK64" s="4285"/>
      <c r="AL64" s="4216"/>
      <c r="AM64" s="1909"/>
      <c r="AQ64" s="111"/>
      <c r="AR64" s="2794"/>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07"/>
      <c r="V65" s="1908"/>
      <c r="W65" s="1908"/>
      <c r="X65" s="1908"/>
      <c r="Y65" s="1908"/>
      <c r="Z65" s="1908"/>
      <c r="AA65" s="1908"/>
      <c r="AB65" s="1908"/>
      <c r="AC65" s="1908"/>
      <c r="AD65" s="1908"/>
      <c r="AE65" s="1908"/>
      <c r="AF65" s="1908"/>
      <c r="AG65" s="1908"/>
      <c r="AH65" s="1908"/>
      <c r="AI65" s="1908"/>
      <c r="AJ65" s="1908"/>
      <c r="AK65" s="2512"/>
      <c r="AL65" s="2280"/>
      <c r="AM65" s="1909"/>
      <c r="AN65" s="2149"/>
      <c r="AO65" s="2803"/>
      <c r="AP65" s="2803"/>
      <c r="AQ65" s="111"/>
      <c r="AR65" s="2020"/>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6"/>
      <c r="AL66" s="1909"/>
      <c r="AM66" s="1909"/>
      <c r="AN66" s="2149"/>
      <c r="AO66" s="2149"/>
      <c r="AP66" s="2149"/>
      <c r="AQ66" s="23"/>
      <c r="AR66" s="2020"/>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5" workbookViewId="0">
      <selection activeCell="Q35" sqref="Q35"/>
    </sheetView>
  </sheetViews>
  <sheetFormatPr defaultColWidth="5.7109375" defaultRowHeight="12" customHeight="1" x14ac:dyDescent="0.2"/>
  <cols>
    <col min="1" max="1" width="1.7109375" style="764" customWidth="1"/>
    <col min="2" max="14" width="5.7109375" style="764"/>
    <col min="15" max="15" width="5.7109375" style="764" customWidth="1"/>
    <col min="16" max="17" width="5.7109375" style="764"/>
    <col min="18" max="18" width="5.85546875" style="1334" customWidth="1"/>
    <col min="19" max="20" width="1.7109375" style="2849" customWidth="1"/>
    <col min="21" max="21" width="5.7109375" style="764"/>
    <col min="22" max="25" width="7.140625" style="764" customWidth="1"/>
    <col min="26" max="26" width="6.5703125" style="764" customWidth="1"/>
    <col min="27" max="29" width="5.7109375" style="764"/>
    <col min="30" max="33" width="7.140625" style="764" customWidth="1"/>
    <col min="34" max="37" width="5.7109375" style="764"/>
    <col min="38" max="38" width="1.7109375" style="764" customWidth="1"/>
    <col min="39" max="16384" width="5.7109375" style="764"/>
  </cols>
  <sheetData>
    <row r="1" spans="1:45" ht="12" customHeight="1" thickBot="1" x14ac:dyDescent="0.25">
      <c r="A1" s="1289"/>
      <c r="B1" s="1289"/>
      <c r="C1" s="1289"/>
      <c r="D1" s="1289"/>
      <c r="E1" s="1289"/>
      <c r="F1" s="1289"/>
      <c r="G1" s="1289"/>
      <c r="H1" s="1289"/>
      <c r="I1" s="1289"/>
      <c r="J1" s="1289"/>
      <c r="K1" s="1289"/>
      <c r="L1" s="1289"/>
      <c r="M1" s="1289"/>
      <c r="N1" s="1289"/>
      <c r="O1" s="1289"/>
      <c r="P1" s="1289"/>
      <c r="Q1" s="1289"/>
      <c r="R1" s="5169"/>
      <c r="S1" s="2850"/>
      <c r="T1" s="2850"/>
      <c r="U1" s="1289"/>
      <c r="V1" s="1289"/>
      <c r="W1" s="1289"/>
      <c r="X1" s="1289"/>
      <c r="Y1" s="1289"/>
      <c r="Z1" s="1289"/>
      <c r="AA1" s="1289"/>
      <c r="AB1" s="1289"/>
      <c r="AC1" s="1289"/>
      <c r="AD1" s="1289"/>
      <c r="AE1" s="1289"/>
      <c r="AF1" s="1289"/>
      <c r="AG1" s="1289"/>
      <c r="AH1" s="1289"/>
      <c r="AI1" s="1289"/>
      <c r="AJ1" s="1289"/>
      <c r="AK1" s="1289"/>
      <c r="AL1" s="1289"/>
    </row>
    <row r="2" spans="1:45" ht="12" customHeight="1" thickBot="1" x14ac:dyDescent="0.25">
      <c r="A2" s="1289"/>
      <c r="B2" s="1290"/>
      <c r="C2" s="1291"/>
      <c r="D2" s="1291"/>
      <c r="E2" s="1291"/>
      <c r="F2" s="1291"/>
      <c r="G2" s="1291"/>
      <c r="H2" s="1291"/>
      <c r="I2" s="1291"/>
      <c r="J2" s="1291"/>
      <c r="K2" s="1291"/>
      <c r="L2" s="1291"/>
      <c r="M2" s="1291"/>
      <c r="N2" s="1291"/>
      <c r="O2" s="1291"/>
      <c r="P2" s="1291"/>
      <c r="Q2" s="1291"/>
      <c r="R2" s="5170"/>
      <c r="S2" s="2850"/>
      <c r="T2" s="2850"/>
      <c r="U2" s="1290"/>
      <c r="V2" s="1291"/>
      <c r="W2" s="1291"/>
      <c r="X2" s="1291"/>
      <c r="Y2" s="1291"/>
      <c r="Z2" s="1291"/>
      <c r="AA2" s="1291"/>
      <c r="AB2" s="1291"/>
      <c r="AC2" s="1291"/>
      <c r="AD2" s="1291"/>
      <c r="AE2" s="1291"/>
      <c r="AF2" s="1291"/>
      <c r="AG2" s="1291"/>
      <c r="AH2" s="1291"/>
      <c r="AI2" s="1291"/>
      <c r="AJ2" s="1291"/>
      <c r="AK2" s="1292"/>
      <c r="AL2" s="1289"/>
    </row>
    <row r="3" spans="1:45" ht="12" customHeight="1" x14ac:dyDescent="0.2">
      <c r="A3" s="1289"/>
      <c r="B3" s="693"/>
      <c r="C3" s="4298"/>
      <c r="D3" s="4299"/>
      <c r="E3" s="4299"/>
      <c r="F3" s="4299"/>
      <c r="G3" s="4299"/>
      <c r="H3" s="4299"/>
      <c r="I3" s="1293"/>
      <c r="J3" s="1293"/>
      <c r="K3" s="1293"/>
      <c r="L3" s="1293"/>
      <c r="M3" s="1293"/>
      <c r="N3" s="1293"/>
      <c r="O3" s="1293"/>
      <c r="P3" s="1293"/>
      <c r="Q3" s="1294"/>
      <c r="R3" s="5171"/>
      <c r="S3" s="2850"/>
      <c r="T3" s="2850"/>
      <c r="U3" s="693"/>
      <c r="V3" s="4298"/>
      <c r="W3" s="4299"/>
      <c r="X3" s="4299"/>
      <c r="Y3" s="4299"/>
      <c r="Z3" s="4299"/>
      <c r="AA3" s="4299"/>
      <c r="AB3" s="1293"/>
      <c r="AC3" s="1293"/>
      <c r="AD3" s="1293"/>
      <c r="AE3" s="1293"/>
      <c r="AF3" s="1293"/>
      <c r="AG3" s="1293"/>
      <c r="AH3" s="1293"/>
      <c r="AI3" s="1293"/>
      <c r="AJ3" s="1294"/>
      <c r="AK3" s="1295"/>
      <c r="AL3" s="1289"/>
    </row>
    <row r="4" spans="1:45" ht="12" customHeight="1" x14ac:dyDescent="0.2">
      <c r="A4" s="1289"/>
      <c r="B4" s="693"/>
      <c r="C4" s="4300"/>
      <c r="D4" s="4301"/>
      <c r="E4" s="4301"/>
      <c r="F4" s="4301"/>
      <c r="G4" s="4301"/>
      <c r="H4" s="4301"/>
      <c r="I4" s="1298"/>
      <c r="J4" s="4304" t="s">
        <v>2169</v>
      </c>
      <c r="K4" s="4305"/>
      <c r="L4" s="2964" t="str">
        <f>IF(OR(General!$G$22="",General!$G$22=0),"",General!$G$22)</f>
        <v/>
      </c>
      <c r="M4" s="2964"/>
      <c r="N4" s="2964"/>
      <c r="O4" s="2964"/>
      <c r="P4" s="2964"/>
      <c r="Q4" s="892"/>
      <c r="R4" s="5172"/>
      <c r="S4" s="2850"/>
      <c r="T4" s="2850"/>
      <c r="U4" s="693"/>
      <c r="V4" s="4300"/>
      <c r="W4" s="4301"/>
      <c r="X4" s="4301"/>
      <c r="Y4" s="4301"/>
      <c r="Z4" s="4301"/>
      <c r="AA4" s="4301"/>
      <c r="AB4" s="1298"/>
      <c r="AC4" s="4304" t="s">
        <v>2169</v>
      </c>
      <c r="AD4" s="4305"/>
      <c r="AE4" s="2964" t="str">
        <f>IF(OR(General!$G$22="",General!$G$22=0),"",General!$G$22)</f>
        <v/>
      </c>
      <c r="AF4" s="2964"/>
      <c r="AG4" s="2964"/>
      <c r="AH4" s="2964"/>
      <c r="AI4" s="2964"/>
      <c r="AJ4" s="892"/>
      <c r="AK4" s="1295"/>
      <c r="AL4" s="1289"/>
    </row>
    <row r="5" spans="1:45" ht="12" customHeight="1" x14ac:dyDescent="0.2">
      <c r="A5" s="1289"/>
      <c r="B5" s="693"/>
      <c r="C5" s="4300"/>
      <c r="D5" s="4301"/>
      <c r="E5" s="4301"/>
      <c r="F5" s="4301"/>
      <c r="G5" s="4301"/>
      <c r="H5" s="4301"/>
      <c r="I5" s="1298"/>
      <c r="J5" s="4292" t="s">
        <v>2170</v>
      </c>
      <c r="K5" s="4293"/>
      <c r="L5" s="4294" t="str">
        <f>Principal!$L$5</f>
        <v>Hechicero</v>
      </c>
      <c r="M5" s="4295"/>
      <c r="N5" s="4295"/>
      <c r="O5" s="1300" t="s">
        <v>2171</v>
      </c>
      <c r="P5" s="1301" t="str">
        <f>Principal!$P$5</f>
        <v>1 + 2</v>
      </c>
      <c r="Q5" s="1302"/>
      <c r="R5" s="5172"/>
      <c r="S5" s="2850"/>
      <c r="T5" s="2850"/>
      <c r="U5" s="693"/>
      <c r="V5" s="4300"/>
      <c r="W5" s="4301"/>
      <c r="X5" s="4301"/>
      <c r="Y5" s="4301"/>
      <c r="Z5" s="4301"/>
      <c r="AA5" s="4301"/>
      <c r="AB5" s="1298"/>
      <c r="AC5" s="4292" t="s">
        <v>2170</v>
      </c>
      <c r="AD5" s="4293"/>
      <c r="AE5" s="4294" t="str">
        <f>Principal!$L$5</f>
        <v>Hechicero</v>
      </c>
      <c r="AF5" s="4295"/>
      <c r="AG5" s="4295"/>
      <c r="AH5" s="1300" t="s">
        <v>2171</v>
      </c>
      <c r="AI5" s="1301" t="str">
        <f>Principal!$P$5</f>
        <v>1 + 2</v>
      </c>
      <c r="AJ5" s="1302"/>
      <c r="AK5" s="1295"/>
      <c r="AL5" s="1289"/>
    </row>
    <row r="6" spans="1:45" ht="12" customHeight="1" x14ac:dyDescent="0.2">
      <c r="A6" s="1289"/>
      <c r="B6" s="693"/>
      <c r="C6" s="4300"/>
      <c r="D6" s="4301"/>
      <c r="E6" s="4301"/>
      <c r="F6" s="4301"/>
      <c r="G6" s="4301"/>
      <c r="H6" s="4301"/>
      <c r="I6" s="1298"/>
      <c r="J6" s="4296" t="s">
        <v>2452</v>
      </c>
      <c r="K6" s="4297"/>
      <c r="L6" s="4297"/>
      <c r="M6" s="4297"/>
      <c r="N6" s="4297"/>
      <c r="O6" s="4297"/>
      <c r="P6" s="4297"/>
      <c r="Q6" s="1302"/>
      <c r="R6" s="5172"/>
      <c r="S6" s="2850"/>
      <c r="T6" s="2850"/>
      <c r="U6" s="693"/>
      <c r="V6" s="4300"/>
      <c r="W6" s="4301"/>
      <c r="X6" s="4301"/>
      <c r="Y6" s="4301"/>
      <c r="Z6" s="4301"/>
      <c r="AA6" s="4301"/>
      <c r="AB6" s="1298"/>
      <c r="AC6" s="4296" t="s">
        <v>2453</v>
      </c>
      <c r="AD6" s="4297"/>
      <c r="AE6" s="4297"/>
      <c r="AF6" s="4297"/>
      <c r="AG6" s="4297"/>
      <c r="AH6" s="4297"/>
      <c r="AI6" s="4297"/>
      <c r="AJ6" s="1302"/>
      <c r="AK6" s="1295"/>
      <c r="AL6" s="1289"/>
    </row>
    <row r="7" spans="1:45" ht="12" customHeight="1" x14ac:dyDescent="0.2">
      <c r="A7" s="1289"/>
      <c r="B7" s="693"/>
      <c r="C7" s="4300"/>
      <c r="D7" s="4301"/>
      <c r="E7" s="4301"/>
      <c r="F7" s="4301"/>
      <c r="G7" s="4301"/>
      <c r="H7" s="4301"/>
      <c r="I7" s="1298"/>
      <c r="J7" s="4297"/>
      <c r="K7" s="4297"/>
      <c r="L7" s="4297"/>
      <c r="M7" s="4297"/>
      <c r="N7" s="4297"/>
      <c r="O7" s="4297"/>
      <c r="P7" s="4297"/>
      <c r="Q7" s="1302"/>
      <c r="R7" s="5172"/>
      <c r="S7" s="2850"/>
      <c r="T7" s="2850"/>
      <c r="U7" s="693"/>
      <c r="V7" s="4300"/>
      <c r="W7" s="4301"/>
      <c r="X7" s="4301"/>
      <c r="Y7" s="4301"/>
      <c r="Z7" s="4301"/>
      <c r="AA7" s="4301"/>
      <c r="AB7" s="1298"/>
      <c r="AC7" s="4297"/>
      <c r="AD7" s="4297"/>
      <c r="AE7" s="4297"/>
      <c r="AF7" s="4297"/>
      <c r="AG7" s="4297"/>
      <c r="AH7" s="4297"/>
      <c r="AI7" s="4297"/>
      <c r="AJ7" s="1302"/>
      <c r="AK7" s="1295"/>
      <c r="AL7" s="1289"/>
    </row>
    <row r="8" spans="1:45" ht="12" customHeight="1" thickBot="1" x14ac:dyDescent="0.25">
      <c r="A8" s="1289"/>
      <c r="B8" s="693"/>
      <c r="C8" s="4302"/>
      <c r="D8" s="4303"/>
      <c r="E8" s="4303"/>
      <c r="F8" s="4303"/>
      <c r="G8" s="4303"/>
      <c r="H8" s="4303"/>
      <c r="I8" s="1307"/>
      <c r="J8" s="1307"/>
      <c r="K8" s="1307"/>
      <c r="L8" s="1307"/>
      <c r="M8" s="1307"/>
      <c r="N8" s="1307"/>
      <c r="O8" s="1307"/>
      <c r="P8" s="1307"/>
      <c r="Q8" s="1308"/>
      <c r="R8" s="5172"/>
      <c r="S8" s="2850"/>
      <c r="T8" s="2850"/>
      <c r="U8" s="693"/>
      <c r="V8" s="4302"/>
      <c r="W8" s="4303"/>
      <c r="X8" s="4303"/>
      <c r="Y8" s="4303"/>
      <c r="Z8" s="4303"/>
      <c r="AA8" s="4303"/>
      <c r="AB8" s="1307"/>
      <c r="AC8" s="1307"/>
      <c r="AD8" s="1307"/>
      <c r="AE8" s="1307"/>
      <c r="AF8" s="1307"/>
      <c r="AG8" s="1307"/>
      <c r="AH8" s="1307"/>
      <c r="AI8" s="1307"/>
      <c r="AJ8" s="1308"/>
      <c r="AK8" s="1295"/>
      <c r="AL8" s="1289"/>
      <c r="AM8" s="1373"/>
      <c r="AN8" s="1373"/>
      <c r="AO8" s="1373"/>
      <c r="AP8" s="1373"/>
      <c r="AQ8" s="1373"/>
    </row>
    <row r="9" spans="1:45" ht="12" customHeight="1" thickBot="1" x14ac:dyDescent="0.25">
      <c r="A9" s="1289"/>
      <c r="B9" s="693"/>
      <c r="C9" s="820"/>
      <c r="D9" s="820"/>
      <c r="E9" s="820"/>
      <c r="F9" s="820"/>
      <c r="G9" s="820"/>
      <c r="H9" s="820"/>
      <c r="I9" s="820"/>
      <c r="J9" s="820"/>
      <c r="K9" s="820"/>
      <c r="L9" s="820"/>
      <c r="M9" s="820"/>
      <c r="N9" s="820"/>
      <c r="O9" s="820"/>
      <c r="P9" s="820"/>
      <c r="Q9" s="820"/>
      <c r="R9" s="5172"/>
      <c r="S9" s="2850"/>
      <c r="T9" s="2850"/>
      <c r="U9" s="693"/>
      <c r="V9" s="4306" t="str">
        <f>IF(Tablas!F703+Tablas!F704+Tablas!F766+Tablas!F749+Tablas!F767&gt;0,"Empatía hacia elemento: -5 CM al coste de cada efecto relacionado con elemento afín (Coste mínimo 5 CM)","")</f>
        <v/>
      </c>
      <c r="W9" s="4306"/>
      <c r="X9" s="4306"/>
      <c r="Y9" s="4306"/>
      <c r="Z9" s="4306"/>
      <c r="AA9" s="4306"/>
      <c r="AB9" s="4306"/>
      <c r="AC9" s="4306"/>
      <c r="AD9" s="4306"/>
      <c r="AE9" s="4306"/>
      <c r="AF9" s="4306"/>
      <c r="AG9" s="4306"/>
      <c r="AH9" s="4306"/>
      <c r="AI9" s="4306"/>
      <c r="AJ9" s="4306"/>
      <c r="AK9" s="1295"/>
      <c r="AL9" s="1289"/>
      <c r="AM9" s="1374"/>
      <c r="AN9" s="1374"/>
      <c r="AO9" s="1374"/>
      <c r="AP9" s="1374"/>
      <c r="AQ9" s="1375"/>
    </row>
    <row r="10" spans="1:45" ht="12" customHeight="1" thickBot="1" x14ac:dyDescent="0.25">
      <c r="A10" s="1289"/>
      <c r="B10" s="693"/>
      <c r="C10" s="4150" t="s">
        <v>2454</v>
      </c>
      <c r="D10" s="4151"/>
      <c r="E10" s="4151"/>
      <c r="F10" s="4151"/>
      <c r="G10" s="4151"/>
      <c r="H10" s="4151"/>
      <c r="I10" s="4152"/>
      <c r="J10" s="2852"/>
      <c r="K10" s="4307" t="s">
        <v>2455</v>
      </c>
      <c r="L10" s="4308"/>
      <c r="M10" s="4308"/>
      <c r="N10" s="4308"/>
      <c r="O10" s="4308"/>
      <c r="P10" s="4311">
        <f>IF(Q10=0,40,"-")</f>
        <v>40</v>
      </c>
      <c r="Q10" s="4313"/>
      <c r="R10" s="5173" t="b">
        <f t="shared" ref="R10:R11" si="0">P10="-"</f>
        <v>0</v>
      </c>
      <c r="S10" s="2850"/>
      <c r="T10" s="2850"/>
      <c r="U10" s="693"/>
      <c r="V10" s="4315" t="s">
        <v>2456</v>
      </c>
      <c r="W10" s="4316"/>
      <c r="X10" s="4316"/>
      <c r="Y10" s="4317"/>
      <c r="Z10" s="1348"/>
      <c r="AA10" s="4315" t="s">
        <v>2457</v>
      </c>
      <c r="AB10" s="4316"/>
      <c r="AC10" s="4316"/>
      <c r="AD10" s="4316"/>
      <c r="AE10" s="4316"/>
      <c r="AF10" s="4316"/>
      <c r="AG10" s="4316"/>
      <c r="AH10" s="4316"/>
      <c r="AI10" s="4316"/>
      <c r="AJ10" s="4317"/>
      <c r="AK10" s="1295"/>
      <c r="AL10" s="1289"/>
    </row>
    <row r="11" spans="1:45" ht="12" customHeight="1" thickBot="1" x14ac:dyDescent="0.25">
      <c r="A11" s="1289"/>
      <c r="B11" s="693"/>
      <c r="C11" s="1376"/>
      <c r="D11" s="784" t="s">
        <v>2458</v>
      </c>
      <c r="E11" s="1377" t="s">
        <v>2459</v>
      </c>
      <c r="F11" s="4318" t="s">
        <v>2460</v>
      </c>
      <c r="G11" s="4319"/>
      <c r="H11" s="4319"/>
      <c r="I11" s="4320"/>
      <c r="J11" s="2852"/>
      <c r="K11" s="4309"/>
      <c r="L11" s="4310"/>
      <c r="M11" s="4310"/>
      <c r="N11" s="4310"/>
      <c r="O11" s="4310"/>
      <c r="P11" s="4312"/>
      <c r="Q11" s="4314"/>
      <c r="R11" s="5173" t="b">
        <f t="shared" si="0"/>
        <v>0</v>
      </c>
      <c r="S11" s="2850"/>
      <c r="T11" s="2850"/>
      <c r="U11" s="693"/>
      <c r="V11" s="4322" t="s">
        <v>2461</v>
      </c>
      <c r="W11" s="4357"/>
      <c r="X11" s="4355"/>
      <c r="Y11" s="4335"/>
      <c r="Z11" s="1378"/>
      <c r="AA11" s="4344" t="s">
        <v>2462</v>
      </c>
      <c r="AB11" s="4200"/>
      <c r="AC11" s="4345"/>
      <c r="AD11" s="4200" t="s">
        <v>2463</v>
      </c>
      <c r="AE11" s="4200"/>
      <c r="AF11" s="4200"/>
      <c r="AG11" s="4200"/>
      <c r="AH11" s="4200"/>
      <c r="AI11" s="4200"/>
      <c r="AJ11" s="4201"/>
      <c r="AK11" s="1295"/>
      <c r="AL11" s="1289"/>
    </row>
    <row r="12" spans="1:45" ht="12" customHeight="1" x14ac:dyDescent="0.2">
      <c r="A12" s="1289"/>
      <c r="B12" s="693"/>
      <c r="C12" s="4321" t="s">
        <v>2226</v>
      </c>
      <c r="D12" s="4323">
        <f>PDs!$AA33</f>
        <v>1</v>
      </c>
      <c r="E12" s="4325">
        <f>IF(OR(Tablas!$F$743&gt;0,Tablas!$G$1688&gt;0),"-",PDs!$AA27)</f>
        <v>8</v>
      </c>
      <c r="F12" s="4327"/>
      <c r="G12" s="4328"/>
      <c r="H12" s="4328"/>
      <c r="I12" s="4329"/>
      <c r="J12" s="2852"/>
      <c r="K12" s="4333" t="s">
        <v>2464</v>
      </c>
      <c r="L12" s="4334"/>
      <c r="M12" s="4334"/>
      <c r="N12" s="4334"/>
      <c r="O12" s="4334"/>
      <c r="P12" s="1379">
        <f>IF(Q12=0,30,"-")</f>
        <v>30</v>
      </c>
      <c r="Q12" s="1380"/>
      <c r="R12" s="5174" t="b">
        <f>P12="-"</f>
        <v>0</v>
      </c>
      <c r="S12" s="2850"/>
      <c r="T12" s="2850"/>
      <c r="U12" s="693"/>
      <c r="V12" s="4322"/>
      <c r="W12" s="4357"/>
      <c r="X12" s="4355"/>
      <c r="Y12" s="4335"/>
      <c r="Z12" s="1378"/>
      <c r="AA12" s="4338"/>
      <c r="AB12" s="4339"/>
      <c r="AC12" s="4340"/>
      <c r="AD12" s="4350"/>
      <c r="AE12" s="4350"/>
      <c r="AF12" s="4350"/>
      <c r="AG12" s="4350"/>
      <c r="AH12" s="4350"/>
      <c r="AI12" s="4350"/>
      <c r="AJ12" s="4351"/>
      <c r="AK12" s="1295"/>
      <c r="AL12" s="1289"/>
    </row>
    <row r="13" spans="1:45" ht="12" customHeight="1" x14ac:dyDescent="0.2">
      <c r="A13" s="1289"/>
      <c r="B13" s="693"/>
      <c r="C13" s="4322"/>
      <c r="D13" s="4324"/>
      <c r="E13" s="4326"/>
      <c r="F13" s="4330"/>
      <c r="G13" s="4331"/>
      <c r="H13" s="4331"/>
      <c r="I13" s="4332"/>
      <c r="J13" s="2852"/>
      <c r="K13" s="1381" t="s">
        <v>2465</v>
      </c>
      <c r="L13" s="4352" t="s">
        <v>2466</v>
      </c>
      <c r="M13" s="4352"/>
      <c r="N13" s="4352"/>
      <c r="O13" s="4352"/>
      <c r="P13" s="1379">
        <f>IF(Q13=0,20,"-")</f>
        <v>20</v>
      </c>
      <c r="Q13" s="1380"/>
      <c r="R13" s="5174" t="b">
        <f t="shared" ref="R13:R62" si="1">P13="-"</f>
        <v>0</v>
      </c>
      <c r="S13" s="2850"/>
      <c r="T13" s="2850"/>
      <c r="U13" s="693"/>
      <c r="V13" s="4322" t="s">
        <v>2467</v>
      </c>
      <c r="W13" s="4357"/>
      <c r="X13" s="4355"/>
      <c r="Y13" s="4335"/>
      <c r="Z13" s="825"/>
      <c r="AA13" s="4341"/>
      <c r="AB13" s="4342"/>
      <c r="AC13" s="4343"/>
      <c r="AD13" s="4353"/>
      <c r="AE13" s="4353"/>
      <c r="AF13" s="4353"/>
      <c r="AG13" s="4353"/>
      <c r="AH13" s="4353"/>
      <c r="AI13" s="4353"/>
      <c r="AJ13" s="4354"/>
      <c r="AK13" s="1295"/>
      <c r="AL13" s="1289"/>
    </row>
    <row r="14" spans="1:45" ht="12" customHeight="1" x14ac:dyDescent="0.2">
      <c r="A14" s="1289"/>
      <c r="B14" s="693"/>
      <c r="C14" s="4336" t="s">
        <v>2354</v>
      </c>
      <c r="D14" s="4337">
        <f>PDs!$AA34</f>
        <v>1</v>
      </c>
      <c r="E14" s="4346">
        <f>IF(OR(Tablas!$F$743&gt;0,Tablas!$G$1688&gt;0),"-",PDs!$AA28)</f>
        <v>8</v>
      </c>
      <c r="F14" s="4347"/>
      <c r="G14" s="4348"/>
      <c r="H14" s="4348"/>
      <c r="I14" s="4349"/>
      <c r="J14" s="2852"/>
      <c r="K14" s="1381" t="s">
        <v>2468</v>
      </c>
      <c r="L14" s="1382" t="s">
        <v>2469</v>
      </c>
      <c r="M14" s="4356" t="s">
        <v>2470</v>
      </c>
      <c r="N14" s="4356"/>
      <c r="O14" s="4356"/>
      <c r="P14" s="1379">
        <f>IF(Q14=0,10,"-")</f>
        <v>10</v>
      </c>
      <c r="Q14" s="1380"/>
      <c r="R14" s="5174" t="b">
        <f t="shared" si="1"/>
        <v>0</v>
      </c>
      <c r="S14" s="2850"/>
      <c r="T14" s="2850"/>
      <c r="U14" s="693"/>
      <c r="V14" s="4322"/>
      <c r="W14" s="4357"/>
      <c r="X14" s="4355"/>
      <c r="Y14" s="4335"/>
      <c r="Z14" s="1352"/>
      <c r="AA14" s="4341"/>
      <c r="AB14" s="4342"/>
      <c r="AC14" s="4343"/>
      <c r="AD14" s="4353"/>
      <c r="AE14" s="4353"/>
      <c r="AF14" s="4353"/>
      <c r="AG14" s="4353"/>
      <c r="AH14" s="4353"/>
      <c r="AI14" s="4353"/>
      <c r="AJ14" s="4354"/>
      <c r="AK14" s="1295"/>
      <c r="AL14" s="1289"/>
    </row>
    <row r="15" spans="1:45" ht="12" customHeight="1" x14ac:dyDescent="0.2">
      <c r="A15" s="1289"/>
      <c r="B15" s="693"/>
      <c r="C15" s="4336"/>
      <c r="D15" s="4337"/>
      <c r="E15" s="4346"/>
      <c r="F15" s="4347"/>
      <c r="G15" s="4348"/>
      <c r="H15" s="4348"/>
      <c r="I15" s="4349"/>
      <c r="J15" s="2852"/>
      <c r="K15" s="1381" t="s">
        <v>2465</v>
      </c>
      <c r="L15" s="4356" t="s">
        <v>2471</v>
      </c>
      <c r="M15" s="4356"/>
      <c r="N15" s="4356"/>
      <c r="O15" s="4356"/>
      <c r="P15" s="1379">
        <f>IF(Q15=0,40,"-")</f>
        <v>40</v>
      </c>
      <c r="Q15" s="1380"/>
      <c r="R15" s="5174" t="b">
        <f t="shared" si="1"/>
        <v>0</v>
      </c>
      <c r="S15" s="2850"/>
      <c r="T15" s="2850"/>
      <c r="U15" s="693"/>
      <c r="V15" s="4322" t="s">
        <v>2472</v>
      </c>
      <c r="W15" s="4357"/>
      <c r="X15" s="4355"/>
      <c r="Y15" s="4335"/>
      <c r="Z15" s="1383"/>
      <c r="AA15" s="4341"/>
      <c r="AB15" s="4342"/>
      <c r="AC15" s="4343"/>
      <c r="AD15" s="4353"/>
      <c r="AE15" s="4353"/>
      <c r="AF15" s="4353"/>
      <c r="AG15" s="4353"/>
      <c r="AH15" s="4353"/>
      <c r="AI15" s="4353"/>
      <c r="AJ15" s="4354"/>
      <c r="AK15" s="1295"/>
      <c r="AL15" s="1289"/>
    </row>
    <row r="16" spans="1:45" ht="12" customHeight="1" x14ac:dyDescent="0.2">
      <c r="A16" s="1289"/>
      <c r="B16" s="693"/>
      <c r="C16" s="4322" t="s">
        <v>2231</v>
      </c>
      <c r="D16" s="4324">
        <f>PDs!$AA35</f>
        <v>1</v>
      </c>
      <c r="E16" s="4326">
        <f>IF(OR(Tablas!$F$743&gt;0,Tablas!$G$1688&gt;0),"-",PDs!$AA29)</f>
        <v>8</v>
      </c>
      <c r="F16" s="4330"/>
      <c r="G16" s="4331"/>
      <c r="H16" s="4331"/>
      <c r="I16" s="4332"/>
      <c r="J16" s="2852"/>
      <c r="K16" s="1381" t="s">
        <v>2465</v>
      </c>
      <c r="L16" s="4356" t="s">
        <v>2473</v>
      </c>
      <c r="M16" s="4356"/>
      <c r="N16" s="4356"/>
      <c r="O16" s="4356"/>
      <c r="P16" s="1379">
        <f>IF(Q16=0,10,"-")</f>
        <v>10</v>
      </c>
      <c r="Q16" s="1380"/>
      <c r="R16" s="5174" t="b">
        <f t="shared" si="1"/>
        <v>0</v>
      </c>
      <c r="S16" s="2850"/>
      <c r="T16" s="2850"/>
      <c r="U16" s="693"/>
      <c r="V16" s="4322"/>
      <c r="W16" s="4357"/>
      <c r="X16" s="4355"/>
      <c r="Y16" s="4335"/>
      <c r="Z16" s="1383"/>
      <c r="AA16" s="4341"/>
      <c r="AB16" s="4342"/>
      <c r="AC16" s="4343"/>
      <c r="AD16" s="4353"/>
      <c r="AE16" s="4353"/>
      <c r="AF16" s="4353"/>
      <c r="AG16" s="4353"/>
      <c r="AH16" s="4353"/>
      <c r="AI16" s="4353"/>
      <c r="AJ16" s="4354"/>
      <c r="AK16" s="1295"/>
      <c r="AL16" s="1289"/>
      <c r="AO16" s="820"/>
      <c r="AP16" s="820"/>
      <c r="AQ16" s="820"/>
      <c r="AR16" s="820"/>
      <c r="AS16" s="820"/>
    </row>
    <row r="17" spans="1:47" ht="12" customHeight="1" x14ac:dyDescent="0.2">
      <c r="A17" s="1289"/>
      <c r="B17" s="693"/>
      <c r="C17" s="4322"/>
      <c r="D17" s="4324"/>
      <c r="E17" s="4326"/>
      <c r="F17" s="4330"/>
      <c r="G17" s="4331"/>
      <c r="H17" s="4331"/>
      <c r="I17" s="4332"/>
      <c r="J17" s="2852"/>
      <c r="K17" s="1381" t="s">
        <v>2468</v>
      </c>
      <c r="L17" s="1384" t="s">
        <v>2465</v>
      </c>
      <c r="M17" s="4352" t="s">
        <v>2474</v>
      </c>
      <c r="N17" s="4352"/>
      <c r="O17" s="4352"/>
      <c r="P17" s="1379">
        <f>IF(Q17=0,30,"-")</f>
        <v>30</v>
      </c>
      <c r="Q17" s="1380"/>
      <c r="R17" s="5174" t="b">
        <f t="shared" si="1"/>
        <v>0</v>
      </c>
      <c r="S17" s="2850"/>
      <c r="T17" s="2850"/>
      <c r="U17" s="693"/>
      <c r="V17" s="4322" t="s">
        <v>2475</v>
      </c>
      <c r="W17" s="4357"/>
      <c r="X17" s="4355"/>
      <c r="Y17" s="4335"/>
      <c r="Z17" s="1385"/>
      <c r="AA17" s="4341"/>
      <c r="AB17" s="4342"/>
      <c r="AC17" s="4343"/>
      <c r="AD17" s="4353"/>
      <c r="AE17" s="4353"/>
      <c r="AF17" s="4353"/>
      <c r="AG17" s="4353"/>
      <c r="AH17" s="4353"/>
      <c r="AI17" s="4353"/>
      <c r="AJ17" s="4354"/>
      <c r="AK17" s="1295"/>
      <c r="AL17" s="1289"/>
      <c r="AO17" s="820"/>
      <c r="AP17" s="820"/>
      <c r="AQ17" s="820"/>
      <c r="AR17" s="820"/>
      <c r="AS17" s="820"/>
    </row>
    <row r="18" spans="1:47" ht="12" customHeight="1" x14ac:dyDescent="0.2">
      <c r="A18" s="1289"/>
      <c r="B18" s="693"/>
      <c r="C18" s="4336" t="s">
        <v>2236</v>
      </c>
      <c r="D18" s="4337">
        <f>PDs!$AA36</f>
        <v>1</v>
      </c>
      <c r="E18" s="4346">
        <f>IF(OR(Tablas!$F$743&gt;0,Tablas!$G$1688&gt;0),"-",PDs!$AA30)</f>
        <v>8</v>
      </c>
      <c r="F18" s="4347"/>
      <c r="G18" s="4348"/>
      <c r="H18" s="4348"/>
      <c r="I18" s="4349"/>
      <c r="J18" s="2852"/>
      <c r="K18" s="1381" t="s">
        <v>2468</v>
      </c>
      <c r="L18" s="1384" t="s">
        <v>2468</v>
      </c>
      <c r="M18" s="1384" t="s">
        <v>2476</v>
      </c>
      <c r="N18" s="4358" t="s">
        <v>2477</v>
      </c>
      <c r="O18" s="4358"/>
      <c r="P18" s="1379">
        <f>IF(Q18=0,20,"-")</f>
        <v>20</v>
      </c>
      <c r="Q18" s="1380"/>
      <c r="R18" s="5174" t="b">
        <f t="shared" si="1"/>
        <v>0</v>
      </c>
      <c r="S18" s="2850"/>
      <c r="T18" s="2850"/>
      <c r="U18" s="693"/>
      <c r="V18" s="4322"/>
      <c r="W18" s="4357"/>
      <c r="X18" s="4355"/>
      <c r="Y18" s="4335"/>
      <c r="Z18" s="1386"/>
      <c r="AA18" s="4341"/>
      <c r="AB18" s="4342"/>
      <c r="AC18" s="4343"/>
      <c r="AD18" s="4353"/>
      <c r="AE18" s="4353"/>
      <c r="AF18" s="4353"/>
      <c r="AG18" s="4353"/>
      <c r="AH18" s="4353"/>
      <c r="AI18" s="4353"/>
      <c r="AJ18" s="4354"/>
      <c r="AK18" s="1295"/>
      <c r="AL18" s="1289"/>
      <c r="AO18" s="820"/>
      <c r="AP18" s="820"/>
      <c r="AQ18" s="820"/>
      <c r="AR18" s="820"/>
      <c r="AS18" s="820"/>
    </row>
    <row r="19" spans="1:47" ht="12" customHeight="1" x14ac:dyDescent="0.2">
      <c r="A19" s="1289"/>
      <c r="B19" s="693"/>
      <c r="C19" s="4336"/>
      <c r="D19" s="4337"/>
      <c r="E19" s="4346"/>
      <c r="F19" s="4347"/>
      <c r="G19" s="4348"/>
      <c r="H19" s="4348"/>
      <c r="I19" s="4349"/>
      <c r="J19" s="2852"/>
      <c r="K19" s="1381" t="s">
        <v>2468</v>
      </c>
      <c r="L19" s="1384" t="s">
        <v>2465</v>
      </c>
      <c r="M19" s="4352" t="s">
        <v>2478</v>
      </c>
      <c r="N19" s="4352"/>
      <c r="O19" s="4352"/>
      <c r="P19" s="1379">
        <f>IF(Q19=0,30,"-")</f>
        <v>30</v>
      </c>
      <c r="Q19" s="1380"/>
      <c r="R19" s="5174" t="b">
        <f t="shared" si="1"/>
        <v>0</v>
      </c>
      <c r="S19" s="2850"/>
      <c r="T19" s="2850"/>
      <c r="U19" s="693"/>
      <c r="V19" s="4322" t="s">
        <v>2479</v>
      </c>
      <c r="W19" s="4357"/>
      <c r="X19" s="4364"/>
      <c r="Y19" s="4335"/>
      <c r="Z19" s="1386"/>
      <c r="AA19" s="4341"/>
      <c r="AB19" s="4342"/>
      <c r="AC19" s="4343"/>
      <c r="AD19" s="4353"/>
      <c r="AE19" s="4353"/>
      <c r="AF19" s="4353"/>
      <c r="AG19" s="4353"/>
      <c r="AH19" s="4353"/>
      <c r="AI19" s="4353"/>
      <c r="AJ19" s="4354"/>
      <c r="AK19" s="1295"/>
      <c r="AL19" s="1289"/>
      <c r="AM19" s="1334"/>
      <c r="AO19" s="820"/>
      <c r="AP19" s="820"/>
      <c r="AQ19" s="820"/>
      <c r="AR19" s="820"/>
      <c r="AS19" s="820"/>
    </row>
    <row r="20" spans="1:47" ht="12" customHeight="1" thickBot="1" x14ac:dyDescent="0.25">
      <c r="A20" s="1289"/>
      <c r="B20" s="693"/>
      <c r="C20" s="4322" t="s">
        <v>2244</v>
      </c>
      <c r="D20" s="4324">
        <f>PDs!$AA37</f>
        <v>1</v>
      </c>
      <c r="E20" s="4326">
        <f>IF(OR(Tablas!$F$743&gt;0,Tablas!$G$1688&gt;0),"-",PDs!$AA31)</f>
        <v>8</v>
      </c>
      <c r="F20" s="4330"/>
      <c r="G20" s="4331"/>
      <c r="H20" s="4331"/>
      <c r="I20" s="4332"/>
      <c r="J20" s="2852"/>
      <c r="K20" s="1381" t="s">
        <v>2468</v>
      </c>
      <c r="L20" s="1384" t="s">
        <v>2468</v>
      </c>
      <c r="M20" s="1384" t="s">
        <v>2465</v>
      </c>
      <c r="N20" s="4356" t="s">
        <v>2480</v>
      </c>
      <c r="O20" s="4356"/>
      <c r="P20" s="1379">
        <f>IF(Q20=0,30,"-")</f>
        <v>30</v>
      </c>
      <c r="Q20" s="1380"/>
      <c r="R20" s="5174" t="b">
        <f t="shared" si="1"/>
        <v>0</v>
      </c>
      <c r="S20" s="2850"/>
      <c r="T20" s="2850"/>
      <c r="U20" s="693"/>
      <c r="V20" s="4362"/>
      <c r="W20" s="4363"/>
      <c r="X20" s="4365"/>
      <c r="Y20" s="4366"/>
      <c r="Z20" s="1386"/>
      <c r="AA20" s="4359"/>
      <c r="AB20" s="4360"/>
      <c r="AC20" s="4361"/>
      <c r="AD20" s="4377"/>
      <c r="AE20" s="4377"/>
      <c r="AF20" s="4377"/>
      <c r="AG20" s="4377"/>
      <c r="AH20" s="4377"/>
      <c r="AI20" s="4377"/>
      <c r="AJ20" s="4378"/>
      <c r="AK20" s="1295"/>
      <c r="AL20" s="1289"/>
      <c r="AM20" s="1348"/>
      <c r="AN20" s="1337"/>
      <c r="AO20" s="1337"/>
      <c r="AP20" s="1337"/>
      <c r="AQ20" s="1337"/>
      <c r="AR20" s="1337"/>
      <c r="AS20" s="1337"/>
      <c r="AT20" s="1337"/>
      <c r="AU20" s="1337"/>
    </row>
    <row r="21" spans="1:47" ht="12" customHeight="1" thickBot="1" x14ac:dyDescent="0.25">
      <c r="A21" s="1289"/>
      <c r="B21" s="693"/>
      <c r="C21" s="4322"/>
      <c r="D21" s="4324"/>
      <c r="E21" s="4326"/>
      <c r="F21" s="4330"/>
      <c r="G21" s="4331"/>
      <c r="H21" s="4331"/>
      <c r="I21" s="4332"/>
      <c r="J21" s="2852"/>
      <c r="K21" s="1381" t="s">
        <v>2468</v>
      </c>
      <c r="L21" s="1384" t="s">
        <v>2468</v>
      </c>
      <c r="M21" s="1384" t="s">
        <v>2468</v>
      </c>
      <c r="N21" s="4352" t="s">
        <v>2481</v>
      </c>
      <c r="O21" s="4352"/>
      <c r="P21" s="1379">
        <f>IF(Q21=0,40,"-")</f>
        <v>40</v>
      </c>
      <c r="Q21" s="1380"/>
      <c r="R21" s="5174" t="b">
        <f t="shared" si="1"/>
        <v>0</v>
      </c>
      <c r="S21" s="2850"/>
      <c r="T21" s="2850"/>
      <c r="U21" s="693"/>
      <c r="AK21" s="1295"/>
      <c r="AL21" s="1289"/>
      <c r="AM21" s="1348"/>
      <c r="AN21" s="1337"/>
      <c r="AO21" s="1337"/>
      <c r="AP21" s="1337"/>
      <c r="AQ21" s="1337"/>
      <c r="AR21" s="1337"/>
      <c r="AS21" s="1337"/>
      <c r="AT21" s="1337"/>
      <c r="AU21" s="1337"/>
    </row>
    <row r="22" spans="1:47" ht="12" customHeight="1" x14ac:dyDescent="0.2">
      <c r="A22" s="1289"/>
      <c r="B22" s="693"/>
      <c r="C22" s="4336" t="s">
        <v>2245</v>
      </c>
      <c r="D22" s="4337">
        <f>PDs!$AA38</f>
        <v>1</v>
      </c>
      <c r="E22" s="4346">
        <f>IF(OR(Tablas!$F$743&gt;0,Tablas!$G$1688&gt;0),"-",PDs!$AA32)</f>
        <v>8</v>
      </c>
      <c r="F22" s="4347"/>
      <c r="G22" s="4348"/>
      <c r="H22" s="4348"/>
      <c r="I22" s="4349"/>
      <c r="J22" s="2852"/>
      <c r="K22" s="1381" t="s">
        <v>2468</v>
      </c>
      <c r="L22" s="1384" t="s">
        <v>2468</v>
      </c>
      <c r="M22" s="1384" t="s">
        <v>2476</v>
      </c>
      <c r="N22" s="4356" t="s">
        <v>2482</v>
      </c>
      <c r="O22" s="4356"/>
      <c r="P22" s="1379">
        <f>IF(Q22=0,30,"-")</f>
        <v>30</v>
      </c>
      <c r="Q22" s="1380"/>
      <c r="R22" s="5174" t="b">
        <f t="shared" si="1"/>
        <v>0</v>
      </c>
      <c r="S22" s="2850"/>
      <c r="T22" s="2850"/>
      <c r="U22" s="693"/>
      <c r="V22" s="4082" t="s">
        <v>2453</v>
      </c>
      <c r="W22" s="4083"/>
      <c r="X22" s="4083"/>
      <c r="Y22" s="4083"/>
      <c r="Z22" s="4083"/>
      <c r="AA22" s="4084"/>
      <c r="AB22" s="1424" t="s">
        <v>2356</v>
      </c>
      <c r="AD22" s="4082" t="s">
        <v>2453</v>
      </c>
      <c r="AE22" s="4083"/>
      <c r="AF22" s="4083"/>
      <c r="AG22" s="4083"/>
      <c r="AH22" s="4083"/>
      <c r="AI22" s="4084"/>
      <c r="AJ22" s="1424" t="s">
        <v>2356</v>
      </c>
      <c r="AK22" s="1295"/>
      <c r="AL22" s="1289"/>
      <c r="AM22" s="1348"/>
      <c r="AN22" s="1337"/>
      <c r="AO22" s="1337"/>
      <c r="AP22" s="1337"/>
      <c r="AQ22" s="1337"/>
      <c r="AR22" s="1337"/>
      <c r="AS22" s="1337"/>
      <c r="AT22" s="1337"/>
      <c r="AU22" s="1337"/>
    </row>
    <row r="23" spans="1:47" ht="12" customHeight="1" x14ac:dyDescent="0.2">
      <c r="A23" s="1289"/>
      <c r="B23" s="693"/>
      <c r="C23" s="4371"/>
      <c r="D23" s="4372"/>
      <c r="E23" s="4373"/>
      <c r="F23" s="4374"/>
      <c r="G23" s="4375"/>
      <c r="H23" s="4375"/>
      <c r="I23" s="4376"/>
      <c r="J23" s="2852"/>
      <c r="K23" s="1381" t="s">
        <v>2468</v>
      </c>
      <c r="L23" s="1384" t="s">
        <v>2468</v>
      </c>
      <c r="M23" s="1387"/>
      <c r="N23" s="4352" t="s">
        <v>2483</v>
      </c>
      <c r="O23" s="4352"/>
      <c r="P23" s="1379">
        <f>IF(Q23=0,40,"-")</f>
        <v>40</v>
      </c>
      <c r="Q23" s="1380"/>
      <c r="R23" s="5174" t="b">
        <f t="shared" si="1"/>
        <v>0</v>
      </c>
      <c r="S23" s="2850"/>
      <c r="T23" s="2850"/>
      <c r="U23" s="1388">
        <f>IF(V23=0,0,1)</f>
        <v>0</v>
      </c>
      <c r="V23" s="4367"/>
      <c r="W23" s="4328"/>
      <c r="X23" s="4328"/>
      <c r="Y23" s="4328"/>
      <c r="Z23" s="4328"/>
      <c r="AA23" s="4368"/>
      <c r="AB23" s="4369" t="str">
        <f>IF(V23="","",VLOOKUP(V23,'Tablas Técnicas'!$AD$5:$AI$188,3,FALSE))</f>
        <v/>
      </c>
      <c r="AD23" s="4367"/>
      <c r="AE23" s="4328"/>
      <c r="AF23" s="4328"/>
      <c r="AG23" s="4328"/>
      <c r="AH23" s="4328"/>
      <c r="AI23" s="4368"/>
      <c r="AJ23" s="4369" t="str">
        <f>IF(AD23="","",VLOOKUP(AD23,'Tablas Técnicas'!$AD$5:$AI$188,3,FALSE))</f>
        <v/>
      </c>
      <c r="AK23" s="1295"/>
      <c r="AL23" s="1289"/>
      <c r="AM23" s="1348"/>
      <c r="AN23" s="1337"/>
      <c r="AO23" s="1337"/>
      <c r="AP23" s="1337"/>
      <c r="AQ23" s="1337"/>
      <c r="AR23" s="1337"/>
      <c r="AS23" s="1337"/>
      <c r="AT23" s="1337"/>
      <c r="AU23" s="1337"/>
    </row>
    <row r="24" spans="1:47" ht="12" customHeight="1" x14ac:dyDescent="0.2">
      <c r="A24" s="1289"/>
      <c r="B24" s="693"/>
      <c r="C24" s="1389" t="s">
        <v>2484</v>
      </c>
      <c r="D24" s="4323">
        <f>D12+D14+D16+D18+D20+D22</f>
        <v>6</v>
      </c>
      <c r="E24" s="4325">
        <f>IF(OR(Tablas!F590&gt;0,Tablas!$G$1737&gt;0),((PDs!AA31*6)+(PDs!V27+PDs!V28+PDs!V29+PDs!V30+PDs!V31+PDs!V32)),(E12+E14+E16+E18+E20+E22))</f>
        <v>48</v>
      </c>
      <c r="F24" s="4381"/>
      <c r="G24" s="4382"/>
      <c r="H24" s="4382"/>
      <c r="I24" s="4383"/>
      <c r="J24" s="2852"/>
      <c r="K24" s="1381" t="s">
        <v>2468</v>
      </c>
      <c r="L24" s="1384" t="s">
        <v>2476</v>
      </c>
      <c r="M24" s="4356" t="s">
        <v>2485</v>
      </c>
      <c r="N24" s="4356"/>
      <c r="O24" s="4356"/>
      <c r="P24" s="1379">
        <f>IF(Q24=0,20,"-")</f>
        <v>20</v>
      </c>
      <c r="Q24" s="1380"/>
      <c r="R24" s="5174" t="b">
        <f t="shared" si="1"/>
        <v>0</v>
      </c>
      <c r="S24" s="2850"/>
      <c r="T24" s="2850"/>
      <c r="U24" s="1388"/>
      <c r="V24" s="4387" t="str">
        <f>IF(V23="","",VLOOKUP(V23,'Tablas Técnicas'!$AD$5:$AI$188,4,FALSE))</f>
        <v/>
      </c>
      <c r="W24" s="4388"/>
      <c r="X24" s="4388"/>
      <c r="Y24" s="4388"/>
      <c r="Z24" s="1451" t="s">
        <v>2171</v>
      </c>
      <c r="AA24" s="1558" t="str">
        <f>IF(V23="","",VLOOKUP(V23,'Tablas Técnicas'!$AD$5:$AI$188,2,FALSE))</f>
        <v/>
      </c>
      <c r="AB24" s="4370"/>
      <c r="AD24" s="4387" t="str">
        <f>IF(AD23="","",VLOOKUP(AD23,'Tablas Técnicas'!$AD$5:$AI$188,4,FALSE))</f>
        <v/>
      </c>
      <c r="AE24" s="4388"/>
      <c r="AF24" s="4388"/>
      <c r="AG24" s="4388"/>
      <c r="AH24" s="1429" t="s">
        <v>2171</v>
      </c>
      <c r="AI24" s="1431" t="str">
        <f>IF(AD23="","",VLOOKUP(AD23,'Tablas Técnicas'!$AD$5:$AI$188,2,FALSE))</f>
        <v/>
      </c>
      <c r="AJ24" s="4370"/>
      <c r="AK24" s="1295"/>
      <c r="AL24" s="1289"/>
      <c r="AM24" s="1337"/>
      <c r="AN24" s="1337"/>
      <c r="AO24" s="1337"/>
      <c r="AP24" s="1337"/>
      <c r="AQ24" s="1337"/>
      <c r="AR24" s="1337"/>
      <c r="AS24" s="1337"/>
      <c r="AT24" s="1337"/>
      <c r="AU24" s="1337"/>
    </row>
    <row r="25" spans="1:47" ht="12" customHeight="1" thickBot="1" x14ac:dyDescent="0.25">
      <c r="A25" s="1289"/>
      <c r="B25" s="693"/>
      <c r="C25" s="1390" t="s">
        <v>2202</v>
      </c>
      <c r="D25" s="4379"/>
      <c r="E25" s="4380"/>
      <c r="F25" s="4384"/>
      <c r="G25" s="4385"/>
      <c r="H25" s="4385"/>
      <c r="I25" s="4386"/>
      <c r="J25" s="2852"/>
      <c r="K25" s="1381" t="s">
        <v>2465</v>
      </c>
      <c r="L25" s="4356" t="s">
        <v>2486</v>
      </c>
      <c r="M25" s="4356"/>
      <c r="N25" s="4356"/>
      <c r="O25" s="4356"/>
      <c r="P25" s="1379">
        <f>IF(Q25=0,50,"-")</f>
        <v>50</v>
      </c>
      <c r="Q25" s="1380"/>
      <c r="R25" s="5174" t="b">
        <f t="shared" si="1"/>
        <v>0</v>
      </c>
      <c r="S25" s="2850"/>
      <c r="T25" s="2850"/>
      <c r="U25" s="1388">
        <f t="shared" ref="U25:U63" si="2">IF(V25=0,0,1)</f>
        <v>0</v>
      </c>
      <c r="V25" s="4389"/>
      <c r="W25" s="4348"/>
      <c r="X25" s="4348"/>
      <c r="Y25" s="4348"/>
      <c r="Z25" s="4348"/>
      <c r="AA25" s="4390"/>
      <c r="AB25" s="4391" t="str">
        <f>IF(V25="","",VLOOKUP(V25,'Tablas Técnicas'!$AD$5:$AI$188,3,FALSE))</f>
        <v/>
      </c>
      <c r="AD25" s="4389"/>
      <c r="AE25" s="4348"/>
      <c r="AF25" s="4348"/>
      <c r="AG25" s="4348"/>
      <c r="AH25" s="4348"/>
      <c r="AI25" s="4390"/>
      <c r="AJ25" s="4391" t="str">
        <f>IF(AD25="","",VLOOKUP(AD25,'Tablas Técnicas'!$AD$5:$AI$188,3,FALSE))</f>
        <v/>
      </c>
      <c r="AK25" s="1295"/>
      <c r="AL25" s="1289"/>
      <c r="AM25" s="1337"/>
      <c r="AN25" s="1337"/>
      <c r="AO25" s="1337"/>
      <c r="AP25" s="1337"/>
      <c r="AQ25" s="1337"/>
      <c r="AR25" s="1337"/>
      <c r="AS25" s="1337"/>
      <c r="AT25" s="1337"/>
      <c r="AU25" s="1337"/>
    </row>
    <row r="26" spans="1:47" ht="12" customHeight="1" thickBot="1" x14ac:dyDescent="0.25">
      <c r="A26" s="1289"/>
      <c r="B26" s="693"/>
      <c r="J26" s="2852"/>
      <c r="K26" s="1381" t="s">
        <v>2476</v>
      </c>
      <c r="L26" s="4356" t="s">
        <v>2487</v>
      </c>
      <c r="M26" s="4356"/>
      <c r="N26" s="4356"/>
      <c r="O26" s="4356"/>
      <c r="P26" s="1379">
        <f>IF(Q26=0,20,"-")</f>
        <v>20</v>
      </c>
      <c r="Q26" s="1380"/>
      <c r="R26" s="5174" t="b">
        <f t="shared" si="1"/>
        <v>0</v>
      </c>
      <c r="S26" s="2850"/>
      <c r="T26" s="2850"/>
      <c r="U26" s="1388"/>
      <c r="V26" s="4394" t="str">
        <f>IF(V25="","",VLOOKUP(V25,'Tablas Técnicas'!$AD$5:$AI$188,4,FALSE))</f>
        <v/>
      </c>
      <c r="W26" s="4395"/>
      <c r="X26" s="4395"/>
      <c r="Y26" s="4395"/>
      <c r="Z26" s="1352" t="s">
        <v>2171</v>
      </c>
      <c r="AA26" s="1391" t="str">
        <f>IF(V25="","",VLOOKUP(V25,'Tablas Técnicas'!$AD$5:$AI$188,2,FALSE))</f>
        <v/>
      </c>
      <c r="AB26" s="4391"/>
      <c r="AD26" s="4394" t="str">
        <f>IF(AD25="","",VLOOKUP(AD25,'Tablas Técnicas'!$AD$5:$AI$188,4,FALSE))</f>
        <v/>
      </c>
      <c r="AE26" s="4395"/>
      <c r="AF26" s="4395"/>
      <c r="AG26" s="4395"/>
      <c r="AH26" s="1352" t="s">
        <v>2171</v>
      </c>
      <c r="AI26" s="1391" t="str">
        <f>IF(AD25="","",VLOOKUP(AD25,'Tablas Técnicas'!$AD$5:$AI$188,2,FALSE))</f>
        <v/>
      </c>
      <c r="AJ26" s="4391"/>
      <c r="AK26" s="1295"/>
      <c r="AL26" s="1289"/>
      <c r="AM26" s="1337"/>
      <c r="AN26" s="1337"/>
      <c r="AO26" s="1337"/>
      <c r="AP26" s="1337"/>
      <c r="AQ26" s="1337"/>
      <c r="AR26" s="1337"/>
      <c r="AS26" s="1337"/>
      <c r="AT26" s="1337"/>
      <c r="AU26" s="1337"/>
    </row>
    <row r="27" spans="1:47" ht="12" customHeight="1" thickBot="1" x14ac:dyDescent="0.25">
      <c r="A27" s="1289"/>
      <c r="B27" s="693"/>
      <c r="C27" s="4150" t="s">
        <v>2488</v>
      </c>
      <c r="D27" s="4151"/>
      <c r="E27" s="4151"/>
      <c r="F27" s="4152"/>
      <c r="H27" s="4315" t="s">
        <v>2489</v>
      </c>
      <c r="I27" s="4317"/>
      <c r="J27" s="2852"/>
      <c r="K27" s="4333" t="s">
        <v>2490</v>
      </c>
      <c r="L27" s="4401"/>
      <c r="M27" s="4401"/>
      <c r="N27" s="4401"/>
      <c r="O27" s="4401"/>
      <c r="P27" s="1379">
        <f>IF(Q27=0,10,"-")</f>
        <v>10</v>
      </c>
      <c r="Q27" s="1380"/>
      <c r="R27" s="5174" t="b">
        <f t="shared" si="1"/>
        <v>0</v>
      </c>
      <c r="S27" s="2850"/>
      <c r="T27" s="2850"/>
      <c r="U27" s="1388">
        <f t="shared" si="2"/>
        <v>0</v>
      </c>
      <c r="V27" s="4392"/>
      <c r="W27" s="4331"/>
      <c r="X27" s="4331"/>
      <c r="Y27" s="4331"/>
      <c r="Z27" s="4331"/>
      <c r="AA27" s="4393"/>
      <c r="AB27" s="4370" t="str">
        <f>IF(V27="","",VLOOKUP(V27,'Tablas Técnicas'!$AD$5:$AI$188,3,FALSE))</f>
        <v/>
      </c>
      <c r="AD27" s="4392"/>
      <c r="AE27" s="4331"/>
      <c r="AF27" s="4331"/>
      <c r="AG27" s="4331"/>
      <c r="AH27" s="4331"/>
      <c r="AI27" s="4393"/>
      <c r="AJ27" s="4370" t="str">
        <f>IF(AD27="","",VLOOKUP(AD27,'Tablas Técnicas'!$AD$5:$AI$188,3,FALSE))</f>
        <v/>
      </c>
      <c r="AK27" s="1295"/>
      <c r="AL27" s="1289"/>
      <c r="AM27" s="1337"/>
      <c r="AN27" s="1337"/>
      <c r="AO27" s="1337"/>
      <c r="AP27" s="1337"/>
      <c r="AQ27" s="1337"/>
      <c r="AR27" s="1337"/>
      <c r="AS27" s="1337"/>
      <c r="AT27" s="1337"/>
      <c r="AU27" s="1337"/>
    </row>
    <row r="28" spans="1:47" ht="12" customHeight="1" x14ac:dyDescent="0.2">
      <c r="A28" s="1289"/>
      <c r="B28" s="693"/>
      <c r="C28" s="4410" t="s">
        <v>2491</v>
      </c>
      <c r="D28" s="4411"/>
      <c r="E28" s="4412" t="s">
        <v>2492</v>
      </c>
      <c r="F28" s="4413"/>
      <c r="G28" s="1392">
        <f>Tablas!$G$1066</f>
        <v>0</v>
      </c>
      <c r="H28" s="4414"/>
      <c r="I28" s="4415"/>
      <c r="J28" s="2852"/>
      <c r="K28" s="1381" t="s">
        <v>2476</v>
      </c>
      <c r="L28" s="4356" t="s">
        <v>2493</v>
      </c>
      <c r="M28" s="4356"/>
      <c r="N28" s="4356"/>
      <c r="O28" s="4356"/>
      <c r="P28" s="1379">
        <f>IF(Q28=0,20,"-")</f>
        <v>20</v>
      </c>
      <c r="Q28" s="1380"/>
      <c r="R28" s="5174" t="b">
        <f t="shared" si="1"/>
        <v>0</v>
      </c>
      <c r="S28" s="2850"/>
      <c r="T28" s="2850"/>
      <c r="U28" s="1388"/>
      <c r="V28" s="4204" t="str">
        <f>IF(V27="","",VLOOKUP(V27,'Tablas Técnicas'!$AD$5:$AI$188,4,FALSE))</f>
        <v/>
      </c>
      <c r="W28" s="4153"/>
      <c r="X28" s="4153"/>
      <c r="Y28" s="4153"/>
      <c r="Z28" s="1429" t="s">
        <v>2171</v>
      </c>
      <c r="AA28" s="1431" t="str">
        <f>IF(V27="","",VLOOKUP(V27,'Tablas Técnicas'!$AD$5:$AI$188,2,FALSE))</f>
        <v/>
      </c>
      <c r="AB28" s="4370"/>
      <c r="AD28" s="4204" t="str">
        <f>IF(AD27="","",VLOOKUP(AD27,'Tablas Técnicas'!$AD$5:$AI$188,4,FALSE))</f>
        <v/>
      </c>
      <c r="AE28" s="4153"/>
      <c r="AF28" s="4153"/>
      <c r="AG28" s="4153"/>
      <c r="AH28" s="1429" t="s">
        <v>2171</v>
      </c>
      <c r="AI28" s="1431" t="str">
        <f>IF(AD27="","",VLOOKUP(AD27,'Tablas Técnicas'!$AD$5:$AI$188,2,FALSE))</f>
        <v/>
      </c>
      <c r="AJ28" s="4370"/>
      <c r="AK28" s="1295"/>
      <c r="AL28" s="1289"/>
      <c r="AM28" s="1337"/>
      <c r="AN28" s="1337"/>
      <c r="AO28" s="1337"/>
      <c r="AP28" s="1337"/>
      <c r="AQ28" s="1337"/>
      <c r="AR28" s="1337"/>
      <c r="AS28" s="1337"/>
      <c r="AT28" s="1337"/>
      <c r="AU28" s="1337"/>
    </row>
    <row r="29" spans="1:47" ht="12" customHeight="1" x14ac:dyDescent="0.2">
      <c r="A29" s="1289"/>
      <c r="B29" s="693"/>
      <c r="C29" s="4402">
        <f>CM_final</f>
        <v>10</v>
      </c>
      <c r="D29" s="4403"/>
      <c r="E29" s="4403">
        <f>SUM(Q10:Q64)+SUM(I43:I64)+IF(I40="",0,I40)+IF(I41="",0,I41)+SUM(PDs!AA78:AA82)+IF(X11=0,0,30)+IF(X13=0,0,30)+IF(X15=0,0,30)+IF(X17=0,0,30)+IF(X19=0,0,30)+IF(Y11=0,0,60)+IF(Y13=0,0,60)+IF(Y15=0,0,60)+IF(Y17=0,0,60)+IF(Y19=0,0,60)+IF(H28=0,0,5)+IF(H29=0,0,5)+IF(H30=0,0,10)+IF(H31=0,0,10)+IF(H32=0,0,15)+IF(H33=0,0,15)+IF(H34=0,0,20)+IF(H35=0,0,20)+IF(H36=0,0,25)+IF(H37=0,0,25)+SUM(AB23:AB64)+SUM(AJ23:AJ64)</f>
        <v>10</v>
      </c>
      <c r="F29" s="4406"/>
      <c r="H29" s="4408"/>
      <c r="I29" s="4409"/>
      <c r="J29" s="2852"/>
      <c r="K29" s="1393"/>
      <c r="L29" s="1384" t="s">
        <v>2465</v>
      </c>
      <c r="M29" s="4356" t="s">
        <v>2494</v>
      </c>
      <c r="N29" s="4356"/>
      <c r="O29" s="4356"/>
      <c r="P29" s="1379">
        <f>IF(Q29=0,10,"-")</f>
        <v>10</v>
      </c>
      <c r="Q29" s="1380"/>
      <c r="R29" s="5174" t="b">
        <f t="shared" si="1"/>
        <v>0</v>
      </c>
      <c r="S29" s="2850"/>
      <c r="T29" s="2850"/>
      <c r="U29" s="1388">
        <f t="shared" si="2"/>
        <v>0</v>
      </c>
      <c r="V29" s="4389"/>
      <c r="W29" s="4348"/>
      <c r="X29" s="4348"/>
      <c r="Y29" s="4348"/>
      <c r="Z29" s="4348"/>
      <c r="AA29" s="4390"/>
      <c r="AB29" s="4391" t="str">
        <f>IF(V29="","",VLOOKUP(V29,'Tablas Técnicas'!$AD$5:$AI$188,3,FALSE))</f>
        <v/>
      </c>
      <c r="AD29" s="4389"/>
      <c r="AE29" s="4348"/>
      <c r="AF29" s="4348"/>
      <c r="AG29" s="4348"/>
      <c r="AH29" s="4348"/>
      <c r="AI29" s="4390"/>
      <c r="AJ29" s="4391" t="str">
        <f>IF(AD29="","",VLOOKUP(AD29,'Tablas Técnicas'!$AD$5:$AI$188,3,FALSE))</f>
        <v/>
      </c>
      <c r="AK29" s="1295"/>
      <c r="AL29" s="1289"/>
      <c r="AM29" s="1337"/>
      <c r="AN29" s="1337"/>
      <c r="AO29" s="1337"/>
      <c r="AP29" s="1337"/>
      <c r="AQ29" s="1337"/>
      <c r="AR29" s="1337"/>
      <c r="AS29" s="1337"/>
      <c r="AT29" s="1337"/>
      <c r="AU29" s="1337"/>
    </row>
    <row r="30" spans="1:47" ht="12" customHeight="1" x14ac:dyDescent="0.2">
      <c r="A30" s="1289"/>
      <c r="B30" s="693"/>
      <c r="C30" s="4404"/>
      <c r="D30" s="4405"/>
      <c r="E30" s="4405"/>
      <c r="F30" s="4407"/>
      <c r="H30" s="4396"/>
      <c r="I30" s="4397"/>
      <c r="J30" s="2852"/>
      <c r="K30" s="1393"/>
      <c r="L30" s="1384" t="s">
        <v>2465</v>
      </c>
      <c r="M30" s="4356" t="s">
        <v>2495</v>
      </c>
      <c r="N30" s="4356"/>
      <c r="O30" s="4356"/>
      <c r="P30" s="1379">
        <f>IF(Q30=0,20,"-")</f>
        <v>20</v>
      </c>
      <c r="Q30" s="1380"/>
      <c r="R30" s="5174" t="b">
        <f t="shared" si="1"/>
        <v>0</v>
      </c>
      <c r="S30" s="2850"/>
      <c r="T30" s="2850"/>
      <c r="U30" s="1388"/>
      <c r="V30" s="4394" t="str">
        <f>IF(V29="","",VLOOKUP(V29,'Tablas Técnicas'!$AD$5:$AI$188,4,FALSE))</f>
        <v/>
      </c>
      <c r="W30" s="4395"/>
      <c r="X30" s="4395"/>
      <c r="Y30" s="4395"/>
      <c r="Z30" s="1352" t="s">
        <v>2171</v>
      </c>
      <c r="AA30" s="1391" t="str">
        <f>IF(V29="","",VLOOKUP(V29,'Tablas Técnicas'!$AD$5:$AI$188,2,FALSE))</f>
        <v/>
      </c>
      <c r="AB30" s="4391"/>
      <c r="AD30" s="4394" t="str">
        <f>IF(AD29="","",VLOOKUP(AD29,'Tablas Técnicas'!$AD$5:$AI$188,4,FALSE))</f>
        <v/>
      </c>
      <c r="AE30" s="4395"/>
      <c r="AF30" s="4395"/>
      <c r="AG30" s="4395"/>
      <c r="AH30" s="1352" t="s">
        <v>2171</v>
      </c>
      <c r="AI30" s="1391" t="str">
        <f>IF(AD29="","",VLOOKUP(AD29,'Tablas Técnicas'!$AD$5:$AI$188,2,FALSE))</f>
        <v/>
      </c>
      <c r="AJ30" s="4391"/>
      <c r="AK30" s="1295"/>
      <c r="AL30" s="1289"/>
      <c r="AM30" s="1337"/>
      <c r="AN30" s="1337"/>
      <c r="AO30" s="1337"/>
      <c r="AP30" s="1337"/>
      <c r="AQ30" s="1337"/>
      <c r="AR30" s="1337"/>
      <c r="AS30" s="1337"/>
      <c r="AT30" s="1337"/>
      <c r="AU30" s="1337"/>
    </row>
    <row r="31" spans="1:47" ht="12" customHeight="1" thickBot="1" x14ac:dyDescent="0.25">
      <c r="A31" s="1289"/>
      <c r="B31" s="693"/>
      <c r="C31" s="4398" t="str">
        <f>IF(E29&gt;C29,"Exceso de CM",IF(Tablas!Q110,IF(E29&gt;C29*VLOOKUP(Nivel_Sobrenatural,Tablas!$L$98:$Q$101,4,FALSE),"Exceso de CM inicial",""),""))</f>
        <v/>
      </c>
      <c r="D31" s="4399"/>
      <c r="E31" s="4399"/>
      <c r="F31" s="4400"/>
      <c r="H31" s="4396"/>
      <c r="I31" s="4397"/>
      <c r="J31" s="2852"/>
      <c r="K31" s="1393"/>
      <c r="L31" s="1384" t="s">
        <v>2476</v>
      </c>
      <c r="M31" s="4356" t="s">
        <v>2496</v>
      </c>
      <c r="N31" s="4356"/>
      <c r="O31" s="4356"/>
      <c r="P31" s="1379">
        <f>IF(Q31=0,20,"-")</f>
        <v>20</v>
      </c>
      <c r="Q31" s="1380"/>
      <c r="R31" s="5174" t="b">
        <f t="shared" si="1"/>
        <v>0</v>
      </c>
      <c r="S31" s="2850"/>
      <c r="T31" s="2850"/>
      <c r="U31" s="1388">
        <f t="shared" si="2"/>
        <v>0</v>
      </c>
      <c r="V31" s="4392"/>
      <c r="W31" s="4331"/>
      <c r="X31" s="4331"/>
      <c r="Y31" s="4331"/>
      <c r="Z31" s="4331"/>
      <c r="AA31" s="4393"/>
      <c r="AB31" s="4370" t="str">
        <f>IF(V31="","",VLOOKUP(V31,'Tablas Técnicas'!$AD$5:$AI$188,3,FALSE))</f>
        <v/>
      </c>
      <c r="AD31" s="4392"/>
      <c r="AE31" s="4331"/>
      <c r="AF31" s="4331"/>
      <c r="AG31" s="4331"/>
      <c r="AH31" s="4331"/>
      <c r="AI31" s="4393"/>
      <c r="AJ31" s="4370" t="str">
        <f>IF(AD31="","",VLOOKUP(AD31,'Tablas Técnicas'!$AD$5:$AI$188,3,FALSE))</f>
        <v/>
      </c>
      <c r="AK31" s="1295"/>
      <c r="AL31" s="1289"/>
      <c r="AM31" s="1348"/>
      <c r="AN31" s="1337"/>
      <c r="AO31" s="1337"/>
      <c r="AP31" s="1337"/>
      <c r="AQ31" s="1337"/>
      <c r="AR31" s="1337"/>
      <c r="AS31" s="1337"/>
      <c r="AT31" s="1337"/>
      <c r="AU31" s="1337"/>
    </row>
    <row r="32" spans="1:47" ht="12" customHeight="1" thickBot="1" x14ac:dyDescent="0.25">
      <c r="A32" s="1289"/>
      <c r="B32" s="693"/>
      <c r="H32" s="4408"/>
      <c r="I32" s="4409"/>
      <c r="J32" s="2852"/>
      <c r="K32" s="4333" t="s">
        <v>2497</v>
      </c>
      <c r="L32" s="4334"/>
      <c r="M32" s="4334"/>
      <c r="N32" s="4334"/>
      <c r="O32" s="4334"/>
      <c r="P32" s="1379">
        <f>IF(Q32=0,10,"-")</f>
        <v>10</v>
      </c>
      <c r="Q32" s="1380"/>
      <c r="R32" s="5174" t="b">
        <f t="shared" si="1"/>
        <v>0</v>
      </c>
      <c r="S32" s="2850"/>
      <c r="T32" s="2850"/>
      <c r="U32" s="1388"/>
      <c r="V32" s="4204" t="str">
        <f>IF(V31="","",VLOOKUP(V31,'Tablas Técnicas'!$AD$5:$AI$188,4,FALSE))</f>
        <v/>
      </c>
      <c r="W32" s="4153"/>
      <c r="X32" s="4153"/>
      <c r="Y32" s="4153"/>
      <c r="Z32" s="1429" t="s">
        <v>2171</v>
      </c>
      <c r="AA32" s="1431" t="str">
        <f>IF(V31="","",VLOOKUP(V31,'Tablas Técnicas'!$AD$5:$AI$188,2,FALSE))</f>
        <v/>
      </c>
      <c r="AB32" s="4370"/>
      <c r="AD32" s="4204" t="str">
        <f>IF(AD31="","",VLOOKUP(AD31,'Tablas Técnicas'!$AD$5:$AI$188,4,FALSE))</f>
        <v/>
      </c>
      <c r="AE32" s="4153"/>
      <c r="AF32" s="4153"/>
      <c r="AG32" s="4153"/>
      <c r="AH32" s="1429" t="s">
        <v>2171</v>
      </c>
      <c r="AI32" s="1431" t="str">
        <f>IF(AD31="","",VLOOKUP(AD31,'Tablas Técnicas'!$AD$5:$AI$188,2,FALSE))</f>
        <v/>
      </c>
      <c r="AJ32" s="4370"/>
      <c r="AK32" s="1295"/>
      <c r="AL32" s="1289"/>
      <c r="AM32" s="1337"/>
      <c r="AN32" s="1337"/>
      <c r="AO32" s="1337"/>
      <c r="AP32" s="1337"/>
      <c r="AQ32" s="1337"/>
      <c r="AR32" s="1337"/>
      <c r="AS32" s="1337"/>
      <c r="AT32" s="1337"/>
      <c r="AU32" s="1337"/>
    </row>
    <row r="33" spans="1:50" ht="12" customHeight="1" thickBot="1" x14ac:dyDescent="0.25">
      <c r="A33" s="1289"/>
      <c r="B33" s="693"/>
      <c r="C33" s="4150" t="s">
        <v>2498</v>
      </c>
      <c r="D33" s="4151"/>
      <c r="E33" s="4151"/>
      <c r="F33" s="4152"/>
      <c r="H33" s="4408"/>
      <c r="I33" s="4409"/>
      <c r="J33" s="2852"/>
      <c r="K33" s="1381" t="s">
        <v>2465</v>
      </c>
      <c r="L33" s="4401" t="s">
        <v>2499</v>
      </c>
      <c r="M33" s="4334"/>
      <c r="N33" s="4334"/>
      <c r="O33" s="4334"/>
      <c r="P33" s="1379">
        <f t="shared" ref="P33:P40" si="3">IF(Q33=0,10,"-")</f>
        <v>10</v>
      </c>
      <c r="Q33" s="1380"/>
      <c r="R33" s="5174" t="b">
        <f t="shared" si="1"/>
        <v>0</v>
      </c>
      <c r="S33" s="2850"/>
      <c r="T33" s="2850"/>
      <c r="U33" s="1388">
        <f t="shared" si="2"/>
        <v>0</v>
      </c>
      <c r="V33" s="4389"/>
      <c r="W33" s="4348"/>
      <c r="X33" s="4348"/>
      <c r="Y33" s="4348"/>
      <c r="Z33" s="4348"/>
      <c r="AA33" s="4390"/>
      <c r="AB33" s="4391" t="str">
        <f>IF(V33="","",VLOOKUP(V33,'Tablas Técnicas'!$AD$5:$AI$188,3,FALSE))</f>
        <v/>
      </c>
      <c r="AD33" s="4389"/>
      <c r="AE33" s="4348"/>
      <c r="AF33" s="4348"/>
      <c r="AG33" s="4348"/>
      <c r="AH33" s="4348"/>
      <c r="AI33" s="4390"/>
      <c r="AJ33" s="4391" t="str">
        <f>IF(AD33="","",VLOOKUP(AD33,'Tablas Técnicas'!$AD$5:$AI$188,3,FALSE))</f>
        <v/>
      </c>
      <c r="AK33" s="1295"/>
      <c r="AL33" s="1289"/>
      <c r="AM33" s="1337"/>
      <c r="AN33" s="1337"/>
      <c r="AO33" s="1337"/>
      <c r="AP33" s="1337"/>
      <c r="AQ33" s="1337"/>
      <c r="AR33" s="1337"/>
      <c r="AS33" s="1337"/>
      <c r="AT33" s="1337"/>
      <c r="AU33" s="1337"/>
    </row>
    <row r="34" spans="1:50" ht="12" customHeight="1" x14ac:dyDescent="0.2">
      <c r="A34" s="1289"/>
      <c r="B34" s="693"/>
      <c r="C34" s="4419" t="s">
        <v>2228</v>
      </c>
      <c r="D34" s="4420"/>
      <c r="E34" s="1394" t="s">
        <v>2272</v>
      </c>
      <c r="F34" s="1395" t="s">
        <v>2202</v>
      </c>
      <c r="H34" s="4396"/>
      <c r="I34" s="4397"/>
      <c r="J34" s="2852"/>
      <c r="K34" s="1381" t="s">
        <v>2500</v>
      </c>
      <c r="L34" s="1384" t="s">
        <v>2476</v>
      </c>
      <c r="M34" s="4401" t="s">
        <v>2501</v>
      </c>
      <c r="N34" s="4401"/>
      <c r="O34" s="4401"/>
      <c r="P34" s="1379">
        <f t="shared" si="3"/>
        <v>10</v>
      </c>
      <c r="Q34" s="1380"/>
      <c r="R34" s="5174" t="b">
        <f t="shared" si="1"/>
        <v>0</v>
      </c>
      <c r="S34" s="2850"/>
      <c r="T34" s="2850"/>
      <c r="U34" s="1388"/>
      <c r="V34" s="4394" t="str">
        <f>IF(V33="","",VLOOKUP(V33,'Tablas Técnicas'!$AD$5:$AI$188,4,FALSE))</f>
        <v/>
      </c>
      <c r="W34" s="4395"/>
      <c r="X34" s="4395"/>
      <c r="Y34" s="4395"/>
      <c r="Z34" s="1352" t="s">
        <v>2171</v>
      </c>
      <c r="AA34" s="1391" t="str">
        <f>IF(V33="","",VLOOKUP(V33,'Tablas Técnicas'!$AD$5:$AI$188,2,FALSE))</f>
        <v/>
      </c>
      <c r="AB34" s="4391"/>
      <c r="AD34" s="4394" t="str">
        <f>IF(AD33="","",VLOOKUP(AD33,'Tablas Técnicas'!$AD$5:$AI$188,4,FALSE))</f>
        <v/>
      </c>
      <c r="AE34" s="4395"/>
      <c r="AF34" s="4395"/>
      <c r="AG34" s="4395"/>
      <c r="AH34" s="1352" t="s">
        <v>2171</v>
      </c>
      <c r="AI34" s="1391" t="str">
        <f>IF(AD33="","",VLOOKUP(AD33,'Tablas Técnicas'!$AD$5:$AI$188,2,FALSE))</f>
        <v/>
      </c>
      <c r="AJ34" s="4391"/>
      <c r="AK34" s="1295"/>
      <c r="AL34" s="1289"/>
      <c r="AM34" s="1337"/>
      <c r="AN34" s="1337"/>
      <c r="AO34" s="1337"/>
      <c r="AP34" s="1337"/>
      <c r="AQ34" s="1337"/>
      <c r="AR34" s="1337"/>
      <c r="AS34" s="1337"/>
      <c r="AT34" s="1337"/>
      <c r="AU34" s="1337"/>
    </row>
    <row r="35" spans="1:50" ht="12" customHeight="1" x14ac:dyDescent="0.2">
      <c r="A35" s="1289"/>
      <c r="B35" s="693"/>
      <c r="C35" s="4416" t="s">
        <v>2502</v>
      </c>
      <c r="D35" s="4417"/>
      <c r="E35" s="1396"/>
      <c r="F35" s="1397" t="str">
        <f>IF(Ki!P13="-",TRUNC((Ki!C29+Advertir_final)/2+E35+IF(COUNTIF(PDs!$U$5:$W$14,"Explorador")&gt;0,VLOOKUP("Explorador",PDs!U5:X14,4,FALSE)*Tablas!CC198,0)+IF(Tablas!F594&gt;0,10*PDs!$X$15,0),0),"-")</f>
        <v>-</v>
      </c>
      <c r="H35" s="4396"/>
      <c r="I35" s="4397"/>
      <c r="J35" s="2854"/>
      <c r="K35" s="1381" t="s">
        <v>2500</v>
      </c>
      <c r="L35" s="1398"/>
      <c r="M35" s="1384" t="s">
        <v>2476</v>
      </c>
      <c r="N35" s="4418" t="s">
        <v>2503</v>
      </c>
      <c r="O35" s="4418"/>
      <c r="P35" s="1379" t="str">
        <f t="shared" si="3"/>
        <v>-</v>
      </c>
      <c r="Q35" s="1380">
        <v>10</v>
      </c>
      <c r="R35" s="5174" t="b">
        <f t="shared" si="1"/>
        <v>1</v>
      </c>
      <c r="S35" s="2850"/>
      <c r="T35" s="2850"/>
      <c r="U35" s="1388">
        <f t="shared" si="2"/>
        <v>0</v>
      </c>
      <c r="V35" s="4392"/>
      <c r="W35" s="4331"/>
      <c r="X35" s="4331"/>
      <c r="Y35" s="4331"/>
      <c r="Z35" s="4331"/>
      <c r="AA35" s="4393"/>
      <c r="AB35" s="4370" t="str">
        <f>IF(V35="","",VLOOKUP(V35,'Tablas Técnicas'!$AD$5:$AI$188,3,FALSE))</f>
        <v/>
      </c>
      <c r="AD35" s="4392"/>
      <c r="AE35" s="4331"/>
      <c r="AF35" s="4331"/>
      <c r="AG35" s="4331"/>
      <c r="AH35" s="4331"/>
      <c r="AI35" s="4393"/>
      <c r="AJ35" s="4370" t="str">
        <f>IF(AD35="","",VLOOKUP(AD35,'Tablas Técnicas'!$AD$5:$AI$188,3,FALSE))</f>
        <v/>
      </c>
      <c r="AK35" s="1295"/>
      <c r="AL35" s="1289"/>
      <c r="AM35" s="1337"/>
      <c r="AN35" s="1337"/>
      <c r="AO35" s="1337"/>
      <c r="AP35" s="1337"/>
      <c r="AQ35" s="1337"/>
      <c r="AR35" s="1337"/>
      <c r="AS35" s="1337"/>
      <c r="AT35" s="1337"/>
      <c r="AU35" s="1337"/>
    </row>
    <row r="36" spans="1:50" ht="12" customHeight="1" x14ac:dyDescent="0.2">
      <c r="A36" s="1289"/>
      <c r="B36" s="693"/>
      <c r="C36" s="4421" t="s">
        <v>2504</v>
      </c>
      <c r="D36" s="4422"/>
      <c r="E36" s="1399"/>
      <c r="F36" s="809"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408"/>
      <c r="I36" s="4409"/>
      <c r="J36" s="2854"/>
      <c r="K36" s="1381" t="s">
        <v>2465</v>
      </c>
      <c r="L36" s="4401" t="s">
        <v>2505</v>
      </c>
      <c r="M36" s="4334"/>
      <c r="N36" s="4334"/>
      <c r="O36" s="4334"/>
      <c r="P36" s="1379">
        <f t="shared" si="3"/>
        <v>10</v>
      </c>
      <c r="Q36" s="1380"/>
      <c r="R36" s="5174" t="b">
        <f t="shared" si="1"/>
        <v>0</v>
      </c>
      <c r="S36" s="2850"/>
      <c r="T36" s="2850"/>
      <c r="U36" s="1388"/>
      <c r="V36" s="4204" t="str">
        <f>IF(V35="","",VLOOKUP(V35,'Tablas Técnicas'!$AD$5:$AI$188,4,FALSE))</f>
        <v/>
      </c>
      <c r="W36" s="4153"/>
      <c r="X36" s="4153"/>
      <c r="Y36" s="4153"/>
      <c r="Z36" s="1429" t="s">
        <v>2171</v>
      </c>
      <c r="AA36" s="1431" t="str">
        <f>IF(V35="","",VLOOKUP(V35,'Tablas Técnicas'!$AD$5:$AI$188,2,FALSE))</f>
        <v/>
      </c>
      <c r="AB36" s="4370"/>
      <c r="AD36" s="4204" t="str">
        <f>IF(AD35="","",VLOOKUP(AD35,'Tablas Técnicas'!$AD$5:$AI$188,4,FALSE))</f>
        <v/>
      </c>
      <c r="AE36" s="4153"/>
      <c r="AF36" s="4153"/>
      <c r="AG36" s="4153"/>
      <c r="AH36" s="1429" t="s">
        <v>2171</v>
      </c>
      <c r="AI36" s="1431" t="str">
        <f>IF(AD35="","",VLOOKUP(AD35,'Tablas Técnicas'!$AD$5:$AI$188,2,FALSE))</f>
        <v/>
      </c>
      <c r="AJ36" s="4370"/>
      <c r="AK36" s="1295"/>
      <c r="AL36" s="1289"/>
      <c r="AM36" s="1337"/>
      <c r="AN36" s="1337"/>
      <c r="AO36" s="1337"/>
      <c r="AP36" s="1337"/>
      <c r="AQ36" s="1337"/>
      <c r="AR36" s="1337"/>
      <c r="AS36" s="1337"/>
      <c r="AT36" s="1337"/>
      <c r="AU36" s="1337"/>
    </row>
    <row r="37" spans="1:50" ht="12" customHeight="1" thickBot="1" x14ac:dyDescent="0.25">
      <c r="A37" s="1289"/>
      <c r="B37" s="693"/>
      <c r="C37" s="4423"/>
      <c r="D37" s="4424"/>
      <c r="E37" s="4424"/>
      <c r="F37" s="4425"/>
      <c r="H37" s="4426"/>
      <c r="I37" s="4427"/>
      <c r="J37" s="2854"/>
      <c r="K37" s="1381" t="s">
        <v>2500</v>
      </c>
      <c r="L37" s="1384" t="s">
        <v>2465</v>
      </c>
      <c r="M37" s="4401" t="s">
        <v>2506</v>
      </c>
      <c r="N37" s="4401"/>
      <c r="O37" s="4401"/>
      <c r="P37" s="1379">
        <f t="shared" si="3"/>
        <v>10</v>
      </c>
      <c r="Q37" s="1380"/>
      <c r="R37" s="5174" t="b">
        <f t="shared" si="1"/>
        <v>0</v>
      </c>
      <c r="S37" s="2850"/>
      <c r="T37" s="2850"/>
      <c r="U37" s="1388">
        <f t="shared" si="2"/>
        <v>0</v>
      </c>
      <c r="V37" s="4389"/>
      <c r="W37" s="4348"/>
      <c r="X37" s="4348"/>
      <c r="Y37" s="4348"/>
      <c r="Z37" s="4348"/>
      <c r="AA37" s="4390"/>
      <c r="AB37" s="4391" t="str">
        <f>IF(V37="","",VLOOKUP(V37,'Tablas Técnicas'!$AD$5:$AI$188,3,FALSE))</f>
        <v/>
      </c>
      <c r="AD37" s="4389"/>
      <c r="AE37" s="4348"/>
      <c r="AF37" s="4348"/>
      <c r="AG37" s="4348"/>
      <c r="AH37" s="4348"/>
      <c r="AI37" s="4390"/>
      <c r="AJ37" s="4391" t="str">
        <f>IF(AD37="","",VLOOKUP(AD37,'Tablas Técnicas'!$AD$5:$AI$188,3,FALSE))</f>
        <v/>
      </c>
      <c r="AK37" s="1295"/>
      <c r="AL37" s="1289"/>
      <c r="AM37" s="1337"/>
      <c r="AN37" s="1337"/>
      <c r="AO37" s="1337"/>
      <c r="AP37" s="1337"/>
      <c r="AQ37" s="1337"/>
      <c r="AR37" s="1337"/>
      <c r="AS37" s="1337"/>
      <c r="AT37" s="1337"/>
      <c r="AU37" s="1337"/>
      <c r="AW37" s="1400"/>
    </row>
    <row r="38" spans="1:50" ht="12" customHeight="1" thickBot="1" x14ac:dyDescent="0.25">
      <c r="A38" s="1289"/>
      <c r="B38" s="693"/>
      <c r="J38" s="2854"/>
      <c r="K38" s="1381" t="s">
        <v>2500</v>
      </c>
      <c r="L38" s="1384" t="s">
        <v>2465</v>
      </c>
      <c r="M38" s="4401" t="s">
        <v>2507</v>
      </c>
      <c r="N38" s="4401"/>
      <c r="O38" s="4401"/>
      <c r="P38" s="1379">
        <f t="shared" si="3"/>
        <v>10</v>
      </c>
      <c r="Q38" s="1380"/>
      <c r="R38" s="5174" t="b">
        <f t="shared" si="1"/>
        <v>0</v>
      </c>
      <c r="S38" s="2850"/>
      <c r="T38" s="2850"/>
      <c r="U38" s="1388"/>
      <c r="V38" s="4394" t="str">
        <f>IF(V37="","",VLOOKUP(V37,'Tablas Técnicas'!$AD$5:$AI$188,4,FALSE))</f>
        <v/>
      </c>
      <c r="W38" s="4395"/>
      <c r="X38" s="4395"/>
      <c r="Y38" s="4395"/>
      <c r="Z38" s="1352" t="s">
        <v>2171</v>
      </c>
      <c r="AA38" s="1391" t="str">
        <f>IF(V37="","",VLOOKUP(V37,'Tablas Técnicas'!$AD$5:$AI$188,2,FALSE))</f>
        <v/>
      </c>
      <c r="AB38" s="4391"/>
      <c r="AD38" s="4394" t="str">
        <f>IF(AD37="","",VLOOKUP(AD37,'Tablas Técnicas'!$AD$5:$AI$188,4,FALSE))</f>
        <v/>
      </c>
      <c r="AE38" s="4395"/>
      <c r="AF38" s="4395"/>
      <c r="AG38" s="4395"/>
      <c r="AH38" s="1352" t="s">
        <v>2171</v>
      </c>
      <c r="AI38" s="1391" t="str">
        <f>IF(AD37="","",VLOOKUP(AD37,'Tablas Técnicas'!$AD$5:$AI$188,2,FALSE))</f>
        <v/>
      </c>
      <c r="AJ38" s="4391"/>
      <c r="AK38" s="1295"/>
      <c r="AL38" s="1289"/>
      <c r="AM38" s="1337"/>
      <c r="AN38" s="1337"/>
      <c r="AO38" s="1337"/>
      <c r="AP38" s="1337"/>
      <c r="AQ38" s="1337"/>
      <c r="AR38" s="1337"/>
      <c r="AS38" s="1337"/>
      <c r="AT38" s="1337"/>
      <c r="AU38" s="1337"/>
      <c r="AW38" s="1355"/>
    </row>
    <row r="39" spans="1:50" ht="12" customHeight="1" thickBot="1" x14ac:dyDescent="0.25">
      <c r="A39" s="1289"/>
      <c r="B39" s="693"/>
      <c r="C39" s="4431" t="s">
        <v>2508</v>
      </c>
      <c r="D39" s="4432"/>
      <c r="E39" s="4432"/>
      <c r="F39" s="4433"/>
      <c r="G39" s="4434" t="s">
        <v>2509</v>
      </c>
      <c r="H39" s="4434"/>
      <c r="I39" s="1401">
        <f>IF(Tablas!$F$750&gt;0,2,1)-IF(Ki!C40="",0,1)-IF(Ki!C41="",0,1)</f>
        <v>1</v>
      </c>
      <c r="J39" s="2854"/>
      <c r="K39" s="1381" t="s">
        <v>2500</v>
      </c>
      <c r="L39" s="1384" t="s">
        <v>2465</v>
      </c>
      <c r="M39" s="4401" t="str">
        <f>"Alcance incrementado"</f>
        <v>Alcance incrementado</v>
      </c>
      <c r="N39" s="4401"/>
      <c r="O39" s="4401"/>
      <c r="P39" s="1379">
        <f t="shared" si="3"/>
        <v>10</v>
      </c>
      <c r="Q39" s="1380"/>
      <c r="R39" s="5174" t="b">
        <f t="shared" si="1"/>
        <v>0</v>
      </c>
      <c r="S39" s="2850"/>
      <c r="T39" s="2850"/>
      <c r="U39" s="1388">
        <f t="shared" si="2"/>
        <v>0</v>
      </c>
      <c r="V39" s="4392"/>
      <c r="W39" s="4331"/>
      <c r="X39" s="4331"/>
      <c r="Y39" s="4331"/>
      <c r="Z39" s="4331"/>
      <c r="AA39" s="4393"/>
      <c r="AB39" s="4370" t="str">
        <f>IF(V39="","",VLOOKUP(V39,'Tablas Técnicas'!$AD$5:$AI$188,3,FALSE))</f>
        <v/>
      </c>
      <c r="AD39" s="4392"/>
      <c r="AE39" s="4331"/>
      <c r="AF39" s="4331"/>
      <c r="AG39" s="4331"/>
      <c r="AH39" s="4331"/>
      <c r="AI39" s="4393"/>
      <c r="AJ39" s="4370" t="str">
        <f>IF(AD39="","",VLOOKUP(AD39,'Tablas Técnicas'!$AD$5:$AI$188,3,FALSE))</f>
        <v/>
      </c>
      <c r="AK39" s="1295"/>
      <c r="AL39" s="1289"/>
      <c r="AM39" s="1337"/>
      <c r="AN39" s="1337"/>
      <c r="AO39" s="1337"/>
      <c r="AP39" s="1337"/>
      <c r="AQ39" s="1337"/>
      <c r="AR39" s="1337"/>
      <c r="AS39" s="1337"/>
      <c r="AT39" s="1337"/>
      <c r="AU39" s="1337"/>
    </row>
    <row r="40" spans="1:50" ht="12" customHeight="1" x14ac:dyDescent="0.2">
      <c r="A40" s="1289"/>
      <c r="B40" s="693"/>
      <c r="C40" s="4428"/>
      <c r="D40" s="4429"/>
      <c r="E40" s="4429"/>
      <c r="F40" s="4429"/>
      <c r="G40" s="4429"/>
      <c r="H40" s="4430"/>
      <c r="I40" s="1402" t="str">
        <f>IF(C40=0,"",VLOOKUP(C40,Tablas!$C$1411:$L$1417,2))</f>
        <v/>
      </c>
      <c r="J40" s="2854"/>
      <c r="K40" s="1381" t="s">
        <v>2500</v>
      </c>
      <c r="L40" s="1384" t="s">
        <v>2476</v>
      </c>
      <c r="M40" s="4401" t="s">
        <v>2510</v>
      </c>
      <c r="N40" s="4401"/>
      <c r="O40" s="4401"/>
      <c r="P40" s="1379">
        <f t="shared" si="3"/>
        <v>10</v>
      </c>
      <c r="Q40" s="1380"/>
      <c r="R40" s="5174" t="b">
        <f t="shared" si="1"/>
        <v>0</v>
      </c>
      <c r="S40" s="2850"/>
      <c r="T40" s="2850"/>
      <c r="U40" s="1388"/>
      <c r="V40" s="4204" t="str">
        <f>IF(V39="","",VLOOKUP(V39,'Tablas Técnicas'!$AD$5:$AI$188,4,FALSE))</f>
        <v/>
      </c>
      <c r="W40" s="4153"/>
      <c r="X40" s="4153"/>
      <c r="Y40" s="4153"/>
      <c r="Z40" s="1429" t="s">
        <v>2171</v>
      </c>
      <c r="AA40" s="1431" t="str">
        <f>IF(V39="","",VLOOKUP(V39,'Tablas Técnicas'!$AD$5:$AI$188,2,FALSE))</f>
        <v/>
      </c>
      <c r="AB40" s="4370"/>
      <c r="AD40" s="4204" t="str">
        <f>IF(AD39="","",VLOOKUP(AD39,'Tablas Técnicas'!$AD$5:$AI$188,4,FALSE))</f>
        <v/>
      </c>
      <c r="AE40" s="4153"/>
      <c r="AF40" s="4153"/>
      <c r="AG40" s="4153"/>
      <c r="AH40" s="1429" t="s">
        <v>2171</v>
      </c>
      <c r="AI40" s="1431" t="str">
        <f>IF(AD39="","",VLOOKUP(AD39,'Tablas Técnicas'!$AD$5:$AI$188,2,FALSE))</f>
        <v/>
      </c>
      <c r="AJ40" s="4370"/>
      <c r="AK40" s="1295"/>
      <c r="AL40" s="1289"/>
      <c r="AM40" s="1337"/>
      <c r="AN40" s="1337"/>
      <c r="AO40" s="1337"/>
      <c r="AP40" s="1337"/>
      <c r="AQ40" s="1337"/>
      <c r="AR40" s="1337"/>
      <c r="AS40" s="1337"/>
      <c r="AT40" s="1337"/>
      <c r="AU40" s="1337"/>
      <c r="AW40" s="1356"/>
      <c r="AX40" s="1356"/>
    </row>
    <row r="41" spans="1:50" ht="12" customHeight="1" thickBot="1" x14ac:dyDescent="0.25">
      <c r="A41" s="1289"/>
      <c r="B41" s="693"/>
      <c r="C41" s="4435"/>
      <c r="D41" s="4436"/>
      <c r="E41" s="4436"/>
      <c r="F41" s="4436"/>
      <c r="G41" s="4436"/>
      <c r="H41" s="4436"/>
      <c r="I41" s="1403" t="str">
        <f>IF(C41=0,"",VLOOKUP(C41,Tablas!$C$1411:$L$1417,2))</f>
        <v/>
      </c>
      <c r="J41" s="2854"/>
      <c r="K41" s="1381" t="s">
        <v>2465</v>
      </c>
      <c r="L41" s="4401" t="s">
        <v>2511</v>
      </c>
      <c r="M41" s="4334"/>
      <c r="N41" s="4334"/>
      <c r="O41" s="4334"/>
      <c r="P41" s="1379">
        <f>IF(Q41=0,20,"-")</f>
        <v>20</v>
      </c>
      <c r="Q41" s="1380"/>
      <c r="R41" s="5174" t="b">
        <f t="shared" si="1"/>
        <v>0</v>
      </c>
      <c r="S41" s="2850"/>
      <c r="T41" s="2850"/>
      <c r="U41" s="1388">
        <f t="shared" si="2"/>
        <v>0</v>
      </c>
      <c r="V41" s="4389"/>
      <c r="W41" s="4348"/>
      <c r="X41" s="4348"/>
      <c r="Y41" s="4348"/>
      <c r="Z41" s="4348"/>
      <c r="AA41" s="4390"/>
      <c r="AB41" s="4391" t="str">
        <f>IF(V41="","",VLOOKUP(V41,'Tablas Técnicas'!$AD$5:$AI$188,3,FALSE))</f>
        <v/>
      </c>
      <c r="AD41" s="4389"/>
      <c r="AE41" s="4348"/>
      <c r="AF41" s="4348"/>
      <c r="AG41" s="4348"/>
      <c r="AH41" s="4348"/>
      <c r="AI41" s="4390"/>
      <c r="AJ41" s="4391" t="str">
        <f>IF(AD41="","",VLOOKUP(AD41,'Tablas Técnicas'!$AD$5:$AI$188,3,FALSE))</f>
        <v/>
      </c>
      <c r="AK41" s="1295"/>
      <c r="AL41" s="1289"/>
      <c r="AM41" s="1337"/>
      <c r="AN41" s="1337"/>
      <c r="AO41" s="1337"/>
      <c r="AP41" s="1337"/>
      <c r="AQ41" s="1337"/>
      <c r="AR41" s="1337"/>
      <c r="AS41" s="1337"/>
      <c r="AT41" s="1337"/>
      <c r="AU41" s="1337"/>
      <c r="AW41" s="1374"/>
      <c r="AX41" s="1374"/>
    </row>
    <row r="42" spans="1:50" ht="12" customHeight="1" thickBot="1" x14ac:dyDescent="0.25">
      <c r="A42" s="1289"/>
      <c r="B42" s="693"/>
      <c r="J42" s="2854"/>
      <c r="K42" s="1381" t="s">
        <v>2465</v>
      </c>
      <c r="L42" s="4401" t="s">
        <v>2512</v>
      </c>
      <c r="M42" s="4334"/>
      <c r="N42" s="4334"/>
      <c r="O42" s="4334"/>
      <c r="P42" s="1379">
        <f>IF(Q42=0,30,"-")</f>
        <v>30</v>
      </c>
      <c r="Q42" s="1380"/>
      <c r="R42" s="5174" t="b">
        <f t="shared" si="1"/>
        <v>0</v>
      </c>
      <c r="S42" s="2850"/>
      <c r="T42" s="2850"/>
      <c r="U42" s="1388"/>
      <c r="V42" s="4394" t="str">
        <f>IF(V41="","",VLOOKUP(V41,'Tablas Técnicas'!$AD$5:$AI$188,4,FALSE))</f>
        <v/>
      </c>
      <c r="W42" s="4395"/>
      <c r="X42" s="4395"/>
      <c r="Y42" s="4395"/>
      <c r="Z42" s="1352" t="s">
        <v>2171</v>
      </c>
      <c r="AA42" s="1391" t="str">
        <f>IF(V41="","",VLOOKUP(V41,'Tablas Técnicas'!$AD$5:$AI$188,2,FALSE))</f>
        <v/>
      </c>
      <c r="AB42" s="4391"/>
      <c r="AD42" s="4394" t="str">
        <f>IF(AD41="","",VLOOKUP(AD41,'Tablas Técnicas'!$AD$5:$AI$188,4,FALSE))</f>
        <v/>
      </c>
      <c r="AE42" s="4395"/>
      <c r="AF42" s="4395"/>
      <c r="AG42" s="4395"/>
      <c r="AH42" s="1352" t="s">
        <v>2171</v>
      </c>
      <c r="AI42" s="1391" t="str">
        <f>IF(AD41="","",VLOOKUP(AD41,'Tablas Técnicas'!$AD$5:$AI$188,2,FALSE))</f>
        <v/>
      </c>
      <c r="AJ42" s="4391"/>
      <c r="AK42" s="1295"/>
      <c r="AL42" s="1289"/>
      <c r="AM42" s="1337"/>
      <c r="AN42" s="1337"/>
      <c r="AO42" s="1337"/>
      <c r="AP42" s="1337"/>
      <c r="AQ42" s="1337"/>
      <c r="AR42" s="1337"/>
      <c r="AS42" s="1337"/>
      <c r="AT42" s="1337"/>
      <c r="AU42" s="1337"/>
      <c r="AW42" s="1374"/>
      <c r="AX42" s="1374"/>
    </row>
    <row r="43" spans="1:50" ht="12" customHeight="1" x14ac:dyDescent="0.2">
      <c r="A43" s="1289"/>
      <c r="B43" s="693"/>
      <c r="C43" s="4307" t="s">
        <v>2513</v>
      </c>
      <c r="D43" s="4308"/>
      <c r="E43" s="4308"/>
      <c r="F43" s="4308"/>
      <c r="G43" s="4308"/>
      <c r="H43" s="4311">
        <f>IF(I43=0,70,"-")</f>
        <v>70</v>
      </c>
      <c r="I43" s="4313"/>
      <c r="J43" s="2854"/>
      <c r="K43" s="1381" t="s">
        <v>2476</v>
      </c>
      <c r="L43" s="4401" t="s">
        <v>2514</v>
      </c>
      <c r="M43" s="4334"/>
      <c r="N43" s="4334"/>
      <c r="O43" s="4334"/>
      <c r="P43" s="1379">
        <f>IF(Q43=0,10,"-")</f>
        <v>10</v>
      </c>
      <c r="Q43" s="1380"/>
      <c r="R43" s="5174" t="b">
        <f t="shared" si="1"/>
        <v>0</v>
      </c>
      <c r="S43" s="2850"/>
      <c r="T43" s="2850"/>
      <c r="U43" s="1388">
        <f t="shared" si="2"/>
        <v>0</v>
      </c>
      <c r="V43" s="4392"/>
      <c r="W43" s="4331"/>
      <c r="X43" s="4331"/>
      <c r="Y43" s="4331"/>
      <c r="Z43" s="4331"/>
      <c r="AA43" s="4393"/>
      <c r="AB43" s="4370" t="str">
        <f>IF(V43="","",VLOOKUP(V43,'Tablas Técnicas'!$AD$5:$AI$188,3,FALSE))</f>
        <v/>
      </c>
      <c r="AD43" s="4392"/>
      <c r="AE43" s="4331"/>
      <c r="AF43" s="4331"/>
      <c r="AG43" s="4331"/>
      <c r="AH43" s="4331"/>
      <c r="AI43" s="4393"/>
      <c r="AJ43" s="4370" t="str">
        <f>IF(AD43="","",VLOOKUP(AD43,'Tablas Técnicas'!$AD$5:$AI$188,3,FALSE))</f>
        <v/>
      </c>
      <c r="AK43" s="1295"/>
      <c r="AL43" s="1289"/>
      <c r="AM43" s="1337"/>
      <c r="AN43" s="1337"/>
      <c r="AO43" s="1337"/>
      <c r="AP43" s="1337"/>
      <c r="AQ43" s="1337"/>
      <c r="AR43" s="1337"/>
      <c r="AS43" s="1337"/>
      <c r="AT43" s="1337"/>
      <c r="AU43" s="1337"/>
      <c r="AW43" s="4437"/>
      <c r="AX43" s="820"/>
    </row>
    <row r="44" spans="1:50" ht="12" customHeight="1" thickBot="1" x14ac:dyDescent="0.25">
      <c r="A44" s="1289"/>
      <c r="B44" s="693"/>
      <c r="C44" s="4309"/>
      <c r="D44" s="4310"/>
      <c r="E44" s="4310"/>
      <c r="F44" s="4310"/>
      <c r="G44" s="4310"/>
      <c r="H44" s="4312"/>
      <c r="I44" s="4314"/>
      <c r="J44" s="2854"/>
      <c r="K44" s="4333" t="s">
        <v>2515</v>
      </c>
      <c r="L44" s="4334"/>
      <c r="M44" s="4334"/>
      <c r="N44" s="4334"/>
      <c r="O44" s="4334"/>
      <c r="P44" s="1379">
        <f t="shared" ref="P44:P53" si="4">IF(Q44=0,10,"-")</f>
        <v>10</v>
      </c>
      <c r="Q44" s="1380"/>
      <c r="R44" s="5174" t="b">
        <f t="shared" si="1"/>
        <v>0</v>
      </c>
      <c r="S44" s="2850"/>
      <c r="T44" s="2850"/>
      <c r="U44" s="1388"/>
      <c r="V44" s="4204" t="str">
        <f>IF(V43="","",VLOOKUP(V43,'Tablas Técnicas'!$AD$5:$AI$188,4,FALSE))</f>
        <v/>
      </c>
      <c r="W44" s="4153"/>
      <c r="X44" s="4153"/>
      <c r="Y44" s="4153"/>
      <c r="Z44" s="1429" t="s">
        <v>2171</v>
      </c>
      <c r="AA44" s="1431" t="str">
        <f>IF(V43="","",VLOOKUP(V43,'Tablas Técnicas'!$AD$5:$AI$188,2,FALSE))</f>
        <v/>
      </c>
      <c r="AB44" s="4370"/>
      <c r="AD44" s="4204" t="str">
        <f>IF(AD43="","",VLOOKUP(AD43,'Tablas Técnicas'!$AD$5:$AI$188,4,FALSE))</f>
        <v/>
      </c>
      <c r="AE44" s="4153"/>
      <c r="AF44" s="4153"/>
      <c r="AG44" s="4153"/>
      <c r="AH44" s="1429" t="s">
        <v>2171</v>
      </c>
      <c r="AI44" s="1431" t="str">
        <f>IF(AD43="","",VLOOKUP(AD43,'Tablas Técnicas'!$AD$5:$AI$188,2,FALSE))</f>
        <v/>
      </c>
      <c r="AJ44" s="4370"/>
      <c r="AK44" s="1295"/>
      <c r="AL44" s="1289"/>
      <c r="AM44" s="1337"/>
      <c r="AN44" s="1337"/>
      <c r="AO44" s="1337"/>
      <c r="AP44" s="1337"/>
      <c r="AQ44" s="1337"/>
      <c r="AR44" s="1337"/>
      <c r="AS44" s="1337"/>
      <c r="AT44" s="1337"/>
      <c r="AU44" s="1337"/>
      <c r="AW44" s="4437"/>
      <c r="AX44" s="1404"/>
    </row>
    <row r="45" spans="1:50" ht="12" customHeight="1" x14ac:dyDescent="0.2">
      <c r="A45" s="1289"/>
      <c r="B45" s="693"/>
      <c r="C45" s="4333" t="s">
        <v>2516</v>
      </c>
      <c r="D45" s="4334"/>
      <c r="E45" s="4334"/>
      <c r="F45" s="4334"/>
      <c r="G45" s="4334"/>
      <c r="H45" s="1379">
        <f>IF(I45=0,20,"-")</f>
        <v>20</v>
      </c>
      <c r="I45" s="1380"/>
      <c r="J45" s="2853" t="b">
        <f>H45="-"</f>
        <v>0</v>
      </c>
      <c r="K45" s="1381" t="s">
        <v>2465</v>
      </c>
      <c r="L45" s="4401" t="s">
        <v>2517</v>
      </c>
      <c r="M45" s="4334"/>
      <c r="N45" s="4334"/>
      <c r="O45" s="4334"/>
      <c r="P45" s="1379">
        <f t="shared" si="4"/>
        <v>10</v>
      </c>
      <c r="Q45" s="1380"/>
      <c r="R45" s="5174" t="b">
        <f t="shared" si="1"/>
        <v>0</v>
      </c>
      <c r="S45" s="2850"/>
      <c r="T45" s="2850"/>
      <c r="U45" s="1388">
        <f t="shared" si="2"/>
        <v>0</v>
      </c>
      <c r="V45" s="4389"/>
      <c r="W45" s="4348"/>
      <c r="X45" s="4348"/>
      <c r="Y45" s="4348"/>
      <c r="Z45" s="4348"/>
      <c r="AA45" s="4390"/>
      <c r="AB45" s="4391" t="str">
        <f>IF(V45="","",VLOOKUP(V45,'Tablas Técnicas'!$AD$5:$AI$188,3,FALSE))</f>
        <v/>
      </c>
      <c r="AD45" s="4389"/>
      <c r="AE45" s="4348"/>
      <c r="AF45" s="4348"/>
      <c r="AG45" s="4348"/>
      <c r="AH45" s="4348"/>
      <c r="AI45" s="4390"/>
      <c r="AJ45" s="4391" t="str">
        <f>IF(AD45="","",VLOOKUP(AD45,'Tablas Técnicas'!$AD$5:$AI$188,3,FALSE))</f>
        <v/>
      </c>
      <c r="AK45" s="1295"/>
      <c r="AL45" s="1289"/>
      <c r="AM45" s="1337"/>
      <c r="AN45" s="1337"/>
      <c r="AO45" s="1337"/>
      <c r="AP45" s="1337"/>
      <c r="AQ45" s="1337"/>
      <c r="AR45" s="1337"/>
      <c r="AS45" s="1337"/>
      <c r="AT45" s="1337"/>
      <c r="AU45" s="1337"/>
    </row>
    <row r="46" spans="1:50" ht="12" customHeight="1" x14ac:dyDescent="0.2">
      <c r="A46" s="1289"/>
      <c r="B46" s="693"/>
      <c r="C46" s="1381" t="s">
        <v>2476</v>
      </c>
      <c r="D46" s="4401" t="s">
        <v>2518</v>
      </c>
      <c r="E46" s="4334"/>
      <c r="F46" s="4334"/>
      <c r="G46" s="4334"/>
      <c r="H46" s="1379">
        <f>IF(I46=0,30,"-")</f>
        <v>30</v>
      </c>
      <c r="I46" s="1380"/>
      <c r="J46" s="2853" t="b">
        <f t="shared" ref="J46:J62" si="5">H46="-"</f>
        <v>0</v>
      </c>
      <c r="K46" s="1381" t="s">
        <v>2500</v>
      </c>
      <c r="L46" s="1384" t="s">
        <v>2465</v>
      </c>
      <c r="M46" s="4401" t="s">
        <v>2519</v>
      </c>
      <c r="N46" s="4401"/>
      <c r="O46" s="4401"/>
      <c r="P46" s="1379">
        <f t="shared" si="4"/>
        <v>10</v>
      </c>
      <c r="Q46" s="1380"/>
      <c r="R46" s="5174" t="b">
        <f t="shared" si="1"/>
        <v>0</v>
      </c>
      <c r="S46" s="2850"/>
      <c r="T46" s="2850"/>
      <c r="U46" s="1388"/>
      <c r="V46" s="4394" t="str">
        <f>IF(V45="","",VLOOKUP(V45,'Tablas Técnicas'!$AD$5:$AI$188,4,FALSE))</f>
        <v/>
      </c>
      <c r="W46" s="4395"/>
      <c r="X46" s="4395"/>
      <c r="Y46" s="4395"/>
      <c r="Z46" s="1352" t="s">
        <v>2171</v>
      </c>
      <c r="AA46" s="1391" t="str">
        <f>IF(V45="","",VLOOKUP(V45,'Tablas Técnicas'!$AD$5:$AI$188,2,FALSE))</f>
        <v/>
      </c>
      <c r="AB46" s="4391"/>
      <c r="AD46" s="4394" t="str">
        <f>IF(AD45="","",VLOOKUP(AD45,'Tablas Técnicas'!$AD$5:$AI$188,4,FALSE))</f>
        <v/>
      </c>
      <c r="AE46" s="4395"/>
      <c r="AF46" s="4395"/>
      <c r="AG46" s="4395"/>
      <c r="AH46" s="1352" t="s">
        <v>2171</v>
      </c>
      <c r="AI46" s="1391" t="str">
        <f>IF(AD45="","",VLOOKUP(AD45,'Tablas Técnicas'!$AD$5:$AI$188,2,FALSE))</f>
        <v/>
      </c>
      <c r="AJ46" s="4391"/>
      <c r="AK46" s="1295"/>
      <c r="AL46" s="1289"/>
      <c r="AM46" s="1337"/>
      <c r="AN46" s="1337"/>
      <c r="AO46" s="1337"/>
      <c r="AP46" s="1337"/>
      <c r="AQ46" s="1337"/>
      <c r="AR46" s="1337"/>
      <c r="AS46" s="1337"/>
      <c r="AT46" s="1337"/>
      <c r="AU46" s="1337"/>
    </row>
    <row r="47" spans="1:50" ht="12" customHeight="1" x14ac:dyDescent="0.2">
      <c r="A47" s="1289"/>
      <c r="B47" s="693"/>
      <c r="C47" s="4333" t="s">
        <v>2520</v>
      </c>
      <c r="D47" s="4401"/>
      <c r="E47" s="4401"/>
      <c r="F47" s="4401"/>
      <c r="G47" s="4401"/>
      <c r="H47" s="1379">
        <f>IF(I47=0,30,"-")</f>
        <v>30</v>
      </c>
      <c r="I47" s="1380"/>
      <c r="J47" s="2853" t="b">
        <f t="shared" si="5"/>
        <v>0</v>
      </c>
      <c r="K47" s="1381" t="s">
        <v>2500</v>
      </c>
      <c r="L47" s="1384" t="s">
        <v>2476</v>
      </c>
      <c r="M47" s="4401" t="s">
        <v>2521</v>
      </c>
      <c r="N47" s="4401"/>
      <c r="O47" s="4401"/>
      <c r="P47" s="1379">
        <f t="shared" si="4"/>
        <v>10</v>
      </c>
      <c r="Q47" s="1380"/>
      <c r="R47" s="5174" t="b">
        <f t="shared" si="1"/>
        <v>0</v>
      </c>
      <c r="S47" s="2850"/>
      <c r="T47" s="2850"/>
      <c r="U47" s="1388">
        <f t="shared" si="2"/>
        <v>0</v>
      </c>
      <c r="V47" s="4392"/>
      <c r="W47" s="4331"/>
      <c r="X47" s="4331"/>
      <c r="Y47" s="4331"/>
      <c r="Z47" s="4331"/>
      <c r="AA47" s="4393"/>
      <c r="AB47" s="4370" t="str">
        <f>IF(V47="","",VLOOKUP(V47,'Tablas Técnicas'!$AD$5:$AI$188,3,FALSE))</f>
        <v/>
      </c>
      <c r="AD47" s="4392"/>
      <c r="AE47" s="4331"/>
      <c r="AF47" s="4331"/>
      <c r="AG47" s="4331"/>
      <c r="AH47" s="4331"/>
      <c r="AI47" s="4393"/>
      <c r="AJ47" s="4370" t="str">
        <f>IF(AD47="","",VLOOKUP(AD47,'Tablas Técnicas'!$AD$5:$AI$188,3,FALSE))</f>
        <v/>
      </c>
      <c r="AK47" s="1295"/>
      <c r="AL47" s="1289"/>
      <c r="AM47" s="1337"/>
      <c r="AN47" s="1337"/>
      <c r="AO47" s="1337"/>
      <c r="AP47" s="1337"/>
      <c r="AQ47" s="1337"/>
      <c r="AR47" s="1337"/>
      <c r="AS47" s="1337"/>
      <c r="AT47" s="1337"/>
      <c r="AU47" s="1337"/>
    </row>
    <row r="48" spans="1:50" ht="12" customHeight="1" x14ac:dyDescent="0.2">
      <c r="A48" s="1289"/>
      <c r="B48" s="693"/>
      <c r="C48" s="1381" t="s">
        <v>2476</v>
      </c>
      <c r="D48" s="4401" t="s">
        <v>2522</v>
      </c>
      <c r="E48" s="4401"/>
      <c r="F48" s="4401"/>
      <c r="G48" s="4401"/>
      <c r="H48" s="1379">
        <f>IF(I48=0,20,"-")</f>
        <v>20</v>
      </c>
      <c r="I48" s="1380"/>
      <c r="J48" s="2853" t="b">
        <f t="shared" si="5"/>
        <v>0</v>
      </c>
      <c r="K48" s="1381" t="s">
        <v>2476</v>
      </c>
      <c r="L48" s="4401" t="s">
        <v>2523</v>
      </c>
      <c r="M48" s="4334"/>
      <c r="N48" s="4334"/>
      <c r="O48" s="4334"/>
      <c r="P48" s="1379">
        <f t="shared" si="4"/>
        <v>10</v>
      </c>
      <c r="Q48" s="1380"/>
      <c r="R48" s="5174" t="b">
        <f t="shared" si="1"/>
        <v>0</v>
      </c>
      <c r="S48" s="2850"/>
      <c r="T48" s="2850"/>
      <c r="U48" s="1388"/>
      <c r="V48" s="4204" t="str">
        <f>IF(V47="","",VLOOKUP(V47,'Tablas Técnicas'!$AD$5:$AI$188,4,FALSE))</f>
        <v/>
      </c>
      <c r="W48" s="4153"/>
      <c r="X48" s="4153"/>
      <c r="Y48" s="4153"/>
      <c r="Z48" s="1429" t="s">
        <v>2171</v>
      </c>
      <c r="AA48" s="1431" t="str">
        <f>IF(V47="","",VLOOKUP(V47,'Tablas Técnicas'!$AD$5:$AI$188,2,FALSE))</f>
        <v/>
      </c>
      <c r="AB48" s="4370"/>
      <c r="AD48" s="4204" t="str">
        <f>IF(AD47="","",VLOOKUP(AD47,'Tablas Técnicas'!$AD$5:$AI$188,4,FALSE))</f>
        <v/>
      </c>
      <c r="AE48" s="4153"/>
      <c r="AF48" s="4153"/>
      <c r="AG48" s="4153"/>
      <c r="AH48" s="1429" t="s">
        <v>2171</v>
      </c>
      <c r="AI48" s="1431" t="str">
        <f>IF(AD47="","",VLOOKUP(AD47,'Tablas Técnicas'!$AD$5:$AI$188,2,FALSE))</f>
        <v/>
      </c>
      <c r="AJ48" s="4370"/>
      <c r="AK48" s="1295"/>
      <c r="AL48" s="1289"/>
      <c r="AM48" s="1337"/>
      <c r="AN48" s="1337"/>
      <c r="AO48" s="1337"/>
      <c r="AP48" s="1337"/>
      <c r="AQ48" s="1337"/>
      <c r="AR48" s="1337"/>
      <c r="AS48" s="1337"/>
      <c r="AT48" s="1337"/>
      <c r="AU48" s="1337"/>
    </row>
    <row r="49" spans="1:47" ht="12" customHeight="1" x14ac:dyDescent="0.2">
      <c r="A49" s="1289"/>
      <c r="B49" s="693"/>
      <c r="C49" s="4333" t="s">
        <v>2524</v>
      </c>
      <c r="D49" s="4401"/>
      <c r="E49" s="4401"/>
      <c r="F49" s="4401"/>
      <c r="G49" s="4401"/>
      <c r="H49" s="1379">
        <f>IF(I49=0,30,"-")</f>
        <v>30</v>
      </c>
      <c r="I49" s="1380"/>
      <c r="J49" s="2853" t="b">
        <f t="shared" si="5"/>
        <v>0</v>
      </c>
      <c r="K49" s="4333" t="s">
        <v>2525</v>
      </c>
      <c r="L49" s="4334"/>
      <c r="M49" s="4334"/>
      <c r="N49" s="4334"/>
      <c r="O49" s="4334"/>
      <c r="P49" s="1379">
        <f t="shared" si="4"/>
        <v>10</v>
      </c>
      <c r="Q49" s="1380"/>
      <c r="R49" s="5174" t="b">
        <f t="shared" si="1"/>
        <v>0</v>
      </c>
      <c r="S49" s="2850"/>
      <c r="T49" s="2850"/>
      <c r="U49" s="1388">
        <f t="shared" si="2"/>
        <v>0</v>
      </c>
      <c r="V49" s="4389"/>
      <c r="W49" s="4348"/>
      <c r="X49" s="4348"/>
      <c r="Y49" s="4348"/>
      <c r="Z49" s="4348"/>
      <c r="AA49" s="4390"/>
      <c r="AB49" s="4391" t="str">
        <f>IF(V49="","",VLOOKUP(V49,'Tablas Técnicas'!$AD$5:$AI$188,3,FALSE))</f>
        <v/>
      </c>
      <c r="AD49" s="4389"/>
      <c r="AE49" s="4348"/>
      <c r="AF49" s="4348"/>
      <c r="AG49" s="4348"/>
      <c r="AH49" s="4348"/>
      <c r="AI49" s="4390"/>
      <c r="AJ49" s="4391" t="str">
        <f>IF(AD49="","",VLOOKUP(AD49,'Tablas Técnicas'!$AD$5:$AI$188,3,FALSE))</f>
        <v/>
      </c>
      <c r="AK49" s="1295"/>
      <c r="AL49" s="1289"/>
      <c r="AM49" s="1337"/>
      <c r="AN49" s="1337"/>
      <c r="AO49" s="1337"/>
      <c r="AP49" s="1337"/>
      <c r="AQ49" s="1337"/>
      <c r="AR49" s="1337"/>
      <c r="AS49" s="1337"/>
      <c r="AT49" s="1337"/>
      <c r="AU49" s="1337"/>
    </row>
    <row r="50" spans="1:47" ht="12" customHeight="1" x14ac:dyDescent="0.2">
      <c r="A50" s="1289"/>
      <c r="B50" s="693"/>
      <c r="C50" s="1381" t="s">
        <v>2476</v>
      </c>
      <c r="D50" s="4401" t="s">
        <v>2526</v>
      </c>
      <c r="E50" s="4401"/>
      <c r="F50" s="4401"/>
      <c r="G50" s="4401"/>
      <c r="H50" s="1379">
        <f>IF(I50=0,20,"-")</f>
        <v>20</v>
      </c>
      <c r="I50" s="1380"/>
      <c r="J50" s="2853" t="b">
        <f t="shared" si="5"/>
        <v>0</v>
      </c>
      <c r="K50" s="1381" t="s">
        <v>2465</v>
      </c>
      <c r="L50" s="4401" t="s">
        <v>2527</v>
      </c>
      <c r="M50" s="4334"/>
      <c r="N50" s="4334"/>
      <c r="O50" s="4334"/>
      <c r="P50" s="1379">
        <f t="shared" si="4"/>
        <v>10</v>
      </c>
      <c r="Q50" s="1380"/>
      <c r="R50" s="5174" t="b">
        <f t="shared" si="1"/>
        <v>0</v>
      </c>
      <c r="S50" s="2850"/>
      <c r="T50" s="2850"/>
      <c r="U50" s="1388"/>
      <c r="V50" s="4394" t="str">
        <f>IF(V49="","",VLOOKUP(V49,'Tablas Técnicas'!$AD$5:$AI$188,4,FALSE))</f>
        <v/>
      </c>
      <c r="W50" s="4395"/>
      <c r="X50" s="4395"/>
      <c r="Y50" s="4395"/>
      <c r="Z50" s="1352" t="s">
        <v>2171</v>
      </c>
      <c r="AA50" s="1391" t="str">
        <f>IF(V49="","",VLOOKUP(V49,'Tablas Técnicas'!$AD$5:$AI$188,2,FALSE))</f>
        <v/>
      </c>
      <c r="AB50" s="4391"/>
      <c r="AD50" s="4394" t="str">
        <f>IF(AD49="","",VLOOKUP(AD49,'Tablas Técnicas'!$AD$5:$AI$188,4,FALSE))</f>
        <v/>
      </c>
      <c r="AE50" s="4395"/>
      <c r="AF50" s="4395"/>
      <c r="AG50" s="4395"/>
      <c r="AH50" s="1352" t="s">
        <v>2171</v>
      </c>
      <c r="AI50" s="1391" t="str">
        <f>IF(AD49="","",VLOOKUP(AD49,'Tablas Técnicas'!$AD$5:$AI$188,2,FALSE))</f>
        <v/>
      </c>
      <c r="AJ50" s="4391"/>
      <c r="AK50" s="1295"/>
      <c r="AL50" s="1289"/>
      <c r="AM50" s="1337"/>
      <c r="AN50" s="1337"/>
      <c r="AO50" s="1337"/>
      <c r="AP50" s="1337"/>
      <c r="AQ50" s="1337"/>
      <c r="AR50" s="1337"/>
      <c r="AS50" s="1337"/>
      <c r="AT50" s="1337"/>
      <c r="AU50" s="1337"/>
    </row>
    <row r="51" spans="1:47" ht="12" customHeight="1" x14ac:dyDescent="0.2">
      <c r="A51" s="1289"/>
      <c r="B51" s="693"/>
      <c r="C51" s="4333" t="s">
        <v>2528</v>
      </c>
      <c r="D51" s="4401"/>
      <c r="E51" s="4401"/>
      <c r="F51" s="4401"/>
      <c r="G51" s="4401"/>
      <c r="H51" s="1379">
        <f>IF(I51=0,30,"-")</f>
        <v>30</v>
      </c>
      <c r="I51" s="1380"/>
      <c r="J51" s="2853" t="b">
        <f t="shared" si="5"/>
        <v>0</v>
      </c>
      <c r="K51" s="1381" t="s">
        <v>2500</v>
      </c>
      <c r="L51" s="1384" t="s">
        <v>2465</v>
      </c>
      <c r="M51" s="4401" t="s">
        <v>2529</v>
      </c>
      <c r="N51" s="4401"/>
      <c r="O51" s="4401"/>
      <c r="P51" s="1379">
        <f t="shared" si="4"/>
        <v>10</v>
      </c>
      <c r="Q51" s="1380"/>
      <c r="R51" s="5174" t="b">
        <f t="shared" si="1"/>
        <v>0</v>
      </c>
      <c r="S51" s="2850"/>
      <c r="T51" s="2850"/>
      <c r="U51" s="1388">
        <f t="shared" si="2"/>
        <v>0</v>
      </c>
      <c r="V51" s="4392"/>
      <c r="W51" s="4331"/>
      <c r="X51" s="4331"/>
      <c r="Y51" s="4331"/>
      <c r="Z51" s="4331"/>
      <c r="AA51" s="4393"/>
      <c r="AB51" s="4370" t="str">
        <f>IF(V51="","",VLOOKUP(V51,'Tablas Técnicas'!$AD$5:$AI$188,3,FALSE))</f>
        <v/>
      </c>
      <c r="AD51" s="4392"/>
      <c r="AE51" s="4331"/>
      <c r="AF51" s="4331"/>
      <c r="AG51" s="4331"/>
      <c r="AH51" s="4331"/>
      <c r="AI51" s="4393"/>
      <c r="AJ51" s="4370" t="str">
        <f>IF(AD51="","",VLOOKUP(AD51,'Tablas Técnicas'!$AD$5:$AI$188,3,FALSE))</f>
        <v/>
      </c>
      <c r="AK51" s="1295"/>
      <c r="AL51" s="1289"/>
      <c r="AM51" s="1337"/>
      <c r="AN51" s="1337"/>
      <c r="AO51" s="1337"/>
      <c r="AP51" s="1337"/>
      <c r="AQ51" s="1337"/>
      <c r="AR51" s="1337"/>
      <c r="AS51" s="1337"/>
      <c r="AT51" s="1337"/>
      <c r="AU51" s="1337"/>
    </row>
    <row r="52" spans="1:47" ht="12" customHeight="1" x14ac:dyDescent="0.2">
      <c r="A52" s="1289"/>
      <c r="B52" s="693"/>
      <c r="C52" s="1381" t="s">
        <v>2476</v>
      </c>
      <c r="D52" s="4401" t="s">
        <v>2530</v>
      </c>
      <c r="E52" s="4401"/>
      <c r="F52" s="4401"/>
      <c r="G52" s="4401"/>
      <c r="H52" s="1379">
        <f>IF(I52=0,20,"-")</f>
        <v>20</v>
      </c>
      <c r="I52" s="1380"/>
      <c r="J52" s="2853" t="b">
        <f t="shared" si="5"/>
        <v>0</v>
      </c>
      <c r="K52" s="1381" t="s">
        <v>2500</v>
      </c>
      <c r="L52" s="1384" t="s">
        <v>2476</v>
      </c>
      <c r="M52" s="4401" t="s">
        <v>2531</v>
      </c>
      <c r="N52" s="4401"/>
      <c r="O52" s="4401"/>
      <c r="P52" s="1379">
        <f t="shared" si="4"/>
        <v>10</v>
      </c>
      <c r="Q52" s="1380"/>
      <c r="R52" s="5174" t="b">
        <f t="shared" si="1"/>
        <v>0</v>
      </c>
      <c r="S52" s="2850"/>
      <c r="T52" s="2850"/>
      <c r="U52" s="1388"/>
      <c r="V52" s="4204" t="str">
        <f>IF(V51="","",VLOOKUP(V51,'Tablas Técnicas'!$AD$5:$AI$188,4,FALSE))</f>
        <v/>
      </c>
      <c r="W52" s="4153"/>
      <c r="X52" s="4153"/>
      <c r="Y52" s="4153"/>
      <c r="Z52" s="1429" t="s">
        <v>2171</v>
      </c>
      <c r="AA52" s="1431" t="str">
        <f>IF(V51="","",VLOOKUP(V51,'Tablas Técnicas'!$AD$5:$AI$188,2,FALSE))</f>
        <v/>
      </c>
      <c r="AB52" s="4370"/>
      <c r="AD52" s="4204" t="str">
        <f>IF(AD51="","",VLOOKUP(AD51,'Tablas Técnicas'!$AD$5:$AI$188,4,FALSE))</f>
        <v/>
      </c>
      <c r="AE52" s="4153"/>
      <c r="AF52" s="4153"/>
      <c r="AG52" s="4153"/>
      <c r="AH52" s="1429" t="s">
        <v>2171</v>
      </c>
      <c r="AI52" s="1431" t="str">
        <f>IF(AD51="","",VLOOKUP(AD51,'Tablas Técnicas'!$AD$5:$AI$188,2,FALSE))</f>
        <v/>
      </c>
      <c r="AJ52" s="4370"/>
      <c r="AK52" s="1295"/>
      <c r="AL52" s="1289"/>
      <c r="AM52" s="1337"/>
      <c r="AN52" s="1337"/>
      <c r="AO52" s="1337"/>
      <c r="AP52" s="1337"/>
      <c r="AQ52" s="1337"/>
      <c r="AR52" s="1337"/>
      <c r="AS52" s="1337"/>
      <c r="AT52" s="1337"/>
      <c r="AU52" s="1337"/>
    </row>
    <row r="53" spans="1:47" ht="12" customHeight="1" x14ac:dyDescent="0.2">
      <c r="A53" s="1289"/>
      <c r="B53" s="693"/>
      <c r="C53" s="4333" t="s">
        <v>2532</v>
      </c>
      <c r="D53" s="4334"/>
      <c r="E53" s="4334"/>
      <c r="F53" s="4334"/>
      <c r="G53" s="4334"/>
      <c r="H53" s="1379">
        <f>IF(I53=0,30,"-")</f>
        <v>30</v>
      </c>
      <c r="I53" s="1380"/>
      <c r="J53" s="2853" t="b">
        <f t="shared" si="5"/>
        <v>0</v>
      </c>
      <c r="K53" s="1381" t="s">
        <v>2465</v>
      </c>
      <c r="L53" s="4401" t="s">
        <v>2533</v>
      </c>
      <c r="M53" s="4334"/>
      <c r="N53" s="4334"/>
      <c r="O53" s="4334"/>
      <c r="P53" s="1379">
        <f t="shared" si="4"/>
        <v>10</v>
      </c>
      <c r="Q53" s="1380"/>
      <c r="R53" s="5174" t="b">
        <f t="shared" si="1"/>
        <v>0</v>
      </c>
      <c r="S53" s="2850"/>
      <c r="T53" s="2850"/>
      <c r="U53" s="1388">
        <f t="shared" si="2"/>
        <v>0</v>
      </c>
      <c r="V53" s="4389"/>
      <c r="W53" s="4348"/>
      <c r="X53" s="4348"/>
      <c r="Y53" s="4348"/>
      <c r="Z53" s="4348"/>
      <c r="AA53" s="4390"/>
      <c r="AB53" s="4391" t="str">
        <f>IF(V53="","",VLOOKUP(V53,'Tablas Técnicas'!$AD$5:$AI$188,3,FALSE))</f>
        <v/>
      </c>
      <c r="AD53" s="4389"/>
      <c r="AE53" s="4348"/>
      <c r="AF53" s="4348"/>
      <c r="AG53" s="4348"/>
      <c r="AH53" s="4348"/>
      <c r="AI53" s="4390"/>
      <c r="AJ53" s="4391" t="str">
        <f>IF(AD53="","",VLOOKUP(AD53,'Tablas Técnicas'!$AD$5:$AI$188,3,FALSE))</f>
        <v/>
      </c>
      <c r="AK53" s="1295"/>
      <c r="AL53" s="1289"/>
      <c r="AM53" s="1337"/>
      <c r="AN53" s="1337"/>
      <c r="AO53" s="1337"/>
      <c r="AP53" s="1337"/>
      <c r="AQ53" s="1337"/>
      <c r="AR53" s="1337"/>
      <c r="AS53" s="1337"/>
      <c r="AT53" s="1337"/>
      <c r="AU53" s="1337"/>
    </row>
    <row r="54" spans="1:47" ht="12" customHeight="1" x14ac:dyDescent="0.2">
      <c r="A54" s="1289"/>
      <c r="B54" s="693"/>
      <c r="C54" s="4333" t="s">
        <v>2534</v>
      </c>
      <c r="D54" s="4334"/>
      <c r="E54" s="4334"/>
      <c r="F54" s="4334"/>
      <c r="G54" s="4334"/>
      <c r="H54" s="1379">
        <f>IF(I54=0,30,"-")</f>
        <v>30</v>
      </c>
      <c r="I54" s="1380"/>
      <c r="J54" s="2853" t="b">
        <f t="shared" si="5"/>
        <v>0</v>
      </c>
      <c r="K54" s="1381" t="s">
        <v>2500</v>
      </c>
      <c r="L54" s="1384" t="s">
        <v>2465</v>
      </c>
      <c r="M54" s="4401" t="s">
        <v>2535</v>
      </c>
      <c r="N54" s="4401"/>
      <c r="O54" s="4401"/>
      <c r="P54" s="1379">
        <f>IF(Q54=0,20,"-")</f>
        <v>20</v>
      </c>
      <c r="Q54" s="1380"/>
      <c r="R54" s="5174" t="b">
        <f t="shared" si="1"/>
        <v>0</v>
      </c>
      <c r="S54" s="2850"/>
      <c r="T54" s="2850"/>
      <c r="U54" s="1388"/>
      <c r="V54" s="4394" t="str">
        <f>IF(V53="","",VLOOKUP(V53,'Tablas Técnicas'!$AD$5:$AI$188,4,FALSE))</f>
        <v/>
      </c>
      <c r="W54" s="4395"/>
      <c r="X54" s="4395"/>
      <c r="Y54" s="4395"/>
      <c r="Z54" s="1352" t="s">
        <v>2171</v>
      </c>
      <c r="AA54" s="1391" t="str">
        <f>IF(V53="","",VLOOKUP(V53,'Tablas Técnicas'!$AD$5:$AI$188,2,FALSE))</f>
        <v/>
      </c>
      <c r="AB54" s="4391"/>
      <c r="AD54" s="4394" t="str">
        <f>IF(AD53="","",VLOOKUP(AD53,'Tablas Técnicas'!$AD$5:$AI$188,4,FALSE))</f>
        <v/>
      </c>
      <c r="AE54" s="4395"/>
      <c r="AF54" s="4395"/>
      <c r="AG54" s="4395"/>
      <c r="AH54" s="1352" t="s">
        <v>2171</v>
      </c>
      <c r="AI54" s="1391" t="str">
        <f>IF(AD53="","",VLOOKUP(AD53,'Tablas Técnicas'!$AD$5:$AI$188,2,FALSE))</f>
        <v/>
      </c>
      <c r="AJ54" s="4391"/>
      <c r="AK54" s="1295"/>
      <c r="AL54" s="1289"/>
      <c r="AM54" s="1337"/>
      <c r="AN54" s="1337"/>
      <c r="AO54" s="1337"/>
      <c r="AP54" s="1337"/>
      <c r="AQ54" s="1337"/>
      <c r="AR54" s="1337"/>
      <c r="AS54" s="1337"/>
      <c r="AT54" s="1337"/>
      <c r="AU54" s="1337"/>
    </row>
    <row r="55" spans="1:47" ht="12" customHeight="1" x14ac:dyDescent="0.2">
      <c r="A55" s="1289"/>
      <c r="B55" s="693"/>
      <c r="C55" s="1381" t="s">
        <v>2476</v>
      </c>
      <c r="D55" s="4401" t="s">
        <v>2536</v>
      </c>
      <c r="E55" s="4334"/>
      <c r="F55" s="4334"/>
      <c r="G55" s="4334"/>
      <c r="H55" s="1379">
        <f>IF(I55=0,30,"-")</f>
        <v>30</v>
      </c>
      <c r="I55" s="1380"/>
      <c r="J55" s="2853" t="b">
        <f t="shared" si="5"/>
        <v>0</v>
      </c>
      <c r="K55" s="1381" t="s">
        <v>2500</v>
      </c>
      <c r="L55" s="1384" t="s">
        <v>2465</v>
      </c>
      <c r="M55" s="4401" t="s">
        <v>2537</v>
      </c>
      <c r="N55" s="4401"/>
      <c r="O55" s="4401"/>
      <c r="P55" s="1379">
        <f>IF(Q55=0,20,"-")</f>
        <v>20</v>
      </c>
      <c r="Q55" s="1380"/>
      <c r="R55" s="5174" t="b">
        <f t="shared" si="1"/>
        <v>0</v>
      </c>
      <c r="S55" s="2850"/>
      <c r="T55" s="2850"/>
      <c r="U55" s="1388">
        <f t="shared" si="2"/>
        <v>0</v>
      </c>
      <c r="V55" s="4392"/>
      <c r="W55" s="4331"/>
      <c r="X55" s="4331"/>
      <c r="Y55" s="4331"/>
      <c r="Z55" s="4331"/>
      <c r="AA55" s="4393"/>
      <c r="AB55" s="4370" t="str">
        <f>IF(V55="","",VLOOKUP(V55,'Tablas Técnicas'!$AD$5:$AI$188,3,FALSE))</f>
        <v/>
      </c>
      <c r="AD55" s="4392"/>
      <c r="AE55" s="4331"/>
      <c r="AF55" s="4331"/>
      <c r="AG55" s="4331"/>
      <c r="AH55" s="4331"/>
      <c r="AI55" s="4393"/>
      <c r="AJ55" s="4370" t="str">
        <f>IF(AD55="","",VLOOKUP(AD55,'Tablas Técnicas'!$AD$5:$AI$188,3,FALSE))</f>
        <v/>
      </c>
      <c r="AK55" s="1295"/>
      <c r="AL55" s="1289"/>
      <c r="AM55" s="1337"/>
      <c r="AN55" s="1337"/>
      <c r="AO55" s="1337"/>
      <c r="AP55" s="1337"/>
      <c r="AQ55" s="1337"/>
      <c r="AR55" s="1337"/>
      <c r="AS55" s="1337"/>
      <c r="AT55" s="1337"/>
      <c r="AU55" s="1337"/>
    </row>
    <row r="56" spans="1:47" ht="12" customHeight="1" x14ac:dyDescent="0.2">
      <c r="A56" s="1289"/>
      <c r="B56" s="693"/>
      <c r="C56" s="4333" t="s">
        <v>2538</v>
      </c>
      <c r="D56" s="4334"/>
      <c r="E56" s="4334"/>
      <c r="F56" s="4334"/>
      <c r="G56" s="4334"/>
      <c r="H56" s="1379">
        <f>IF(I56=0,10,"-")</f>
        <v>10</v>
      </c>
      <c r="I56" s="1380"/>
      <c r="J56" s="2853" t="b">
        <f t="shared" si="5"/>
        <v>0</v>
      </c>
      <c r="K56" s="1381" t="s">
        <v>2500</v>
      </c>
      <c r="L56" s="1384" t="s">
        <v>2476</v>
      </c>
      <c r="M56" s="4401" t="s">
        <v>2539</v>
      </c>
      <c r="N56" s="4401"/>
      <c r="O56" s="4401"/>
      <c r="P56" s="1379">
        <f>IF(Q56=0,20,"-")</f>
        <v>20</v>
      </c>
      <c r="Q56" s="1380"/>
      <c r="R56" s="5174" t="b">
        <f t="shared" si="1"/>
        <v>0</v>
      </c>
      <c r="S56" s="2850"/>
      <c r="T56" s="2850"/>
      <c r="U56" s="1388"/>
      <c r="V56" s="4204" t="str">
        <f>IF(V55="","",VLOOKUP(V55,'Tablas Técnicas'!$AD$5:$AI$188,4,FALSE))</f>
        <v/>
      </c>
      <c r="W56" s="4153"/>
      <c r="X56" s="4153"/>
      <c r="Y56" s="4153"/>
      <c r="Z56" s="1429" t="s">
        <v>2171</v>
      </c>
      <c r="AA56" s="1431" t="str">
        <f>IF(V55="","",VLOOKUP(V55,'Tablas Técnicas'!$AD$5:$AI$188,2,FALSE))</f>
        <v/>
      </c>
      <c r="AB56" s="4370"/>
      <c r="AD56" s="4204" t="str">
        <f>IF(AD55="","",VLOOKUP(AD55,'Tablas Técnicas'!$AD$5:$AI$188,4,FALSE))</f>
        <v/>
      </c>
      <c r="AE56" s="4153"/>
      <c r="AF56" s="4153"/>
      <c r="AG56" s="4153"/>
      <c r="AH56" s="1429" t="s">
        <v>2171</v>
      </c>
      <c r="AI56" s="1431" t="str">
        <f>IF(AD55="","",VLOOKUP(AD55,'Tablas Técnicas'!$AD$5:$AI$188,2,FALSE))</f>
        <v/>
      </c>
      <c r="AJ56" s="4370"/>
      <c r="AK56" s="1295"/>
      <c r="AL56" s="1289"/>
      <c r="AM56" s="1337"/>
      <c r="AN56" s="1337"/>
      <c r="AO56" s="1337"/>
      <c r="AP56" s="1337"/>
      <c r="AQ56" s="1337"/>
      <c r="AR56" s="1337"/>
      <c r="AS56" s="1337"/>
      <c r="AT56" s="1337"/>
      <c r="AU56" s="1337"/>
    </row>
    <row r="57" spans="1:47" ht="12" customHeight="1" x14ac:dyDescent="0.2">
      <c r="A57" s="1289"/>
      <c r="B57" s="693"/>
      <c r="C57" s="1381" t="s">
        <v>2465</v>
      </c>
      <c r="D57" s="4401" t="s">
        <v>2540</v>
      </c>
      <c r="E57" s="4334"/>
      <c r="F57" s="4334"/>
      <c r="G57" s="4334"/>
      <c r="H57" s="1379">
        <f>IF(I57=0,10,"-")</f>
        <v>10</v>
      </c>
      <c r="I57" s="1380"/>
      <c r="J57" s="2853" t="b">
        <f t="shared" si="5"/>
        <v>0</v>
      </c>
      <c r="K57" s="1381" t="s">
        <v>2465</v>
      </c>
      <c r="L57" s="4401" t="s">
        <v>2541</v>
      </c>
      <c r="M57" s="4334"/>
      <c r="N57" s="4334"/>
      <c r="O57" s="4334"/>
      <c r="P57" s="1379">
        <f>IF(Q57=0,20,"-")</f>
        <v>20</v>
      </c>
      <c r="Q57" s="1380"/>
      <c r="R57" s="5174" t="b">
        <f t="shared" si="1"/>
        <v>0</v>
      </c>
      <c r="S57" s="2850"/>
      <c r="T57" s="2850"/>
      <c r="U57" s="1388">
        <f t="shared" si="2"/>
        <v>0</v>
      </c>
      <c r="V57" s="4389"/>
      <c r="W57" s="4348"/>
      <c r="X57" s="4348"/>
      <c r="Y57" s="4348"/>
      <c r="Z57" s="4348"/>
      <c r="AA57" s="4390"/>
      <c r="AB57" s="4391" t="str">
        <f>IF(V57="","",VLOOKUP(V57,'Tablas Técnicas'!$AD$5:$AI$188,3,FALSE))</f>
        <v/>
      </c>
      <c r="AD57" s="4389"/>
      <c r="AE57" s="4348"/>
      <c r="AF57" s="4348"/>
      <c r="AG57" s="4348"/>
      <c r="AH57" s="4348"/>
      <c r="AI57" s="4390"/>
      <c r="AJ57" s="4391" t="str">
        <f>IF(AD57="","",VLOOKUP(AD57,'Tablas Técnicas'!$AD$5:$AI$188,3,FALSE))</f>
        <v/>
      </c>
      <c r="AK57" s="1295"/>
      <c r="AL57" s="1289"/>
      <c r="AM57" s="1348"/>
      <c r="AN57" s="1337"/>
      <c r="AO57" s="1337"/>
      <c r="AP57" s="1337"/>
      <c r="AQ57" s="1337"/>
      <c r="AR57" s="1337"/>
      <c r="AS57" s="1337"/>
      <c r="AT57" s="1337"/>
      <c r="AU57" s="1337"/>
    </row>
    <row r="58" spans="1:47" ht="12" customHeight="1" x14ac:dyDescent="0.2">
      <c r="A58" s="1289"/>
      <c r="B58" s="693"/>
      <c r="C58" s="1381" t="s">
        <v>2465</v>
      </c>
      <c r="D58" s="4401" t="s">
        <v>2542</v>
      </c>
      <c r="E58" s="4334"/>
      <c r="F58" s="4334"/>
      <c r="G58" s="4334"/>
      <c r="H58" s="1379">
        <f>IF(I58=0,20,"-")</f>
        <v>20</v>
      </c>
      <c r="I58" s="1380"/>
      <c r="J58" s="2853" t="b">
        <f>H58="-"</f>
        <v>0</v>
      </c>
      <c r="K58" s="1381" t="s">
        <v>2500</v>
      </c>
      <c r="L58" s="1384" t="s">
        <v>2465</v>
      </c>
      <c r="M58" s="4401" t="s">
        <v>2543</v>
      </c>
      <c r="N58" s="4401"/>
      <c r="O58" s="4401"/>
      <c r="P58" s="1379">
        <f>IF(Q58=0,20,"-")</f>
        <v>20</v>
      </c>
      <c r="Q58" s="1380"/>
      <c r="R58" s="5174" t="b">
        <f t="shared" si="1"/>
        <v>0</v>
      </c>
      <c r="S58" s="2850"/>
      <c r="T58" s="2850"/>
      <c r="U58" s="1388"/>
      <c r="V58" s="4394" t="str">
        <f>IF(V57="","",VLOOKUP(V57,'Tablas Técnicas'!$AD$5:$AI$188,4,FALSE))</f>
        <v/>
      </c>
      <c r="W58" s="4395"/>
      <c r="X58" s="4395"/>
      <c r="Y58" s="4395"/>
      <c r="Z58" s="1352" t="s">
        <v>2171</v>
      </c>
      <c r="AA58" s="1391" t="str">
        <f>IF(V57="","",VLOOKUP(V57,'Tablas Técnicas'!$AD$5:$AI$188,2,FALSE))</f>
        <v/>
      </c>
      <c r="AB58" s="4391"/>
      <c r="AD58" s="4394" t="str">
        <f>IF(AD57="","",VLOOKUP(AD57,'Tablas Técnicas'!$AD$5:$AI$188,4,FALSE))</f>
        <v/>
      </c>
      <c r="AE58" s="4395"/>
      <c r="AF58" s="4395"/>
      <c r="AG58" s="4395"/>
      <c r="AH58" s="1352" t="s">
        <v>2171</v>
      </c>
      <c r="AI58" s="1391" t="str">
        <f>IF(AD57="","",VLOOKUP(AD57,'Tablas Técnicas'!$AD$5:$AI$188,2,FALSE))</f>
        <v/>
      </c>
      <c r="AJ58" s="4391"/>
      <c r="AK58" s="1295"/>
      <c r="AL58" s="1289"/>
      <c r="AM58" s="1337"/>
      <c r="AN58" s="1337"/>
      <c r="AO58" s="1337"/>
      <c r="AP58" s="1337"/>
      <c r="AQ58" s="1337"/>
      <c r="AR58" s="1337"/>
      <c r="AS58" s="1337"/>
      <c r="AT58" s="1337"/>
      <c r="AU58" s="1337"/>
    </row>
    <row r="59" spans="1:47" ht="12" customHeight="1" x14ac:dyDescent="0.2">
      <c r="A59" s="1289"/>
      <c r="B59" s="693"/>
      <c r="C59" s="1381" t="s">
        <v>2476</v>
      </c>
      <c r="D59" s="4401" t="s">
        <v>2544</v>
      </c>
      <c r="E59" s="4334"/>
      <c r="F59" s="4334"/>
      <c r="G59" s="4334"/>
      <c r="H59" s="1379">
        <f>IF(I59=0,20,"-")</f>
        <v>20</v>
      </c>
      <c r="I59" s="1380"/>
      <c r="J59" s="2853" t="b">
        <f t="shared" si="5"/>
        <v>0</v>
      </c>
      <c r="K59" s="1381" t="s">
        <v>2500</v>
      </c>
      <c r="L59" s="1384" t="s">
        <v>2476</v>
      </c>
      <c r="M59" s="4401" t="s">
        <v>2545</v>
      </c>
      <c r="N59" s="4401"/>
      <c r="O59" s="4401"/>
      <c r="P59" s="1379">
        <f>IF(Q59=0,10,"-")</f>
        <v>10</v>
      </c>
      <c r="Q59" s="1380"/>
      <c r="R59" s="5174" t="b">
        <f t="shared" si="1"/>
        <v>0</v>
      </c>
      <c r="S59" s="2850"/>
      <c r="T59" s="2850"/>
      <c r="U59" s="1388">
        <f t="shared" si="2"/>
        <v>0</v>
      </c>
      <c r="V59" s="4392"/>
      <c r="W59" s="4331"/>
      <c r="X59" s="4331"/>
      <c r="Y59" s="4331"/>
      <c r="Z59" s="4331"/>
      <c r="AA59" s="4393"/>
      <c r="AB59" s="4370" t="str">
        <f>IF(V59="","",VLOOKUP(V59,'Tablas Técnicas'!$AD$5:$AI$188,3,FALSE))</f>
        <v/>
      </c>
      <c r="AD59" s="4392"/>
      <c r="AE59" s="4331"/>
      <c r="AF59" s="4331"/>
      <c r="AG59" s="4331"/>
      <c r="AH59" s="4331"/>
      <c r="AI59" s="4393"/>
      <c r="AJ59" s="4370" t="str">
        <f>IF(AD59="","",VLOOKUP(AD59,'Tablas Técnicas'!$AD$5:$AI$188,3,FALSE))</f>
        <v/>
      </c>
      <c r="AK59" s="1295"/>
      <c r="AL59" s="1289"/>
      <c r="AM59" s="1337"/>
      <c r="AN59" s="1337"/>
      <c r="AO59" s="1337"/>
      <c r="AP59" s="1337"/>
      <c r="AQ59" s="1337"/>
      <c r="AR59" s="1337"/>
      <c r="AS59" s="1337"/>
      <c r="AT59" s="1337"/>
      <c r="AU59" s="1337"/>
    </row>
    <row r="60" spans="1:47" ht="12" customHeight="1" x14ac:dyDescent="0.3">
      <c r="A60" s="1289"/>
      <c r="B60" s="693"/>
      <c r="C60" s="1405"/>
      <c r="D60" s="1384" t="s">
        <v>2476</v>
      </c>
      <c r="E60" s="4401" t="s">
        <v>2546</v>
      </c>
      <c r="F60" s="4401"/>
      <c r="G60" s="4401"/>
      <c r="H60" s="1379">
        <f>IF(I60=0,40,"-")</f>
        <v>40</v>
      </c>
      <c r="I60" s="1380"/>
      <c r="J60" s="2853" t="b">
        <f t="shared" si="5"/>
        <v>0</v>
      </c>
      <c r="K60" s="1381" t="s">
        <v>2476</v>
      </c>
      <c r="L60" s="4401" t="s">
        <v>2547</v>
      </c>
      <c r="M60" s="4401"/>
      <c r="N60" s="4401"/>
      <c r="O60" s="4401"/>
      <c r="P60" s="1379">
        <f>IF(Q60=0,20,"-")</f>
        <v>20</v>
      </c>
      <c r="Q60" s="1380"/>
      <c r="R60" s="5174" t="b">
        <f t="shared" si="1"/>
        <v>0</v>
      </c>
      <c r="S60" s="2850"/>
      <c r="T60" s="2850"/>
      <c r="U60" s="1388"/>
      <c r="V60" s="4204" t="str">
        <f>IF(V59="","",VLOOKUP(V59,'Tablas Técnicas'!$AD$5:$AI$188,4,FALSE))</f>
        <v/>
      </c>
      <c r="W60" s="4153"/>
      <c r="X60" s="4153"/>
      <c r="Y60" s="4153"/>
      <c r="Z60" s="1429" t="s">
        <v>2171</v>
      </c>
      <c r="AA60" s="1431" t="str">
        <f>IF(V59="","",VLOOKUP(V59,'Tablas Técnicas'!$AD$5:$AI$188,2,FALSE))</f>
        <v/>
      </c>
      <c r="AB60" s="4370"/>
      <c r="AD60" s="4204" t="str">
        <f>IF(AD59="","",VLOOKUP(AD59,'Tablas Técnicas'!$AD$5:$AI$188,4,FALSE))</f>
        <v/>
      </c>
      <c r="AE60" s="4153"/>
      <c r="AF60" s="4153"/>
      <c r="AG60" s="4153"/>
      <c r="AH60" s="1429" t="s">
        <v>2171</v>
      </c>
      <c r="AI60" s="1431" t="str">
        <f>IF(AD59="","",VLOOKUP(AD59,'Tablas Técnicas'!$AD$5:$AI$188,2,FALSE))</f>
        <v/>
      </c>
      <c r="AJ60" s="4370"/>
      <c r="AK60" s="1295"/>
      <c r="AL60" s="1289"/>
      <c r="AM60" s="1337"/>
      <c r="AN60" s="1337"/>
      <c r="AO60" s="1337"/>
      <c r="AP60" s="1337"/>
      <c r="AQ60" s="1337"/>
      <c r="AR60" s="1337"/>
      <c r="AS60" s="1337"/>
      <c r="AT60" s="1337"/>
      <c r="AU60" s="1337"/>
    </row>
    <row r="61" spans="1:47" ht="12" customHeight="1" x14ac:dyDescent="0.2">
      <c r="A61" s="1289"/>
      <c r="B61" s="693"/>
      <c r="C61" s="4333" t="s">
        <v>2548</v>
      </c>
      <c r="D61" s="4334"/>
      <c r="E61" s="4334"/>
      <c r="F61" s="4334"/>
      <c r="G61" s="4334"/>
      <c r="H61" s="1379">
        <f>IF(I61=0,30,"-")</f>
        <v>30</v>
      </c>
      <c r="I61" s="1380"/>
      <c r="J61" s="2853" t="b">
        <f t="shared" si="5"/>
        <v>0</v>
      </c>
      <c r="K61" s="1406"/>
      <c r="L61" s="1384" t="s">
        <v>2476</v>
      </c>
      <c r="M61" s="4401" t="s">
        <v>2549</v>
      </c>
      <c r="N61" s="4401"/>
      <c r="O61" s="4401"/>
      <c r="P61" s="1379">
        <f>IF(Q61=0,20,"-")</f>
        <v>20</v>
      </c>
      <c r="Q61" s="1380"/>
      <c r="R61" s="5174" t="b">
        <f t="shared" si="1"/>
        <v>0</v>
      </c>
      <c r="S61" s="2850"/>
      <c r="T61" s="2850"/>
      <c r="U61" s="1388">
        <f t="shared" si="2"/>
        <v>0</v>
      </c>
      <c r="V61" s="4389"/>
      <c r="W61" s="4348"/>
      <c r="X61" s="4348"/>
      <c r="Y61" s="4348"/>
      <c r="Z61" s="4348"/>
      <c r="AA61" s="4390"/>
      <c r="AB61" s="4391" t="str">
        <f>IF(V61="","",VLOOKUP(V61,'Tablas Técnicas'!$AD$5:$AI$188,3,FALSE))</f>
        <v/>
      </c>
      <c r="AD61" s="4389"/>
      <c r="AE61" s="4348"/>
      <c r="AF61" s="4348"/>
      <c r="AG61" s="4348"/>
      <c r="AH61" s="4348"/>
      <c r="AI61" s="4390"/>
      <c r="AJ61" s="4391" t="str">
        <f>IF(AD61="","",VLOOKUP(AD61,'Tablas Técnicas'!$AD$5:$AI$188,3,FALSE))</f>
        <v/>
      </c>
      <c r="AK61" s="1295"/>
      <c r="AL61" s="1289"/>
      <c r="AM61" s="1337"/>
      <c r="AN61" s="1337"/>
      <c r="AO61" s="1337"/>
      <c r="AP61" s="1337"/>
      <c r="AQ61" s="1337"/>
      <c r="AR61" s="1337"/>
      <c r="AS61" s="1337"/>
      <c r="AT61" s="1337"/>
      <c r="AU61" s="1337"/>
    </row>
    <row r="62" spans="1:47" ht="12" customHeight="1" x14ac:dyDescent="0.2">
      <c r="A62" s="1289"/>
      <c r="B62" s="693"/>
      <c r="C62" s="4333" t="s">
        <v>2550</v>
      </c>
      <c r="D62" s="4334"/>
      <c r="E62" s="4334"/>
      <c r="F62" s="4334"/>
      <c r="G62" s="4334"/>
      <c r="H62" s="1379">
        <f>IF(I62=0,10,"-")</f>
        <v>10</v>
      </c>
      <c r="I62" s="1380"/>
      <c r="J62" s="2853" t="b">
        <f t="shared" si="5"/>
        <v>0</v>
      </c>
      <c r="K62" s="4333" t="s">
        <v>2551</v>
      </c>
      <c r="L62" s="4334"/>
      <c r="M62" s="4334"/>
      <c r="N62" s="4334"/>
      <c r="O62" s="4334"/>
      <c r="P62" s="1379">
        <f>IF(Q62=0,50,"-")</f>
        <v>50</v>
      </c>
      <c r="Q62" s="1380"/>
      <c r="R62" s="5174" t="b">
        <f t="shared" si="1"/>
        <v>0</v>
      </c>
      <c r="S62" s="2850"/>
      <c r="T62" s="2850"/>
      <c r="U62" s="1388"/>
      <c r="V62" s="4394" t="str">
        <f>IF(V61="","",VLOOKUP(V61,'Tablas Técnicas'!$AD$5:$AI$188,4,FALSE))</f>
        <v/>
      </c>
      <c r="W62" s="4395"/>
      <c r="X62" s="4395"/>
      <c r="Y62" s="4395"/>
      <c r="Z62" s="1352" t="s">
        <v>2171</v>
      </c>
      <c r="AA62" s="1391" t="str">
        <f>IF(V61="","",VLOOKUP(V61,'Tablas Técnicas'!$AD$5:$AI$188,2,FALSE))</f>
        <v/>
      </c>
      <c r="AB62" s="4391"/>
      <c r="AD62" s="4394" t="str">
        <f>IF(AD61="","",VLOOKUP(AD61,'Tablas Técnicas'!$AD$5:$AI$188,4,FALSE))</f>
        <v/>
      </c>
      <c r="AE62" s="4395"/>
      <c r="AF62" s="4395"/>
      <c r="AG62" s="4395"/>
      <c r="AH62" s="1352" t="s">
        <v>2171</v>
      </c>
      <c r="AI62" s="1391" t="str">
        <f>IF(AD61="","",VLOOKUP(AD61,'Tablas Técnicas'!$AD$5:$AI$188,2,FALSE))</f>
        <v/>
      </c>
      <c r="AJ62" s="4391"/>
      <c r="AK62" s="1295"/>
      <c r="AL62" s="1289"/>
      <c r="AM62" s="1337"/>
      <c r="AN62" s="1337"/>
      <c r="AO62" s="1337"/>
      <c r="AP62" s="1337"/>
      <c r="AQ62" s="1337"/>
      <c r="AR62" s="1337"/>
      <c r="AS62" s="1337"/>
      <c r="AT62" s="1337"/>
      <c r="AU62" s="1337"/>
    </row>
    <row r="63" spans="1:47" ht="12" customHeight="1" x14ac:dyDescent="0.2">
      <c r="A63" s="1289"/>
      <c r="B63" s="693"/>
      <c r="C63" s="4333" t="s">
        <v>2552</v>
      </c>
      <c r="D63" s="4334"/>
      <c r="E63" s="4334"/>
      <c r="F63" s="4334"/>
      <c r="G63" s="4334"/>
      <c r="H63" s="1379">
        <f>IF(COUNTIF(HabilidadesEsenciales_Adquiridas,"Inhumanidad")+COUNTIF(Principal!V30:AE35,"Inhumanidad")&gt;0,"-",IF(I63=0,20,"-"))</f>
        <v>20</v>
      </c>
      <c r="I63" s="1380"/>
      <c r="J63" s="2855">
        <f>IF(COUNTIF(HabilidadesEsenciales_Adquiridas,"Inhumanidad")+COUNTIF(Principal!V30:AE35,"Inhumanidad")&gt;0,1,0)</f>
        <v>0</v>
      </c>
      <c r="K63" s="4333" t="s">
        <v>2552</v>
      </c>
      <c r="L63" s="4401"/>
      <c r="M63" s="4401"/>
      <c r="N63" s="4401"/>
      <c r="O63" s="4401"/>
      <c r="P63" s="1379">
        <f>IF(COUNTIF(HabilidadesEsenciales_Adquiridas,"Inhumanidad")+COUNTIF(Principal!V30:AE35,"Inhumanidad")&gt;0,"-",IF(Q63=0,30,"-"))</f>
        <v>30</v>
      </c>
      <c r="Q63" s="1380"/>
      <c r="R63" s="5174" t="b">
        <f>OR(Ki!$P63="-",Ki!$H63="-",COUNTIF(HabilidadesEsenciales_Adquiridas,"Inhumanidad")&gt;0,Raza=Tablas!$C$21,Tablas!$P$556&gt;0,Tablas!$P$557&gt;0)</f>
        <v>0</v>
      </c>
      <c r="S63" s="2850"/>
      <c r="T63" s="2850"/>
      <c r="U63" s="1388">
        <f t="shared" si="2"/>
        <v>0</v>
      </c>
      <c r="V63" s="4392"/>
      <c r="W63" s="4331"/>
      <c r="X63" s="4331"/>
      <c r="Y63" s="4331"/>
      <c r="Z63" s="4331"/>
      <c r="AA63" s="4393"/>
      <c r="AB63" s="4370" t="str">
        <f>IF(V63="","",VLOOKUP(V63,'Tablas Técnicas'!$AD$5:$AI$188,3,FALSE))</f>
        <v/>
      </c>
      <c r="AD63" s="4392"/>
      <c r="AE63" s="4331"/>
      <c r="AF63" s="4331"/>
      <c r="AG63" s="4331"/>
      <c r="AH63" s="4331"/>
      <c r="AI63" s="4393"/>
      <c r="AJ63" s="4370" t="str">
        <f>IF(AD63="","",VLOOKUP(AD63,'Tablas Técnicas'!$AD$5:$AI$188,3,FALSE))</f>
        <v/>
      </c>
      <c r="AK63" s="1295"/>
      <c r="AL63" s="1289"/>
      <c r="AM63" s="1337"/>
      <c r="AN63" s="1337"/>
      <c r="AO63" s="1337"/>
      <c r="AP63" s="1337"/>
      <c r="AQ63" s="1337"/>
      <c r="AR63" s="1337"/>
      <c r="AS63" s="1337"/>
      <c r="AT63" s="1337"/>
      <c r="AU63" s="1337"/>
    </row>
    <row r="64" spans="1:47" ht="12" customHeight="1" thickBot="1" x14ac:dyDescent="0.25">
      <c r="A64" s="1289"/>
      <c r="B64" s="693"/>
      <c r="C64" s="1407" t="s">
        <v>2476</v>
      </c>
      <c r="D64" s="4439" t="s">
        <v>2553</v>
      </c>
      <c r="E64" s="4440"/>
      <c r="F64" s="4440"/>
      <c r="G64" s="4440"/>
      <c r="H64" s="1408">
        <f>IF(COUNTIF(HabilidadesEsenciales_Adquiridas,"Zen")+COUNTIF(Principal!V30:AE35,"Zen")&gt;0,"-",IF(I64=0,40,"-"))</f>
        <v>40</v>
      </c>
      <c r="I64" s="1409"/>
      <c r="J64" s="2855">
        <f>IF(COUNTIF(HabilidadesEsenciales_Adquiridas,"Zen")+COUNTIF(Principal!V30:AE35,"Zen")&gt;0,1,0)</f>
        <v>0</v>
      </c>
      <c r="K64" s="1407" t="s">
        <v>2476</v>
      </c>
      <c r="L64" s="4439" t="s">
        <v>2553</v>
      </c>
      <c r="M64" s="4439"/>
      <c r="N64" s="4439"/>
      <c r="O64" s="4439"/>
      <c r="P64" s="1408">
        <f>IF(COUNTIF(HabilidadesEsenciales_Adquiridas,"Zen")+COUNTIF(Principal!V30:AE35,"Zen")&gt;0,"-",IF(Q64=0,50,"-"))</f>
        <v>50</v>
      </c>
      <c r="Q64" s="1409"/>
      <c r="R64" s="5174" t="b">
        <f>OR(Ki!$P64="-",Ki!$H64="-",COUNTIF(HabilidadesEsenciales_Adquiridas,"Zen")&gt;0)</f>
        <v>0</v>
      </c>
      <c r="S64" s="2850"/>
      <c r="T64" s="2850"/>
      <c r="U64" s="1410"/>
      <c r="V64" s="4210" t="str">
        <f>IF(V63="","",VLOOKUP(V63,'Tablas Técnicas'!$AD$5:$AI$188,4,FALSE))</f>
        <v/>
      </c>
      <c r="W64" s="4170"/>
      <c r="X64" s="4170"/>
      <c r="Y64" s="4170"/>
      <c r="Z64" s="1411" t="s">
        <v>2171</v>
      </c>
      <c r="AA64" s="1432" t="str">
        <f>IF(V63="","",VLOOKUP(V63,'Tablas Técnicas'!$AD$5:$AI$188,2,FALSE))</f>
        <v/>
      </c>
      <c r="AB64" s="4438"/>
      <c r="AD64" s="4210" t="str">
        <f>IF(AD63="","",VLOOKUP(AD63,'Tablas Técnicas'!$AD$5:$AI$188,4,FALSE))</f>
        <v/>
      </c>
      <c r="AE64" s="4170"/>
      <c r="AF64" s="4170"/>
      <c r="AG64" s="4170"/>
      <c r="AH64" s="1411" t="s">
        <v>2171</v>
      </c>
      <c r="AI64" s="1432" t="str">
        <f>IF(AD63="","",VLOOKUP(AD63,'Tablas Técnicas'!$AD$5:$AI$188,2,FALSE))</f>
        <v/>
      </c>
      <c r="AJ64" s="4438"/>
      <c r="AK64" s="1295"/>
      <c r="AL64" s="1289"/>
      <c r="AM64" s="1337"/>
      <c r="AN64" s="1337"/>
      <c r="AO64" s="1337"/>
      <c r="AP64" s="1337"/>
      <c r="AQ64" s="1337"/>
      <c r="AR64" s="1337"/>
      <c r="AS64" s="1337"/>
      <c r="AT64" s="1337"/>
      <c r="AU64" s="1337"/>
    </row>
    <row r="65" spans="1:47" ht="12" customHeight="1" thickBot="1" x14ac:dyDescent="0.25">
      <c r="A65" s="1289"/>
      <c r="B65" s="694"/>
      <c r="C65" s="1332"/>
      <c r="D65" s="1332"/>
      <c r="E65" s="1332"/>
      <c r="F65" s="1332"/>
      <c r="G65" s="1332"/>
      <c r="H65" s="1332"/>
      <c r="I65" s="1332"/>
      <c r="J65" s="1332"/>
      <c r="K65" s="1332"/>
      <c r="L65" s="1332"/>
      <c r="M65" s="1332"/>
      <c r="N65" s="1332"/>
      <c r="O65" s="1332"/>
      <c r="P65" s="1332"/>
      <c r="Q65" s="1332"/>
      <c r="R65" s="5175"/>
      <c r="S65" s="2850"/>
      <c r="T65" s="2850"/>
      <c r="U65" s="694"/>
      <c r="V65" s="1332"/>
      <c r="W65" s="1332"/>
      <c r="X65" s="1332"/>
      <c r="Y65" s="1332"/>
      <c r="Z65" s="1332"/>
      <c r="AA65" s="1332"/>
      <c r="AB65" s="1332"/>
      <c r="AC65" s="1332"/>
      <c r="AD65" s="1332"/>
      <c r="AE65" s="1332"/>
      <c r="AF65" s="1332"/>
      <c r="AG65" s="1332"/>
      <c r="AH65" s="1332"/>
      <c r="AI65" s="1332"/>
      <c r="AJ65" s="1332"/>
      <c r="AK65" s="1333"/>
      <c r="AL65" s="1289"/>
      <c r="AM65" s="1337"/>
      <c r="AN65" s="1337"/>
      <c r="AO65" s="1337"/>
      <c r="AP65" s="1337"/>
      <c r="AQ65" s="1337"/>
      <c r="AR65" s="1337"/>
      <c r="AS65" s="1337"/>
      <c r="AT65" s="1337"/>
      <c r="AU65" s="1337"/>
    </row>
    <row r="66" spans="1:47" ht="12" customHeight="1" x14ac:dyDescent="0.2">
      <c r="A66" s="1289"/>
      <c r="B66" s="1289"/>
      <c r="C66" s="1289"/>
      <c r="D66" s="1289"/>
      <c r="E66" s="1289"/>
      <c r="F66" s="1289"/>
      <c r="G66" s="1289"/>
      <c r="H66" s="1289"/>
      <c r="I66" s="1289"/>
      <c r="J66" s="1289"/>
      <c r="K66" s="1289"/>
      <c r="L66" s="1289"/>
      <c r="M66" s="1289"/>
      <c r="N66" s="1289"/>
      <c r="O66" s="1289"/>
      <c r="P66" s="1289"/>
      <c r="Q66" s="1289"/>
      <c r="R66" s="2954"/>
      <c r="S66" s="2850"/>
      <c r="T66" s="2850"/>
      <c r="U66" s="1289"/>
      <c r="V66" s="1289"/>
      <c r="W66" s="1289"/>
      <c r="X66" s="1289"/>
      <c r="Y66" s="1289"/>
      <c r="Z66" s="1289"/>
      <c r="AA66" s="1289"/>
      <c r="AB66" s="1289"/>
      <c r="AC66" s="1289"/>
      <c r="AD66" s="1289"/>
      <c r="AE66" s="1289"/>
      <c r="AF66" s="1289"/>
      <c r="AG66" s="1289"/>
      <c r="AH66" s="1289"/>
      <c r="AI66" s="1289"/>
      <c r="AJ66" s="1289"/>
      <c r="AK66" s="1289"/>
      <c r="AL66" s="1289"/>
      <c r="AM66" s="1337"/>
      <c r="AN66" s="1337"/>
      <c r="AO66" s="1337"/>
      <c r="AP66" s="1337"/>
      <c r="AQ66" s="1337"/>
      <c r="AR66" s="1337"/>
      <c r="AS66" s="1337"/>
      <c r="AT66" s="1337"/>
      <c r="AU66" s="1337"/>
    </row>
    <row r="67" spans="1:47" ht="12" customHeight="1" x14ac:dyDescent="0.2">
      <c r="A67" s="781"/>
      <c r="D67" s="781"/>
      <c r="E67" s="781"/>
      <c r="F67" s="781"/>
      <c r="G67" s="781"/>
      <c r="H67" s="781"/>
      <c r="I67" s="781"/>
      <c r="J67" s="781"/>
      <c r="K67" s="781"/>
      <c r="L67" s="781"/>
      <c r="M67" s="781"/>
      <c r="N67" s="781"/>
      <c r="O67" s="781"/>
      <c r="P67" s="781"/>
      <c r="Q67" s="781"/>
      <c r="U67" s="1412"/>
      <c r="V67" s="719"/>
      <c r="W67" s="1413"/>
      <c r="X67" s="1413"/>
      <c r="Y67" s="1413"/>
      <c r="Z67" s="1348"/>
      <c r="AA67" s="1348"/>
      <c r="AB67" s="1348"/>
      <c r="AC67" s="1357"/>
      <c r="AD67" s="1404"/>
      <c r="AE67" s="1348"/>
      <c r="AF67" s="1337"/>
      <c r="AG67" s="1337"/>
      <c r="AH67" s="1337"/>
      <c r="AI67" s="1337"/>
      <c r="AJ67" s="1337"/>
      <c r="AK67" s="1337"/>
      <c r="AL67" s="1337"/>
      <c r="AM67" s="1337"/>
      <c r="AN67" s="1337"/>
      <c r="AO67" s="1337"/>
      <c r="AP67" s="1337"/>
      <c r="AQ67" s="1337"/>
      <c r="AR67" s="1337"/>
      <c r="AS67" s="1337"/>
      <c r="AT67" s="1337"/>
      <c r="AU67" s="1337"/>
    </row>
    <row r="68" spans="1:47" ht="12" customHeight="1" x14ac:dyDescent="0.2">
      <c r="A68" s="781"/>
      <c r="B68" s="1412"/>
      <c r="C68" s="719"/>
      <c r="D68" s="781"/>
      <c r="E68" s="1414"/>
      <c r="F68" s="1414"/>
      <c r="G68" s="781"/>
      <c r="H68" s="781"/>
      <c r="I68" s="781"/>
      <c r="J68" s="781"/>
      <c r="K68" s="781"/>
      <c r="L68" s="781"/>
      <c r="M68" s="781"/>
      <c r="N68" s="781"/>
      <c r="O68" s="781"/>
      <c r="P68" s="781"/>
      <c r="Q68" s="781"/>
      <c r="U68" s="1413"/>
      <c r="AC68" s="1357"/>
      <c r="AD68" s="1404"/>
      <c r="AE68" s="1348"/>
      <c r="AF68" s="1337"/>
      <c r="AG68" s="1415"/>
      <c r="AH68" s="1415"/>
      <c r="AI68" s="1415"/>
      <c r="AJ68" s="1416"/>
      <c r="AK68" s="1416"/>
      <c r="AL68" s="1416"/>
      <c r="AM68" s="1416"/>
      <c r="AN68" s="1337"/>
      <c r="AO68" s="1337"/>
      <c r="AP68" s="1337"/>
      <c r="AQ68" s="1337"/>
      <c r="AR68" s="1337"/>
      <c r="AS68" s="1337"/>
      <c r="AT68" s="1337"/>
      <c r="AU68" s="1337"/>
    </row>
    <row r="69" spans="1:47" ht="12" customHeight="1" x14ac:dyDescent="0.2">
      <c r="A69" s="781"/>
      <c r="B69" s="1412"/>
      <c r="J69" s="781"/>
      <c r="K69" s="781"/>
      <c r="L69" s="781"/>
      <c r="M69" s="781"/>
      <c r="N69" s="781"/>
      <c r="O69" s="781"/>
      <c r="P69" s="781"/>
      <c r="Q69" s="781"/>
      <c r="U69" s="1348"/>
      <c r="AC69" s="1337"/>
      <c r="AD69" s="1337"/>
      <c r="AE69" s="1348"/>
      <c r="AF69" s="1337"/>
      <c r="AG69" s="1415"/>
      <c r="AH69" s="1415"/>
      <c r="AI69" s="1415"/>
      <c r="AJ69" s="1416"/>
      <c r="AK69" s="1416"/>
      <c r="AL69" s="1416"/>
      <c r="AM69" s="1416"/>
      <c r="AN69" s="1337"/>
      <c r="AO69" s="1337"/>
      <c r="AP69" s="1337"/>
      <c r="AQ69" s="1337"/>
      <c r="AR69" s="1337"/>
      <c r="AS69" s="1337"/>
      <c r="AT69" s="1337"/>
      <c r="AU69" s="1337"/>
    </row>
    <row r="70" spans="1:47" ht="12" customHeight="1" x14ac:dyDescent="0.2">
      <c r="A70" s="781"/>
      <c r="B70" s="1412"/>
      <c r="C70" s="719"/>
      <c r="D70" s="781"/>
      <c r="E70" s="1412"/>
      <c r="F70" s="1414"/>
      <c r="G70" s="781"/>
      <c r="H70" s="781"/>
      <c r="I70" s="781"/>
      <c r="J70" s="781"/>
      <c r="K70" s="781"/>
      <c r="L70" s="781"/>
      <c r="M70" s="781"/>
      <c r="N70" s="781"/>
      <c r="O70" s="781"/>
      <c r="P70" s="781"/>
      <c r="Q70" s="781"/>
      <c r="U70" s="781"/>
      <c r="AC70" s="1337"/>
      <c r="AD70" s="1337"/>
      <c r="AE70" s="1337"/>
      <c r="AF70" s="1337"/>
      <c r="AG70" s="1337"/>
      <c r="AH70" s="1337"/>
      <c r="AI70" s="1337"/>
      <c r="AJ70" s="1337"/>
      <c r="AK70" s="1337"/>
      <c r="AL70" s="1337"/>
      <c r="AM70" s="1337"/>
      <c r="AN70" s="1337"/>
      <c r="AO70" s="1337"/>
      <c r="AP70" s="1337"/>
      <c r="AQ70" s="1337"/>
      <c r="AR70" s="1337"/>
      <c r="AS70" s="1337"/>
      <c r="AT70" s="1337"/>
      <c r="AU70" s="1337"/>
    </row>
    <row r="71" spans="1:47" ht="12" customHeight="1" x14ac:dyDescent="0.2">
      <c r="A71" s="781"/>
      <c r="B71" s="1412"/>
      <c r="C71" s="719"/>
      <c r="D71" s="781"/>
      <c r="E71" s="1412"/>
      <c r="F71" s="1414"/>
      <c r="G71" s="781"/>
      <c r="H71" s="781"/>
      <c r="I71" s="781"/>
      <c r="J71" s="781"/>
      <c r="K71" s="781"/>
      <c r="L71" s="781"/>
      <c r="M71" s="781"/>
      <c r="N71" s="781"/>
      <c r="O71" s="781"/>
      <c r="P71" s="781"/>
      <c r="Q71" s="781"/>
      <c r="U71" s="781"/>
      <c r="AC71" s="1337"/>
      <c r="AD71" s="1337"/>
      <c r="AE71" s="1337"/>
      <c r="AF71" s="1337"/>
      <c r="AG71" s="1337"/>
      <c r="AH71" s="1337"/>
      <c r="AI71" s="1337"/>
      <c r="AJ71" s="1337"/>
      <c r="AK71" s="1337"/>
      <c r="AL71" s="1337"/>
      <c r="AM71" s="1337"/>
      <c r="AN71" s="1337"/>
      <c r="AO71" s="1337"/>
      <c r="AP71" s="1337"/>
      <c r="AQ71" s="1337"/>
      <c r="AR71" s="1337"/>
      <c r="AS71" s="1337"/>
      <c r="AT71" s="1337"/>
      <c r="AU71" s="1337"/>
    </row>
    <row r="72" spans="1:47" ht="12" customHeight="1" x14ac:dyDescent="0.2">
      <c r="A72" s="781"/>
      <c r="B72" s="1412"/>
      <c r="C72" s="1412"/>
      <c r="D72" s="781"/>
      <c r="E72" s="1412"/>
      <c r="F72" s="1414"/>
      <c r="G72" s="781"/>
      <c r="H72" s="1417"/>
      <c r="I72" s="781"/>
      <c r="J72" s="781"/>
      <c r="K72" s="781"/>
      <c r="L72" s="781"/>
      <c r="M72" s="781"/>
      <c r="N72" s="781"/>
      <c r="O72" s="781"/>
      <c r="P72" s="781"/>
      <c r="Q72" s="781"/>
      <c r="U72" s="781"/>
      <c r="AC72" s="1337"/>
      <c r="AD72" s="1337"/>
      <c r="AE72" s="1337"/>
      <c r="AF72" s="1337"/>
      <c r="AG72" s="1337"/>
      <c r="AH72" s="1337"/>
      <c r="AI72" s="1337"/>
      <c r="AJ72" s="1337"/>
      <c r="AK72" s="1337"/>
      <c r="AL72" s="1337"/>
      <c r="AM72" s="1337"/>
      <c r="AN72" s="1337"/>
      <c r="AO72" s="1337"/>
      <c r="AP72" s="1337"/>
      <c r="AQ72" s="1337"/>
      <c r="AR72" s="1337"/>
      <c r="AS72" s="1337"/>
      <c r="AT72" s="1337"/>
      <c r="AU72" s="1337"/>
    </row>
    <row r="73" spans="1:47" ht="12" customHeight="1" x14ac:dyDescent="0.2">
      <c r="A73" s="781"/>
      <c r="B73" s="1412"/>
      <c r="C73" s="1412"/>
      <c r="D73" s="781"/>
      <c r="E73" s="1412"/>
      <c r="F73" s="1414"/>
      <c r="G73" s="781"/>
      <c r="H73" s="1417"/>
      <c r="I73" s="781"/>
      <c r="J73" s="781"/>
      <c r="K73" s="781"/>
      <c r="L73" s="781"/>
      <c r="M73" s="781"/>
      <c r="N73" s="781"/>
      <c r="O73" s="781"/>
      <c r="P73" s="781"/>
      <c r="Q73" s="781"/>
      <c r="U73" s="781"/>
      <c r="AC73" s="1337"/>
      <c r="AD73" s="1337"/>
      <c r="AE73" s="1337"/>
      <c r="AF73" s="1337"/>
      <c r="AG73" s="1337"/>
      <c r="AH73" s="1337"/>
      <c r="AI73" s="1337"/>
      <c r="AJ73" s="1337"/>
      <c r="AK73" s="1337"/>
      <c r="AL73" s="1337"/>
      <c r="AM73" s="1337"/>
      <c r="AN73" s="1337"/>
      <c r="AO73" s="1337"/>
      <c r="AP73" s="1337"/>
      <c r="AQ73" s="1337"/>
      <c r="AR73" s="1337"/>
      <c r="AS73" s="1337"/>
      <c r="AT73" s="1337"/>
      <c r="AU73" s="1337"/>
    </row>
    <row r="74" spans="1:47" ht="12" customHeight="1" x14ac:dyDescent="0.2">
      <c r="A74" s="781"/>
      <c r="B74" s="1412"/>
      <c r="C74" s="719"/>
      <c r="D74" s="781"/>
      <c r="E74" s="1412"/>
      <c r="F74" s="1414"/>
      <c r="G74" s="781"/>
      <c r="H74" s="1417"/>
      <c r="I74" s="781"/>
      <c r="J74" s="781"/>
      <c r="K74" s="781"/>
      <c r="L74" s="781"/>
      <c r="M74" s="781"/>
      <c r="N74" s="781"/>
      <c r="O74" s="781"/>
      <c r="P74" s="781"/>
      <c r="Q74" s="781"/>
      <c r="AC74" s="1337"/>
      <c r="AD74" s="1337"/>
      <c r="AE74" s="1337"/>
      <c r="AF74" s="1337"/>
      <c r="AG74" s="1337"/>
      <c r="AH74" s="1337"/>
      <c r="AI74" s="1337"/>
      <c r="AJ74" s="1337"/>
      <c r="AK74" s="1337"/>
      <c r="AL74" s="1337"/>
      <c r="AM74" s="1337"/>
      <c r="AN74" s="1337"/>
      <c r="AO74" s="1337"/>
      <c r="AP74" s="1337"/>
      <c r="AQ74" s="1337"/>
      <c r="AR74" s="1337"/>
      <c r="AS74" s="1337"/>
      <c r="AT74" s="1337"/>
      <c r="AU74" s="1337"/>
    </row>
    <row r="75" spans="1:47" ht="12" customHeight="1" x14ac:dyDescent="0.2">
      <c r="A75" s="781"/>
      <c r="B75" s="1412"/>
      <c r="C75" s="1412"/>
      <c r="D75" s="781"/>
      <c r="E75" s="1412"/>
      <c r="F75" s="1414"/>
      <c r="G75" s="781"/>
      <c r="H75" s="1417"/>
      <c r="I75" s="781"/>
      <c r="J75" s="781"/>
      <c r="K75" s="781"/>
      <c r="L75" s="781"/>
      <c r="M75" s="781"/>
      <c r="N75" s="781"/>
      <c r="O75" s="781"/>
      <c r="AC75" s="1337"/>
      <c r="AD75" s="1337"/>
      <c r="AE75" s="1337"/>
      <c r="AF75" s="1337"/>
      <c r="AG75" s="1337"/>
      <c r="AH75" s="1337"/>
      <c r="AI75" s="1337"/>
      <c r="AJ75" s="1337"/>
      <c r="AK75" s="1337"/>
      <c r="AL75" s="1337"/>
      <c r="AM75" s="1337"/>
      <c r="AN75" s="1337"/>
      <c r="AO75" s="1337"/>
      <c r="AP75" s="1337"/>
      <c r="AQ75" s="1337"/>
      <c r="AR75" s="1337"/>
      <c r="AS75" s="1337"/>
      <c r="AT75" s="1337"/>
      <c r="AU75" s="1337"/>
    </row>
    <row r="76" spans="1:47" ht="12" customHeight="1" x14ac:dyDescent="0.2">
      <c r="A76" s="781"/>
      <c r="B76" s="1412"/>
      <c r="C76" s="719"/>
      <c r="D76" s="781"/>
      <c r="E76" s="1412"/>
      <c r="F76" s="1414"/>
      <c r="G76" s="781"/>
      <c r="H76" s="1417"/>
      <c r="I76" s="781"/>
      <c r="J76" s="781"/>
      <c r="K76" s="781"/>
      <c r="L76" s="781"/>
      <c r="M76" s="781"/>
      <c r="N76" s="781"/>
      <c r="O76" s="781"/>
      <c r="AC76" s="1337"/>
      <c r="AD76" s="1337"/>
      <c r="AE76" s="1337"/>
      <c r="AF76" s="1337"/>
      <c r="AG76" s="1337"/>
      <c r="AH76" s="1337"/>
      <c r="AI76" s="1337"/>
      <c r="AJ76" s="1337"/>
      <c r="AK76" s="1337"/>
      <c r="AL76" s="1337"/>
      <c r="AM76" s="1337"/>
      <c r="AN76" s="1337"/>
      <c r="AO76" s="1337"/>
      <c r="AP76" s="1337"/>
      <c r="AQ76" s="1337"/>
      <c r="AR76" s="1337"/>
      <c r="AS76" s="1337"/>
      <c r="AT76" s="1337"/>
      <c r="AU76" s="1337"/>
    </row>
    <row r="77" spans="1:47" ht="12" customHeight="1" x14ac:dyDescent="0.2">
      <c r="A77" s="781"/>
      <c r="B77" s="1412"/>
      <c r="C77" s="719"/>
      <c r="D77" s="735"/>
      <c r="E77" s="1412"/>
      <c r="F77" s="1414"/>
      <c r="G77" s="781"/>
      <c r="H77" s="1417"/>
      <c r="I77" s="781"/>
      <c r="J77" s="781"/>
      <c r="K77" s="781"/>
      <c r="L77" s="781"/>
      <c r="M77" s="781"/>
      <c r="N77" s="781"/>
      <c r="O77" s="781"/>
      <c r="AC77" s="1337"/>
      <c r="AD77" s="1337"/>
      <c r="AE77" s="1337"/>
      <c r="AF77" s="1337"/>
      <c r="AG77" s="1337"/>
      <c r="AH77" s="1337"/>
      <c r="AI77" s="1337"/>
      <c r="AJ77" s="1337"/>
      <c r="AK77" s="1337"/>
      <c r="AL77" s="1337"/>
      <c r="AM77" s="1337"/>
      <c r="AN77" s="1337"/>
      <c r="AO77" s="1337"/>
      <c r="AP77" s="1337"/>
      <c r="AQ77" s="1337"/>
      <c r="AR77" s="1337"/>
      <c r="AS77" s="1337"/>
      <c r="AT77" s="1337"/>
      <c r="AU77" s="1337"/>
    </row>
    <row r="78" spans="1:47" ht="12" customHeight="1" x14ac:dyDescent="0.2">
      <c r="A78" s="781"/>
      <c r="B78" s="1412"/>
      <c r="C78" s="719"/>
      <c r="D78" s="781"/>
      <c r="E78" s="1412"/>
      <c r="F78" s="1414"/>
      <c r="G78" s="781"/>
      <c r="H78" s="1417"/>
      <c r="I78" s="781"/>
      <c r="J78" s="781"/>
      <c r="K78" s="781"/>
      <c r="L78" s="781"/>
      <c r="M78" s="781"/>
      <c r="N78" s="781"/>
      <c r="O78" s="781"/>
      <c r="AD78" s="1337"/>
      <c r="AE78" s="1337"/>
      <c r="AF78" s="1337"/>
      <c r="AG78" s="1337"/>
      <c r="AH78" s="1337"/>
      <c r="AI78" s="1337"/>
      <c r="AJ78" s="1337"/>
      <c r="AK78" s="1337"/>
      <c r="AL78" s="1337"/>
      <c r="AM78" s="1337"/>
      <c r="AN78" s="1337"/>
      <c r="AO78" s="1337"/>
      <c r="AP78" s="1337"/>
      <c r="AQ78" s="1337"/>
      <c r="AR78" s="1337"/>
      <c r="AS78" s="1337"/>
      <c r="AT78" s="1337"/>
      <c r="AU78" s="1337"/>
    </row>
    <row r="79" spans="1:47" ht="12" customHeight="1" x14ac:dyDescent="0.2">
      <c r="A79" s="781"/>
      <c r="B79" s="1412"/>
      <c r="C79" s="719"/>
      <c r="D79" s="781"/>
      <c r="E79" s="1412"/>
      <c r="F79" s="1414"/>
      <c r="G79" s="781"/>
      <c r="H79" s="781"/>
      <c r="I79" s="781"/>
      <c r="J79" s="781"/>
      <c r="K79" s="781"/>
      <c r="L79" s="781"/>
      <c r="M79" s="781"/>
      <c r="N79" s="781"/>
      <c r="O79" s="781"/>
      <c r="AD79" s="1337"/>
      <c r="AE79" s="1337"/>
      <c r="AF79" s="1337"/>
      <c r="AG79" s="1337"/>
      <c r="AH79" s="1337"/>
      <c r="AI79" s="1337"/>
      <c r="AJ79" s="1337"/>
      <c r="AK79" s="1337"/>
      <c r="AL79" s="1337"/>
      <c r="AM79" s="1337"/>
      <c r="AN79" s="1337"/>
      <c r="AO79" s="1337"/>
      <c r="AP79" s="1337"/>
      <c r="AQ79" s="1337"/>
      <c r="AR79" s="1337"/>
      <c r="AS79" s="1337"/>
      <c r="AT79" s="1337"/>
      <c r="AU79" s="1337"/>
    </row>
    <row r="80" spans="1:47" ht="12" customHeight="1" x14ac:dyDescent="0.2">
      <c r="A80" s="781"/>
      <c r="B80" s="1412"/>
      <c r="C80" s="719"/>
      <c r="D80" s="781"/>
      <c r="E80" s="1412"/>
      <c r="F80" s="1414"/>
      <c r="G80" s="781"/>
      <c r="H80" s="781"/>
      <c r="I80" s="781"/>
      <c r="J80" s="781"/>
      <c r="K80" s="781"/>
      <c r="L80" s="781"/>
      <c r="M80" s="781"/>
      <c r="N80" s="781"/>
      <c r="O80" s="781"/>
      <c r="AE80" s="1337"/>
      <c r="AF80" s="1337"/>
      <c r="AG80" s="1337"/>
      <c r="AH80" s="1337"/>
      <c r="AI80" s="1337"/>
      <c r="AJ80" s="1337"/>
      <c r="AK80" s="1337"/>
      <c r="AL80" s="1337"/>
      <c r="AM80" s="1337"/>
      <c r="AN80" s="1337"/>
      <c r="AO80" s="1337"/>
      <c r="AP80" s="1337"/>
      <c r="AQ80" s="1337"/>
      <c r="AR80" s="1337"/>
      <c r="AS80" s="1337"/>
      <c r="AT80" s="1337"/>
      <c r="AU80" s="1337"/>
    </row>
    <row r="81" spans="1:47" ht="12" customHeight="1" x14ac:dyDescent="0.2">
      <c r="A81" s="781"/>
      <c r="B81" s="1412"/>
      <c r="C81" s="719"/>
      <c r="D81" s="781"/>
      <c r="E81" s="1412"/>
      <c r="F81" s="1414"/>
      <c r="G81" s="781"/>
      <c r="H81" s="781"/>
      <c r="I81" s="781"/>
      <c r="J81" s="781"/>
      <c r="K81" s="781"/>
      <c r="L81" s="781"/>
      <c r="M81" s="781"/>
      <c r="N81" s="781"/>
      <c r="O81" s="781"/>
      <c r="W81" s="781"/>
      <c r="X81" s="781"/>
      <c r="Y81" s="781"/>
      <c r="AD81" s="1337"/>
      <c r="AE81" s="1337"/>
      <c r="AF81" s="1337"/>
      <c r="AG81" s="1337"/>
      <c r="AH81" s="1337"/>
      <c r="AI81" s="1337"/>
      <c r="AJ81" s="1337"/>
      <c r="AK81" s="1337"/>
      <c r="AL81" s="1337"/>
      <c r="AM81" s="1337"/>
      <c r="AN81" s="1337"/>
      <c r="AO81" s="1337"/>
      <c r="AP81" s="1337"/>
      <c r="AQ81" s="1337"/>
      <c r="AR81" s="1337"/>
      <c r="AS81" s="1337"/>
      <c r="AT81" s="1337"/>
      <c r="AU81" s="1337"/>
    </row>
    <row r="82" spans="1:47" ht="12" customHeight="1" x14ac:dyDescent="0.2">
      <c r="A82" s="781"/>
      <c r="B82" s="1412"/>
      <c r="C82" s="719"/>
      <c r="D82" s="781"/>
      <c r="E82" s="1412"/>
      <c r="F82" s="1414"/>
      <c r="G82" s="781"/>
      <c r="H82" s="781"/>
      <c r="I82" s="781"/>
      <c r="J82" s="781"/>
      <c r="K82" s="781"/>
      <c r="L82" s="781"/>
      <c r="M82" s="781"/>
      <c r="N82" s="781"/>
      <c r="O82" s="781"/>
      <c r="AK82" s="1337"/>
      <c r="AL82" s="1337"/>
      <c r="AM82" s="1337"/>
      <c r="AN82" s="1337"/>
      <c r="AO82" s="1337"/>
      <c r="AP82" s="1337"/>
      <c r="AQ82" s="1337"/>
      <c r="AR82" s="1337"/>
      <c r="AS82" s="1337"/>
      <c r="AT82" s="1337"/>
      <c r="AU82" s="1337"/>
    </row>
    <row r="83" spans="1:47" ht="12" customHeight="1" x14ac:dyDescent="0.2">
      <c r="A83" s="781"/>
      <c r="B83" s="1412"/>
      <c r="C83" s="719"/>
      <c r="D83" s="781"/>
      <c r="E83" s="1412"/>
      <c r="F83" s="1414"/>
      <c r="G83" s="781"/>
      <c r="H83" s="781"/>
      <c r="I83" s="781"/>
      <c r="J83" s="781"/>
      <c r="K83" s="781"/>
      <c r="L83" s="781"/>
      <c r="M83" s="781"/>
      <c r="N83" s="781"/>
      <c r="O83" s="781"/>
    </row>
    <row r="84" spans="1:47" ht="12" customHeight="1" x14ac:dyDescent="0.2">
      <c r="A84" s="781"/>
      <c r="B84" s="1412"/>
      <c r="C84" s="719"/>
      <c r="D84" s="781"/>
      <c r="E84" s="1412"/>
      <c r="F84" s="1414"/>
      <c r="G84" s="781"/>
      <c r="H84" s="781"/>
      <c r="I84" s="781"/>
      <c r="J84" s="781"/>
      <c r="K84" s="781"/>
      <c r="L84" s="781"/>
      <c r="M84" s="781"/>
      <c r="N84" s="781"/>
      <c r="O84" s="781"/>
    </row>
    <row r="85" spans="1:47" ht="12" customHeight="1" x14ac:dyDescent="0.2">
      <c r="A85" s="781"/>
      <c r="B85" s="1412"/>
      <c r="C85" s="719"/>
      <c r="D85" s="781"/>
      <c r="E85" s="1414"/>
      <c r="F85" s="1414"/>
      <c r="G85" s="781"/>
      <c r="H85" s="781"/>
      <c r="I85" s="781"/>
      <c r="J85" s="781"/>
      <c r="K85" s="781"/>
      <c r="L85" s="781"/>
      <c r="M85" s="781"/>
      <c r="N85" s="781"/>
      <c r="O85" s="781"/>
    </row>
    <row r="86" spans="1:47" ht="12" customHeight="1" x14ac:dyDescent="0.2">
      <c r="A86" s="781"/>
      <c r="B86" s="1412"/>
      <c r="C86" s="1412"/>
      <c r="D86" s="781"/>
      <c r="E86" s="1412"/>
      <c r="F86" s="1414"/>
      <c r="G86" s="781"/>
      <c r="H86" s="781"/>
      <c r="I86" s="781"/>
      <c r="J86" s="781"/>
      <c r="K86" s="781"/>
      <c r="L86" s="781"/>
      <c r="M86" s="781"/>
      <c r="N86" s="781"/>
      <c r="O86" s="781"/>
      <c r="P86" s="781"/>
      <c r="Q86" s="781"/>
      <c r="U86" s="781"/>
    </row>
    <row r="87" spans="1:47" ht="12" customHeight="1" x14ac:dyDescent="0.2">
      <c r="A87" s="781"/>
      <c r="B87" s="1412"/>
      <c r="C87" s="719"/>
      <c r="D87" s="781"/>
      <c r="E87" s="1412"/>
      <c r="F87" s="1414"/>
      <c r="G87" s="781"/>
      <c r="H87" s="781"/>
      <c r="I87" s="781"/>
      <c r="J87" s="781"/>
      <c r="K87" s="781"/>
      <c r="L87" s="781"/>
      <c r="M87" s="781"/>
      <c r="N87" s="781"/>
      <c r="O87" s="781"/>
      <c r="P87" s="781"/>
      <c r="Q87" s="781"/>
      <c r="U87" s="781"/>
    </row>
    <row r="88" spans="1:47" ht="12" customHeight="1" x14ac:dyDescent="0.2">
      <c r="A88" s="781"/>
      <c r="B88" s="1412"/>
      <c r="C88" s="719"/>
      <c r="D88" s="781"/>
      <c r="E88" s="1412"/>
      <c r="F88" s="1414"/>
      <c r="G88" s="781"/>
      <c r="H88" s="781"/>
      <c r="I88" s="781"/>
      <c r="J88" s="781"/>
      <c r="K88" s="781"/>
      <c r="L88" s="781"/>
      <c r="M88" s="781"/>
      <c r="N88" s="781"/>
      <c r="O88" s="781"/>
      <c r="P88" s="781"/>
      <c r="Q88" s="781"/>
      <c r="U88" s="781"/>
    </row>
    <row r="89" spans="1:47" ht="12" customHeight="1" x14ac:dyDescent="0.2">
      <c r="A89" s="781"/>
      <c r="B89" s="1412"/>
      <c r="C89" s="719"/>
      <c r="D89" s="781"/>
      <c r="E89" s="1348"/>
      <c r="F89" s="781"/>
      <c r="G89" s="781"/>
      <c r="H89" s="781"/>
      <c r="I89" s="781"/>
      <c r="J89" s="781"/>
      <c r="K89" s="781"/>
      <c r="L89" s="781"/>
      <c r="M89" s="781"/>
      <c r="N89" s="781"/>
      <c r="O89" s="781"/>
    </row>
    <row r="90" spans="1:47" ht="12" customHeight="1" x14ac:dyDescent="0.2">
      <c r="A90" s="781"/>
      <c r="B90" s="1412"/>
      <c r="C90" s="719"/>
      <c r="D90" s="781"/>
      <c r="E90" s="781"/>
      <c r="F90" s="781"/>
      <c r="G90" s="781"/>
      <c r="H90" s="781"/>
      <c r="I90" s="781"/>
      <c r="J90" s="781"/>
      <c r="K90" s="781"/>
      <c r="L90" s="781"/>
      <c r="M90" s="781"/>
      <c r="N90" s="781"/>
      <c r="O90" s="781"/>
    </row>
    <row r="91" spans="1:47" ht="12" customHeight="1" x14ac:dyDescent="0.2">
      <c r="A91" s="781"/>
      <c r="B91" s="1412"/>
      <c r="C91" s="719"/>
      <c r="D91" s="781"/>
      <c r="E91" s="781"/>
      <c r="F91" s="781"/>
      <c r="G91" s="781"/>
      <c r="H91" s="781"/>
      <c r="I91" s="781"/>
      <c r="J91" s="781"/>
      <c r="K91" s="781"/>
      <c r="L91" s="781"/>
      <c r="M91" s="781"/>
      <c r="N91" s="781"/>
      <c r="O91" s="781"/>
    </row>
    <row r="92" spans="1:47" ht="12" customHeight="1" x14ac:dyDescent="0.2">
      <c r="A92" s="781"/>
      <c r="B92" s="1412"/>
      <c r="C92" s="719"/>
      <c r="D92" s="781"/>
      <c r="E92" s="781"/>
      <c r="F92" s="781"/>
      <c r="G92" s="781"/>
      <c r="H92" s="781"/>
      <c r="I92" s="781"/>
      <c r="J92" s="781"/>
      <c r="K92" s="781"/>
      <c r="L92" s="781"/>
      <c r="M92" s="781"/>
      <c r="N92" s="781"/>
      <c r="O92" s="781"/>
      <c r="AA92" s="1349"/>
      <c r="AB92" s="1349"/>
      <c r="AC92" s="1357"/>
      <c r="AD92" s="1404"/>
      <c r="AE92" s="1348"/>
      <c r="AF92" s="1337"/>
      <c r="AG92" s="1337"/>
      <c r="AH92" s="1337"/>
      <c r="AI92" s="1337"/>
      <c r="AJ92" s="1337"/>
    </row>
    <row r="93" spans="1:47" ht="12" customHeight="1" x14ac:dyDescent="0.2">
      <c r="A93" s="781"/>
      <c r="B93" s="1412"/>
      <c r="C93" s="719"/>
      <c r="D93" s="781"/>
      <c r="E93" s="781"/>
      <c r="F93" s="781"/>
      <c r="G93" s="781"/>
      <c r="H93" s="781"/>
      <c r="I93" s="781"/>
      <c r="J93" s="781"/>
      <c r="K93" s="781"/>
      <c r="L93" s="781"/>
      <c r="M93" s="781"/>
      <c r="N93" s="781"/>
      <c r="O93" s="781"/>
    </row>
    <row r="94" spans="1:47" ht="12" customHeight="1" x14ac:dyDescent="0.2">
      <c r="A94" s="781"/>
      <c r="B94" s="1412"/>
      <c r="C94" s="719"/>
      <c r="D94" s="735"/>
      <c r="E94" s="1414"/>
      <c r="F94" s="735"/>
      <c r="G94" s="735"/>
      <c r="H94" s="735"/>
      <c r="I94" s="781"/>
      <c r="J94" s="781"/>
      <c r="K94" s="781"/>
      <c r="L94" s="781"/>
      <c r="M94" s="781"/>
      <c r="N94" s="781"/>
      <c r="O94" s="781"/>
    </row>
    <row r="95" spans="1:47" ht="12" customHeight="1" x14ac:dyDescent="0.2">
      <c r="A95" s="781"/>
      <c r="B95" s="1412"/>
      <c r="C95" s="719"/>
      <c r="D95" s="735"/>
      <c r="E95" s="1412"/>
      <c r="F95" s="735"/>
      <c r="G95" s="735"/>
      <c r="H95" s="735"/>
      <c r="I95" s="781"/>
      <c r="J95" s="781"/>
      <c r="K95" s="781"/>
      <c r="L95" s="781"/>
      <c r="M95" s="781"/>
      <c r="N95" s="781"/>
      <c r="O95" s="781"/>
    </row>
    <row r="96" spans="1:47" ht="12" customHeight="1" x14ac:dyDescent="0.2">
      <c r="A96" s="781"/>
      <c r="B96" s="1412"/>
      <c r="C96" s="719"/>
      <c r="D96" s="735"/>
      <c r="E96" s="1412"/>
      <c r="F96" s="781"/>
      <c r="G96" s="1358"/>
      <c r="H96" s="781"/>
      <c r="I96" s="781"/>
      <c r="J96" s="781"/>
      <c r="K96" s="781"/>
      <c r="L96" s="781"/>
      <c r="M96" s="781"/>
      <c r="N96" s="781"/>
      <c r="O96" s="781"/>
    </row>
    <row r="97" spans="1:15" ht="12" customHeight="1" x14ac:dyDescent="0.2">
      <c r="A97" s="781"/>
      <c r="B97" s="1412"/>
      <c r="C97" s="719"/>
      <c r="D97" s="735"/>
      <c r="E97" s="1412"/>
      <c r="F97" s="781"/>
      <c r="G97" s="735"/>
      <c r="H97" s="781"/>
      <c r="I97" s="781"/>
      <c r="J97" s="781"/>
      <c r="K97" s="781"/>
      <c r="L97" s="781"/>
      <c r="M97" s="781"/>
      <c r="N97" s="781"/>
      <c r="O97" s="781"/>
    </row>
    <row r="98" spans="1:15" ht="12" customHeight="1" x14ac:dyDescent="0.2">
      <c r="A98" s="781"/>
      <c r="B98" s="1412"/>
      <c r="C98" s="719"/>
      <c r="D98" s="735"/>
      <c r="E98" s="1412"/>
      <c r="F98" s="781"/>
      <c r="G98" s="735"/>
      <c r="H98" s="781"/>
      <c r="I98" s="781"/>
      <c r="J98" s="781"/>
      <c r="K98" s="781"/>
      <c r="L98" s="781"/>
      <c r="M98" s="781"/>
      <c r="N98" s="781"/>
      <c r="O98" s="781"/>
    </row>
    <row r="99" spans="1:15" ht="12" customHeight="1" x14ac:dyDescent="0.2">
      <c r="A99" s="781"/>
      <c r="B99" s="1412"/>
      <c r="C99" s="1412"/>
      <c r="D99" s="735"/>
      <c r="E99" s="1412"/>
      <c r="F99" s="781"/>
      <c r="G99" s="735"/>
      <c r="H99" s="781"/>
      <c r="I99" s="781"/>
      <c r="J99" s="781"/>
      <c r="K99" s="781"/>
      <c r="L99" s="781"/>
      <c r="M99" s="781"/>
      <c r="N99" s="781"/>
      <c r="O99" s="781"/>
    </row>
    <row r="100" spans="1:15" ht="12" customHeight="1" x14ac:dyDescent="0.2">
      <c r="A100" s="781"/>
      <c r="B100" s="1412"/>
      <c r="C100" s="719"/>
      <c r="D100" s="735"/>
      <c r="E100" s="735"/>
      <c r="F100" s="735"/>
      <c r="G100" s="1418"/>
      <c r="H100" s="781"/>
      <c r="I100" s="781"/>
      <c r="J100" s="781"/>
      <c r="K100" s="781"/>
      <c r="L100" s="781"/>
      <c r="M100" s="781"/>
      <c r="N100" s="781"/>
      <c r="O100" s="781"/>
    </row>
    <row r="101" spans="1:15" ht="12" customHeight="1" x14ac:dyDescent="0.2">
      <c r="A101" s="781"/>
      <c r="B101" s="1412"/>
      <c r="C101" s="1412"/>
      <c r="D101" s="735"/>
      <c r="E101" s="735"/>
      <c r="F101" s="735"/>
      <c r="G101" s="735"/>
      <c r="H101" s="781"/>
      <c r="I101" s="781"/>
      <c r="J101" s="781"/>
      <c r="K101" s="781"/>
      <c r="L101" s="781"/>
      <c r="M101" s="781"/>
      <c r="N101" s="781"/>
      <c r="O101" s="781"/>
    </row>
    <row r="102" spans="1:15" ht="12" customHeight="1" x14ac:dyDescent="0.2">
      <c r="A102" s="781"/>
      <c r="B102" s="1412"/>
      <c r="C102" s="1412"/>
      <c r="D102" s="735"/>
      <c r="E102" s="735"/>
      <c r="F102" s="735"/>
      <c r="G102" s="735"/>
      <c r="H102" s="781"/>
      <c r="I102" s="781"/>
      <c r="J102" s="781"/>
      <c r="K102" s="781"/>
      <c r="L102" s="781"/>
      <c r="M102" s="781"/>
      <c r="N102" s="781"/>
      <c r="O102" s="781"/>
    </row>
    <row r="103" spans="1:15" ht="12" customHeight="1" x14ac:dyDescent="0.2">
      <c r="A103" s="781"/>
      <c r="B103" s="1412"/>
      <c r="C103" s="1412"/>
      <c r="D103" s="735"/>
      <c r="E103" s="735"/>
      <c r="F103" s="735"/>
      <c r="G103" s="735"/>
      <c r="H103" s="781"/>
      <c r="I103" s="781"/>
      <c r="J103" s="781"/>
      <c r="K103" s="781"/>
      <c r="L103" s="781"/>
      <c r="M103" s="781"/>
      <c r="N103" s="781"/>
      <c r="O103" s="781"/>
    </row>
    <row r="104" spans="1:15" ht="12" customHeight="1" x14ac:dyDescent="0.2">
      <c r="A104" s="781"/>
      <c r="B104" s="1412"/>
      <c r="C104" s="719"/>
      <c r="D104" s="735"/>
      <c r="E104" s="1349"/>
      <c r="F104" s="735"/>
      <c r="G104" s="735"/>
      <c r="H104" s="781"/>
      <c r="I104" s="781"/>
      <c r="J104" s="781"/>
      <c r="K104" s="781"/>
      <c r="L104" s="781"/>
      <c r="M104" s="781"/>
      <c r="N104" s="781"/>
      <c r="O104" s="781"/>
    </row>
    <row r="105" spans="1:15" ht="12" customHeight="1" x14ac:dyDescent="0.2">
      <c r="A105" s="781"/>
      <c r="B105" s="1412"/>
      <c r="C105" s="1412"/>
      <c r="D105" s="735"/>
      <c r="E105" s="1419"/>
      <c r="F105" s="735"/>
      <c r="G105" s="735"/>
      <c r="H105" s="781"/>
      <c r="I105" s="781"/>
      <c r="J105" s="781"/>
      <c r="K105" s="781"/>
      <c r="L105" s="781"/>
      <c r="M105" s="781"/>
      <c r="N105" s="781"/>
      <c r="O105" s="781"/>
    </row>
    <row r="106" spans="1:15" ht="12" customHeight="1" x14ac:dyDescent="0.2">
      <c r="A106" s="781"/>
      <c r="B106" s="1412"/>
      <c r="C106" s="719"/>
      <c r="D106" s="735"/>
      <c r="E106" s="1420"/>
      <c r="F106" s="735"/>
      <c r="G106" s="735"/>
      <c r="H106" s="781"/>
      <c r="I106" s="781"/>
      <c r="J106" s="781"/>
      <c r="K106" s="781"/>
      <c r="L106" s="781"/>
      <c r="M106" s="781"/>
      <c r="N106" s="781"/>
      <c r="O106" s="781"/>
    </row>
    <row r="107" spans="1:15" ht="12" customHeight="1" x14ac:dyDescent="0.2">
      <c r="A107" s="781"/>
      <c r="B107" s="1412"/>
      <c r="C107" s="1412"/>
      <c r="D107" s="735"/>
      <c r="E107" s="735"/>
      <c r="F107" s="735"/>
      <c r="G107" s="735"/>
      <c r="H107" s="781"/>
      <c r="I107" s="781"/>
      <c r="J107" s="781"/>
      <c r="K107" s="781"/>
      <c r="L107" s="781"/>
      <c r="M107" s="781"/>
      <c r="N107" s="781"/>
      <c r="O107" s="781"/>
    </row>
    <row r="108" spans="1:15" ht="12" customHeight="1" x14ac:dyDescent="0.2">
      <c r="A108" s="781"/>
      <c r="B108" s="1412"/>
      <c r="C108" s="719"/>
      <c r="D108" s="735"/>
      <c r="E108" s="735"/>
      <c r="F108" s="735"/>
      <c r="G108" s="735"/>
      <c r="H108" s="781"/>
      <c r="I108" s="781"/>
      <c r="J108" s="781"/>
      <c r="K108" s="781"/>
      <c r="L108" s="781"/>
      <c r="M108" s="781"/>
      <c r="N108" s="781"/>
      <c r="O108" s="781"/>
    </row>
    <row r="109" spans="1:15" ht="12" customHeight="1" x14ac:dyDescent="0.2">
      <c r="A109" s="781"/>
      <c r="B109" s="1412"/>
      <c r="C109" s="1412"/>
      <c r="D109" s="735"/>
      <c r="E109" s="1335"/>
      <c r="F109" s="735"/>
      <c r="G109" s="735"/>
      <c r="H109" s="781"/>
      <c r="I109" s="781"/>
      <c r="J109" s="781"/>
      <c r="K109" s="781"/>
      <c r="L109" s="781"/>
      <c r="M109" s="781"/>
      <c r="N109" s="781"/>
      <c r="O109" s="781"/>
    </row>
    <row r="110" spans="1:15" ht="12" customHeight="1" x14ac:dyDescent="0.2">
      <c r="A110" s="781"/>
      <c r="B110" s="1412"/>
      <c r="C110" s="719"/>
      <c r="D110" s="735"/>
      <c r="E110" s="1335"/>
      <c r="F110" s="735"/>
      <c r="G110" s="735"/>
      <c r="H110" s="781"/>
      <c r="I110" s="781"/>
      <c r="J110" s="781"/>
      <c r="K110" s="781"/>
      <c r="L110" s="781"/>
      <c r="M110" s="781"/>
      <c r="N110" s="781"/>
      <c r="O110" s="781"/>
    </row>
    <row r="111" spans="1:15" ht="12" customHeight="1" x14ac:dyDescent="0.2">
      <c r="A111" s="781"/>
      <c r="B111" s="1412"/>
      <c r="C111" s="719"/>
      <c r="D111" s="735"/>
      <c r="E111" s="1335"/>
      <c r="F111" s="735"/>
      <c r="G111" s="735"/>
      <c r="H111" s="781"/>
      <c r="I111" s="781"/>
      <c r="J111" s="781"/>
      <c r="K111" s="781"/>
      <c r="L111" s="781"/>
      <c r="M111" s="781"/>
      <c r="N111" s="781"/>
      <c r="O111" s="781"/>
    </row>
    <row r="112" spans="1:15" ht="12" customHeight="1" x14ac:dyDescent="0.2">
      <c r="A112" s="781"/>
      <c r="B112" s="1412"/>
      <c r="C112" s="719"/>
      <c r="D112" s="735"/>
      <c r="E112" s="1335"/>
      <c r="F112" s="735"/>
      <c r="G112" s="735"/>
      <c r="H112" s="1421"/>
      <c r="I112" s="781"/>
      <c r="J112" s="781"/>
      <c r="K112" s="781"/>
      <c r="L112" s="781"/>
      <c r="M112" s="781"/>
      <c r="N112" s="781"/>
      <c r="O112" s="781"/>
    </row>
    <row r="113" spans="1:36" ht="12" customHeight="1" x14ac:dyDescent="0.2">
      <c r="A113" s="781"/>
      <c r="B113" s="1412"/>
      <c r="C113" s="719"/>
      <c r="D113" s="735"/>
      <c r="E113" s="1335"/>
      <c r="F113" s="735"/>
      <c r="G113" s="735"/>
      <c r="H113" s="1348"/>
      <c r="I113" s="781"/>
      <c r="J113" s="781"/>
      <c r="K113" s="781"/>
      <c r="L113" s="781"/>
      <c r="M113" s="781"/>
      <c r="N113" s="781"/>
      <c r="O113" s="781"/>
    </row>
    <row r="114" spans="1:36" ht="12" customHeight="1" x14ac:dyDescent="0.2">
      <c r="A114" s="781"/>
      <c r="B114" s="1412"/>
      <c r="C114" s="719"/>
      <c r="D114" s="735"/>
      <c r="E114" s="1335"/>
      <c r="F114" s="735"/>
      <c r="G114" s="735"/>
      <c r="H114" s="1348"/>
      <c r="I114" s="781"/>
      <c r="J114" s="781"/>
      <c r="K114" s="781"/>
      <c r="L114" s="781"/>
      <c r="M114" s="781"/>
      <c r="N114" s="781"/>
      <c r="O114" s="781"/>
      <c r="V114" s="1348"/>
      <c r="W114" s="1348"/>
      <c r="X114" s="1348"/>
      <c r="Y114" s="1348"/>
      <c r="Z114" s="1348"/>
      <c r="AA114" s="1337"/>
      <c r="AB114" s="1337"/>
      <c r="AC114" s="1337"/>
      <c r="AD114" s="1337"/>
      <c r="AE114" s="1348"/>
      <c r="AF114" s="1337"/>
      <c r="AG114" s="1337"/>
      <c r="AH114" s="1337"/>
      <c r="AI114" s="1337"/>
      <c r="AJ114" s="1337"/>
    </row>
    <row r="115" spans="1:36" ht="12" customHeight="1" x14ac:dyDescent="0.2">
      <c r="A115" s="781"/>
      <c r="B115" s="1412"/>
      <c r="C115" s="1412"/>
      <c r="D115" s="735"/>
      <c r="E115" s="1335"/>
      <c r="F115" s="735"/>
      <c r="G115" s="735"/>
      <c r="H115" s="1348"/>
      <c r="I115" s="781"/>
      <c r="J115" s="781"/>
      <c r="K115" s="781"/>
      <c r="L115" s="781"/>
      <c r="M115" s="781"/>
      <c r="N115" s="781"/>
      <c r="O115" s="781"/>
    </row>
    <row r="116" spans="1:36" ht="12" customHeight="1" x14ac:dyDescent="0.2">
      <c r="A116" s="781"/>
      <c r="B116" s="1412"/>
      <c r="C116" s="719"/>
      <c r="D116" s="735"/>
      <c r="E116" s="1335"/>
      <c r="F116" s="735"/>
      <c r="G116" s="735"/>
      <c r="H116" s="1348"/>
      <c r="I116" s="781"/>
      <c r="J116" s="781"/>
      <c r="K116" s="781"/>
      <c r="L116" s="781"/>
      <c r="M116" s="781"/>
      <c r="N116" s="781"/>
      <c r="O116" s="781"/>
    </row>
    <row r="117" spans="1:36" ht="12" customHeight="1" x14ac:dyDescent="0.2">
      <c r="A117" s="781"/>
      <c r="B117" s="1412"/>
      <c r="C117" s="1412"/>
      <c r="D117" s="735"/>
      <c r="E117" s="1335"/>
      <c r="F117" s="735"/>
      <c r="G117" s="735"/>
      <c r="H117" s="1422"/>
      <c r="I117" s="781"/>
      <c r="J117" s="781"/>
      <c r="K117" s="781"/>
      <c r="L117" s="781"/>
      <c r="M117" s="781"/>
      <c r="N117" s="781"/>
      <c r="O117" s="781"/>
    </row>
    <row r="118" spans="1:36" ht="12" customHeight="1" x14ac:dyDescent="0.2">
      <c r="A118" s="781"/>
      <c r="B118" s="1412"/>
      <c r="C118" s="719"/>
      <c r="D118" s="735"/>
      <c r="E118" s="1335"/>
      <c r="F118" s="735"/>
      <c r="G118" s="735"/>
      <c r="H118" s="735"/>
      <c r="I118" s="781"/>
      <c r="J118" s="781"/>
      <c r="K118" s="781"/>
      <c r="L118" s="781"/>
      <c r="M118" s="781"/>
      <c r="N118" s="781"/>
      <c r="O118" s="781"/>
    </row>
    <row r="119" spans="1:36" ht="12" customHeight="1" x14ac:dyDescent="0.2">
      <c r="A119" s="781"/>
      <c r="B119" s="1412"/>
      <c r="C119" s="1412"/>
      <c r="D119" s="781"/>
      <c r="E119" s="1331"/>
      <c r="F119" s="781"/>
      <c r="G119" s="781"/>
      <c r="H119" s="781"/>
      <c r="I119" s="781"/>
      <c r="J119" s="781"/>
      <c r="K119" s="781"/>
      <c r="L119" s="781"/>
      <c r="M119" s="781"/>
      <c r="N119" s="781"/>
      <c r="O119" s="781"/>
    </row>
    <row r="120" spans="1:36" ht="12" customHeight="1" x14ac:dyDescent="0.2">
      <c r="A120" s="781"/>
      <c r="B120" s="1412"/>
      <c r="C120" s="719"/>
      <c r="D120" s="781"/>
      <c r="E120" s="1331"/>
      <c r="F120" s="781"/>
      <c r="G120" s="781"/>
      <c r="H120" s="781"/>
      <c r="I120" s="781"/>
      <c r="J120" s="781"/>
      <c r="K120" s="781"/>
      <c r="L120" s="781"/>
      <c r="M120" s="781"/>
      <c r="N120" s="781"/>
      <c r="O120" s="781"/>
    </row>
    <row r="121" spans="1:36" ht="12" customHeight="1" x14ac:dyDescent="0.2">
      <c r="A121" s="781"/>
      <c r="B121" s="1412"/>
      <c r="C121" s="1412"/>
      <c r="D121" s="781"/>
      <c r="E121" s="1413"/>
      <c r="F121" s="781"/>
      <c r="G121" s="781"/>
      <c r="H121" s="781"/>
      <c r="I121" s="781"/>
      <c r="J121" s="781"/>
      <c r="K121" s="781"/>
      <c r="L121" s="781"/>
      <c r="M121" s="781"/>
      <c r="N121" s="781"/>
      <c r="O121" s="781"/>
    </row>
    <row r="122" spans="1:36" ht="12" customHeight="1" x14ac:dyDescent="0.2">
      <c r="A122" s="781"/>
      <c r="B122" s="781"/>
      <c r="C122" s="781"/>
      <c r="D122" s="781"/>
      <c r="E122" s="781"/>
      <c r="F122" s="781"/>
      <c r="G122" s="781"/>
      <c r="H122" s="781"/>
      <c r="I122" s="781"/>
      <c r="J122" s="781"/>
      <c r="K122" s="781"/>
      <c r="L122" s="781"/>
      <c r="M122" s="781"/>
      <c r="N122" s="781"/>
      <c r="O122" s="781"/>
    </row>
    <row r="123" spans="1:36" ht="12" customHeight="1" x14ac:dyDescent="0.2">
      <c r="A123" s="781"/>
      <c r="B123" s="781"/>
      <c r="C123" s="781"/>
      <c r="D123" s="781"/>
      <c r="E123" s="781"/>
      <c r="F123" s="781"/>
      <c r="G123" s="781"/>
      <c r="H123" s="781"/>
      <c r="I123" s="781"/>
      <c r="J123" s="781"/>
      <c r="K123" s="781"/>
      <c r="L123" s="781"/>
      <c r="M123" s="781"/>
      <c r="N123" s="781"/>
      <c r="O123" s="781"/>
    </row>
    <row r="124" spans="1:36" ht="12" customHeight="1" x14ac:dyDescent="0.2">
      <c r="A124" s="781"/>
      <c r="B124" s="781"/>
      <c r="C124" s="781"/>
      <c r="D124" s="781"/>
      <c r="E124" s="781"/>
      <c r="F124" s="781"/>
      <c r="G124" s="781"/>
      <c r="H124" s="781"/>
      <c r="I124" s="781"/>
      <c r="J124" s="781"/>
      <c r="K124" s="781"/>
      <c r="L124" s="781"/>
      <c r="M124" s="781"/>
      <c r="N124" s="781"/>
      <c r="O124" s="781"/>
    </row>
    <row r="125" spans="1:36" ht="12" customHeight="1" x14ac:dyDescent="0.2">
      <c r="A125" s="781"/>
      <c r="B125" s="781"/>
      <c r="C125" s="781"/>
      <c r="D125" s="781"/>
      <c r="E125" s="781"/>
      <c r="F125" s="781"/>
      <c r="G125" s="781"/>
      <c r="H125" s="781"/>
      <c r="I125" s="781"/>
      <c r="J125" s="781"/>
      <c r="K125" s="781"/>
      <c r="L125" s="781"/>
      <c r="M125" s="781"/>
      <c r="N125" s="781"/>
      <c r="O125" s="781"/>
      <c r="W125" s="781"/>
      <c r="X125" s="781"/>
      <c r="Y125" s="781"/>
    </row>
    <row r="126" spans="1:36" ht="12" customHeight="1" x14ac:dyDescent="0.2">
      <c r="A126" s="781"/>
      <c r="B126" s="781"/>
      <c r="C126" s="781"/>
      <c r="D126" s="781"/>
      <c r="E126" s="781"/>
      <c r="F126" s="781"/>
      <c r="G126" s="781"/>
      <c r="H126" s="781"/>
      <c r="I126" s="781"/>
      <c r="J126" s="781"/>
      <c r="K126" s="781"/>
      <c r="L126" s="781"/>
      <c r="M126" s="781"/>
      <c r="N126" s="781"/>
      <c r="O126" s="781"/>
      <c r="W126" s="781"/>
      <c r="X126" s="781"/>
      <c r="Y126" s="781"/>
    </row>
    <row r="127" spans="1:36" ht="12" customHeight="1" x14ac:dyDescent="0.2">
      <c r="A127" s="781"/>
      <c r="B127" s="781"/>
      <c r="C127" s="781"/>
      <c r="D127" s="781"/>
      <c r="E127" s="781"/>
      <c r="F127" s="781"/>
      <c r="G127" s="781"/>
      <c r="H127" s="781"/>
      <c r="I127" s="781"/>
      <c r="J127" s="781"/>
      <c r="K127" s="781"/>
      <c r="L127" s="781"/>
      <c r="M127" s="781"/>
      <c r="N127" s="781"/>
      <c r="O127" s="781"/>
      <c r="W127" s="781"/>
      <c r="X127" s="781"/>
      <c r="Y127" s="781"/>
    </row>
    <row r="128" spans="1:36" ht="12" customHeight="1" x14ac:dyDescent="0.2">
      <c r="A128" s="781"/>
      <c r="B128" s="781"/>
      <c r="C128" s="781"/>
      <c r="D128" s="781"/>
      <c r="E128" s="781"/>
      <c r="F128" s="781"/>
      <c r="G128" s="781"/>
      <c r="H128" s="781"/>
      <c r="I128" s="781"/>
      <c r="J128" s="781"/>
      <c r="K128" s="781"/>
      <c r="L128" s="781"/>
      <c r="M128" s="781"/>
      <c r="N128" s="781"/>
      <c r="O128" s="781"/>
      <c r="P128" s="781"/>
      <c r="Q128" s="781"/>
      <c r="U128" s="781"/>
      <c r="V128" s="781"/>
      <c r="W128" s="781"/>
      <c r="X128" s="781"/>
      <c r="Y128" s="781"/>
    </row>
    <row r="129" spans="1:25" ht="12" customHeight="1" x14ac:dyDescent="0.2">
      <c r="A129" s="781"/>
      <c r="B129" s="781"/>
      <c r="C129" s="781"/>
      <c r="D129" s="781"/>
      <c r="E129" s="781"/>
      <c r="F129" s="781"/>
      <c r="G129" s="781"/>
      <c r="H129" s="781"/>
      <c r="I129" s="781"/>
      <c r="J129" s="781"/>
      <c r="K129" s="781"/>
      <c r="L129" s="781"/>
      <c r="M129" s="781"/>
      <c r="N129" s="781"/>
      <c r="O129" s="781"/>
      <c r="P129" s="781"/>
      <c r="Q129" s="781"/>
      <c r="U129" s="781"/>
      <c r="V129" s="781"/>
      <c r="W129" s="781"/>
      <c r="X129" s="781"/>
      <c r="Y129" s="781"/>
    </row>
    <row r="130" spans="1:25" ht="12" customHeight="1" x14ac:dyDescent="0.2">
      <c r="A130" s="781"/>
      <c r="B130" s="781"/>
      <c r="C130" s="781"/>
      <c r="D130" s="781"/>
      <c r="E130" s="781"/>
      <c r="F130" s="781"/>
      <c r="G130" s="781"/>
      <c r="H130" s="781"/>
      <c r="I130" s="781"/>
      <c r="J130" s="781"/>
      <c r="K130" s="781"/>
      <c r="L130" s="781"/>
      <c r="M130" s="781"/>
      <c r="N130" s="781"/>
      <c r="O130" s="781"/>
      <c r="P130" s="781"/>
      <c r="Q130" s="781"/>
      <c r="U130" s="781"/>
      <c r="V130" s="781"/>
      <c r="W130" s="781"/>
      <c r="X130" s="781"/>
      <c r="Y130" s="781"/>
    </row>
    <row r="131" spans="1:25" ht="12" customHeight="1" x14ac:dyDescent="0.2">
      <c r="A131" s="781"/>
      <c r="B131" s="781"/>
      <c r="C131" s="781"/>
      <c r="D131" s="781"/>
      <c r="E131" s="781"/>
      <c r="F131" s="781"/>
      <c r="G131" s="781"/>
      <c r="H131" s="781"/>
      <c r="I131" s="781"/>
      <c r="J131" s="781"/>
      <c r="K131" s="781"/>
      <c r="L131" s="781"/>
      <c r="M131" s="781"/>
      <c r="N131" s="781"/>
      <c r="O131" s="781"/>
      <c r="P131" s="781"/>
      <c r="Q131" s="781"/>
      <c r="U131" s="781"/>
      <c r="V131" s="781"/>
      <c r="W131" s="781"/>
      <c r="X131" s="781"/>
      <c r="Y131" s="781"/>
    </row>
    <row r="132" spans="1:25" ht="12" customHeight="1" x14ac:dyDescent="0.2">
      <c r="A132" s="781"/>
      <c r="B132" s="781"/>
      <c r="C132" s="781"/>
      <c r="D132" s="781"/>
      <c r="E132" s="781"/>
      <c r="F132" s="781"/>
      <c r="G132" s="781"/>
      <c r="H132" s="781"/>
      <c r="I132" s="781"/>
      <c r="J132" s="781"/>
      <c r="K132" s="781"/>
      <c r="L132" s="781"/>
      <c r="M132" s="781"/>
      <c r="N132" s="781"/>
      <c r="O132" s="781"/>
      <c r="P132" s="781"/>
      <c r="Q132" s="781"/>
      <c r="U132" s="781"/>
      <c r="V132" s="781"/>
      <c r="W132" s="781"/>
      <c r="X132" s="781"/>
      <c r="Y132" s="781"/>
    </row>
    <row r="133" spans="1:25" ht="12" customHeight="1" x14ac:dyDescent="0.2">
      <c r="A133" s="781"/>
      <c r="B133" s="781"/>
      <c r="C133" s="781"/>
      <c r="D133" s="781"/>
      <c r="E133" s="781"/>
      <c r="F133" s="781"/>
      <c r="G133" s="781"/>
      <c r="H133" s="781"/>
      <c r="I133" s="781"/>
      <c r="J133" s="781"/>
      <c r="K133" s="781"/>
      <c r="L133" s="781"/>
      <c r="M133" s="781"/>
      <c r="N133" s="781"/>
      <c r="O133" s="781"/>
      <c r="P133" s="781"/>
      <c r="Q133" s="781"/>
      <c r="U133" s="781"/>
      <c r="V133" s="781"/>
      <c r="W133" s="781"/>
      <c r="X133" s="781"/>
      <c r="Y133" s="781"/>
    </row>
    <row r="134" spans="1:25" ht="12" customHeight="1" x14ac:dyDescent="0.2">
      <c r="A134" s="781"/>
      <c r="B134" s="781"/>
      <c r="C134" s="781"/>
      <c r="D134" s="781"/>
      <c r="E134" s="781"/>
      <c r="F134" s="781"/>
      <c r="G134" s="781"/>
      <c r="H134" s="781"/>
      <c r="I134" s="781"/>
      <c r="J134" s="781"/>
      <c r="K134" s="781"/>
      <c r="L134" s="781"/>
      <c r="M134" s="781"/>
      <c r="N134" s="781"/>
      <c r="O134" s="781"/>
      <c r="P134" s="781"/>
      <c r="Q134" s="781"/>
      <c r="U134" s="781"/>
      <c r="V134" s="781"/>
      <c r="W134" s="781"/>
      <c r="X134" s="781"/>
      <c r="Y134" s="781"/>
    </row>
    <row r="135" spans="1:25" ht="12" customHeight="1" x14ac:dyDescent="0.2">
      <c r="A135" s="781"/>
      <c r="B135" s="781"/>
      <c r="C135" s="781"/>
      <c r="D135" s="781"/>
      <c r="E135" s="781"/>
      <c r="F135" s="781"/>
      <c r="G135" s="781"/>
      <c r="H135" s="781"/>
      <c r="I135" s="781"/>
      <c r="J135" s="781"/>
      <c r="K135" s="781"/>
      <c r="L135" s="781"/>
      <c r="M135" s="781"/>
      <c r="N135" s="781"/>
      <c r="O135" s="781"/>
      <c r="P135" s="781"/>
      <c r="Q135" s="781"/>
      <c r="U135" s="781"/>
      <c r="V135" s="781"/>
      <c r="W135" s="781"/>
      <c r="X135" s="781"/>
      <c r="Y135" s="781"/>
    </row>
    <row r="136" spans="1:25" ht="12" customHeight="1" x14ac:dyDescent="0.2">
      <c r="A136" s="781"/>
      <c r="B136" s="781"/>
      <c r="C136" s="781"/>
      <c r="D136" s="781"/>
      <c r="E136" s="781"/>
      <c r="F136" s="781"/>
      <c r="G136" s="781"/>
      <c r="H136" s="781"/>
      <c r="I136" s="781"/>
      <c r="J136" s="781"/>
      <c r="K136" s="781"/>
      <c r="L136" s="781"/>
      <c r="M136" s="781"/>
      <c r="N136" s="781"/>
      <c r="O136" s="781"/>
      <c r="P136" s="781"/>
      <c r="Q136" s="781"/>
      <c r="U136" s="781"/>
      <c r="V136" s="781"/>
      <c r="W136" s="781"/>
      <c r="X136" s="781"/>
      <c r="Y136" s="781"/>
    </row>
    <row r="137" spans="1:25" ht="12" customHeight="1" x14ac:dyDescent="0.2">
      <c r="A137" s="781"/>
      <c r="B137" s="781"/>
      <c r="C137" s="781"/>
      <c r="D137" s="781"/>
      <c r="E137" s="781"/>
      <c r="F137" s="781"/>
      <c r="G137" s="781"/>
      <c r="H137" s="781"/>
      <c r="I137" s="781"/>
      <c r="J137" s="781"/>
      <c r="K137" s="781"/>
      <c r="L137" s="781"/>
      <c r="M137" s="781"/>
      <c r="N137" s="781"/>
      <c r="O137" s="781"/>
      <c r="P137" s="781"/>
      <c r="Q137" s="781"/>
      <c r="U137" s="781"/>
      <c r="V137" s="781"/>
      <c r="W137" s="781"/>
      <c r="X137" s="781"/>
      <c r="Y137" s="781"/>
    </row>
    <row r="138" spans="1:25" ht="12" customHeight="1" x14ac:dyDescent="0.2">
      <c r="A138" s="781"/>
      <c r="B138" s="781"/>
      <c r="C138" s="781"/>
      <c r="D138" s="781"/>
      <c r="E138" s="781"/>
      <c r="F138" s="781"/>
      <c r="G138" s="781"/>
      <c r="H138" s="781"/>
      <c r="I138" s="781"/>
      <c r="J138" s="781"/>
      <c r="K138" s="781"/>
      <c r="L138" s="781"/>
      <c r="M138" s="781"/>
      <c r="N138" s="781"/>
      <c r="O138" s="781"/>
      <c r="P138" s="781"/>
      <c r="Q138" s="781"/>
      <c r="U138" s="781"/>
      <c r="V138" s="781"/>
      <c r="W138" s="781"/>
      <c r="X138" s="781"/>
      <c r="Y138" s="781"/>
    </row>
    <row r="139" spans="1:25" ht="12" customHeight="1" x14ac:dyDescent="0.2">
      <c r="A139" s="781"/>
      <c r="B139" s="781"/>
      <c r="C139" s="781"/>
      <c r="D139" s="781"/>
      <c r="E139" s="781"/>
      <c r="F139" s="781"/>
      <c r="G139" s="781"/>
      <c r="H139" s="781"/>
      <c r="I139" s="781"/>
      <c r="J139" s="781"/>
      <c r="K139" s="781"/>
      <c r="L139" s="781"/>
      <c r="M139" s="781"/>
      <c r="N139" s="781"/>
      <c r="O139" s="781"/>
      <c r="P139" s="781"/>
      <c r="Q139" s="781"/>
      <c r="U139" s="781"/>
      <c r="V139" s="781"/>
      <c r="W139" s="781"/>
      <c r="X139" s="781"/>
      <c r="Y139" s="781"/>
    </row>
    <row r="140" spans="1:25" ht="12" customHeight="1" x14ac:dyDescent="0.2">
      <c r="A140" s="781"/>
      <c r="B140" s="781"/>
      <c r="C140" s="781"/>
      <c r="D140" s="781"/>
      <c r="E140" s="781"/>
      <c r="F140" s="781"/>
      <c r="G140" s="781"/>
      <c r="H140" s="781"/>
      <c r="I140" s="781"/>
      <c r="J140" s="781"/>
      <c r="K140" s="781"/>
      <c r="L140" s="781"/>
      <c r="M140" s="781"/>
      <c r="N140" s="781"/>
      <c r="O140" s="781"/>
      <c r="P140" s="781"/>
      <c r="Q140" s="781"/>
      <c r="U140" s="781"/>
      <c r="V140" s="781"/>
      <c r="W140" s="781"/>
      <c r="X140" s="781"/>
      <c r="Y140" s="781"/>
    </row>
    <row r="141" spans="1:25" ht="12" customHeight="1" x14ac:dyDescent="0.2">
      <c r="A141" s="781"/>
      <c r="B141" s="781"/>
      <c r="C141" s="781"/>
      <c r="D141" s="781"/>
      <c r="E141" s="781"/>
      <c r="F141" s="781"/>
      <c r="G141" s="781"/>
      <c r="H141" s="781"/>
      <c r="I141" s="781"/>
      <c r="J141" s="781"/>
      <c r="K141" s="781"/>
      <c r="L141" s="781"/>
      <c r="M141" s="781"/>
      <c r="N141" s="781"/>
      <c r="O141" s="781"/>
      <c r="P141" s="781"/>
      <c r="Q141" s="781"/>
      <c r="U141" s="781"/>
      <c r="V141" s="781"/>
      <c r="W141" s="781"/>
      <c r="X141" s="781"/>
      <c r="Y141" s="781"/>
    </row>
    <row r="142" spans="1:25" ht="12" customHeight="1" x14ac:dyDescent="0.2">
      <c r="A142" s="781"/>
      <c r="B142" s="781"/>
      <c r="C142" s="781"/>
      <c r="D142" s="781"/>
      <c r="E142" s="781"/>
      <c r="F142" s="781"/>
      <c r="G142" s="781"/>
      <c r="H142" s="781"/>
      <c r="I142" s="781"/>
      <c r="J142" s="781"/>
      <c r="K142" s="781"/>
      <c r="L142" s="781"/>
      <c r="M142" s="781"/>
      <c r="N142" s="781"/>
      <c r="O142" s="781"/>
      <c r="P142" s="781"/>
      <c r="Q142" s="781"/>
      <c r="U142" s="781"/>
      <c r="V142" s="781"/>
      <c r="W142" s="781"/>
      <c r="X142" s="781"/>
      <c r="Y142" s="781"/>
    </row>
    <row r="143" spans="1:25" ht="12" customHeight="1" x14ac:dyDescent="0.2">
      <c r="A143" s="781"/>
      <c r="B143" s="781"/>
      <c r="C143" s="781"/>
      <c r="D143" s="781"/>
      <c r="E143" s="781"/>
      <c r="F143" s="781"/>
      <c r="G143" s="781"/>
      <c r="H143" s="781"/>
      <c r="I143" s="781"/>
      <c r="J143" s="781"/>
      <c r="K143" s="781"/>
      <c r="L143" s="781"/>
      <c r="M143" s="781"/>
      <c r="N143" s="781"/>
      <c r="O143" s="781"/>
      <c r="P143" s="781"/>
      <c r="Q143" s="781"/>
      <c r="U143" s="781"/>
      <c r="V143" s="781"/>
      <c r="W143" s="781"/>
      <c r="X143" s="781"/>
      <c r="Y143" s="781"/>
    </row>
    <row r="144" spans="1:25" ht="12" customHeight="1" x14ac:dyDescent="0.2">
      <c r="A144" s="781"/>
      <c r="B144" s="781"/>
      <c r="C144" s="781"/>
      <c r="D144" s="781"/>
      <c r="E144" s="781"/>
      <c r="F144" s="781"/>
      <c r="G144" s="781"/>
      <c r="H144" s="781"/>
      <c r="I144" s="781"/>
      <c r="J144" s="781"/>
      <c r="K144" s="781"/>
      <c r="L144" s="781"/>
      <c r="M144" s="781"/>
      <c r="N144" s="781"/>
      <c r="O144" s="781"/>
      <c r="P144" s="781"/>
      <c r="Q144" s="781"/>
      <c r="U144" s="781"/>
      <c r="V144" s="781"/>
      <c r="W144" s="781"/>
      <c r="X144" s="781"/>
      <c r="Y144" s="781"/>
    </row>
    <row r="214" spans="3:11" ht="12" customHeight="1" x14ac:dyDescent="0.2">
      <c r="C214" s="820"/>
      <c r="D214" s="820"/>
      <c r="E214" s="820"/>
      <c r="F214" s="820"/>
      <c r="G214" s="820"/>
      <c r="H214" s="820"/>
      <c r="I214" s="820"/>
      <c r="J214" s="820"/>
      <c r="K214" s="820"/>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102" customWidth="1"/>
    <col min="2" max="2" width="1.7109375" style="1102" hidden="1" customWidth="1"/>
    <col min="3" max="3" width="3.7109375" style="1502" customWidth="1"/>
    <col min="4" max="4" width="3.28515625" style="1660" bestFit="1" customWidth="1"/>
    <col min="5" max="5" width="33.42578125" style="1102" bestFit="1" customWidth="1"/>
    <col min="6" max="6" width="4.140625" style="1102" customWidth="1"/>
    <col min="7" max="7" width="4.140625" style="1102" bestFit="1" customWidth="1"/>
    <col min="8" max="8" width="6.140625" style="1102" customWidth="1"/>
    <col min="9" max="9" width="3.5703125" style="1102" customWidth="1"/>
    <col min="10" max="10" width="2.7109375" style="1097" hidden="1" customWidth="1"/>
    <col min="11" max="11" width="2.7109375" style="1108" bestFit="1" customWidth="1"/>
    <col min="12" max="12" width="3.42578125" style="1102" bestFit="1" customWidth="1"/>
    <col min="13" max="13" width="2.7109375" style="1097" hidden="1" customWidth="1"/>
    <col min="14" max="14" width="2.7109375" style="1102" bestFit="1" customWidth="1"/>
    <col min="15" max="15" width="3.42578125" style="1102" bestFit="1" customWidth="1"/>
    <col min="16" max="16" width="2.7109375" style="1097" hidden="1" customWidth="1"/>
    <col min="17" max="17" width="2.7109375" style="1102" bestFit="1" customWidth="1"/>
    <col min="18" max="18" width="5.5703125" style="1097" hidden="1" customWidth="1"/>
    <col min="19" max="19" width="2.7109375" style="1102" bestFit="1" customWidth="1"/>
    <col min="20" max="20" width="5.42578125" style="1102" bestFit="1" customWidth="1"/>
    <col min="21" max="21" width="8.42578125" style="1102" bestFit="1" customWidth="1"/>
    <col min="22" max="22" width="3.7109375" style="1102" bestFit="1" customWidth="1"/>
    <col min="23" max="23" width="3.5703125" style="1102" bestFit="1" customWidth="1"/>
    <col min="24" max="24" width="3.85546875" style="1097" hidden="1" customWidth="1"/>
    <col min="25" max="25" width="2.5703125" style="1097" hidden="1" customWidth="1"/>
    <col min="26" max="26" width="3.85546875" style="1097" hidden="1" customWidth="1"/>
    <col min="27" max="27" width="1.85546875" style="1097" hidden="1" customWidth="1"/>
    <col min="28" max="28" width="3.85546875" style="1097" hidden="1" customWidth="1"/>
    <col min="29" max="29" width="1.85546875" style="1097" hidden="1" customWidth="1"/>
    <col min="30" max="30" width="3.7109375" style="1097" hidden="1" customWidth="1"/>
    <col min="31" max="31" width="2.5703125" style="1097" hidden="1" customWidth="1"/>
    <col min="32" max="32" width="2.7109375" style="1102" bestFit="1" customWidth="1"/>
    <col min="33" max="33" width="3.85546875" style="1102" bestFit="1" customWidth="1"/>
    <col min="34" max="34" width="3.85546875" style="1097" hidden="1" customWidth="1"/>
    <col min="35" max="35" width="1.85546875" style="1097" hidden="1" customWidth="1"/>
    <col min="36" max="36" width="3.85546875" style="1097" hidden="1" customWidth="1"/>
    <col min="37" max="37" width="1.85546875" style="1097" hidden="1" customWidth="1"/>
    <col min="38" max="38" width="3.85546875" style="1097" hidden="1" customWidth="1"/>
    <col min="39" max="39" width="1.85546875" style="1097" hidden="1" customWidth="1"/>
    <col min="40" max="40" width="3.7109375" style="1097" hidden="1" customWidth="1"/>
    <col min="41" max="41" width="2.5703125" style="1097" hidden="1" customWidth="1"/>
    <col min="42" max="42" width="2.7109375" style="1102" customWidth="1"/>
    <col min="43" max="43" width="3.5703125" style="1102" bestFit="1" customWidth="1"/>
    <col min="44" max="44" width="3.85546875" style="1097" hidden="1" customWidth="1"/>
    <col min="45" max="45" width="1.85546875" style="1097" hidden="1" customWidth="1"/>
    <col min="46" max="46" width="3.85546875" style="1097" hidden="1" customWidth="1"/>
    <col min="47" max="47" width="2.5703125" style="1097" hidden="1" customWidth="1"/>
    <col min="48" max="48" width="3.85546875" style="1097" hidden="1" customWidth="1"/>
    <col min="49" max="49" width="1.85546875" style="1097" hidden="1" customWidth="1"/>
    <col min="50" max="50" width="3.7109375" style="1097" hidden="1" customWidth="1"/>
    <col min="51" max="51" width="2.5703125" style="1097" hidden="1" customWidth="1"/>
    <col min="52" max="52" width="2.7109375" style="1102" bestFit="1" customWidth="1"/>
    <col min="53" max="53" width="3.85546875" style="1102" bestFit="1" customWidth="1"/>
    <col min="54" max="54" width="3.85546875" style="1097" hidden="1" customWidth="1"/>
    <col min="55" max="55" width="1.85546875" style="1097" hidden="1" customWidth="1"/>
    <col min="56" max="56" width="3.85546875" style="1097" hidden="1" customWidth="1"/>
    <col min="57" max="57" width="1.85546875" style="1097" hidden="1" customWidth="1"/>
    <col min="58" max="58" width="3.85546875" style="1097" hidden="1" customWidth="1"/>
    <col min="59" max="59" width="2.5703125" style="1097" hidden="1" customWidth="1"/>
    <col min="60" max="60" width="3.7109375" style="1097" hidden="1" customWidth="1"/>
    <col min="61" max="61" width="2.5703125" style="1097" hidden="1" customWidth="1"/>
    <col min="62" max="62" width="2.7109375" style="1102" bestFit="1" customWidth="1"/>
    <col min="63" max="64" width="7.85546875" style="1102" customWidth="1"/>
    <col min="65" max="65" width="7.85546875" style="1102" bestFit="1" customWidth="1"/>
    <col min="66" max="66" width="6.5703125" style="1097" hidden="1" customWidth="1"/>
    <col min="67" max="67" width="7.42578125" style="1097" hidden="1" customWidth="1"/>
    <col min="68" max="69" width="7.140625" style="1099" hidden="1" customWidth="1"/>
    <col min="70" max="70" width="6.7109375" style="1099" hidden="1" customWidth="1"/>
    <col min="71" max="71" width="6.85546875" style="1097" hidden="1" customWidth="1"/>
    <col min="72" max="72" width="6.7109375" style="1117" customWidth="1"/>
    <col min="73" max="73" width="6.7109375" style="1170" customWidth="1"/>
    <col min="74" max="74" width="2.7109375" style="1101" hidden="1" customWidth="1"/>
    <col min="75" max="75" width="8.140625" style="1102" customWidth="1"/>
    <col min="76" max="76" width="8.140625" style="1102" hidden="1" customWidth="1"/>
    <col min="77" max="77" width="7.140625" style="1102" customWidth="1"/>
    <col min="78" max="78" width="0.5703125" style="1494" customWidth="1"/>
    <col min="79" max="79" width="2" style="1102" customWidth="1"/>
    <col min="80" max="80" width="1.7109375" style="1102" customWidth="1"/>
    <col min="81" max="121" width="5.7109375" style="1102"/>
    <col min="122" max="122" width="2" style="1102" customWidth="1"/>
    <col min="123" max="123" width="0.85546875" style="1506" customWidth="1"/>
    <col min="124" max="124" width="2" style="1102" customWidth="1"/>
    <col min="125" max="125" width="8.85546875" style="1626" customWidth="1"/>
    <col min="126" max="126" width="12.140625" style="1626" customWidth="1"/>
    <col min="127" max="127" width="9.140625" style="1626" customWidth="1"/>
    <col min="128" max="128" width="13.5703125" style="1626" customWidth="1"/>
    <col min="129" max="129" width="1.85546875" style="1102" customWidth="1"/>
    <col min="130" max="130" width="2" style="1102" customWidth="1"/>
    <col min="131" max="16384" width="5.7109375" style="1102"/>
  </cols>
  <sheetData>
    <row r="1" spans="1:132" ht="12" thickBot="1" x14ac:dyDescent="0.25">
      <c r="A1" s="1096"/>
      <c r="B1" s="1096"/>
      <c r="C1" s="1495"/>
      <c r="D1" s="1635"/>
      <c r="E1" s="1096"/>
      <c r="F1" s="1096"/>
      <c r="G1" s="1096"/>
      <c r="H1" s="1096"/>
      <c r="I1" s="1096"/>
      <c r="K1" s="1098"/>
      <c r="L1" s="1096"/>
      <c r="N1" s="1096"/>
      <c r="O1" s="1096"/>
      <c r="Q1" s="1096"/>
      <c r="S1" s="1096"/>
      <c r="T1" s="1096"/>
      <c r="U1" s="1096"/>
      <c r="V1" s="1096"/>
      <c r="W1" s="1096"/>
      <c r="AF1" s="1096"/>
      <c r="AG1" s="1096"/>
      <c r="AP1" s="1096"/>
      <c r="AQ1" s="1096"/>
      <c r="AZ1" s="1096"/>
      <c r="BA1" s="1096"/>
      <c r="BJ1" s="1096"/>
      <c r="BK1" s="1096"/>
      <c r="BL1" s="1096"/>
      <c r="BM1" s="1096"/>
      <c r="BT1" s="1100"/>
      <c r="BU1" s="1100"/>
      <c r="BW1" s="1096"/>
      <c r="BX1" s="1098"/>
      <c r="BY1" s="1098"/>
      <c r="BZ1" s="1490"/>
      <c r="CA1" s="1096"/>
      <c r="DR1" s="1096"/>
      <c r="DT1" s="1495"/>
      <c r="DU1" s="1609"/>
      <c r="DV1" s="1609"/>
      <c r="DW1" s="1610"/>
      <c r="DX1" s="1609"/>
      <c r="DY1" s="1096"/>
      <c r="DZ1" s="1096"/>
    </row>
    <row r="2" spans="1:132" ht="12" thickBot="1" x14ac:dyDescent="0.25">
      <c r="A2" s="1096"/>
      <c r="B2" s="1096"/>
      <c r="C2" s="1496"/>
      <c r="D2" s="1636"/>
      <c r="E2" s="1103"/>
      <c r="F2" s="1103"/>
      <c r="G2" s="1103"/>
      <c r="H2" s="1103"/>
      <c r="I2" s="1103"/>
      <c r="J2" s="1104"/>
      <c r="K2" s="1103"/>
      <c r="L2" s="1103"/>
      <c r="M2" s="1104"/>
      <c r="N2" s="1103"/>
      <c r="O2" s="1103"/>
      <c r="P2" s="1104"/>
      <c r="Q2" s="1103"/>
      <c r="R2" s="1104"/>
      <c r="S2" s="1103"/>
      <c r="T2" s="1103"/>
      <c r="U2" s="1103"/>
      <c r="V2" s="1103"/>
      <c r="W2" s="1103"/>
      <c r="X2" s="1104"/>
      <c r="Y2" s="1104"/>
      <c r="Z2" s="1104"/>
      <c r="AA2" s="1104"/>
      <c r="AB2" s="1104"/>
      <c r="AC2" s="1104"/>
      <c r="AD2" s="1104"/>
      <c r="AE2" s="1104"/>
      <c r="AF2" s="1103"/>
      <c r="AG2" s="1103"/>
      <c r="AH2" s="1104"/>
      <c r="AI2" s="1104"/>
      <c r="AJ2" s="1104"/>
      <c r="AK2" s="1104"/>
      <c r="AL2" s="1104"/>
      <c r="AM2" s="1104"/>
      <c r="AN2" s="1104"/>
      <c r="AO2" s="1104"/>
      <c r="AP2" s="1103"/>
      <c r="AQ2" s="1103"/>
      <c r="AR2" s="1104"/>
      <c r="AS2" s="1104"/>
      <c r="AT2" s="1104"/>
      <c r="AU2" s="1104"/>
      <c r="AV2" s="1104"/>
      <c r="AW2" s="1104"/>
      <c r="AX2" s="1104"/>
      <c r="AY2" s="1104"/>
      <c r="AZ2" s="1103"/>
      <c r="BA2" s="1103"/>
      <c r="BB2" s="1104"/>
      <c r="BC2" s="1104"/>
      <c r="BD2" s="1104"/>
      <c r="BE2" s="1104"/>
      <c r="BF2" s="1104"/>
      <c r="BG2" s="1104"/>
      <c r="BH2" s="1104"/>
      <c r="BI2" s="1104"/>
      <c r="BJ2" s="1103"/>
      <c r="BK2" s="1103"/>
      <c r="BL2" s="1103"/>
      <c r="BM2" s="1103"/>
      <c r="BN2" s="1104"/>
      <c r="BO2" s="1104"/>
      <c r="BP2" s="1105"/>
      <c r="BQ2" s="1105"/>
      <c r="BR2" s="1105"/>
      <c r="BS2" s="1104"/>
      <c r="BT2" s="1106"/>
      <c r="BU2" s="1107"/>
      <c r="BV2" s="1105"/>
      <c r="BW2" s="1103"/>
      <c r="BX2" s="1103"/>
      <c r="BY2" s="1473"/>
      <c r="BZ2" s="1491"/>
      <c r="CA2" s="1096"/>
      <c r="DR2" s="1096"/>
      <c r="DT2" s="1496"/>
      <c r="DU2" s="1611"/>
      <c r="DV2" s="1611"/>
      <c r="DW2" s="1611"/>
      <c r="DX2" s="1611"/>
      <c r="DY2" s="1477"/>
      <c r="DZ2" s="1096"/>
    </row>
    <row r="3" spans="1:132" ht="12.75" customHeight="1" x14ac:dyDescent="0.2">
      <c r="A3" s="1096"/>
      <c r="B3" s="1096"/>
      <c r="C3" s="1497"/>
      <c r="D3" s="1637"/>
      <c r="E3" s="1109"/>
      <c r="F3" s="4467" t="s">
        <v>5218</v>
      </c>
      <c r="G3" s="4467"/>
      <c r="H3" s="4467"/>
      <c r="I3" s="4467"/>
      <c r="J3" s="4467"/>
      <c r="K3" s="4467"/>
      <c r="L3" s="4467"/>
      <c r="M3" s="4467"/>
      <c r="N3" s="4467"/>
      <c r="O3" s="4467"/>
      <c r="P3" s="4467"/>
      <c r="Q3" s="4467"/>
      <c r="R3" s="4467"/>
      <c r="S3" s="4467"/>
      <c r="T3" s="4467"/>
      <c r="U3" s="4467"/>
      <c r="V3" s="4467"/>
      <c r="W3" s="4467"/>
      <c r="X3" s="4467"/>
      <c r="Y3" s="4467"/>
      <c r="Z3" s="4467"/>
      <c r="AA3" s="4467"/>
      <c r="AB3" s="4467"/>
      <c r="AC3" s="4467"/>
      <c r="AD3" s="4467"/>
      <c r="AE3" s="4467"/>
      <c r="AF3" s="4467"/>
      <c r="AG3" s="4467"/>
      <c r="AH3" s="4467"/>
      <c r="AI3" s="4467"/>
      <c r="AJ3" s="4467"/>
      <c r="AK3" s="4467"/>
      <c r="AL3" s="4467"/>
      <c r="AM3" s="4467"/>
      <c r="AN3" s="4467"/>
      <c r="AO3" s="4467"/>
      <c r="AP3" s="4467"/>
      <c r="AQ3" s="4467"/>
      <c r="AR3" s="4467"/>
      <c r="AS3" s="4467"/>
      <c r="AT3" s="4467"/>
      <c r="AU3" s="4467"/>
      <c r="AV3" s="4467"/>
      <c r="AW3" s="4467"/>
      <c r="AX3" s="4467"/>
      <c r="AY3" s="4467"/>
      <c r="AZ3" s="4467"/>
      <c r="BA3" s="4467"/>
      <c r="BB3" s="4467"/>
      <c r="BC3" s="4467"/>
      <c r="BD3" s="4467"/>
      <c r="BE3" s="4467"/>
      <c r="BF3" s="4467"/>
      <c r="BG3" s="4467"/>
      <c r="BH3" s="4467"/>
      <c r="BI3" s="4467"/>
      <c r="BJ3" s="4467"/>
      <c r="BK3" s="4467"/>
      <c r="BL3" s="4467"/>
      <c r="BM3" s="4467"/>
      <c r="BN3" s="4467"/>
      <c r="BO3" s="4467"/>
      <c r="BP3" s="4467"/>
      <c r="BQ3" s="4467"/>
      <c r="BR3" s="4467"/>
      <c r="BS3" s="4467"/>
      <c r="BT3" s="4467"/>
      <c r="BU3" s="4468"/>
      <c r="BV3" s="1110"/>
      <c r="BW3" s="1108"/>
      <c r="BX3" s="1108"/>
      <c r="BY3" s="1474"/>
      <c r="BZ3" s="1492"/>
      <c r="CA3" s="1096"/>
      <c r="DR3" s="1096"/>
      <c r="DT3" s="1497"/>
      <c r="DU3" s="4458" t="s">
        <v>9663</v>
      </c>
      <c r="DV3" s="4459"/>
      <c r="DW3" s="4459"/>
      <c r="DX3" s="4460"/>
      <c r="DY3" s="1478"/>
      <c r="DZ3" s="1096"/>
    </row>
    <row r="4" spans="1:132" ht="11.25" customHeight="1" x14ac:dyDescent="0.2">
      <c r="A4" s="1096"/>
      <c r="B4" s="1096"/>
      <c r="C4" s="1497"/>
      <c r="D4" s="1638"/>
      <c r="E4" s="1111"/>
      <c r="F4" s="4469"/>
      <c r="G4" s="4469"/>
      <c r="H4" s="4469"/>
      <c r="I4" s="4469"/>
      <c r="J4" s="4469"/>
      <c r="K4" s="4469"/>
      <c r="L4" s="4469"/>
      <c r="M4" s="4469"/>
      <c r="N4" s="4469"/>
      <c r="O4" s="4469"/>
      <c r="P4" s="4469"/>
      <c r="Q4" s="4469"/>
      <c r="R4" s="4469"/>
      <c r="S4" s="4469"/>
      <c r="T4" s="4469"/>
      <c r="U4" s="4469"/>
      <c r="V4" s="4469"/>
      <c r="W4" s="4469"/>
      <c r="X4" s="4469"/>
      <c r="Y4" s="4469"/>
      <c r="Z4" s="4469"/>
      <c r="AA4" s="4469"/>
      <c r="AB4" s="4469"/>
      <c r="AC4" s="4469"/>
      <c r="AD4" s="4469"/>
      <c r="AE4" s="4469"/>
      <c r="AF4" s="4469"/>
      <c r="AG4" s="4469"/>
      <c r="AH4" s="4469"/>
      <c r="AI4" s="4469"/>
      <c r="AJ4" s="4469"/>
      <c r="AK4" s="4469"/>
      <c r="AL4" s="4469"/>
      <c r="AM4" s="4469"/>
      <c r="AN4" s="4469"/>
      <c r="AO4" s="4469"/>
      <c r="AP4" s="4469"/>
      <c r="AQ4" s="4469"/>
      <c r="AR4" s="4469"/>
      <c r="AS4" s="4469"/>
      <c r="AT4" s="4469"/>
      <c r="AU4" s="4469"/>
      <c r="AV4" s="4469"/>
      <c r="AW4" s="4469"/>
      <c r="AX4" s="4469"/>
      <c r="AY4" s="4469"/>
      <c r="AZ4" s="4469"/>
      <c r="BA4" s="4469"/>
      <c r="BB4" s="4469"/>
      <c r="BC4" s="4469"/>
      <c r="BD4" s="4469"/>
      <c r="BE4" s="4469"/>
      <c r="BF4" s="4469"/>
      <c r="BG4" s="4469"/>
      <c r="BH4" s="4469"/>
      <c r="BI4" s="4469"/>
      <c r="BJ4" s="4469"/>
      <c r="BK4" s="4469"/>
      <c r="BL4" s="4469"/>
      <c r="BM4" s="4469"/>
      <c r="BN4" s="4469"/>
      <c r="BO4" s="4469"/>
      <c r="BP4" s="4469"/>
      <c r="BQ4" s="4469"/>
      <c r="BR4" s="4469"/>
      <c r="BS4" s="4469"/>
      <c r="BT4" s="4469"/>
      <c r="BU4" s="4470"/>
      <c r="BV4" s="1110"/>
      <c r="BW4" s="1108"/>
      <c r="BX4" s="1108"/>
      <c r="BY4" s="1474"/>
      <c r="BZ4" s="1492"/>
      <c r="CA4" s="1096"/>
      <c r="DR4" s="1096"/>
      <c r="DT4" s="1497"/>
      <c r="DU4" s="4461"/>
      <c r="DV4" s="4462"/>
      <c r="DW4" s="4462"/>
      <c r="DX4" s="4463"/>
      <c r="DY4" s="1478"/>
      <c r="DZ4" s="1096"/>
    </row>
    <row r="5" spans="1:132" ht="11.25" customHeight="1" x14ac:dyDescent="0.2">
      <c r="A5" s="1096"/>
      <c r="B5" s="1096"/>
      <c r="C5" s="1497"/>
      <c r="D5" s="1638"/>
      <c r="E5" s="1111"/>
      <c r="F5" s="4469"/>
      <c r="G5" s="4469"/>
      <c r="H5" s="4469"/>
      <c r="I5" s="4469"/>
      <c r="J5" s="4469"/>
      <c r="K5" s="4469"/>
      <c r="L5" s="4469"/>
      <c r="M5" s="4469"/>
      <c r="N5" s="4469"/>
      <c r="O5" s="4469"/>
      <c r="P5" s="4469"/>
      <c r="Q5" s="4469"/>
      <c r="R5" s="4469"/>
      <c r="S5" s="4469"/>
      <c r="T5" s="4469"/>
      <c r="U5" s="4469"/>
      <c r="V5" s="4469"/>
      <c r="W5" s="4469"/>
      <c r="X5" s="4469"/>
      <c r="Y5" s="4469"/>
      <c r="Z5" s="4469"/>
      <c r="AA5" s="4469"/>
      <c r="AB5" s="4469"/>
      <c r="AC5" s="4469"/>
      <c r="AD5" s="4469"/>
      <c r="AE5" s="4469"/>
      <c r="AF5" s="4469"/>
      <c r="AG5" s="4469"/>
      <c r="AH5" s="4469"/>
      <c r="AI5" s="4469"/>
      <c r="AJ5" s="4469"/>
      <c r="AK5" s="4469"/>
      <c r="AL5" s="4469"/>
      <c r="AM5" s="4469"/>
      <c r="AN5" s="4469"/>
      <c r="AO5" s="4469"/>
      <c r="AP5" s="4469"/>
      <c r="AQ5" s="4469"/>
      <c r="AR5" s="4469"/>
      <c r="AS5" s="4469"/>
      <c r="AT5" s="4469"/>
      <c r="AU5" s="4469"/>
      <c r="AV5" s="4469"/>
      <c r="AW5" s="4469"/>
      <c r="AX5" s="4469"/>
      <c r="AY5" s="4469"/>
      <c r="AZ5" s="4469"/>
      <c r="BA5" s="4469"/>
      <c r="BB5" s="4469"/>
      <c r="BC5" s="4469"/>
      <c r="BD5" s="4469"/>
      <c r="BE5" s="4469"/>
      <c r="BF5" s="4469"/>
      <c r="BG5" s="4469"/>
      <c r="BH5" s="4469"/>
      <c r="BI5" s="4469"/>
      <c r="BJ5" s="4469"/>
      <c r="BK5" s="4469"/>
      <c r="BL5" s="4469"/>
      <c r="BM5" s="4469"/>
      <c r="BN5" s="4469"/>
      <c r="BO5" s="4469"/>
      <c r="BP5" s="4469"/>
      <c r="BQ5" s="4469"/>
      <c r="BR5" s="4469"/>
      <c r="BS5" s="4469"/>
      <c r="BT5" s="4469"/>
      <c r="BU5" s="4470"/>
      <c r="BV5" s="1110"/>
      <c r="BW5" s="1108"/>
      <c r="BX5" s="1108"/>
      <c r="BY5" s="1474"/>
      <c r="BZ5" s="1492"/>
      <c r="CA5" s="1096"/>
      <c r="DR5" s="1096"/>
      <c r="DT5" s="1512"/>
      <c r="DU5" s="4461"/>
      <c r="DV5" s="4462"/>
      <c r="DW5" s="4462"/>
      <c r="DX5" s="4463"/>
      <c r="DY5" s="1513"/>
      <c r="DZ5" s="1096"/>
    </row>
    <row r="6" spans="1:132" ht="11.25" customHeight="1" thickBot="1" x14ac:dyDescent="0.25">
      <c r="A6" s="1096"/>
      <c r="B6" s="1096"/>
      <c r="C6" s="1497"/>
      <c r="D6" s="1639"/>
      <c r="E6" s="1112"/>
      <c r="F6" s="4471"/>
      <c r="G6" s="4471"/>
      <c r="H6" s="4471"/>
      <c r="I6" s="4471"/>
      <c r="J6" s="4471"/>
      <c r="K6" s="4471"/>
      <c r="L6" s="4471"/>
      <c r="M6" s="4471"/>
      <c r="N6" s="4471"/>
      <c r="O6" s="4471"/>
      <c r="P6" s="4471"/>
      <c r="Q6" s="4471"/>
      <c r="R6" s="4471"/>
      <c r="S6" s="4471"/>
      <c r="T6" s="4471"/>
      <c r="U6" s="4471"/>
      <c r="V6" s="4471"/>
      <c r="W6" s="4471"/>
      <c r="X6" s="4471"/>
      <c r="Y6" s="4471"/>
      <c r="Z6" s="4471"/>
      <c r="AA6" s="4471"/>
      <c r="AB6" s="4471"/>
      <c r="AC6" s="4471"/>
      <c r="AD6" s="4471"/>
      <c r="AE6" s="4471"/>
      <c r="AF6" s="4471"/>
      <c r="AG6" s="4471"/>
      <c r="AH6" s="4471"/>
      <c r="AI6" s="4471"/>
      <c r="AJ6" s="4471"/>
      <c r="AK6" s="4471"/>
      <c r="AL6" s="4471"/>
      <c r="AM6" s="4471"/>
      <c r="AN6" s="4471"/>
      <c r="AO6" s="4471"/>
      <c r="AP6" s="4471"/>
      <c r="AQ6" s="4471"/>
      <c r="AR6" s="4471"/>
      <c r="AS6" s="4471"/>
      <c r="AT6" s="4471"/>
      <c r="AU6" s="4471"/>
      <c r="AV6" s="4471"/>
      <c r="AW6" s="4471"/>
      <c r="AX6" s="4471"/>
      <c r="AY6" s="4471"/>
      <c r="AZ6" s="4471"/>
      <c r="BA6" s="4471"/>
      <c r="BB6" s="4471"/>
      <c r="BC6" s="4471"/>
      <c r="BD6" s="4471"/>
      <c r="BE6" s="4471"/>
      <c r="BF6" s="4471"/>
      <c r="BG6" s="4471"/>
      <c r="BH6" s="4471"/>
      <c r="BI6" s="4471"/>
      <c r="BJ6" s="4471"/>
      <c r="BK6" s="4471"/>
      <c r="BL6" s="4471"/>
      <c r="BM6" s="4471"/>
      <c r="BN6" s="4471"/>
      <c r="BO6" s="4471"/>
      <c r="BP6" s="4471"/>
      <c r="BQ6" s="4471"/>
      <c r="BR6" s="4471"/>
      <c r="BS6" s="4471"/>
      <c r="BT6" s="4471"/>
      <c r="BU6" s="4472"/>
      <c r="BV6" s="1110"/>
      <c r="BW6" s="1108"/>
      <c r="BX6" s="1108"/>
      <c r="BY6" s="1474"/>
      <c r="BZ6" s="1492"/>
      <c r="CA6" s="1096"/>
      <c r="DR6" s="1096"/>
      <c r="DT6" s="1512"/>
      <c r="DU6" s="4464"/>
      <c r="DV6" s="4465"/>
      <c r="DW6" s="4465"/>
      <c r="DX6" s="4466"/>
      <c r="DY6" s="1513"/>
      <c r="DZ6" s="1096"/>
    </row>
    <row r="7" spans="1:132" x14ac:dyDescent="0.2">
      <c r="A7" s="1096"/>
      <c r="B7" s="1096"/>
      <c r="C7" s="1497"/>
      <c r="D7" s="1640" t="s">
        <v>8726</v>
      </c>
      <c r="E7" s="1114"/>
      <c r="F7" s="1114"/>
      <c r="G7" s="1114"/>
      <c r="H7" s="1114"/>
      <c r="I7" s="1114"/>
      <c r="J7" s="1115"/>
      <c r="K7" s="1114"/>
      <c r="L7" s="1114"/>
      <c r="M7" s="1115"/>
      <c r="N7" s="1114"/>
      <c r="O7" s="1114"/>
      <c r="P7" s="1115"/>
      <c r="Q7" s="1114"/>
      <c r="R7" s="1115"/>
      <c r="S7" s="1114"/>
      <c r="T7" s="1114"/>
      <c r="U7" s="1114"/>
      <c r="V7" s="1114"/>
      <c r="W7" s="1108"/>
      <c r="X7" s="1115"/>
      <c r="Y7" s="1115"/>
      <c r="Z7" s="1115"/>
      <c r="AA7" s="1115"/>
      <c r="AB7" s="1115"/>
      <c r="AC7" s="1115"/>
      <c r="AD7" s="1115"/>
      <c r="AE7" s="1115"/>
      <c r="AF7" s="1114"/>
      <c r="AG7" s="1108"/>
      <c r="AH7" s="1115"/>
      <c r="AI7" s="1115"/>
      <c r="AJ7" s="1115"/>
      <c r="AK7" s="1115"/>
      <c r="AL7" s="1115"/>
      <c r="AM7" s="1115"/>
      <c r="AN7" s="1115"/>
      <c r="AO7" s="1115"/>
      <c r="AP7" s="1108"/>
      <c r="AQ7" s="1108"/>
      <c r="AR7" s="1115"/>
      <c r="AS7" s="1115"/>
      <c r="AT7" s="1115"/>
      <c r="AU7" s="1115"/>
      <c r="AV7" s="1115"/>
      <c r="AW7" s="1115"/>
      <c r="AX7" s="1115"/>
      <c r="AY7" s="1115"/>
      <c r="AZ7" s="1108"/>
      <c r="BA7" s="1108"/>
      <c r="BB7" s="1115"/>
      <c r="BC7" s="1115"/>
      <c r="BD7" s="1115"/>
      <c r="BE7" s="1115"/>
      <c r="BF7" s="1115"/>
      <c r="BG7" s="1115"/>
      <c r="BH7" s="1115"/>
      <c r="BI7" s="1115"/>
      <c r="BJ7" s="1108"/>
      <c r="BK7" s="1108"/>
      <c r="BL7" s="1108"/>
      <c r="BM7" s="1108"/>
      <c r="BN7" s="1101">
        <f>SUM(BN9:BN42)</f>
        <v>0</v>
      </c>
      <c r="BO7" s="1101">
        <f>SUM(BO9:BO42)</f>
        <v>0</v>
      </c>
      <c r="BP7" s="1101">
        <f>MAX(BP9:BP42)</f>
        <v>0</v>
      </c>
      <c r="BQ7" s="1101">
        <f>MAX(BQ9:BQ42)</f>
        <v>0</v>
      </c>
      <c r="BR7" s="1101">
        <f>MAX(BR9:BR42)</f>
        <v>0</v>
      </c>
      <c r="BS7" s="1116"/>
      <c r="BU7" s="1113"/>
      <c r="BV7" s="1118"/>
      <c r="BW7" s="1108"/>
      <c r="BX7" s="1108"/>
      <c r="BY7" s="1474"/>
      <c r="BZ7" s="1492"/>
      <c r="CA7" s="1096"/>
      <c r="DR7" s="1096"/>
      <c r="DT7" s="1514"/>
      <c r="DU7" s="1612"/>
      <c r="DV7" s="1613"/>
      <c r="DW7" s="1613"/>
      <c r="DX7" s="1613"/>
      <c r="DY7" s="1513"/>
      <c r="DZ7" s="1096"/>
    </row>
    <row r="8" spans="1:132" ht="12" thickBot="1" x14ac:dyDescent="0.25">
      <c r="A8" s="1096"/>
      <c r="B8" s="1096"/>
      <c r="C8" s="1497"/>
      <c r="D8" s="1641">
        <v>1</v>
      </c>
      <c r="E8" s="1119" t="s">
        <v>9094</v>
      </c>
      <c r="F8" s="1120" t="s">
        <v>2333</v>
      </c>
      <c r="G8" s="1121" t="s">
        <v>2334</v>
      </c>
      <c r="H8" s="1121" t="s">
        <v>2356</v>
      </c>
      <c r="I8" s="1122" t="s">
        <v>4020</v>
      </c>
      <c r="J8" s="1123"/>
      <c r="K8" s="1124"/>
      <c r="L8" s="1122" t="s">
        <v>4021</v>
      </c>
      <c r="M8" s="1123"/>
      <c r="N8" s="1124"/>
      <c r="O8" s="1122" t="s">
        <v>4022</v>
      </c>
      <c r="P8" s="1123"/>
      <c r="Q8" s="1124"/>
      <c r="R8" s="1125" t="s">
        <v>5219</v>
      </c>
      <c r="S8" s="1121" t="s">
        <v>3990</v>
      </c>
      <c r="T8" s="1576" t="s">
        <v>2252</v>
      </c>
      <c r="U8" s="1576" t="s">
        <v>2223</v>
      </c>
      <c r="V8" s="1576" t="s">
        <v>4023</v>
      </c>
      <c r="W8" s="4473" t="s">
        <v>4024</v>
      </c>
      <c r="X8" s="4473"/>
      <c r="Y8" s="4473"/>
      <c r="Z8" s="4473"/>
      <c r="AA8" s="4473"/>
      <c r="AB8" s="4473"/>
      <c r="AC8" s="4473"/>
      <c r="AD8" s="4473"/>
      <c r="AE8" s="4473"/>
      <c r="AF8" s="4473"/>
      <c r="AG8" s="4473"/>
      <c r="AH8" s="4473"/>
      <c r="AI8" s="4473"/>
      <c r="AJ8" s="4473"/>
      <c r="AK8" s="4473"/>
      <c r="AL8" s="4473"/>
      <c r="AM8" s="4473"/>
      <c r="AN8" s="4473"/>
      <c r="AO8" s="4473"/>
      <c r="AP8" s="4473"/>
      <c r="AQ8" s="4473"/>
      <c r="AR8" s="4473"/>
      <c r="AS8" s="4473"/>
      <c r="AT8" s="4473"/>
      <c r="AU8" s="4473"/>
      <c r="AV8" s="4473"/>
      <c r="AW8" s="4473"/>
      <c r="AX8" s="4473"/>
      <c r="AY8" s="4473"/>
      <c r="AZ8" s="4473"/>
      <c r="BA8" s="4473"/>
      <c r="BB8" s="4473"/>
      <c r="BC8" s="4473"/>
      <c r="BD8" s="4473"/>
      <c r="BE8" s="4473"/>
      <c r="BF8" s="4473"/>
      <c r="BG8" s="4473"/>
      <c r="BH8" s="4473"/>
      <c r="BI8" s="4473"/>
      <c r="BJ8" s="4473"/>
      <c r="BK8" s="4473" t="s">
        <v>4025</v>
      </c>
      <c r="BL8" s="4473"/>
      <c r="BM8" s="4474"/>
      <c r="BN8" s="1126" t="s">
        <v>5220</v>
      </c>
      <c r="BO8" s="1126" t="s">
        <v>5221</v>
      </c>
      <c r="BP8" s="1126" t="s">
        <v>5222</v>
      </c>
      <c r="BQ8" s="1126" t="s">
        <v>5223</v>
      </c>
      <c r="BR8" s="1126" t="s">
        <v>5224</v>
      </c>
      <c r="BS8" s="1127" t="s">
        <v>5225</v>
      </c>
      <c r="BT8" s="4448" t="s">
        <v>5226</v>
      </c>
      <c r="BU8" s="4449"/>
      <c r="BV8" s="1128"/>
      <c r="BW8" s="1108"/>
      <c r="BX8" s="1108"/>
      <c r="BY8" s="1474"/>
      <c r="BZ8" s="1492"/>
      <c r="CA8" s="1096"/>
      <c r="DR8" s="1096"/>
      <c r="DT8" s="1514"/>
      <c r="DU8" s="1567"/>
      <c r="DV8" s="1567"/>
      <c r="DW8" s="1567"/>
      <c r="DX8" s="1567"/>
      <c r="DY8" s="1513"/>
      <c r="DZ8" s="1096"/>
      <c r="EB8" s="2558">
        <f>D8</f>
        <v>1</v>
      </c>
    </row>
    <row r="9" spans="1:132" ht="11.25" customHeight="1" x14ac:dyDescent="0.2">
      <c r="A9" s="1129"/>
      <c r="B9" s="159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98"/>
      <c r="D9" s="1642">
        <v>1</v>
      </c>
      <c r="E9" s="1423"/>
      <c r="F9" s="1130"/>
      <c r="G9" s="1131"/>
      <c r="H9" s="1131"/>
      <c r="I9" s="1131"/>
      <c r="J9" s="1132"/>
      <c r="K9" s="1131"/>
      <c r="L9" s="1131"/>
      <c r="M9" s="1132"/>
      <c r="N9" s="1131"/>
      <c r="O9" s="1131"/>
      <c r="P9" s="1132"/>
      <c r="Q9" s="1131"/>
      <c r="R9" s="1132"/>
      <c r="S9" s="1131"/>
      <c r="T9" s="1131"/>
      <c r="U9" s="1131"/>
      <c r="V9" s="1131"/>
      <c r="W9" s="1131"/>
      <c r="X9" s="1131"/>
      <c r="Y9" s="1131"/>
      <c r="Z9" s="1131"/>
      <c r="AA9" s="1131"/>
      <c r="AB9" s="1131"/>
      <c r="AC9" s="1131"/>
      <c r="AD9" s="1131"/>
      <c r="AE9" s="1131"/>
      <c r="AF9" s="1131"/>
      <c r="AG9" s="1131"/>
      <c r="AH9" s="1131"/>
      <c r="AI9" s="1131"/>
      <c r="AJ9" s="1131"/>
      <c r="AK9" s="1131"/>
      <c r="AL9" s="1131"/>
      <c r="AM9" s="1131"/>
      <c r="AN9" s="1131"/>
      <c r="AO9" s="1131"/>
      <c r="AP9" s="1131"/>
      <c r="AQ9" s="1131"/>
      <c r="AR9" s="1131"/>
      <c r="AS9" s="1131"/>
      <c r="AT9" s="1131"/>
      <c r="AU9" s="1131"/>
      <c r="AV9" s="1131"/>
      <c r="AW9" s="1131"/>
      <c r="AX9" s="1131"/>
      <c r="AY9" s="1131"/>
      <c r="AZ9" s="1131"/>
      <c r="BA9" s="1131"/>
      <c r="BB9" s="1131"/>
      <c r="BC9" s="1131"/>
      <c r="BD9" s="1131"/>
      <c r="BE9" s="1131"/>
      <c r="BF9" s="1131"/>
      <c r="BG9" s="1131"/>
      <c r="BH9" s="1131"/>
      <c r="BI9" s="1131"/>
      <c r="BJ9" s="1131"/>
      <c r="BK9" s="1131"/>
      <c r="BL9" s="1131"/>
      <c r="BM9" s="1133"/>
      <c r="BN9" s="1134">
        <f>SUM(K9:K12)</f>
        <v>0</v>
      </c>
      <c r="BO9" s="1128" t="str">
        <f>IF(E9=0,"",(AF9+AP9+AZ9+BJ9))</f>
        <v/>
      </c>
      <c r="BP9" s="1135" t="str">
        <f>IF(I9="Si",VLOOKUP($D$8,'Tablas Técnicas'!$E$4:$F$6,2,FALSE),"")</f>
        <v/>
      </c>
      <c r="BQ9" s="1136" t="str">
        <f>IF(L9="Si",VLOOKUP($D$8,'Tablas Técnicas'!$I$4:$J$6,2,FALSE),"")</f>
        <v/>
      </c>
      <c r="BR9" s="1134" t="str">
        <f>IF(O9="Si",VLOOKUP($D$8,'Tablas Técnicas'!$I$7:$J$9,2,FALSE),"")</f>
        <v/>
      </c>
      <c r="BS9" s="1137">
        <f>VLOOKUP(D8,'Tablas Técnicas'!$P$6:$R$8,3)</f>
        <v>50</v>
      </c>
      <c r="BT9" s="1138">
        <f>VLOOKUP(D8,'Tablas Técnicas'!$P$6:$R$8,3,FALSE)</f>
        <v>50</v>
      </c>
      <c r="BU9" s="1139">
        <f>VLOOKUP(D8,'Tablas Técnicas'!$P$6:$R$8,2,FALSE)</f>
        <v>20</v>
      </c>
      <c r="BV9" s="1128">
        <f>IF(D8=0,"",VLOOKUP(D8,'Tablas Técnicas'!$L$4:$N$7,2,FALSE))</f>
        <v>3</v>
      </c>
      <c r="BW9" s="1108"/>
      <c r="BX9" s="1108"/>
      <c r="BY9" s="1474"/>
      <c r="BZ9" s="1492"/>
      <c r="CA9" s="1096"/>
      <c r="DR9" s="1096"/>
      <c r="DT9" s="1514"/>
      <c r="DU9" s="1614" t="s">
        <v>2345</v>
      </c>
      <c r="DV9" s="1615" t="s">
        <v>4001</v>
      </c>
      <c r="DW9" s="1615" t="s">
        <v>3987</v>
      </c>
      <c r="DX9" s="1616" t="s">
        <v>8729</v>
      </c>
      <c r="DY9" s="1513"/>
      <c r="DZ9" s="1096"/>
      <c r="EA9" s="1660">
        <f>EB8</f>
        <v>1</v>
      </c>
    </row>
    <row r="10" spans="1:132" ht="11.25" customHeight="1" x14ac:dyDescent="0.2">
      <c r="A10" s="1096"/>
      <c r="B10" s="1096"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97"/>
      <c r="D10" s="1643" t="s">
        <v>2310</v>
      </c>
      <c r="E10" s="1140"/>
      <c r="F10" s="1141" t="str">
        <f>IF(E10=0,"",VLOOKUP(E10,'Tablas Técnicas'!$A$14:$V$771,2,FALSE))</f>
        <v/>
      </c>
      <c r="G10" s="1142"/>
      <c r="H10" s="1143" t="str">
        <f>IF($E10=0,"",VLOOKUP($E10,'Tablas Técnicas'!$A$14:$V$771,4,FALSE))</f>
        <v/>
      </c>
      <c r="I10" s="1144" t="s">
        <v>2234</v>
      </c>
      <c r="J10" s="1602" t="str">
        <f>IF(E10=0,"",VLOOKUP(E10,'Tablas Técnicas'!$A$14:$V$771,5,FALSE))</f>
        <v/>
      </c>
      <c r="K10" s="1146" t="str">
        <f>IF(I10="Si",IF(E10=0,"",VLOOKUP(E10,'Tablas Técnicas'!$A$14:$V$771,5,FALSE)),"")</f>
        <v/>
      </c>
      <c r="L10" s="1144" t="s">
        <v>2234</v>
      </c>
      <c r="M10" s="1602" t="str">
        <f>IF(E10=0,"",VLOOKUP(E10,'Tablas Técnicas'!$A$14:$V$771,6,FALSE))</f>
        <v/>
      </c>
      <c r="N10" s="1147" t="str">
        <f>IF(L10="Si",IF(E10=0,"",VLOOKUP(E10,'Tablas Técnicas'!$A$14:$V$771,6,FALSE)),"")</f>
        <v/>
      </c>
      <c r="O10" s="1144" t="s">
        <v>2234</v>
      </c>
      <c r="P10" s="1602" t="str">
        <f>IF(E10=0,"",VLOOKUP(E10,'Tablas Técnicas'!$A$14:$V$771,7,FALSE))</f>
        <v/>
      </c>
      <c r="Q10" s="1147" t="str">
        <f>IF(O10="Si",IF(E10=0,"",VLOOKUP(E10,'Tablas Técnicas'!$A$14:$V$771,7,FALSE)),"")</f>
        <v/>
      </c>
      <c r="R10" s="1145" t="str">
        <f>IF(E10=0,"",VLOOKUP(E10,'Tablas Técnicas'!$A$14:$V$771,8,FALSE))</f>
        <v/>
      </c>
      <c r="S10" s="1143" t="str">
        <f>IF(R10=$D$8,$D$8,IF(R10=2,2,IF(R10=3,3,R10)))</f>
        <v/>
      </c>
      <c r="T10" s="1146" t="str">
        <f>IF(E10=0,"",VLOOKUP(E10,'Tablas Técnicas'!$A$14:$V$771,9,FALSE))</f>
        <v/>
      </c>
      <c r="U10" s="1146" t="str">
        <f>IF(E10=0,"",VLOOKUP(E10,'Tablas Técnicas'!$A$14:$V$771,10,FALSE))</f>
        <v/>
      </c>
      <c r="V10" s="1141" t="str">
        <f>IF(E10=0,"",VLOOKUP(E10,'Tablas Técnicas'!$A$14:$V$771,11,FALSE))</f>
        <v/>
      </c>
      <c r="W10" s="1144"/>
      <c r="X10" s="1145" t="e">
        <f>VLOOKUP(E10,'Tablas Técnicas'!$A$14:$V$771,12,FALSE)</f>
        <v>#N/A</v>
      </c>
      <c r="Y10" s="1145" t="e">
        <f>IF(W10=X10,VLOOKUP(E10,'Tablas Técnicas'!$A$14:$V$771,13,FALSE),0)</f>
        <v>#N/A</v>
      </c>
      <c r="Z10" s="1145" t="e">
        <f>VLOOKUP(E10,'Tablas Técnicas'!$A$14:$V$771,14,FALSE)</f>
        <v>#N/A</v>
      </c>
      <c r="AA10" s="1145" t="e">
        <f>IF(W10=Z10,VLOOKUP(E10,'Tablas Técnicas'!$A$14:$V$616,15,FALSE),0)</f>
        <v>#N/A</v>
      </c>
      <c r="AB10" s="1145" t="e">
        <f>VLOOKUP(E10,'Tablas Técnicas'!$A$14:$V$771,16,FALSE)</f>
        <v>#N/A</v>
      </c>
      <c r="AC10" s="1145" t="e">
        <f>IF(W10=AB10,VLOOKUP(E10,'Tablas Técnicas'!$A$14:$V$616,17,FALSE),0)</f>
        <v>#N/A</v>
      </c>
      <c r="AD10" s="1145" t="e">
        <f>VLOOKUP(E10,'Tablas Técnicas'!$A$14:$V$771,18,FALSE)</f>
        <v>#N/A</v>
      </c>
      <c r="AE10" s="1145" t="e">
        <f>IF(W10=AD10,VLOOKUP(E10,'Tablas Técnicas'!$A$14:$V$771,19,FALSE),0)</f>
        <v>#N/A</v>
      </c>
      <c r="AF10" s="1147" t="str">
        <f>IF(E10=0,"",(Y10+AA10+AC10+AE10))</f>
        <v/>
      </c>
      <c r="AG10" s="1144"/>
      <c r="AH10" s="1145" t="e">
        <f>VLOOKUP(E10,'Tablas Técnicas'!$A$14:$V$771,12,FALSE)</f>
        <v>#N/A</v>
      </c>
      <c r="AI10" s="1145" t="e">
        <f>IF(AG10=AH10,VLOOKUP(E10,'Tablas Técnicas'!$A$14:$V$771,13,FALSE),0)</f>
        <v>#N/A</v>
      </c>
      <c r="AJ10" s="1145" t="e">
        <f>VLOOKUP(E10,'Tablas Técnicas'!$A$14:$V$771,14,FALSE)</f>
        <v>#N/A</v>
      </c>
      <c r="AK10" s="1145" t="e">
        <f>IF(AG10=AJ10,VLOOKUP(E10,'Tablas Técnicas'!$A$14:$V$771,15,FALSE),0)</f>
        <v>#N/A</v>
      </c>
      <c r="AL10" s="1145" t="e">
        <f>VLOOKUP(E10,'Tablas Técnicas'!$A$14:$V$771,16,FALSE)</f>
        <v>#N/A</v>
      </c>
      <c r="AM10" s="1145" t="e">
        <f>IF(AG10=AL10,VLOOKUP(E10,'Tablas Técnicas'!$A$14:$V$771,17,FALSE),0)</f>
        <v>#N/A</v>
      </c>
      <c r="AN10" s="1145" t="e">
        <f>VLOOKUP(E10,'Tablas Técnicas'!$A$14:$V$771,18,FALSE)</f>
        <v>#N/A</v>
      </c>
      <c r="AO10" s="1145" t="e">
        <f>IF(AG10=AN10,VLOOKUP(E10,'Tablas Técnicas'!$A$14:$V$771,19,FALSE),0)</f>
        <v>#N/A</v>
      </c>
      <c r="AP10" s="1147" t="str">
        <f>IF(E10=0,"",(AI10+AK10+AM10+AO10))</f>
        <v/>
      </c>
      <c r="AQ10" s="1144"/>
      <c r="AR10" s="1145" t="e">
        <f>VLOOKUP(E10,'Tablas Técnicas'!$A$14:$V$771,12,FALSE)</f>
        <v>#N/A</v>
      </c>
      <c r="AS10" s="1145" t="e">
        <f>IF(AQ10=AR10,VLOOKUP(E10,'Tablas Técnicas'!$A$14:$V$771,13,FALSE),0)</f>
        <v>#N/A</v>
      </c>
      <c r="AT10" s="1145" t="e">
        <f>VLOOKUP(E10,'Tablas Técnicas'!$A$14:$V$771,14,FALSE)</f>
        <v>#N/A</v>
      </c>
      <c r="AU10" s="1145" t="e">
        <f>IF(AQ10=AT10,VLOOKUP(E10,'Tablas Técnicas'!$A$14:$V$771,15,FALSE),0)</f>
        <v>#N/A</v>
      </c>
      <c r="AV10" s="1145" t="e">
        <f>VLOOKUP(E10,'Tablas Técnicas'!$A$14:$V$771,16,FALSE)</f>
        <v>#N/A</v>
      </c>
      <c r="AW10" s="1145" t="e">
        <f>IF(AQ10=AV10,VLOOKUP(E10,'Tablas Técnicas'!$A$14:$V$771,17,FALSE),0)</f>
        <v>#N/A</v>
      </c>
      <c r="AX10" s="1145" t="e">
        <f>VLOOKUP(E10,'Tablas Técnicas'!$A$14:$V$771,18,FALSE)</f>
        <v>#N/A</v>
      </c>
      <c r="AY10" s="1145" t="e">
        <f>IF(AQ10=AX10,VLOOKUP(E10,'Tablas Técnicas'!$A$14:$V$771,19,FALSE),0)</f>
        <v>#N/A</v>
      </c>
      <c r="AZ10" s="1146" t="str">
        <f>IF(E10=0,"",(AS10+AU10+AW10+AY10))</f>
        <v/>
      </c>
      <c r="BA10" s="1144"/>
      <c r="BB10" s="1145" t="e">
        <f>VLOOKUP(E10,'Tablas Técnicas'!$A$14:$V$771,12,FALSE)</f>
        <v>#N/A</v>
      </c>
      <c r="BC10" s="1145" t="e">
        <f>IF(BA10=BB10,VLOOKUP(E10,'Tablas Técnicas'!$A$14:$V$771,13,FALSE),0)</f>
        <v>#N/A</v>
      </c>
      <c r="BD10" s="1145" t="e">
        <f>VLOOKUP(E10,'Tablas Técnicas'!$A$14:$V$771,14,FALSE)</f>
        <v>#N/A</v>
      </c>
      <c r="BE10" s="1145" t="e">
        <f>IF(BA10=BD10,VLOOKUP(E10,'Tablas Técnicas'!$A$14:$V$771,15,FALSE),0)</f>
        <v>#N/A</v>
      </c>
      <c r="BF10" s="1145" t="e">
        <f>VLOOKUP(E10,'Tablas Técnicas'!$A$14:$V$771,16,FALSE)</f>
        <v>#N/A</v>
      </c>
      <c r="BG10" s="1145" t="e">
        <f>IF(BA10=BF10,VLOOKUP(E10,'Tablas Técnicas'!$A$14:$V$771,17,FALSE),0)</f>
        <v>#N/A</v>
      </c>
      <c r="BH10" s="1145" t="e">
        <f>VLOOKUP(E10,'Tablas Técnicas'!$A$14:$V$771,18,FALSE)</f>
        <v>#N/A</v>
      </c>
      <c r="BI10" s="1145" t="e">
        <f>IF(BA10=BH10,VLOOKUP(E10,'Tablas Técnicas'!$A$14:$V$771,19,FALSE),0)</f>
        <v>#N/A</v>
      </c>
      <c r="BJ10" s="1147" t="str">
        <f>IF(E10=0,"",(BC10+BE10+BG10+BI10))</f>
        <v/>
      </c>
      <c r="BK10" s="1146" t="str">
        <f>IF(E10=0,"",VLOOKUP(E10,'Tablas Técnicas'!$A$14:$V$771,20,FALSE))</f>
        <v/>
      </c>
      <c r="BL10" s="1146" t="str">
        <f>IF(E10=0,"",VLOOKUP(E10,'Tablas Técnicas'!$A$14:$V$771,21,FALSE))</f>
        <v/>
      </c>
      <c r="BM10" s="1148" t="str">
        <f>IF(E10=0,"",VLOOKUP(E10,'Tablas Técnicas'!$A$14:$V$771,22,FALSE))</f>
        <v/>
      </c>
      <c r="BN10" s="1149"/>
      <c r="BO10" s="1150"/>
      <c r="BP10" s="1135" t="str">
        <f>IF(I10="Si",VLOOKUP($D$8,'Tablas Técnicas'!$E$4:$F$6,2,FALSE),"")</f>
        <v/>
      </c>
      <c r="BQ10" s="1136" t="str">
        <f>IF(L10="Si",VLOOKUP($D$8,'Tablas Técnicas'!$I$4:$J$6,2,FALSE),"")</f>
        <v/>
      </c>
      <c r="BR10" s="1134" t="str">
        <f>IF(O10="Si",VLOOKUP($D$8,'Tablas Técnicas'!$I$7:$J$9,2,FALSE),"")</f>
        <v/>
      </c>
      <c r="BS10" s="1151"/>
      <c r="BT10" s="4448" t="s">
        <v>5227</v>
      </c>
      <c r="BU10" s="4449"/>
      <c r="BV10" s="1128"/>
      <c r="BW10" s="1108"/>
      <c r="BX10" s="1108"/>
      <c r="BY10" s="1474"/>
      <c r="BZ10" s="1492"/>
      <c r="CA10" s="1096"/>
      <c r="DR10" s="1096"/>
      <c r="DS10" s="1507"/>
      <c r="DT10" s="1514"/>
      <c r="DU10" s="1565" t="str">
        <f>IF(BW23="N/A","",BT22&amp;" "&amp;BW23&amp;IF(BY23="N/A"," "," ("&amp;BY23&amp;") "))</f>
        <v/>
      </c>
      <c r="DV10" s="1566" t="str">
        <f>IF(E10="","",E10)&amp;IF(I10="No",""," (Mant.)")&amp;IF(L10="No",""," (Sme)")&amp;IF(O10="No",""," (SMa)")</f>
        <v/>
      </c>
      <c r="DW10" s="1567" t="str">
        <f>IF(E40="","",E40)</f>
        <v/>
      </c>
      <c r="DX10" s="445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13"/>
      <c r="DZ10" s="1096"/>
      <c r="EA10" s="1660">
        <f t="shared" ref="EA10:EA73" si="0">EA9</f>
        <v>1</v>
      </c>
    </row>
    <row r="11" spans="1:132" ht="12.75" customHeight="1" x14ac:dyDescent="0.2">
      <c r="A11" s="1096"/>
      <c r="B11" s="1096"/>
      <c r="C11" s="1497"/>
      <c r="D11" s="1642" t="s">
        <v>2310</v>
      </c>
      <c r="E11" s="1152"/>
      <c r="F11" s="1153" t="str">
        <f>IF(E11=0,"",VLOOKUP(E11,'Tablas Técnicas'!$A$14:$V$771,2,FALSE))</f>
        <v/>
      </c>
      <c r="G11" s="1154"/>
      <c r="H11" s="1155" t="str">
        <f>IF($E11=0,"",VLOOKUP($E11,'Tablas Técnicas'!$A$14:$V$771,4,FALSE))</f>
        <v/>
      </c>
      <c r="I11" s="1156" t="s">
        <v>2234</v>
      </c>
      <c r="J11" s="1605" t="str">
        <f>IF(E11=0,"",VLOOKUP(E11,'Tablas Técnicas'!$A$14:$V$771,5,FALSE))</f>
        <v/>
      </c>
      <c r="K11" s="1158" t="str">
        <f>IF(I11="Si",IF(E11=0,"",VLOOKUP(E11,'Tablas Técnicas'!$A$14:$V$771,5,FALSE)),"")</f>
        <v/>
      </c>
      <c r="L11" s="1156" t="s">
        <v>2234</v>
      </c>
      <c r="M11" s="1605" t="str">
        <f>IF(E11=0,"",VLOOKUP(E11,'Tablas Técnicas'!$A$14:$V$771,6,FALSE))</f>
        <v/>
      </c>
      <c r="N11" s="1159" t="str">
        <f>IF(L11="Si",IF(E11=0,"",VLOOKUP(E11,'Tablas Técnicas'!$A$14:$V$771,6,FALSE)),"")</f>
        <v/>
      </c>
      <c r="O11" s="1156" t="s">
        <v>2234</v>
      </c>
      <c r="P11" s="1605" t="str">
        <f>IF(E11=0,"",VLOOKUP(E11,'Tablas Técnicas'!$A$14:$V$771,7,FALSE))</f>
        <v/>
      </c>
      <c r="Q11" s="1159" t="str">
        <f>IF(O11="Si",IF(E11=0,"",VLOOKUP(E11,'Tablas Técnicas'!$A$14:$V$771,7,FALSE)),"")</f>
        <v/>
      </c>
      <c r="R11" s="1157" t="str">
        <f>IF(E11=0,"",VLOOKUP(E11,'Tablas Técnicas'!$A$14:$V$771,8,FALSE))</f>
        <v/>
      </c>
      <c r="S11" s="1155" t="str">
        <f>IF(R11=$D$8,$D$8,IF(R11=2,2,IF(R11=3,3,R11)))</f>
        <v/>
      </c>
      <c r="T11" s="4475" t="s">
        <v>5228</v>
      </c>
      <c r="U11" s="4476"/>
      <c r="V11" s="4476"/>
      <c r="W11" s="4476"/>
      <c r="X11" s="4476"/>
      <c r="Y11" s="4476"/>
      <c r="Z11" s="4476"/>
      <c r="AA11" s="4476"/>
      <c r="AB11" s="4476"/>
      <c r="AC11" s="4476"/>
      <c r="AD11" s="4476"/>
      <c r="AE11" s="4476"/>
      <c r="AF11" s="4476"/>
      <c r="AG11" s="4476"/>
      <c r="AH11" s="4476"/>
      <c r="AI11" s="4476"/>
      <c r="AJ11" s="4476"/>
      <c r="AK11" s="4476"/>
      <c r="AL11" s="4476"/>
      <c r="AM11" s="4476"/>
      <c r="AN11" s="4476"/>
      <c r="AO11" s="4476"/>
      <c r="AP11" s="4476"/>
      <c r="AQ11" s="4476"/>
      <c r="AR11" s="4476"/>
      <c r="AS11" s="4476"/>
      <c r="AT11" s="4476"/>
      <c r="AU11" s="4476"/>
      <c r="AV11" s="4476"/>
      <c r="AW11" s="4476"/>
      <c r="AX11" s="4476"/>
      <c r="AY11" s="4476"/>
      <c r="AZ11" s="4476"/>
      <c r="BA11" s="4476"/>
      <c r="BB11" s="4476"/>
      <c r="BC11" s="4476"/>
      <c r="BD11" s="4476"/>
      <c r="BE11" s="4476"/>
      <c r="BF11" s="4476"/>
      <c r="BG11" s="4476"/>
      <c r="BH11" s="4476"/>
      <c r="BI11" s="4476"/>
      <c r="BJ11" s="4476"/>
      <c r="BK11" s="4477"/>
      <c r="BL11" s="1627"/>
      <c r="BM11" s="1628"/>
      <c r="BN11" s="1149"/>
      <c r="BO11" s="1150"/>
      <c r="BP11" s="1135" t="str">
        <f>IF(I11="Si",VLOOKUP($D$8,'Tablas Técnicas'!$E$4:$F$6,2,FALSE),"")</f>
        <v/>
      </c>
      <c r="BQ11" s="1136" t="str">
        <f>IF(L11="Si",VLOOKUP($D$8,'Tablas Técnicas'!$I$4:$J$6,2,FALSE),"")</f>
        <v/>
      </c>
      <c r="BR11" s="1134" t="str">
        <f>IF(O11="Si",VLOOKUP($D$8,'Tablas Técnicas'!$I$7:$J$9,2,FALSE),"")</f>
        <v/>
      </c>
      <c r="BS11" s="1151"/>
      <c r="BT11" s="445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51"/>
      <c r="BV11" s="1128"/>
      <c r="BW11" s="1108"/>
      <c r="BX11" s="1108"/>
      <c r="BY11" s="1474"/>
      <c r="BZ11" s="1492"/>
      <c r="CA11" s="1096"/>
      <c r="DR11" s="1096"/>
      <c r="DS11" s="1507"/>
      <c r="DT11" s="1514"/>
      <c r="DU11" s="1565" t="str">
        <f>IF(BW25="N/A","",BT24&amp;" "&amp;BW25&amp;IF(BY25="N/A"," "," ("&amp;BY25&amp;") "))</f>
        <v/>
      </c>
      <c r="DV11" s="1566" t="str">
        <f>IF(E11="",""," "&amp;E11)&amp;IF(I11="No",""," (Mant.)")&amp;IF(L11="No",""," (Sme)")&amp;IF(O11="No",""," (SMa)")</f>
        <v/>
      </c>
      <c r="DW11" s="1567" t="str">
        <f>IF(E41="","",", "&amp;E41)</f>
        <v/>
      </c>
      <c r="DX11" s="4454"/>
      <c r="DY11" s="1513"/>
      <c r="DZ11" s="1096"/>
      <c r="EA11" s="1660">
        <f t="shared" si="0"/>
        <v>1</v>
      </c>
    </row>
    <row r="12" spans="1:132" ht="12.75" customHeight="1" x14ac:dyDescent="0.2">
      <c r="A12" s="1096"/>
      <c r="B12" s="1096"/>
      <c r="C12" s="1497"/>
      <c r="D12" s="1643" t="s">
        <v>2310</v>
      </c>
      <c r="E12" s="1160"/>
      <c r="F12" s="1582" t="str">
        <f>IF(E12=0,"",VLOOKUP(E12,'Tablas Técnicas'!$A$14:$V$771,2,FALSE))</f>
        <v/>
      </c>
      <c r="G12" s="1142"/>
      <c r="H12" s="1161" t="str">
        <f>IF($E12=0,"",VLOOKUP($E12,'Tablas Técnicas'!$A$14:$V$771,4,FALSE))</f>
        <v/>
      </c>
      <c r="I12" s="1144" t="s">
        <v>2234</v>
      </c>
      <c r="J12" s="1601" t="str">
        <f>IF(E12=0,"",VLOOKUP(E12,'Tablas Técnicas'!$A$14:$V$771,5,FALSE))</f>
        <v/>
      </c>
      <c r="K12" s="1163" t="str">
        <f>IF(I12="Si",IF(E12=0,"",VLOOKUP(E12,'Tablas Técnicas'!$A$14:$V$771,5,FALSE)),"")</f>
        <v/>
      </c>
      <c r="L12" s="1144" t="s">
        <v>2234</v>
      </c>
      <c r="M12" s="1601" t="str">
        <f>IF(E12=0,"",VLOOKUP(E12,'Tablas Técnicas'!$A$14:$V$771,6,FALSE))</f>
        <v/>
      </c>
      <c r="N12" s="1147" t="str">
        <f>IF(L12="Si",IF(E12=0,"",VLOOKUP(E12,'Tablas Técnicas'!$A$14:$V$771,6,FALSE)),"")</f>
        <v/>
      </c>
      <c r="O12" s="1144" t="s">
        <v>2234</v>
      </c>
      <c r="P12" s="1601" t="str">
        <f>IF(E12=0,"",VLOOKUP(E12,'Tablas Técnicas'!$A$14:$V$771,7,FALSE))</f>
        <v/>
      </c>
      <c r="Q12" s="1147" t="str">
        <f>IF(O12="Si",IF(E12=0,"",VLOOKUP(E12,'Tablas Técnicas'!$A$14:$V$771,7,FALSE)),"")</f>
        <v/>
      </c>
      <c r="R12" s="1162" t="str">
        <f>IF(E12=0,"",VLOOKUP(E12,'Tablas Técnicas'!$A$14:$V$771,8,FALSE))</f>
        <v/>
      </c>
      <c r="S12" s="1582" t="str">
        <f>IF(R12=$D$8,$D$8,IF(R12=2,2,IF(R12=3,3,R12)))</f>
        <v/>
      </c>
      <c r="T12" s="4487"/>
      <c r="U12" s="4488"/>
      <c r="V12" s="1575" t="str">
        <f>IF(OR(V10=0,V10=""),"N/A",V10)</f>
        <v>N/A</v>
      </c>
      <c r="W12" s="4487" t="str">
        <f xml:space="preserve"> IF(OR(AF10=0,AF10=""),"N/A",W10)</f>
        <v>N/A</v>
      </c>
      <c r="X12" s="4489"/>
      <c r="Y12" s="4489"/>
      <c r="Z12" s="4489"/>
      <c r="AA12" s="4489"/>
      <c r="AB12" s="4489"/>
      <c r="AC12" s="4489"/>
      <c r="AD12" s="4489"/>
      <c r="AE12" s="4489"/>
      <c r="AF12" s="4488"/>
      <c r="AG12" s="4487" t="str">
        <f xml:space="preserve"> IF(OR(AP10="",AP10=0),"N/A",AG10)</f>
        <v>N/A</v>
      </c>
      <c r="AH12" s="4489"/>
      <c r="AI12" s="4489"/>
      <c r="AJ12" s="4489"/>
      <c r="AK12" s="4489"/>
      <c r="AL12" s="4489"/>
      <c r="AM12" s="4489"/>
      <c r="AN12" s="4489"/>
      <c r="AO12" s="4489"/>
      <c r="AP12" s="4488"/>
      <c r="AQ12" s="4487" t="str">
        <f xml:space="preserve"> IF(OR(AZ10="",AZ10=0),"N/A",AQ10)</f>
        <v>N/A</v>
      </c>
      <c r="AR12" s="4489"/>
      <c r="AS12" s="4489"/>
      <c r="AT12" s="4489"/>
      <c r="AU12" s="4489"/>
      <c r="AV12" s="4489"/>
      <c r="AW12" s="4489"/>
      <c r="AX12" s="4489"/>
      <c r="AY12" s="4489"/>
      <c r="AZ12" s="4488"/>
      <c r="BA12" s="4487" t="str">
        <f xml:space="preserve"> IF(OR(BJ10="",BJ10=0),"N/A",BA10)</f>
        <v>N/A</v>
      </c>
      <c r="BB12" s="4489"/>
      <c r="BC12" s="4489"/>
      <c r="BD12" s="4489"/>
      <c r="BE12" s="4489"/>
      <c r="BF12" s="4489"/>
      <c r="BG12" s="4489"/>
      <c r="BH12" s="4489"/>
      <c r="BI12" s="4489"/>
      <c r="BJ12" s="4488"/>
      <c r="BK12" s="1164" t="s">
        <v>5229</v>
      </c>
      <c r="BL12" s="1146"/>
      <c r="BM12" s="1181"/>
      <c r="BN12" s="1165"/>
      <c r="BO12" s="1166"/>
      <c r="BP12" s="1167" t="str">
        <f>IF(I12="Si",VLOOKUP($D$8,'Tablas Técnicas'!$E$4:$F$6,2,FALSE),"")</f>
        <v/>
      </c>
      <c r="BQ12" s="1137" t="str">
        <f>IF(L12="Si",VLOOKUP($D$8,'Tablas Técnicas'!$I$4:$J$6,2,FALSE),"")</f>
        <v/>
      </c>
      <c r="BR12" s="1168" t="str">
        <f>IF(O12="Si",VLOOKUP($D$8,'Tablas Técnicas'!$I$7:$J$9,2,FALSE),"")</f>
        <v/>
      </c>
      <c r="BS12" s="1169"/>
      <c r="BU12" s="1113"/>
      <c r="BV12" s="1128"/>
      <c r="BW12" s="1108"/>
      <c r="BX12" s="1108"/>
      <c r="BY12" s="1474"/>
      <c r="BZ12" s="1492"/>
      <c r="CA12" s="1096"/>
      <c r="DR12" s="1096"/>
      <c r="DS12" s="1507"/>
      <c r="DT12" s="1514"/>
      <c r="DU12" s="1565" t="str">
        <f>IF(BW27="N/A","",BT26&amp;" "&amp;BW27&amp;IF(BY27="N/A"," "," ("&amp;BY27&amp;") "))</f>
        <v/>
      </c>
      <c r="DV12" s="1566" t="str">
        <f>IF(E12="","",E12)&amp;IF(I12="No",""," (Mant.)")&amp;IF(L12="No",""," (Sme)")&amp;IF(O12="No",""," (SMa)")</f>
        <v/>
      </c>
      <c r="DW12" s="1567" t="str">
        <f>IF(E42="","",", "&amp;E42)</f>
        <v/>
      </c>
      <c r="DX12" s="4454"/>
      <c r="DY12" s="1513"/>
      <c r="DZ12" s="1096"/>
      <c r="EA12" s="1660">
        <f t="shared" si="0"/>
        <v>1</v>
      </c>
    </row>
    <row r="13" spans="1:132" x14ac:dyDescent="0.2">
      <c r="A13" s="1096"/>
      <c r="B13" s="1096"/>
      <c r="C13" s="1497"/>
      <c r="D13" s="1642" t="s">
        <v>2310</v>
      </c>
      <c r="E13" s="1152"/>
      <c r="F13" s="1153" t="str">
        <f>IF(E13=0,"",VLOOKUP(E13,'Tablas Técnicas'!$A$14:$V$771,2,FALSE))</f>
        <v/>
      </c>
      <c r="G13" s="1154"/>
      <c r="H13" s="1155" t="str">
        <f>IF($E13=0,"",VLOOKUP($E13,'Tablas Técnicas'!$A$14:$V$771,4,FALSE))</f>
        <v/>
      </c>
      <c r="I13" s="1156" t="s">
        <v>2234</v>
      </c>
      <c r="J13" s="1605" t="str">
        <f>IF(E13=0,"",VLOOKUP(E13,'Tablas Técnicas'!$A$14:$V$771,5,FALSE))</f>
        <v/>
      </c>
      <c r="K13" s="1158" t="str">
        <f>IF(I13="Si",IF(E13=0,"",VLOOKUP(E13,'Tablas Técnicas'!$A$14:$V$771,5,FALSE)),"")</f>
        <v/>
      </c>
      <c r="L13" s="1156" t="s">
        <v>2234</v>
      </c>
      <c r="M13" s="1605" t="str">
        <f>IF(E13=0,"",VLOOKUP(E13,'Tablas Técnicas'!$A$14:$V$771,6,FALSE))</f>
        <v/>
      </c>
      <c r="N13" s="1159" t="str">
        <f>IF(L13="Si",IF(E13=0,"",VLOOKUP(E13,'Tablas Técnicas'!$A$14:$V$771,6,FALSE)),"")</f>
        <v/>
      </c>
      <c r="O13" s="1156" t="s">
        <v>2234</v>
      </c>
      <c r="P13" s="1605" t="str">
        <f>IF(E13=0,"",VLOOKUP(E13,'Tablas Técnicas'!$A$14:$V$771,7,FALSE))</f>
        <v/>
      </c>
      <c r="Q13" s="1159" t="str">
        <f>IF(O13="Si",IF(E13=0,"",VLOOKUP(E13,'Tablas Técnicas'!$A$14:$V$771,7,FALSE)),"")</f>
        <v/>
      </c>
      <c r="R13" s="1157" t="str">
        <f>IF(E13=0,"",VLOOKUP(E13,'Tablas Técnicas'!$A$14:$V$771,8,FALSE))</f>
        <v/>
      </c>
      <c r="S13" s="1155" t="str">
        <f>IF(R13=$D$8,$D$8,IF(R13=2,2,IF(R13=3,3,R13)))</f>
        <v/>
      </c>
      <c r="T13" s="4490" t="s">
        <v>5230</v>
      </c>
      <c r="U13" s="4491"/>
      <c r="V13" s="1581"/>
      <c r="W13" s="4492"/>
      <c r="X13" s="4493"/>
      <c r="Y13" s="4493"/>
      <c r="Z13" s="4493"/>
      <c r="AA13" s="4493"/>
      <c r="AB13" s="4493"/>
      <c r="AC13" s="4493"/>
      <c r="AD13" s="4493"/>
      <c r="AE13" s="4493"/>
      <c r="AF13" s="4494"/>
      <c r="AG13" s="4492"/>
      <c r="AH13" s="4493"/>
      <c r="AI13" s="4493"/>
      <c r="AJ13" s="4493"/>
      <c r="AK13" s="4493"/>
      <c r="AL13" s="4493"/>
      <c r="AM13" s="4493"/>
      <c r="AN13" s="4493"/>
      <c r="AO13" s="4493"/>
      <c r="AP13" s="4494"/>
      <c r="AQ13" s="4492"/>
      <c r="AR13" s="4493"/>
      <c r="AS13" s="4493"/>
      <c r="AT13" s="4493"/>
      <c r="AU13" s="4493"/>
      <c r="AV13" s="4493"/>
      <c r="AW13" s="4493"/>
      <c r="AX13" s="4493"/>
      <c r="AY13" s="4493"/>
      <c r="AZ13" s="4494"/>
      <c r="BA13" s="4492"/>
      <c r="BB13" s="4493"/>
      <c r="BC13" s="4493"/>
      <c r="BD13" s="4493"/>
      <c r="BE13" s="4493"/>
      <c r="BF13" s="4493"/>
      <c r="BG13" s="4493"/>
      <c r="BH13" s="4493"/>
      <c r="BI13" s="4493"/>
      <c r="BJ13" s="4494"/>
      <c r="BK13" s="1155">
        <f>(SUM(F10:F14)+IF(AF10="",0,AF10)+IF(AP10="",0,AP10)+IF(AZ10="",0,AZ10)+IF(BJ10="",0,BJ10)+SUM(K10:K14)+SUM(N10:N14)+SUM(Q10:Q14))- SUM(V13:BA13)</f>
        <v>0</v>
      </c>
      <c r="BL13" s="1627"/>
      <c r="BM13" s="1628"/>
      <c r="BN13" s="1149"/>
      <c r="BO13" s="1150"/>
      <c r="BP13" s="1135" t="str">
        <f>IF(I13="Si",VLOOKUP($D$8,'Tablas Técnicas'!$E$4:$F$6,2,FALSE),"")</f>
        <v/>
      </c>
      <c r="BQ13" s="1136" t="str">
        <f>IF(L13="Si",VLOOKUP($D$8,'Tablas Técnicas'!$I$4:$J$6,2,FALSE),"")</f>
        <v/>
      </c>
      <c r="BR13" s="1134" t="str">
        <f>IF(O13="Si",VLOOKUP($D$8,'Tablas Técnicas'!$I$7:$J$9,2,FALSE),"")</f>
        <v/>
      </c>
      <c r="BS13" s="1151"/>
      <c r="BT13" s="4448" t="s">
        <v>5231</v>
      </c>
      <c r="BU13" s="4449"/>
      <c r="BV13" s="1128"/>
      <c r="BW13" s="1108"/>
      <c r="BX13" s="1108"/>
      <c r="BY13" s="1474"/>
      <c r="BZ13" s="1492"/>
      <c r="CA13" s="1096"/>
      <c r="DR13" s="1096"/>
      <c r="DS13" s="1507"/>
      <c r="DT13" s="1514"/>
      <c r="DU13" s="1565" t="str">
        <f>IF(BW29="N/A","",BT28&amp;" "&amp;BW29&amp;IF(BY29="N/A"," "," ("&amp;BY29&amp;") "))</f>
        <v/>
      </c>
      <c r="DV13" s="1566" t="str">
        <f>IF(E13="","",E13)&amp;IF(I13="No",""," (Mant.)")&amp;IF(L13="No",""," (Sme)")&amp;IF(O13="No",""," (SMa)")</f>
        <v/>
      </c>
      <c r="DW13" s="1567"/>
      <c r="DX13" s="4454"/>
      <c r="DY13" s="1513"/>
      <c r="DZ13" s="1096"/>
      <c r="EA13" s="1660">
        <f t="shared" si="0"/>
        <v>1</v>
      </c>
    </row>
    <row r="14" spans="1:132" x14ac:dyDescent="0.2">
      <c r="A14" s="1096"/>
      <c r="B14" s="1096"/>
      <c r="C14" s="1497"/>
      <c r="D14" s="1643" t="s">
        <v>2310</v>
      </c>
      <c r="E14" s="1160"/>
      <c r="F14" s="1582" t="str">
        <f>IF(E14=0,"",VLOOKUP(E14,'Tablas Técnicas'!$A$14:$V$771,2,FALSE))</f>
        <v/>
      </c>
      <c r="G14" s="1142"/>
      <c r="H14" s="1161" t="str">
        <f>IF($E14=0,"",VLOOKUP($E14,'Tablas Técnicas'!$A$14:$V$771,4,FALSE))</f>
        <v/>
      </c>
      <c r="I14" s="1144" t="s">
        <v>2234</v>
      </c>
      <c r="J14" s="1601" t="str">
        <f>IF(E14=0,"",VLOOKUP(E14,'Tablas Técnicas'!$A$14:$V$771,5,FALSE))</f>
        <v/>
      </c>
      <c r="K14" s="1163" t="str">
        <f>IF(I14="Si",IF(E14=0,"",VLOOKUP(E14,'Tablas Técnicas'!$A$14:$V$771,5,FALSE)),"")</f>
        <v/>
      </c>
      <c r="L14" s="1144" t="s">
        <v>2234</v>
      </c>
      <c r="M14" s="1601" t="str">
        <f>IF(E14=0,"",VLOOKUP(E14,'Tablas Técnicas'!$A$14:$V$771,6,FALSE))</f>
        <v/>
      </c>
      <c r="N14" s="1147" t="str">
        <f>IF(L14="Si",IF(E14=0,"",VLOOKUP(E14,'Tablas Técnicas'!$A$14:$V$771,6,FALSE)),"")</f>
        <v/>
      </c>
      <c r="O14" s="1144" t="s">
        <v>2234</v>
      </c>
      <c r="P14" s="1601" t="str">
        <f>IF(E14=0,"",VLOOKUP(E14,'Tablas Técnicas'!$A$14:$V$771,7,FALSE))</f>
        <v/>
      </c>
      <c r="Q14" s="1147" t="str">
        <f>IF(O14="Si",IF(E14=0,"",VLOOKUP(E14,'Tablas Técnicas'!$A$14:$V$771,7,FALSE)),"")</f>
        <v/>
      </c>
      <c r="R14" s="1162" t="str">
        <f>IF(E14=0,"",VLOOKUP(E14,'Tablas Técnicas'!$A$14:$V$771,8,FALSE))</f>
        <v/>
      </c>
      <c r="S14" s="1161" t="str">
        <f>IF(R14=$D$8,$D$8,IF(R14=2,2,IF(R14=3,3,R14)))</f>
        <v/>
      </c>
      <c r="T14" s="4482" t="s">
        <v>5232</v>
      </c>
      <c r="U14" s="4483"/>
      <c r="V14" s="1579"/>
      <c r="W14" s="4484"/>
      <c r="X14" s="4485"/>
      <c r="Y14" s="4485"/>
      <c r="Z14" s="4485"/>
      <c r="AA14" s="4485"/>
      <c r="AB14" s="4485"/>
      <c r="AC14" s="4485"/>
      <c r="AD14" s="4485"/>
      <c r="AE14" s="4485"/>
      <c r="AF14" s="4486"/>
      <c r="AG14" s="4484"/>
      <c r="AH14" s="4485"/>
      <c r="AI14" s="4485"/>
      <c r="AJ14" s="4485"/>
      <c r="AK14" s="4485"/>
      <c r="AL14" s="4485"/>
      <c r="AM14" s="4485"/>
      <c r="AN14" s="4485"/>
      <c r="AO14" s="4485"/>
      <c r="AP14" s="4486"/>
      <c r="AQ14" s="4484"/>
      <c r="AR14" s="4485"/>
      <c r="AS14" s="4485"/>
      <c r="AT14" s="4485"/>
      <c r="AU14" s="4485"/>
      <c r="AV14" s="4485"/>
      <c r="AW14" s="4485"/>
      <c r="AX14" s="4485"/>
      <c r="AY14" s="4485"/>
      <c r="AZ14" s="4486"/>
      <c r="BA14" s="4484"/>
      <c r="BB14" s="4485"/>
      <c r="BC14" s="4485"/>
      <c r="BD14" s="4485"/>
      <c r="BE14" s="4485"/>
      <c r="BF14" s="4485"/>
      <c r="BG14" s="4485"/>
      <c r="BH14" s="4485"/>
      <c r="BI14" s="4485"/>
      <c r="BJ14" s="4486"/>
      <c r="BK14" s="1171">
        <f>SUM(K10:K14)-SUM(V14:BA14)</f>
        <v>0</v>
      </c>
      <c r="BL14" s="1629"/>
      <c r="BM14" s="1630"/>
      <c r="BN14" s="1165"/>
      <c r="BO14" s="1166"/>
      <c r="BP14" s="1167" t="str">
        <f>IF(I14="Si",VLOOKUP($D$8,'Tablas Técnicas'!$E$4:$F$6,2,FALSE),"")</f>
        <v/>
      </c>
      <c r="BQ14" s="1137" t="str">
        <f>IF(L14="Si",VLOOKUP($D$8,'Tablas Técnicas'!$I$4:$J$6,2,FALSE),"")</f>
        <v/>
      </c>
      <c r="BR14" s="1168" t="str">
        <f>IF(O14="Si",VLOOKUP($D$8,'Tablas Técnicas'!$I$7:$J$9,2,FALSE),"")</f>
        <v/>
      </c>
      <c r="BS14" s="1169"/>
      <c r="BT14" s="4452" t="s">
        <v>2234</v>
      </c>
      <c r="BU14" s="4453"/>
      <c r="BV14" s="1128"/>
      <c r="BW14" s="1108"/>
      <c r="BX14" s="1108"/>
      <c r="BY14" s="1474"/>
      <c r="BZ14" s="1492"/>
      <c r="CA14" s="1096"/>
      <c r="DR14" s="1096"/>
      <c r="DS14" s="1507"/>
      <c r="DT14" s="1514"/>
      <c r="DU14" s="1565" t="str">
        <f>IF(BW31="N/A","",BT30&amp;" "&amp;BW31&amp;IF(BY31="N/A"," "," ("&amp;BY31&amp;") "))</f>
        <v/>
      </c>
      <c r="DV14" s="1566" t="str">
        <f>IF(E14="","",E14)&amp;IF(I14="No",""," (Mant.)")&amp;IF(L14="No",""," (Sme)")&amp;IF(O14="No",""," (SMa)")</f>
        <v/>
      </c>
      <c r="DW14" s="1567"/>
      <c r="DX14" s="4454"/>
      <c r="DY14" s="1513"/>
      <c r="DZ14" s="1096"/>
      <c r="EA14" s="1660">
        <f t="shared" si="0"/>
        <v>1</v>
      </c>
    </row>
    <row r="15" spans="1:132" x14ac:dyDescent="0.2">
      <c r="A15" s="1096"/>
      <c r="B15" s="159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97"/>
      <c r="D15" s="1644">
        <v>2</v>
      </c>
      <c r="E15" s="1423"/>
      <c r="F15" s="1173"/>
      <c r="G15" s="1174"/>
      <c r="H15" s="2559">
        <f>IF(AND(OR(ISNUMBER(SEARCH("Afinidad Elemental ("&amp;BK10&amp;")",Principal!$AF$30)),ISNUMBER(SEARCH("Afinidad Elemental ("&amp;BL10&amp;")",Principal!$AF$30)),ISNUMBER(SEARCH("Afinidad Elemental ("&amp;BM10&amp;")",Principal!$AF$30))),SUM(H10:H14)&gt;=5),-5,0)</f>
        <v>0</v>
      </c>
      <c r="I15" s="1603"/>
      <c r="J15" s="1606"/>
      <c r="K15" s="1174"/>
      <c r="L15" s="1603"/>
      <c r="M15" s="1606"/>
      <c r="N15" s="1174"/>
      <c r="O15" s="1603"/>
      <c r="P15" s="1606"/>
      <c r="Q15" s="1174"/>
      <c r="R15" s="1175"/>
      <c r="S15" s="1174"/>
      <c r="T15" s="1174"/>
      <c r="U15" s="1131"/>
      <c r="V15" s="1131"/>
      <c r="W15" s="1131"/>
      <c r="X15" s="1131"/>
      <c r="Y15" s="1131"/>
      <c r="Z15" s="1131"/>
      <c r="AA15" s="1131"/>
      <c r="AB15" s="1131"/>
      <c r="AC15" s="1131"/>
      <c r="AD15" s="1131"/>
      <c r="AE15" s="1131"/>
      <c r="AF15" s="1131"/>
      <c r="AG15" s="1131"/>
      <c r="AH15" s="1131"/>
      <c r="AI15" s="1131"/>
      <c r="AJ15" s="1131"/>
      <c r="AK15" s="1131"/>
      <c r="AL15" s="1131"/>
      <c r="AM15" s="1131"/>
      <c r="AN15" s="1131"/>
      <c r="AO15" s="1131"/>
      <c r="AP15" s="1131"/>
      <c r="AQ15" s="1131"/>
      <c r="AR15" s="1131"/>
      <c r="AS15" s="1131"/>
      <c r="AT15" s="1131"/>
      <c r="AU15" s="1131"/>
      <c r="AV15" s="1131"/>
      <c r="AW15" s="1131"/>
      <c r="AX15" s="1131"/>
      <c r="AY15" s="1131"/>
      <c r="AZ15" s="1131"/>
      <c r="BA15" s="1131"/>
      <c r="BB15" s="1131"/>
      <c r="BC15" s="1131"/>
      <c r="BD15" s="1131"/>
      <c r="BE15" s="1131"/>
      <c r="BF15" s="1131"/>
      <c r="BG15" s="1131"/>
      <c r="BH15" s="1131"/>
      <c r="BI15" s="1131"/>
      <c r="BJ15" s="1131"/>
      <c r="BK15" s="1131"/>
      <c r="BL15" s="1131"/>
      <c r="BM15" s="1133"/>
      <c r="BN15" s="1134">
        <f>SUM(K15:K18)</f>
        <v>0</v>
      </c>
      <c r="BO15" s="1128" t="str">
        <f>IF(E15=0,"",(AF15+AP15+AZ15+BJ15))</f>
        <v/>
      </c>
      <c r="BP15" s="1135" t="str">
        <f>IF(I15="Si",VLOOKUP($D$8,'Tablas Técnicas'!$E$4:$F$6,2,FALSE),"")</f>
        <v/>
      </c>
      <c r="BQ15" s="1136" t="str">
        <f>IF(L15="Si",VLOOKUP($D$8,'Tablas Técnicas'!$I$4:$J$6,2,FALSE),"")</f>
        <v/>
      </c>
      <c r="BR15" s="1134" t="str">
        <f>IF(O15="Si",VLOOKUP($D$8,'Tablas Técnicas'!$I$7:$J$9,2,FALSE),"")</f>
        <v/>
      </c>
      <c r="BS15" s="1151"/>
      <c r="BT15" s="4448" t="s">
        <v>5233</v>
      </c>
      <c r="BU15" s="4449"/>
      <c r="BV15" s="1128"/>
      <c r="BW15" s="1108"/>
      <c r="BX15" s="1108"/>
      <c r="BY15" s="1474"/>
      <c r="BZ15" s="1492"/>
      <c r="CA15" s="1096"/>
      <c r="DR15" s="1096"/>
      <c r="DS15" s="1507"/>
      <c r="DT15" s="1514"/>
      <c r="DU15" s="1565" t="str">
        <f>IF(BW33="N/A","",BT32&amp;" "&amp;BW33&amp;IF(BY33="N/A"," "," ("&amp;BY33&amp;") "))</f>
        <v/>
      </c>
      <c r="DV15" s="1570"/>
      <c r="DW15" s="1567"/>
      <c r="DX15" s="1617" t="s">
        <v>2373</v>
      </c>
      <c r="DY15" s="1513"/>
      <c r="DZ15" s="1096"/>
      <c r="EA15" s="1660">
        <f t="shared" si="0"/>
        <v>1</v>
      </c>
    </row>
    <row r="16" spans="1:132" x14ac:dyDescent="0.2">
      <c r="A16" s="1096"/>
      <c r="B16" s="1096"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97"/>
      <c r="D16" s="1643" t="s">
        <v>2310</v>
      </c>
      <c r="E16" s="1140"/>
      <c r="F16" s="1176"/>
      <c r="G16" s="1146" t="str">
        <f>IF(E16=0,"",VLOOKUP(E16,'Tablas Técnicas'!$A$14:$V$771,3,FALSE))</f>
        <v/>
      </c>
      <c r="H16" s="1178" t="str">
        <f>IF($E16=0,"",VLOOKUP($E16,'Tablas Técnicas'!$A$14:$V$771,4,FALSE))</f>
        <v/>
      </c>
      <c r="I16" s="1144" t="s">
        <v>2234</v>
      </c>
      <c r="J16" s="1604" t="str">
        <f>IF(E16=0,"",VLOOKUP(E16,'Tablas Técnicas'!$A$14:$V$771,5,FALSE))</f>
        <v/>
      </c>
      <c r="K16" s="1177" t="str">
        <f>IF(I16="Si",IF(E16=0,"",VLOOKUP(E16,'Tablas Técnicas'!$A$14:$V$771,5,FALSE)),"")</f>
        <v/>
      </c>
      <c r="L16" s="1144" t="s">
        <v>2234</v>
      </c>
      <c r="M16" s="1604" t="str">
        <f>IF(E16=0,"",VLOOKUP(E16,'Tablas Técnicas'!$A$14:$V$771,6,FALSE))</f>
        <v/>
      </c>
      <c r="N16" s="1147" t="str">
        <f>IF(L16="Si",IF(E16=0,"",VLOOKUP(E16,'Tablas Técnicas'!$A$14:$V$771,6,FALSE)),"")</f>
        <v/>
      </c>
      <c r="O16" s="1144" t="s">
        <v>2234</v>
      </c>
      <c r="P16" s="1604" t="str">
        <f>IF(E16=0,"",VLOOKUP(E16,'Tablas Técnicas'!$A$14:$V$771,7,FALSE))</f>
        <v/>
      </c>
      <c r="Q16" s="1147" t="str">
        <f>IF(O16="Si",IF(E16=0,"",VLOOKUP(E16,'Tablas Técnicas'!$A$14:$V$771,7,FALSE)),"")</f>
        <v/>
      </c>
      <c r="R16" s="1179" t="str">
        <f>IF(E16=0,"",VLOOKUP(E16,'Tablas Técnicas'!$A$14:$V$771,8,FALSE))</f>
        <v/>
      </c>
      <c r="S16" s="1178" t="str">
        <f>IF(R16=$D$8,$D$8,IF(R16=2,2,IF(R16=3,3,R16)))</f>
        <v/>
      </c>
      <c r="T16" s="1146" t="str">
        <f>IF(E16=0,"",VLOOKUP(E16,'Tablas Técnicas'!$A$14:$V$771,9,FALSE))</f>
        <v/>
      </c>
      <c r="U16" s="1146" t="str">
        <f>IF(E16=0,"",VLOOKUP(E16,'Tablas Técnicas'!$A$14:$V$771,10,FALSE))</f>
        <v/>
      </c>
      <c r="V16" s="1141" t="str">
        <f>IF(E16=0,"",VLOOKUP(E16,'Tablas Técnicas'!$A$14:$V$771,11,FALSE))</f>
        <v/>
      </c>
      <c r="W16" s="1144"/>
      <c r="X16" s="1145" t="e">
        <f>VLOOKUP(E16,'Tablas Técnicas'!$A$14:$V$771,12,FALSE)</f>
        <v>#N/A</v>
      </c>
      <c r="Y16" s="1145" t="e">
        <f>IF(W16=X16,VLOOKUP(E16,'Tablas Técnicas'!$A$14:$V$771,13,FALSE),0)</f>
        <v>#N/A</v>
      </c>
      <c r="Z16" s="1145" t="e">
        <f>VLOOKUP(E16,'Tablas Técnicas'!$A$14:$V$771,14,FALSE)</f>
        <v>#N/A</v>
      </c>
      <c r="AA16" s="1145" t="e">
        <f>IF(W16=Z16,VLOOKUP(E16,'Tablas Técnicas'!$A$14:$V$616,15,FALSE),0)</f>
        <v>#N/A</v>
      </c>
      <c r="AB16" s="1145" t="e">
        <f>VLOOKUP(E16,'Tablas Técnicas'!$A$14:$V$771,16,FALSE)</f>
        <v>#N/A</v>
      </c>
      <c r="AC16" s="1145" t="e">
        <f>IF(W16=AB16,VLOOKUP(E16,'Tablas Técnicas'!$A$14:$V$616,17,FALSE),0)</f>
        <v>#N/A</v>
      </c>
      <c r="AD16" s="1145" t="e">
        <f>VLOOKUP(E16,'Tablas Técnicas'!$A$14:$V$771,18,FALSE)</f>
        <v>#N/A</v>
      </c>
      <c r="AE16" s="1145" t="e">
        <f>IF(W16=AD16,VLOOKUP(E16,'Tablas Técnicas'!$A$14:$V$771,19,FALSE),0)</f>
        <v>#N/A</v>
      </c>
      <c r="AF16" s="1146" t="str">
        <f>IF(E16=0,"",(Y16+AA16+AC16+AE16))</f>
        <v/>
      </c>
      <c r="AG16" s="1144"/>
      <c r="AH16" s="1179" t="e">
        <f>VLOOKUP(E16,'Tablas Técnicas'!$A$14:$V$771,12,FALSE)</f>
        <v>#N/A</v>
      </c>
      <c r="AI16" s="1179" t="e">
        <f>IF(AG16=AH16,VLOOKUP(E16,'Tablas Técnicas'!$A$14:$V$771,13,FALSE),0)</f>
        <v>#N/A</v>
      </c>
      <c r="AJ16" s="1179" t="e">
        <f>VLOOKUP(E16,'Tablas Técnicas'!$A$14:$V$771,14,FALSE)</f>
        <v>#N/A</v>
      </c>
      <c r="AK16" s="1179" t="e">
        <f>IF(AG16=AJ16,VLOOKUP(E16,'Tablas Técnicas'!$A$14:$V$771,15,FALSE),0)</f>
        <v>#N/A</v>
      </c>
      <c r="AL16" s="1179" t="e">
        <f>VLOOKUP(E16,'Tablas Técnicas'!$A$14:$V$771,16,FALSE)</f>
        <v>#N/A</v>
      </c>
      <c r="AM16" s="1179" t="e">
        <f>IF(AG16=AL16,VLOOKUP(E16,'Tablas Técnicas'!$A$14:$V$771,17,FALSE),0)</f>
        <v>#N/A</v>
      </c>
      <c r="AN16" s="1179" t="e">
        <f>VLOOKUP(E16,'Tablas Técnicas'!$A$14:$V$771,18,FALSE)</f>
        <v>#N/A</v>
      </c>
      <c r="AO16" s="1179" t="e">
        <f>IF(AG16=AN16,VLOOKUP(E16,'Tablas Técnicas'!$A$14:$V$771,19,FALSE),0)</f>
        <v>#N/A</v>
      </c>
      <c r="AP16" s="1180" t="str">
        <f>IF(E16=0,"",(AI16+AK16+AM16+AO16))</f>
        <v/>
      </c>
      <c r="AQ16" s="1144"/>
      <c r="AR16" s="1145" t="e">
        <f>VLOOKUP(E16,'Tablas Técnicas'!$A$14:$V$771,12,FALSE)</f>
        <v>#N/A</v>
      </c>
      <c r="AS16" s="1145" t="e">
        <f>IF(AQ16=AR16,VLOOKUP(E16,'Tablas Técnicas'!$A$14:$V$771,13,FALSE),0)</f>
        <v>#N/A</v>
      </c>
      <c r="AT16" s="1145" t="e">
        <f>VLOOKUP(E16,'Tablas Técnicas'!$A$14:$V$771,14,FALSE)</f>
        <v>#N/A</v>
      </c>
      <c r="AU16" s="1145" t="e">
        <f>IF(AQ16=AT16,VLOOKUP(E16,'Tablas Técnicas'!$A$14:$V$771,15,FALSE),0)</f>
        <v>#N/A</v>
      </c>
      <c r="AV16" s="1145" t="e">
        <f>VLOOKUP(E16,'Tablas Técnicas'!$A$14:$V$771,16,FALSE)</f>
        <v>#N/A</v>
      </c>
      <c r="AW16" s="1145" t="e">
        <f>IF(AQ16=AV16,VLOOKUP(E16,'Tablas Técnicas'!$A$14:$V$771,17,FALSE),0)</f>
        <v>#N/A</v>
      </c>
      <c r="AX16" s="1145" t="e">
        <f>VLOOKUP(E16,'Tablas Técnicas'!$A$14:$V$771,18,FALSE)</f>
        <v>#N/A</v>
      </c>
      <c r="AY16" s="1145" t="e">
        <f>IF(AQ16=AX16,VLOOKUP(E16,'Tablas Técnicas'!$A$14:$V$771,19,FALSE),0)</f>
        <v>#N/A</v>
      </c>
      <c r="AZ16" s="1146" t="str">
        <f>IF(E16=0,"",(AS16+AU16+AW16+AY16))</f>
        <v/>
      </c>
      <c r="BA16" s="1144"/>
      <c r="BB16" s="1145" t="e">
        <f>VLOOKUP(E16,'Tablas Técnicas'!$A$14:$V$771,12,FALSE)</f>
        <v>#N/A</v>
      </c>
      <c r="BC16" s="1145" t="e">
        <f>IF(BA16=BB16,VLOOKUP(E16,'Tablas Técnicas'!$A$14:$V$771,13,FALSE),0)</f>
        <v>#N/A</v>
      </c>
      <c r="BD16" s="1145" t="e">
        <f>VLOOKUP(E16,'Tablas Técnicas'!$A$14:$V$771,14,FALSE)</f>
        <v>#N/A</v>
      </c>
      <c r="BE16" s="1145" t="e">
        <f>IF(BA16=BD16,VLOOKUP(E16,'Tablas Técnicas'!$A$14:$V$771,15,FALSE),0)</f>
        <v>#N/A</v>
      </c>
      <c r="BF16" s="1145" t="e">
        <f>VLOOKUP(E16,'Tablas Técnicas'!$A$14:$V$771,16,FALSE)</f>
        <v>#N/A</v>
      </c>
      <c r="BG16" s="1145" t="e">
        <f>IF(BA16=BF16,VLOOKUP(E16,'Tablas Técnicas'!$A$14:$V$771,17,FALSE),0)</f>
        <v>#N/A</v>
      </c>
      <c r="BH16" s="1145" t="e">
        <f>VLOOKUP(E16,'Tablas Técnicas'!$A$14:$V$771,18,FALSE)</f>
        <v>#N/A</v>
      </c>
      <c r="BI16" s="1145" t="e">
        <f>IF(BA16=BH16,VLOOKUP(E16,'Tablas Técnicas'!$A$14:$V$771,19,FALSE),0)</f>
        <v>#N/A</v>
      </c>
      <c r="BJ16" s="1147" t="str">
        <f>IF(E16=0,"",(BC16+BE16+BG16+BI16))</f>
        <v/>
      </c>
      <c r="BK16" s="1146" t="str">
        <f>IF(E16=0,"",VLOOKUP(E16,'Tablas Técnicas'!$A$14:$V$771,20,FALSE))</f>
        <v/>
      </c>
      <c r="BL16" s="1146" t="str">
        <f>IF(E16=0,"",VLOOKUP(E16,'Tablas Técnicas'!$A$14:$V$771,21,FALSE))</f>
        <v/>
      </c>
      <c r="BM16" s="1181" t="str">
        <f>IF(E16=0,"",VLOOKUP(E16,'Tablas Técnicas'!$A$14:$V$771,22,FALSE))</f>
        <v/>
      </c>
      <c r="BN16" s="1149"/>
      <c r="BO16" s="1150"/>
      <c r="BP16" s="1135" t="str">
        <f>IF(I16="Si",VLOOKUP($D$8,'Tablas Técnicas'!$E$4:$F$6,2,FALSE),"")</f>
        <v/>
      </c>
      <c r="BQ16" s="1136" t="str">
        <f>IF(L16="Si",VLOOKUP($D$8,'Tablas Técnicas'!$I$4:$J$6,2,FALSE),"")</f>
        <v/>
      </c>
      <c r="BR16" s="1134" t="str">
        <f>IF(O16="Si",VLOOKUP($D$8,'Tablas Técnicas'!$I$7:$J$9,2,FALSE),"")</f>
        <v/>
      </c>
      <c r="BS16" s="1151"/>
      <c r="BT16" s="4452" t="s">
        <v>5213</v>
      </c>
      <c r="BU16" s="4453"/>
      <c r="BV16" s="1128"/>
      <c r="BW16" s="1108"/>
      <c r="BX16" s="1108"/>
      <c r="BY16" s="1474"/>
      <c r="BZ16" s="1492"/>
      <c r="CA16" s="1096"/>
      <c r="DR16" s="1096"/>
      <c r="DS16" s="1507"/>
      <c r="DT16" s="1514"/>
      <c r="DU16" s="1569"/>
      <c r="DV16" s="1566" t="str">
        <f>IF(E16="","",", "&amp;E16)&amp;IF(I16="No",""," (Mant.)")&amp;IF(L16="No",""," (Sme)")&amp;IF(O16="No",""," (SMa)")</f>
        <v/>
      </c>
      <c r="DW16" s="1567"/>
      <c r="DX16" s="1568" t="str">
        <f>IF(ISNUMBER(FIND('Tablas Técnicas'!A$678,DW34)),BL40&amp;BM40,IF(ISNUMBER(FIND('Tablas Técnicas'!A$679,DW34)),BL40&amp;" "&amp;BM40,""))</f>
        <v/>
      </c>
      <c r="DY16" s="1513"/>
      <c r="DZ16" s="1096"/>
      <c r="EA16" s="1660">
        <f t="shared" si="0"/>
        <v>1</v>
      </c>
    </row>
    <row r="17" spans="1:131" x14ac:dyDescent="0.2">
      <c r="A17" s="1096"/>
      <c r="B17" s="1096"/>
      <c r="C17" s="1497"/>
      <c r="D17" s="1642" t="s">
        <v>2310</v>
      </c>
      <c r="E17" s="1152"/>
      <c r="F17" s="1182"/>
      <c r="G17" s="1627" t="str">
        <f>IF(E17=0,"",VLOOKUP(E17,'Tablas Técnicas'!$A$14:$V$771,3,FALSE))</f>
        <v/>
      </c>
      <c r="H17" s="1155" t="str">
        <f>IF($E17=0,"",VLOOKUP($E17,'Tablas Técnicas'!$A$14:$V$771,4,FALSE))</f>
        <v/>
      </c>
      <c r="I17" s="1156" t="s">
        <v>2234</v>
      </c>
      <c r="J17" s="1605" t="str">
        <f>IF(E17=0,"",VLOOKUP(E17,'Tablas Técnicas'!$A$14:$V$771,5,FALSE))</f>
        <v/>
      </c>
      <c r="K17" s="1158" t="str">
        <f>IF(I17="Si",IF(E17=0,"",VLOOKUP(E17,'Tablas Técnicas'!$A$14:$V$771,5,FALSE)),"")</f>
        <v/>
      </c>
      <c r="L17" s="1156" t="s">
        <v>2234</v>
      </c>
      <c r="M17" s="1605" t="str">
        <f>IF(E17=0,"",VLOOKUP(E17,'Tablas Técnicas'!$A$14:$V$771,6,FALSE))</f>
        <v/>
      </c>
      <c r="N17" s="1159" t="str">
        <f>IF(L17="Si",IF(E17=0,"",VLOOKUP(E17,'Tablas Técnicas'!$A$14:$V$771,6,FALSE)),"")</f>
        <v/>
      </c>
      <c r="O17" s="1156" t="s">
        <v>2234</v>
      </c>
      <c r="P17" s="1605" t="str">
        <f>IF(E17=0,"",VLOOKUP(E17,'Tablas Técnicas'!$A$14:$V$771,7,FALSE))</f>
        <v/>
      </c>
      <c r="Q17" s="1159" t="str">
        <f>IF(O17="Si",IF(E17=0,"",VLOOKUP(E17,'Tablas Técnicas'!$A$14:$V$771,7,FALSE)),"")</f>
        <v/>
      </c>
      <c r="R17" s="1157" t="str">
        <f>IF(E17=0,"",VLOOKUP(E17,'Tablas Técnicas'!$A$14:$V$771,8,FALSE))</f>
        <v/>
      </c>
      <c r="S17" s="1155" t="str">
        <f>IF(R17=$D$8,$D$8,IF(R17=2,2,IF(R17=3,3,R17)))</f>
        <v/>
      </c>
      <c r="T17" s="4475" t="s">
        <v>5228</v>
      </c>
      <c r="U17" s="4476"/>
      <c r="V17" s="4476"/>
      <c r="W17" s="4476"/>
      <c r="X17" s="4476"/>
      <c r="Y17" s="4476"/>
      <c r="Z17" s="4476"/>
      <c r="AA17" s="4476"/>
      <c r="AB17" s="4476"/>
      <c r="AC17" s="4476"/>
      <c r="AD17" s="4476"/>
      <c r="AE17" s="4476"/>
      <c r="AF17" s="4476"/>
      <c r="AG17" s="4476"/>
      <c r="AH17" s="4476"/>
      <c r="AI17" s="4476"/>
      <c r="AJ17" s="4476"/>
      <c r="AK17" s="4476"/>
      <c r="AL17" s="4476"/>
      <c r="AM17" s="4476"/>
      <c r="AN17" s="4476"/>
      <c r="AO17" s="4476"/>
      <c r="AP17" s="4476"/>
      <c r="AQ17" s="4476"/>
      <c r="AR17" s="4476"/>
      <c r="AS17" s="4476"/>
      <c r="AT17" s="4476"/>
      <c r="AU17" s="4476"/>
      <c r="AV17" s="4476"/>
      <c r="AW17" s="4476"/>
      <c r="AX17" s="4476"/>
      <c r="AY17" s="4476"/>
      <c r="AZ17" s="4476"/>
      <c r="BA17" s="4476"/>
      <c r="BB17" s="4476"/>
      <c r="BC17" s="4476"/>
      <c r="BD17" s="4476"/>
      <c r="BE17" s="4476"/>
      <c r="BF17" s="4476"/>
      <c r="BG17" s="4476"/>
      <c r="BH17" s="4476"/>
      <c r="BI17" s="4476"/>
      <c r="BJ17" s="4476"/>
      <c r="BK17" s="4477"/>
      <c r="BL17" s="1627"/>
      <c r="BM17" s="1628"/>
      <c r="BN17" s="1149"/>
      <c r="BO17" s="1150"/>
      <c r="BP17" s="1135" t="str">
        <f>IF(I17="Si",VLOOKUP($D$8,'Tablas Técnicas'!$E$4:$F$6,2,FALSE),"")</f>
        <v/>
      </c>
      <c r="BQ17" s="1136" t="str">
        <f>IF(L17="Si",VLOOKUP($D$8,'Tablas Técnicas'!$I$4:$J$6,2,FALSE),"")</f>
        <v/>
      </c>
      <c r="BR17" s="1134" t="str">
        <f>IF(O17="Si",VLOOKUP($D$8,'Tablas Técnicas'!$I$7:$J$9,2,FALSE),"")</f>
        <v/>
      </c>
      <c r="BS17" s="1151"/>
      <c r="BT17" s="4448" t="s">
        <v>5234</v>
      </c>
      <c r="BU17" s="4449"/>
      <c r="BV17" s="1128"/>
      <c r="BW17" s="1108"/>
      <c r="BX17" s="1108"/>
      <c r="BY17" s="1474"/>
      <c r="BZ17" s="1492"/>
      <c r="CA17" s="1096"/>
      <c r="DR17" s="1096"/>
      <c r="DS17" s="1507"/>
      <c r="DT17" s="1514"/>
      <c r="DU17" s="1565"/>
      <c r="DV17" s="1566" t="str">
        <f>IF(E17="",""," "&amp;E17)&amp;IF(I17="No",""," (Mant.)")&amp;IF(L17="No",""," (Sme)")&amp;IF(O17="No",""," (SMa)")</f>
        <v/>
      </c>
      <c r="DW17" s="1567"/>
      <c r="DX17" s="1568"/>
      <c r="DY17" s="1513"/>
      <c r="DZ17" s="1096"/>
      <c r="EA17" s="1660">
        <f t="shared" si="0"/>
        <v>1</v>
      </c>
    </row>
    <row r="18" spans="1:131" x14ac:dyDescent="0.2">
      <c r="A18" s="1096"/>
      <c r="B18" s="1096"/>
      <c r="C18" s="1497"/>
      <c r="D18" s="1643" t="s">
        <v>2310</v>
      </c>
      <c r="E18" s="1160"/>
      <c r="F18" s="1176"/>
      <c r="G18" s="1146" t="str">
        <f>IF(E18=0,"",VLOOKUP(E18,'Tablas Técnicas'!$A$14:$V$771,3,FALSE))</f>
        <v/>
      </c>
      <c r="H18" s="1582" t="str">
        <f>IF($E18=0,"",VLOOKUP($E18,'Tablas Técnicas'!$A$14:$V$771,4,FALSE))</f>
        <v/>
      </c>
      <c r="I18" s="1144" t="s">
        <v>2234</v>
      </c>
      <c r="J18" s="1601" t="str">
        <f>IF(E18=0,"",VLOOKUP(E18,'Tablas Técnicas'!$A$14:$V$771,5,FALSE))</f>
        <v/>
      </c>
      <c r="K18" s="1163" t="str">
        <f>IF(I18="Si",IF(E18=0,"",VLOOKUP(E18,'Tablas Técnicas'!$A$14:$V$771,5,FALSE)),"")</f>
        <v/>
      </c>
      <c r="L18" s="1144" t="s">
        <v>2234</v>
      </c>
      <c r="M18" s="1601" t="str">
        <f>IF(E18=0,"",VLOOKUP(E18,'Tablas Técnicas'!$A$14:$V$771,6,FALSE))</f>
        <v/>
      </c>
      <c r="N18" s="1147" t="str">
        <f>IF(L18="Si",IF(E18=0,"",VLOOKUP(E18,'Tablas Técnicas'!$A$14:$V$771,6,FALSE)),"")</f>
        <v/>
      </c>
      <c r="O18" s="1144" t="s">
        <v>2234</v>
      </c>
      <c r="P18" s="1601" t="str">
        <f>IF(E18=0,"",VLOOKUP(E18,'Tablas Técnicas'!$A$14:$V$771,7,FALSE))</f>
        <v/>
      </c>
      <c r="Q18" s="1147" t="str">
        <f>IF(O18="Si",IF(E18=0,"",VLOOKUP(E18,'Tablas Técnicas'!$A$14:$V$771,7,FALSE)),"")</f>
        <v/>
      </c>
      <c r="R18" s="1162" t="str">
        <f>IF(E18=0,"",VLOOKUP(E18,'Tablas Técnicas'!$A$14:$V$771,8,FALSE))</f>
        <v/>
      </c>
      <c r="S18" s="1582" t="str">
        <f>IF(R18=$D$8,$D$8,IF(R18=2,2,IF(R18=3,3,R18)))</f>
        <v/>
      </c>
      <c r="T18" s="4487"/>
      <c r="U18" s="4488"/>
      <c r="V18" s="1575" t="str">
        <f>IF(OR(V16=0,V16=""),"N/A",V16)</f>
        <v>N/A</v>
      </c>
      <c r="W18" s="4487" t="str">
        <f xml:space="preserve"> IF(OR(AF16=0,AF16=""),"N/A",W16)</f>
        <v>N/A</v>
      </c>
      <c r="X18" s="4489"/>
      <c r="Y18" s="4489"/>
      <c r="Z18" s="4489"/>
      <c r="AA18" s="4489"/>
      <c r="AB18" s="4489"/>
      <c r="AC18" s="4489"/>
      <c r="AD18" s="4489"/>
      <c r="AE18" s="4489"/>
      <c r="AF18" s="4488"/>
      <c r="AG18" s="4487" t="str">
        <f xml:space="preserve"> IF(OR(AP16="",AP16=0),"N/A",AG16)</f>
        <v>N/A</v>
      </c>
      <c r="AH18" s="4489"/>
      <c r="AI18" s="4489"/>
      <c r="AJ18" s="4489"/>
      <c r="AK18" s="4489"/>
      <c r="AL18" s="4489"/>
      <c r="AM18" s="4489"/>
      <c r="AN18" s="4489"/>
      <c r="AO18" s="4489"/>
      <c r="AP18" s="4488"/>
      <c r="AQ18" s="4487" t="str">
        <f xml:space="preserve"> IF(OR(AZ16="",AZ16=0),"N/A",AQ16)</f>
        <v>N/A</v>
      </c>
      <c r="AR18" s="4489"/>
      <c r="AS18" s="4489"/>
      <c r="AT18" s="4489"/>
      <c r="AU18" s="4489"/>
      <c r="AV18" s="4489"/>
      <c r="AW18" s="4489"/>
      <c r="AX18" s="4489"/>
      <c r="AY18" s="4489"/>
      <c r="AZ18" s="4488"/>
      <c r="BA18" s="4487" t="str">
        <f xml:space="preserve"> IF(OR(BJ16="",BJ16=0),"N/A",BA16)</f>
        <v>N/A</v>
      </c>
      <c r="BB18" s="4489"/>
      <c r="BC18" s="4489"/>
      <c r="BD18" s="4489"/>
      <c r="BE18" s="4489"/>
      <c r="BF18" s="4489"/>
      <c r="BG18" s="4489"/>
      <c r="BH18" s="4489"/>
      <c r="BI18" s="4489"/>
      <c r="BJ18" s="4488"/>
      <c r="BK18" s="1164" t="s">
        <v>5229</v>
      </c>
      <c r="BL18" s="1146"/>
      <c r="BM18" s="1181"/>
      <c r="BN18" s="1149"/>
      <c r="BO18" s="1166"/>
      <c r="BP18" s="1135" t="str">
        <f>IF(I18="Si",VLOOKUP($D$8,'Tablas Técnicas'!$E$4:$F$6,2,FALSE),"")</f>
        <v/>
      </c>
      <c r="BQ18" s="1136" t="str">
        <f>IF(L18="Si",VLOOKUP($D$8,'Tablas Técnicas'!$I$4:$J$6,2,FALSE),"")</f>
        <v/>
      </c>
      <c r="BR18" s="1134" t="str">
        <f>IF(O18="Si",VLOOKUP($D$8,'Tablas Técnicas'!$I$7:$J$9,2,FALSE),"")</f>
        <v/>
      </c>
      <c r="BS18" s="1151"/>
      <c r="BT18" s="4452" t="s">
        <v>5207</v>
      </c>
      <c r="BU18" s="4453"/>
      <c r="BV18" s="1128"/>
      <c r="BW18" s="1108"/>
      <c r="BX18" s="1108"/>
      <c r="BY18" s="1474"/>
      <c r="BZ18" s="1492"/>
      <c r="CA18" s="1096"/>
      <c r="DR18" s="1096"/>
      <c r="DS18" s="1507"/>
      <c r="DT18" s="1514"/>
      <c r="DU18" s="1569"/>
      <c r="DV18" s="1566" t="str">
        <f>IF(E18="","",E18)&amp;IF(I18="No",""," (Mant.)")&amp;IF(L18="No",""," (Sme)")&amp;IF(O18="No",""," (SMa)")</f>
        <v/>
      </c>
      <c r="DW18" s="1567"/>
      <c r="DX18" s="1568"/>
      <c r="DY18" s="1513"/>
      <c r="DZ18" s="1096"/>
      <c r="EA18" s="1660">
        <f t="shared" si="0"/>
        <v>1</v>
      </c>
    </row>
    <row r="19" spans="1:131" x14ac:dyDescent="0.2">
      <c r="A19" s="1096"/>
      <c r="B19" s="1096"/>
      <c r="C19" s="1497"/>
      <c r="D19" s="1642" t="s">
        <v>2310</v>
      </c>
      <c r="E19" s="1152"/>
      <c r="F19" s="1182"/>
      <c r="G19" s="1627" t="str">
        <f>IF(E19=0,"",VLOOKUP(E19,'Tablas Técnicas'!$A$14:$V$771,3,FALSE))</f>
        <v/>
      </c>
      <c r="H19" s="1155" t="str">
        <f>IF($E19=0,"",VLOOKUP($E19,'Tablas Técnicas'!$A$14:$V$771,4,FALSE))</f>
        <v/>
      </c>
      <c r="I19" s="1156" t="s">
        <v>2234</v>
      </c>
      <c r="J19" s="1605" t="str">
        <f>IF(E19=0,"",VLOOKUP(E19,'Tablas Técnicas'!$A$14:$V$771,5,FALSE))</f>
        <v/>
      </c>
      <c r="K19" s="1158" t="str">
        <f>IF(I19="Si",IF(E19=0,"",VLOOKUP(E19,'Tablas Técnicas'!$A$14:$V$771,5,FALSE)),"")</f>
        <v/>
      </c>
      <c r="L19" s="1156" t="s">
        <v>2234</v>
      </c>
      <c r="M19" s="1605" t="str">
        <f>IF(E19=0,"",VLOOKUP(E19,'Tablas Técnicas'!$A$14:$V$771,6,FALSE))</f>
        <v/>
      </c>
      <c r="N19" s="1159" t="str">
        <f>IF(L19="Si",IF(E19=0,"",VLOOKUP(E19,'Tablas Técnicas'!$A$14:$V$771,6,FALSE)),"")</f>
        <v/>
      </c>
      <c r="O19" s="1156" t="s">
        <v>2234</v>
      </c>
      <c r="P19" s="1605" t="str">
        <f>IF(E19=0,"",VLOOKUP(E19,'Tablas Técnicas'!$A$14:$V$771,7,FALSE))</f>
        <v/>
      </c>
      <c r="Q19" s="1159" t="str">
        <f>IF(O19="Si",IF(E19=0,"",VLOOKUP(E19,'Tablas Técnicas'!$A$14:$V$771,7,FALSE)),"")</f>
        <v/>
      </c>
      <c r="R19" s="1157" t="str">
        <f>IF(E19=0,"",VLOOKUP(E19,'Tablas Técnicas'!$A$14:$V$771,8,FALSE))</f>
        <v/>
      </c>
      <c r="S19" s="1155" t="str">
        <f>IF(R19=$D$8,$D$8,IF(R19=2,2,IF(R19=3,3,R19)))</f>
        <v/>
      </c>
      <c r="T19" s="4490" t="s">
        <v>5230</v>
      </c>
      <c r="U19" s="4491"/>
      <c r="V19" s="1581"/>
      <c r="W19" s="4492"/>
      <c r="X19" s="4493"/>
      <c r="Y19" s="4493"/>
      <c r="Z19" s="4493"/>
      <c r="AA19" s="4493"/>
      <c r="AB19" s="4493"/>
      <c r="AC19" s="4493"/>
      <c r="AD19" s="4493"/>
      <c r="AE19" s="4493"/>
      <c r="AF19" s="4494"/>
      <c r="AG19" s="4492"/>
      <c r="AH19" s="4493"/>
      <c r="AI19" s="4493"/>
      <c r="AJ19" s="4493"/>
      <c r="AK19" s="4493"/>
      <c r="AL19" s="4493"/>
      <c r="AM19" s="4493"/>
      <c r="AN19" s="4493"/>
      <c r="AO19" s="4493"/>
      <c r="AP19" s="4494"/>
      <c r="AQ19" s="4492"/>
      <c r="AR19" s="4493"/>
      <c r="AS19" s="4493"/>
      <c r="AT19" s="4493"/>
      <c r="AU19" s="4493"/>
      <c r="AV19" s="4493"/>
      <c r="AW19" s="4493"/>
      <c r="AX19" s="4493"/>
      <c r="AY19" s="4493"/>
      <c r="AZ19" s="4494"/>
      <c r="BA19" s="4492"/>
      <c r="BB19" s="4493"/>
      <c r="BC19" s="4493"/>
      <c r="BD19" s="4493"/>
      <c r="BE19" s="4493"/>
      <c r="BF19" s="4493"/>
      <c r="BG19" s="4493"/>
      <c r="BH19" s="4493"/>
      <c r="BI19" s="4493"/>
      <c r="BJ19" s="4494"/>
      <c r="BK19" s="1155">
        <f>(SUM(G16:G20)+IF(AF16="",0,AF16)+IF(AP16="",0,AP16)+IF(AZ16="",0,AZ16)+IF(BJ16="",0,BJ16)+SUM(K16:K20)+SUM(N16:N20)+SUM(Q16:Q20))- SUM(V19:BA19)</f>
        <v>0</v>
      </c>
      <c r="BL19" s="1627"/>
      <c r="BM19" s="1628"/>
      <c r="BN19" s="1149"/>
      <c r="BO19" s="1150"/>
      <c r="BP19" s="1135" t="str">
        <f>IF(I19="Si",VLOOKUP($D$8,'Tablas Técnicas'!$E$4:$F$6,2,FALSE),"")</f>
        <v/>
      </c>
      <c r="BQ19" s="1136" t="str">
        <f>IF(L19="Si",VLOOKUP($D$8,'Tablas Técnicas'!$I$4:$J$6,2,FALSE),"")</f>
        <v/>
      </c>
      <c r="BR19" s="1134" t="str">
        <f>IF(O19="Si",VLOOKUP($D$8,'Tablas Técnicas'!$I$7:$J$9,2,FALSE),"")</f>
        <v/>
      </c>
      <c r="BS19" s="1151"/>
      <c r="BT19" s="4444" t="s">
        <v>5235</v>
      </c>
      <c r="BU19" s="4445"/>
      <c r="BV19" s="1128"/>
      <c r="BW19" s="1108"/>
      <c r="BX19" s="1108"/>
      <c r="BY19" s="1474"/>
      <c r="BZ19" s="1492"/>
      <c r="CA19" s="1096"/>
      <c r="DR19" s="1096"/>
      <c r="DS19" s="1507"/>
      <c r="DT19" s="1514"/>
      <c r="DU19" s="1565"/>
      <c r="DV19" s="1566" t="str">
        <f>IF(E19="","",E19)&amp;IF(I19="No",""," (Mant.)")&amp;IF(L19="No",""," (Sme)")&amp;IF(O19="No",""," (SMa)")</f>
        <v/>
      </c>
      <c r="DW19" s="1567"/>
      <c r="DX19" s="1568"/>
      <c r="DY19" s="1513"/>
      <c r="DZ19" s="1096"/>
      <c r="EA19" s="1660">
        <f t="shared" si="0"/>
        <v>1</v>
      </c>
    </row>
    <row r="20" spans="1:131" ht="12.75" customHeight="1" x14ac:dyDescent="0.2">
      <c r="A20" s="1096"/>
      <c r="B20" s="1096"/>
      <c r="C20" s="1497"/>
      <c r="D20" s="1643" t="s">
        <v>2310</v>
      </c>
      <c r="E20" s="1160"/>
      <c r="F20" s="1176"/>
      <c r="G20" s="1146" t="str">
        <f>IF(E20=0,"",VLOOKUP(E20,'Tablas Técnicas'!$A$14:$V$771,3,FALSE))</f>
        <v/>
      </c>
      <c r="H20" s="1161" t="str">
        <f>IF($E20=0,"",VLOOKUP($E20,'Tablas Técnicas'!$A$14:$V$771,4,FALSE))</f>
        <v/>
      </c>
      <c r="I20" s="1144" t="s">
        <v>2234</v>
      </c>
      <c r="J20" s="1601" t="str">
        <f>IF(E20=0,"",VLOOKUP(E20,'Tablas Técnicas'!$A$14:$V$771,5,FALSE))</f>
        <v/>
      </c>
      <c r="K20" s="1163" t="str">
        <f>IF(I20="Si",IF(E20=0,"",VLOOKUP(E20,'Tablas Técnicas'!$A$14:$V$771,5,FALSE)),"")</f>
        <v/>
      </c>
      <c r="L20" s="1144" t="s">
        <v>2234</v>
      </c>
      <c r="M20" s="1601" t="str">
        <f>IF(E20=0,"",VLOOKUP(E20,'Tablas Técnicas'!$A$14:$V$771,6,FALSE))</f>
        <v/>
      </c>
      <c r="N20" s="1147" t="str">
        <f>IF(L20="Si",IF(E20=0,"",VLOOKUP(E20,'Tablas Técnicas'!$A$14:$V$771,6,FALSE)),"")</f>
        <v/>
      </c>
      <c r="O20" s="1144" t="s">
        <v>2234</v>
      </c>
      <c r="P20" s="1601" t="str">
        <f>IF(E20=0,"",VLOOKUP(E20,'Tablas Técnicas'!$A$14:$V$771,7,FALSE))</f>
        <v/>
      </c>
      <c r="Q20" s="1147" t="str">
        <f>IF(O20="Si",IF(E20=0,"",VLOOKUP(E20,'Tablas Técnicas'!$A$14:$V$771,7,FALSE)),"")</f>
        <v/>
      </c>
      <c r="R20" s="1162" t="str">
        <f>IF(E20=0,"",VLOOKUP(E20,'Tablas Técnicas'!$A$14:$V$771,8,FALSE))</f>
        <v/>
      </c>
      <c r="S20" s="1161" t="str">
        <f>IF(R20=$D$8,$D$8,IF(R20=2,2,IF(R20=3,3,R20)))</f>
        <v/>
      </c>
      <c r="T20" s="4482" t="s">
        <v>5232</v>
      </c>
      <c r="U20" s="4483"/>
      <c r="V20" s="1579"/>
      <c r="W20" s="4484"/>
      <c r="X20" s="4485"/>
      <c r="Y20" s="4485"/>
      <c r="Z20" s="4485"/>
      <c r="AA20" s="4485"/>
      <c r="AB20" s="4485"/>
      <c r="AC20" s="4485"/>
      <c r="AD20" s="4485"/>
      <c r="AE20" s="4485"/>
      <c r="AF20" s="4486"/>
      <c r="AG20" s="4484"/>
      <c r="AH20" s="4485"/>
      <c r="AI20" s="4485"/>
      <c r="AJ20" s="4485"/>
      <c r="AK20" s="4485"/>
      <c r="AL20" s="4485"/>
      <c r="AM20" s="4485"/>
      <c r="AN20" s="4485"/>
      <c r="AO20" s="4485"/>
      <c r="AP20" s="4486"/>
      <c r="AQ20" s="4484"/>
      <c r="AR20" s="4485"/>
      <c r="AS20" s="4485"/>
      <c r="AT20" s="4485"/>
      <c r="AU20" s="4485"/>
      <c r="AV20" s="4485"/>
      <c r="AW20" s="4485"/>
      <c r="AX20" s="4485"/>
      <c r="AY20" s="4485"/>
      <c r="AZ20" s="4486"/>
      <c r="BA20" s="4484"/>
      <c r="BB20" s="4485"/>
      <c r="BC20" s="4485"/>
      <c r="BD20" s="4485"/>
      <c r="BE20" s="4485"/>
      <c r="BF20" s="4485"/>
      <c r="BG20" s="4485"/>
      <c r="BH20" s="4485"/>
      <c r="BI20" s="4485"/>
      <c r="BJ20" s="4486"/>
      <c r="BK20" s="1171">
        <f>SUM(K16:K20)-SUM(V20:BA20)</f>
        <v>0</v>
      </c>
      <c r="BL20" s="1629"/>
      <c r="BM20" s="1630"/>
      <c r="BN20" s="1149"/>
      <c r="BO20" s="1166"/>
      <c r="BP20" s="1135" t="str">
        <f>IF(I20="Si",VLOOKUP($D$8,'Tablas Técnicas'!$E$4:$F$6,2,FALSE),"")</f>
        <v/>
      </c>
      <c r="BQ20" s="1136" t="str">
        <f>IF(L20="Si",VLOOKUP($D$8,'Tablas Técnicas'!$I$4:$J$6,2,FALSE),"")</f>
        <v/>
      </c>
      <c r="BR20" s="1134" t="str">
        <f>IF(O20="Si",VLOOKUP($D$8,'Tablas Técnicas'!$I$7:$J$9,2,FALSE),"")</f>
        <v/>
      </c>
      <c r="BS20" s="1151"/>
      <c r="BT20" s="2862">
        <f>IF(BT14="No",0,IF(D8=0,0,VLOOKUP(D8,'Tablas Técnicas'!$L$4:$N$7,2,FALSE)))+IF(BT16="Bajar coste de CM",0,IF(BT16="-5 CM",2,IF(BT16="-10 CM",4,IF(BT16="-15 CM",6,IF(BT16="-20 CM",8,0)))))+IF(BT18="Bajar coste de Ki",0,IF(BT18="-1 Ki",-1,IF(BT18="-2 Ki",-2,IF(BT18="-3 Ki",-3,IF(BT18="-4 Ki",-4,IF(BT18="-5 Ki",-5,0))))))-BU23-BU25-BU27-BU29-BU31-BU33</f>
        <v>0</v>
      </c>
      <c r="BU20" s="2863">
        <f>IF(BT14="No",0,IF(D8=0,0,VLOOKUP(D8,'Tablas Técnicas'!$L$4:$N$7,2,FALSE)))+IF(BT16="Bajar coste de CM",0,IF(BT16="-5 CM",2,IF(BT16="-10 CM",4,IF(BT16="-15 CM",6,IF(BT16="-20 CM",8,0)))))+IF(BT18="Bajar coste de Ki",0,IF(BT18="-1 Ki",-1,IF(BT18="-2 Ki",-2,IF(BT18="-3 Ki",-3,IF(BT18="-4 Ki",-4,IF(BT18="-5 Ki",-5,0))))))</f>
        <v>0</v>
      </c>
      <c r="BV20" s="1128"/>
      <c r="BW20" s="1108"/>
      <c r="BX20" s="1108"/>
      <c r="BY20" s="1474"/>
      <c r="BZ20" s="4441"/>
      <c r="CA20" s="1096"/>
      <c r="DR20" s="1096"/>
      <c r="DS20" s="1507"/>
      <c r="DT20" s="1514"/>
      <c r="DU20" s="1569"/>
      <c r="DV20" s="1566" t="str">
        <f>IF(E20="","",E20)&amp;IF(I20="No",""," (Mant.)")&amp;IF(L20="No",""," (Sme)")&amp;IF(O20="No",""," (SMa)")</f>
        <v/>
      </c>
      <c r="DW20" s="1567"/>
      <c r="DX20" s="1568"/>
      <c r="DY20" s="1513"/>
      <c r="DZ20" s="1096"/>
      <c r="EA20" s="1660">
        <f t="shared" si="0"/>
        <v>1</v>
      </c>
    </row>
    <row r="21" spans="1:131" x14ac:dyDescent="0.2">
      <c r="A21" s="1096"/>
      <c r="B21" s="159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97"/>
      <c r="D21" s="1644">
        <v>3</v>
      </c>
      <c r="E21" s="1423"/>
      <c r="F21" s="1173"/>
      <c r="G21" s="1174"/>
      <c r="H21" s="2559">
        <f>IF(AND(OR(ISNUMBER(SEARCH("Afinidad Elemental ("&amp;BK16&amp;")",Principal!$AF$30)),ISNUMBER(SEARCH("Afinidad Elemental ("&amp;BL16&amp;")",Principal!$AF$30)),ISNUMBER(SEARCH("Afinidad Elemental ("&amp;BM16&amp;")",Principal!$AF$30))),SUM(H16:H20)&gt;=5),-5,0)</f>
        <v>0</v>
      </c>
      <c r="I21" s="1603"/>
      <c r="J21" s="1606"/>
      <c r="K21" s="1174"/>
      <c r="L21" s="1603"/>
      <c r="M21" s="1606"/>
      <c r="N21" s="1174"/>
      <c r="O21" s="1603"/>
      <c r="P21" s="1606"/>
      <c r="Q21" s="1174"/>
      <c r="R21" s="1175"/>
      <c r="S21" s="1174"/>
      <c r="T21" s="1174"/>
      <c r="U21" s="1174"/>
      <c r="V21" s="1174"/>
      <c r="W21" s="1174"/>
      <c r="X21" s="1174"/>
      <c r="Y21" s="1174"/>
      <c r="Z21" s="1174"/>
      <c r="AA21" s="1174"/>
      <c r="AB21" s="1174"/>
      <c r="AC21" s="1174"/>
      <c r="AD21" s="1174"/>
      <c r="AE21" s="1174"/>
      <c r="AF21" s="1174"/>
      <c r="AG21" s="1174"/>
      <c r="AH21" s="1174"/>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c r="BD21" s="1174"/>
      <c r="BE21" s="1174"/>
      <c r="BF21" s="1174"/>
      <c r="BG21" s="1174"/>
      <c r="BH21" s="1174"/>
      <c r="BI21" s="1174"/>
      <c r="BJ21" s="1174"/>
      <c r="BK21" s="1174"/>
      <c r="BL21" s="1174"/>
      <c r="BM21" s="1184"/>
      <c r="BN21" s="1185">
        <f>SUM(K21:K24)</f>
        <v>0</v>
      </c>
      <c r="BO21" s="1128" t="str">
        <f>IF(E21=0,"",(AF21+AP21+AZ21+BJ21))</f>
        <v/>
      </c>
      <c r="BP21" s="1186" t="str">
        <f>IF(I21="Si",VLOOKUP($D$8,'Tablas Técnicas'!$E$4:$F$6,2,FALSE),"")</f>
        <v/>
      </c>
      <c r="BQ21" s="1187" t="str">
        <f>IF(L21="Si",VLOOKUP($D$8,'Tablas Técnicas'!$I$4:$J$6,2,FALSE),"")</f>
        <v/>
      </c>
      <c r="BR21" s="1185" t="str">
        <f>IF(O21="Si",VLOOKUP($D$8,'Tablas Técnicas'!$I$7:$J$9,2,FALSE),"")</f>
        <v/>
      </c>
      <c r="BS21" s="1151"/>
      <c r="BU21" s="1113"/>
      <c r="BV21" s="1128"/>
      <c r="BW21" s="1108"/>
      <c r="BX21" s="1108"/>
      <c r="BY21" s="1474"/>
      <c r="BZ21" s="4441"/>
      <c r="CA21" s="1096"/>
      <c r="DR21" s="1096"/>
      <c r="DS21" s="1507"/>
      <c r="DT21" s="1514"/>
      <c r="DU21" s="1569"/>
      <c r="DV21" s="1570"/>
      <c r="DW21" s="1567"/>
      <c r="DX21" s="1568"/>
      <c r="DY21" s="1513"/>
      <c r="DZ21" s="1096"/>
      <c r="EA21" s="1660">
        <f t="shared" si="0"/>
        <v>1</v>
      </c>
    </row>
    <row r="22" spans="1:131" x14ac:dyDescent="0.2">
      <c r="A22" s="1096"/>
      <c r="B22" s="1096"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97"/>
      <c r="D22" s="1643" t="s">
        <v>2310</v>
      </c>
      <c r="E22" s="1140"/>
      <c r="F22" s="1176"/>
      <c r="G22" s="1146" t="str">
        <f>IF(E22=0,"",VLOOKUP(E22,'Tablas Técnicas'!$A$14:$V$771,3,FALSE))</f>
        <v/>
      </c>
      <c r="H22" s="1188" t="str">
        <f>IF($E22=0,"",VLOOKUP($E22,'Tablas Técnicas'!$A$14:$V$771,4,FALSE))</f>
        <v/>
      </c>
      <c r="I22" s="1144" t="s">
        <v>2234</v>
      </c>
      <c r="J22" s="1607" t="str">
        <f>IF(E22=0,"",VLOOKUP(E22,'Tablas Técnicas'!$A$14:$V$771,5,FALSE))</f>
        <v/>
      </c>
      <c r="K22" s="1190" t="str">
        <f>IF(I22="Si",IF(E22=0,"",VLOOKUP(E22,'Tablas Técnicas'!$A$14:$V$771,5,FALSE)),"")</f>
        <v/>
      </c>
      <c r="L22" s="1144" t="s">
        <v>2234</v>
      </c>
      <c r="M22" s="1607" t="str">
        <f>IF(E22=0,"",VLOOKUP(E22,'Tablas Técnicas'!$A$14:$V$771,6,FALSE))</f>
        <v/>
      </c>
      <c r="N22" s="1147" t="str">
        <f>IF(L22="Si",IF(E22=0,"",VLOOKUP(E22,'Tablas Técnicas'!$A$14:$V$771,6,FALSE)),"")</f>
        <v/>
      </c>
      <c r="O22" s="1144" t="s">
        <v>2234</v>
      </c>
      <c r="P22" s="1607" t="str">
        <f>IF(E22=0,"",VLOOKUP(E22,'Tablas Técnicas'!$A$14:$V$771,7,FALSE))</f>
        <v/>
      </c>
      <c r="Q22" s="1147" t="str">
        <f>IF(O22="Si",IF(E22=0,"",VLOOKUP(E22,'Tablas Técnicas'!$A$14:$V$771,7,FALSE)),"")</f>
        <v/>
      </c>
      <c r="R22" s="1189" t="str">
        <f>IF(E22=0,"",VLOOKUP(E22,'Tablas Técnicas'!$A$14:$V$771,8,FALSE))</f>
        <v/>
      </c>
      <c r="S22" s="1161" t="str">
        <f>IF(R22=$D$8,$D$8,IF(R22=2,2,IF(R22=3,3,R22)))</f>
        <v/>
      </c>
      <c r="T22" s="1190" t="str">
        <f>IF(E22=0,"",VLOOKUP(E22,'Tablas Técnicas'!$A$14:$V$771,9,FALSE))</f>
        <v/>
      </c>
      <c r="U22" s="1190" t="str">
        <f>IF(E22=0,"",VLOOKUP(E22,'Tablas Técnicas'!$A$14:$V$771,10,FALSE))</f>
        <v/>
      </c>
      <c r="V22" s="1191" t="str">
        <f>IF(E22=0,"",VLOOKUP(E22,'Tablas Técnicas'!$A$14:$V$771,11,FALSE))</f>
        <v/>
      </c>
      <c r="W22" s="1144"/>
      <c r="X22" s="1145" t="e">
        <f>VLOOKUP(E22,'Tablas Técnicas'!$A$14:$V$771,12,FALSE)</f>
        <v>#N/A</v>
      </c>
      <c r="Y22" s="1145" t="e">
        <f>IF(W22=X22,VLOOKUP(E22,'Tablas Técnicas'!$A$14:$V$771,13,FALSE),0)</f>
        <v>#N/A</v>
      </c>
      <c r="Z22" s="1145" t="e">
        <f>VLOOKUP(E22,'Tablas Técnicas'!$A$14:$V$771,14,FALSE)</f>
        <v>#N/A</v>
      </c>
      <c r="AA22" s="1145" t="e">
        <f>IF(W22=Z22,VLOOKUP(E22,'Tablas Técnicas'!$A$14:$V$616,15,FALSE),0)</f>
        <v>#N/A</v>
      </c>
      <c r="AB22" s="1145" t="e">
        <f>VLOOKUP(E22,'Tablas Técnicas'!$A$14:$V$771,16,FALSE)</f>
        <v>#N/A</v>
      </c>
      <c r="AC22" s="1145" t="e">
        <f>IF(W22=AB22,VLOOKUP(E22,'Tablas Técnicas'!$A$14:$V$616,17,FALSE),0)</f>
        <v>#N/A</v>
      </c>
      <c r="AD22" s="1145" t="e">
        <f>VLOOKUP(E22,'Tablas Técnicas'!$A$14:$V$771,18,FALSE)</f>
        <v>#N/A</v>
      </c>
      <c r="AE22" s="1145" t="e">
        <f>IF(W22=AD22,VLOOKUP(E22,'Tablas Técnicas'!$A$14:$V$771,19,FALSE),0)</f>
        <v>#N/A</v>
      </c>
      <c r="AF22" s="1163" t="str">
        <f>IF(E22=0,"",(Y22+AA22+AC22+AE22))</f>
        <v/>
      </c>
      <c r="AG22" s="1144"/>
      <c r="AH22" s="1162" t="e">
        <f>VLOOKUP(E22,'Tablas Técnicas'!$A$14:$V$771,12,FALSE)</f>
        <v>#N/A</v>
      </c>
      <c r="AI22" s="1162" t="e">
        <f>IF(AG22=AH22,VLOOKUP(E22,'Tablas Técnicas'!$A$14:$V$771,13,FALSE),0)</f>
        <v>#N/A</v>
      </c>
      <c r="AJ22" s="1162" t="e">
        <f>VLOOKUP(E22,'Tablas Técnicas'!$A$14:$V$771,14,FALSE)</f>
        <v>#N/A</v>
      </c>
      <c r="AK22" s="1162" t="e">
        <f>IF(AG22=AJ22,VLOOKUP(E22,'Tablas Técnicas'!$A$14:$V$771,15,FALSE),0)</f>
        <v>#N/A</v>
      </c>
      <c r="AL22" s="1162" t="e">
        <f>VLOOKUP(E22,'Tablas Técnicas'!$A$14:$V$771,16,FALSE)</f>
        <v>#N/A</v>
      </c>
      <c r="AM22" s="1162" t="e">
        <f>IF(AG22=AL22,VLOOKUP(E22,'Tablas Técnicas'!$A$14:$V$771,17,FALSE),0)</f>
        <v>#N/A</v>
      </c>
      <c r="AN22" s="1162" t="e">
        <f>VLOOKUP(E22,'Tablas Técnicas'!$A$14:$V$771,18,FALSE)</f>
        <v>#N/A</v>
      </c>
      <c r="AO22" s="1162" t="e">
        <f>IF(AG22=AN22,VLOOKUP(E22,'Tablas Técnicas'!$A$14:$V$771,19,FALSE),0)</f>
        <v>#N/A</v>
      </c>
      <c r="AP22" s="1583" t="str">
        <f>IF(E22=0,"",(AI22+AK22+AM22+AO22))</f>
        <v/>
      </c>
      <c r="AQ22" s="1144"/>
      <c r="AR22" s="1162" t="e">
        <f>VLOOKUP(E22,'Tablas Técnicas'!$A$14:$V$771,12,FALSE)</f>
        <v>#N/A</v>
      </c>
      <c r="AS22" s="1162" t="e">
        <f>IF(AQ22=AR22,VLOOKUP(E22,'Tablas Técnicas'!$A$14:$V$771,13,FALSE),0)</f>
        <v>#N/A</v>
      </c>
      <c r="AT22" s="1162" t="e">
        <f>VLOOKUP(E22,'Tablas Técnicas'!$A$14:$V$771,14,FALSE)</f>
        <v>#N/A</v>
      </c>
      <c r="AU22" s="1162" t="e">
        <f>IF(AQ22=AT22,VLOOKUP(E22,'Tablas Técnicas'!$A$14:$V$771,15,FALSE),0)</f>
        <v>#N/A</v>
      </c>
      <c r="AV22" s="1162" t="e">
        <f>VLOOKUP(E22,'Tablas Técnicas'!$A$14:$V$771,16,FALSE)</f>
        <v>#N/A</v>
      </c>
      <c r="AW22" s="1162" t="e">
        <f>IF(AQ22=AV22,VLOOKUP(E22,'Tablas Técnicas'!$A$14:$V$771,17,FALSE),0)</f>
        <v>#N/A</v>
      </c>
      <c r="AX22" s="1162" t="e">
        <f>VLOOKUP(E22,'Tablas Técnicas'!$A$14:$V$771,18,FALSE)</f>
        <v>#N/A</v>
      </c>
      <c r="AY22" s="1162" t="e">
        <f>IF(AQ22=AX22,VLOOKUP(E22,'Tablas Técnicas'!$A$14:$V$771,19,FALSE),0)</f>
        <v>#N/A</v>
      </c>
      <c r="AZ22" s="1163" t="str">
        <f>IF(E22=0,"",(AS22+AU22+AW22+AY22))</f>
        <v/>
      </c>
      <c r="BA22" s="1144"/>
      <c r="BB22" s="1162" t="e">
        <f>VLOOKUP(E22,'Tablas Técnicas'!$A$14:$V$771,12,FALSE)</f>
        <v>#N/A</v>
      </c>
      <c r="BC22" s="1162" t="e">
        <f>IF(BA22=BB22,VLOOKUP(E22,'Tablas Técnicas'!$A$14:$V$771,13,FALSE),0)</f>
        <v>#N/A</v>
      </c>
      <c r="BD22" s="1162" t="e">
        <f>VLOOKUP(E22,'Tablas Técnicas'!$A$14:$V$771,14,FALSE)</f>
        <v>#N/A</v>
      </c>
      <c r="BE22" s="1162" t="e">
        <f>IF(BA22=BD22,VLOOKUP(E22,'Tablas Técnicas'!$A$14:$V$771,15,FALSE),0)</f>
        <v>#N/A</v>
      </c>
      <c r="BF22" s="1162" t="e">
        <f>VLOOKUP(E22,'Tablas Técnicas'!$A$14:$V$771,16,FALSE)</f>
        <v>#N/A</v>
      </c>
      <c r="BG22" s="1162" t="e">
        <f>IF(BA22=BF22,VLOOKUP(E22,'Tablas Técnicas'!$A$14:$V$771,17,FALSE),0)</f>
        <v>#N/A</v>
      </c>
      <c r="BH22" s="1162" t="e">
        <f>VLOOKUP(E22,'Tablas Técnicas'!$A$14:$V$771,18,FALSE)</f>
        <v>#N/A</v>
      </c>
      <c r="BI22" s="1162" t="e">
        <f>IF(BA22=BH22,VLOOKUP(E22,'Tablas Técnicas'!$A$14:$V$771,19,FALSE),0)</f>
        <v>#N/A</v>
      </c>
      <c r="BJ22" s="1583" t="str">
        <f>IF(E22=0,"",(BC22+BE22+BG22+BI22))</f>
        <v/>
      </c>
      <c r="BK22" s="1190" t="str">
        <f>IF(E22=0,"",VLOOKUP(E22,'Tablas Técnicas'!$A$14:$V$771,20,FALSE))</f>
        <v/>
      </c>
      <c r="BL22" s="1177" t="str">
        <f>IF(E22=0,"",VLOOKUP(E22,'Tablas Técnicas'!$A$14:$V$771,21,FALSE))</f>
        <v/>
      </c>
      <c r="BM22" s="1148" t="str">
        <f>IF(E22=0,"",VLOOKUP(E22,'Tablas Técnicas'!$A$14:$V$771,22,FALSE))</f>
        <v/>
      </c>
      <c r="BN22" s="1149"/>
      <c r="BO22" s="1150"/>
      <c r="BP22" s="1135" t="str">
        <f>IF(I22="Si",VLOOKUP($D$8,'Tablas Técnicas'!$E$4:$F$6,2,FALSE),"")</f>
        <v/>
      </c>
      <c r="BQ22" s="1136" t="str">
        <f>IF(L22="Si",VLOOKUP($D$8,'Tablas Técnicas'!$I$4:$J$6,2,FALSE),"")</f>
        <v/>
      </c>
      <c r="BR22" s="1134" t="str">
        <f>IF(O22="Si",VLOOKUP($D$8,'Tablas Técnicas'!$I$7:$J$9,2,FALSE),"")</f>
        <v/>
      </c>
      <c r="BS22" s="1151"/>
      <c r="BT22" s="1574" t="s">
        <v>2226</v>
      </c>
      <c r="BU22" s="1573" t="s">
        <v>5236</v>
      </c>
      <c r="BV22" s="1128"/>
      <c r="BW22" s="1573" t="s">
        <v>5237</v>
      </c>
      <c r="BX22" s="1574" t="s">
        <v>5238</v>
      </c>
      <c r="BY22" s="1488" t="s">
        <v>5238</v>
      </c>
      <c r="BZ22" s="4441"/>
      <c r="CA22" s="1096"/>
      <c r="DR22" s="1096"/>
      <c r="DS22" s="1507"/>
      <c r="DT22" s="1515"/>
      <c r="DU22" s="1569"/>
      <c r="DV22" s="1566" t="str">
        <f>IF(E22="","",", "&amp;E22)&amp;IF(I22="No",""," (Mant.)")&amp;IF(L22="No",""," (Sme)")&amp;IF(O22="No",""," (SMa)")</f>
        <v/>
      </c>
      <c r="DW22" s="1567"/>
      <c r="DX22" s="1568"/>
      <c r="DY22" s="1513"/>
      <c r="DZ22" s="1096"/>
      <c r="EA22" s="1660">
        <f t="shared" si="0"/>
        <v>1</v>
      </c>
    </row>
    <row r="23" spans="1:131" x14ac:dyDescent="0.2">
      <c r="A23" s="1096"/>
      <c r="B23" s="1096"/>
      <c r="C23" s="1497"/>
      <c r="D23" s="1642" t="s">
        <v>2310</v>
      </c>
      <c r="E23" s="1152"/>
      <c r="F23" s="1182"/>
      <c r="G23" s="1627" t="str">
        <f>IF(E23=0,"",VLOOKUP(E23,'Tablas Técnicas'!$A$14:$V$771,3,FALSE))</f>
        <v/>
      </c>
      <c r="H23" s="1155" t="str">
        <f>IF($E23=0,"",VLOOKUP($E23,'Tablas Técnicas'!$A$14:$V$771,4,FALSE))</f>
        <v/>
      </c>
      <c r="I23" s="1156" t="s">
        <v>2234</v>
      </c>
      <c r="J23" s="1605" t="str">
        <f>IF(E23=0,"",VLOOKUP(E23,'Tablas Técnicas'!$A$14:$V$771,5,FALSE))</f>
        <v/>
      </c>
      <c r="K23" s="1158" t="str">
        <f>IF(I23="Si",IF(E23=0,"",VLOOKUP(E23,'Tablas Técnicas'!$A$14:$V$771,5,FALSE)),"")</f>
        <v/>
      </c>
      <c r="L23" s="1156" t="s">
        <v>2234</v>
      </c>
      <c r="M23" s="1605" t="str">
        <f>IF(E23=0,"",VLOOKUP(E23,'Tablas Técnicas'!$A$14:$V$771,6,FALSE))</f>
        <v/>
      </c>
      <c r="N23" s="1159" t="str">
        <f>IF(L23="Si",IF(E23=0,"",VLOOKUP(E23,'Tablas Técnicas'!$A$14:$V$771,6,FALSE)),"")</f>
        <v/>
      </c>
      <c r="O23" s="1156" t="s">
        <v>2234</v>
      </c>
      <c r="P23" s="1605" t="str">
        <f>IF(E23=0,"",VLOOKUP(E23,'Tablas Técnicas'!$A$14:$V$771,7,FALSE))</f>
        <v/>
      </c>
      <c r="Q23" s="1159" t="str">
        <f>IF(O23="Si",IF(E23=0,"",VLOOKUP(E23,'Tablas Técnicas'!$A$14:$V$771,7,FALSE)),"")</f>
        <v/>
      </c>
      <c r="R23" s="1157" t="str">
        <f>IF(E23=0,"",VLOOKUP(E23,'Tablas Técnicas'!$A$14:$V$771,8,FALSE))</f>
        <v/>
      </c>
      <c r="S23" s="1155" t="str">
        <f>IF(R23=$D$8,$D$8,IF(R23=2,2,IF(R23=3,3,R23)))</f>
        <v/>
      </c>
      <c r="T23" s="4475" t="s">
        <v>5228</v>
      </c>
      <c r="U23" s="4476"/>
      <c r="V23" s="4476"/>
      <c r="W23" s="4476"/>
      <c r="X23" s="4476"/>
      <c r="Y23" s="4476"/>
      <c r="Z23" s="4476"/>
      <c r="AA23" s="4476"/>
      <c r="AB23" s="4476"/>
      <c r="AC23" s="4476"/>
      <c r="AD23" s="4476"/>
      <c r="AE23" s="4476"/>
      <c r="AF23" s="4476"/>
      <c r="AG23" s="4476"/>
      <c r="AH23" s="4476"/>
      <c r="AI23" s="4476"/>
      <c r="AJ23" s="4476"/>
      <c r="AK23" s="4476"/>
      <c r="AL23" s="4476"/>
      <c r="AM23" s="4476"/>
      <c r="AN23" s="4476"/>
      <c r="AO23" s="4476"/>
      <c r="AP23" s="4476"/>
      <c r="AQ23" s="4476"/>
      <c r="AR23" s="4476"/>
      <c r="AS23" s="4476"/>
      <c r="AT23" s="4476"/>
      <c r="AU23" s="4476"/>
      <c r="AV23" s="4476"/>
      <c r="AW23" s="4476"/>
      <c r="AX23" s="4476"/>
      <c r="AY23" s="4476"/>
      <c r="AZ23" s="4476"/>
      <c r="BA23" s="4476"/>
      <c r="BB23" s="4476"/>
      <c r="BC23" s="4476"/>
      <c r="BD23" s="4476"/>
      <c r="BE23" s="4476"/>
      <c r="BF23" s="4476"/>
      <c r="BG23" s="4476"/>
      <c r="BH23" s="4476"/>
      <c r="BI23" s="4476"/>
      <c r="BJ23" s="4476"/>
      <c r="BK23" s="4477"/>
      <c r="BL23" s="1627"/>
      <c r="BM23" s="1628"/>
      <c r="BN23" s="1149"/>
      <c r="BO23" s="1150"/>
      <c r="BP23" s="1135" t="str">
        <f>IF(I23="Si",VLOOKUP($D$8,'Tablas Técnicas'!$E$4:$F$6,2,FALSE),"")</f>
        <v/>
      </c>
      <c r="BQ23" s="1136" t="str">
        <f>IF(L23="Si",VLOOKUP($D$8,'Tablas Técnicas'!$I$4:$J$6,2,FALSE),"")</f>
        <v/>
      </c>
      <c r="BR23" s="1134" t="str">
        <f>IF(O23="Si",VLOOKUP($D$8,'Tablas Técnicas'!$I$7:$J$9,2,FALSE),"")</f>
        <v/>
      </c>
      <c r="BS23" s="1151"/>
      <c r="BT23" s="158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64"/>
      <c r="BV23" s="1128"/>
      <c r="BW23" s="1183" t="str">
        <f>IF(SUM(BT23:BU23)=0,"N/A",SUM(BT23:BU23))</f>
        <v>N/A</v>
      </c>
      <c r="BX23" s="158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83" t="str">
        <f>IF(BX23=0,"N/A",BX23)</f>
        <v>N/A</v>
      </c>
      <c r="BZ23" s="1585"/>
      <c r="CA23" s="1096"/>
      <c r="DR23" s="1096"/>
      <c r="DS23" s="1507"/>
      <c r="DT23" s="1514"/>
      <c r="DU23" s="1569"/>
      <c r="DV23" s="1566" t="str">
        <f>IF(E23="",""," "&amp;E23)&amp;IF(I23="No",""," (Mant.)")&amp;IF(L23="No",""," (Sme)")&amp;IF(O23="No",""," (SMa)")</f>
        <v/>
      </c>
      <c r="DW23" s="1567"/>
      <c r="DX23" s="1568"/>
      <c r="DY23" s="1513"/>
      <c r="DZ23" s="1096"/>
      <c r="EA23" s="1660">
        <f t="shared" si="0"/>
        <v>1</v>
      </c>
    </row>
    <row r="24" spans="1:131" x14ac:dyDescent="0.2">
      <c r="A24" s="1096"/>
      <c r="B24" s="1096"/>
      <c r="C24" s="1497"/>
      <c r="D24" s="1643" t="s">
        <v>2310</v>
      </c>
      <c r="E24" s="1160"/>
      <c r="F24" s="1176"/>
      <c r="G24" s="1146" t="str">
        <f>IF(E24=0,"",VLOOKUP(E24,'Tablas Técnicas'!$A$14:$V$771,3,FALSE))</f>
        <v/>
      </c>
      <c r="H24" s="1582" t="str">
        <f>IF($E24=0,"",VLOOKUP($E24,'Tablas Técnicas'!$A$14:$V$771,4,FALSE))</f>
        <v/>
      </c>
      <c r="I24" s="1144" t="s">
        <v>2234</v>
      </c>
      <c r="J24" s="1601" t="str">
        <f>IF(E24=0,"",VLOOKUP(E24,'Tablas Técnicas'!$A$14:$V$771,5,FALSE))</f>
        <v/>
      </c>
      <c r="K24" s="1163" t="str">
        <f>IF(I24="Si",IF(E24=0,"",VLOOKUP(E24,'Tablas Técnicas'!$A$14:$V$771,5,FALSE)),"")</f>
        <v/>
      </c>
      <c r="L24" s="1144" t="s">
        <v>2234</v>
      </c>
      <c r="M24" s="1601" t="str">
        <f>IF(E24=0,"",VLOOKUP(E24,'Tablas Técnicas'!$A$14:$V$771,6,FALSE))</f>
        <v/>
      </c>
      <c r="N24" s="1147" t="str">
        <f>IF(L24="Si",IF(E24=0,"",VLOOKUP(E24,'Tablas Técnicas'!$A$14:$V$771,6,FALSE)),"")</f>
        <v/>
      </c>
      <c r="O24" s="1144" t="s">
        <v>2234</v>
      </c>
      <c r="P24" s="1601" t="str">
        <f>IF(E24=0,"",VLOOKUP(E24,'Tablas Técnicas'!$A$14:$V$771,7,FALSE))</f>
        <v/>
      </c>
      <c r="Q24" s="1147" t="str">
        <f>IF(O24="Si",IF(E24=0,"",VLOOKUP(E24,'Tablas Técnicas'!$A$14:$V$771,7,FALSE)),"")</f>
        <v/>
      </c>
      <c r="R24" s="1162" t="str">
        <f>IF(E24=0,"",VLOOKUP(E24,'Tablas Técnicas'!$A$14:$V$771,8,FALSE))</f>
        <v/>
      </c>
      <c r="S24" s="1582" t="str">
        <f>IF(R24=$D$8,$D$8,IF(R24=2,2,IF(R24=3,3,R24)))</f>
        <v/>
      </c>
      <c r="T24" s="4487"/>
      <c r="U24" s="4488"/>
      <c r="V24" s="1575" t="str">
        <f>IF(OR(V22=0,V22=""),"N/A",V22)</f>
        <v>N/A</v>
      </c>
      <c r="W24" s="4487" t="str">
        <f xml:space="preserve"> IF(OR(AF22=0,AF22=""),"N/A",W22)</f>
        <v>N/A</v>
      </c>
      <c r="X24" s="4489"/>
      <c r="Y24" s="4489"/>
      <c r="Z24" s="4489"/>
      <c r="AA24" s="4489"/>
      <c r="AB24" s="4489"/>
      <c r="AC24" s="4489"/>
      <c r="AD24" s="4489"/>
      <c r="AE24" s="4489"/>
      <c r="AF24" s="4488"/>
      <c r="AG24" s="4487" t="str">
        <f xml:space="preserve"> IF(OR(AP22="",AP22=0),"N/A",AG22)</f>
        <v>N/A</v>
      </c>
      <c r="AH24" s="4489"/>
      <c r="AI24" s="4489"/>
      <c r="AJ24" s="4489"/>
      <c r="AK24" s="4489"/>
      <c r="AL24" s="4489"/>
      <c r="AM24" s="4489"/>
      <c r="AN24" s="4489"/>
      <c r="AO24" s="4489"/>
      <c r="AP24" s="4488"/>
      <c r="AQ24" s="4487" t="str">
        <f xml:space="preserve"> IF(OR(AZ22="",AZ22=0),"N/A",AQ22)</f>
        <v>N/A</v>
      </c>
      <c r="AR24" s="4489"/>
      <c r="AS24" s="4489"/>
      <c r="AT24" s="4489"/>
      <c r="AU24" s="4489"/>
      <c r="AV24" s="4489"/>
      <c r="AW24" s="4489"/>
      <c r="AX24" s="4489"/>
      <c r="AY24" s="4489"/>
      <c r="AZ24" s="4488"/>
      <c r="BA24" s="4487" t="str">
        <f xml:space="preserve"> IF(OR(BJ22="",BJ22=0),"N/A",BA22)</f>
        <v>N/A</v>
      </c>
      <c r="BB24" s="4489"/>
      <c r="BC24" s="4489"/>
      <c r="BD24" s="4489"/>
      <c r="BE24" s="4489"/>
      <c r="BF24" s="4489"/>
      <c r="BG24" s="4489"/>
      <c r="BH24" s="4489"/>
      <c r="BI24" s="4489"/>
      <c r="BJ24" s="4488"/>
      <c r="BK24" s="1164" t="s">
        <v>5229</v>
      </c>
      <c r="BL24" s="1146"/>
      <c r="BM24" s="1181"/>
      <c r="BN24" s="1165"/>
      <c r="BO24" s="1166"/>
      <c r="BP24" s="1167" t="str">
        <f>IF(I24="Si",VLOOKUP($D$8,'Tablas Técnicas'!$E$4:$F$6,2,FALSE),"")</f>
        <v/>
      </c>
      <c r="BQ24" s="1137" t="str">
        <f>IF(L24="Si",VLOOKUP($D$8,'Tablas Técnicas'!$I$4:$J$6,2,FALSE),"")</f>
        <v/>
      </c>
      <c r="BR24" s="1168" t="str">
        <f>IF(O24="Si",VLOOKUP($D$8,'Tablas Técnicas'!$I$7:$J$9,2,FALSE),"")</f>
        <v/>
      </c>
      <c r="BS24" s="1151"/>
      <c r="BT24" s="1574" t="s">
        <v>2354</v>
      </c>
      <c r="BU24" s="1573" t="s">
        <v>5236</v>
      </c>
      <c r="BV24" s="1128"/>
      <c r="BW24" s="1573" t="s">
        <v>5237</v>
      </c>
      <c r="BX24" s="1574" t="s">
        <v>5238</v>
      </c>
      <c r="BY24" s="1489" t="s">
        <v>5238</v>
      </c>
      <c r="BZ24" s="1585"/>
      <c r="CA24" s="1096"/>
      <c r="DR24" s="1096"/>
      <c r="DS24" s="1507"/>
      <c r="DT24" s="1514"/>
      <c r="DU24" s="1569"/>
      <c r="DV24" s="1566" t="str">
        <f>IF(E24="","",E24)&amp;IF(I24="No",""," (Mant.)")&amp;IF(L24="No",""," (Sme)")&amp;IF(O24="No",""," (SMa)")</f>
        <v/>
      </c>
      <c r="DW24" s="1566"/>
      <c r="DX24" s="1568"/>
      <c r="DY24" s="1513"/>
      <c r="DZ24" s="1096"/>
      <c r="EA24" s="1660">
        <f t="shared" si="0"/>
        <v>1</v>
      </c>
    </row>
    <row r="25" spans="1:131" s="1170" customFormat="1" x14ac:dyDescent="0.2">
      <c r="A25" s="1096"/>
      <c r="B25" s="1096"/>
      <c r="C25" s="1559"/>
      <c r="D25" s="1642" t="s">
        <v>2310</v>
      </c>
      <c r="E25" s="1152"/>
      <c r="F25" s="1182"/>
      <c r="G25" s="1627" t="str">
        <f>IF(E25=0,"",VLOOKUP(E25,'Tablas Técnicas'!$A$14:$V$771,3,FALSE))</f>
        <v/>
      </c>
      <c r="H25" s="1155" t="str">
        <f>IF($E25=0,"",VLOOKUP($E25,'Tablas Técnicas'!$A$14:$V$771,4,FALSE))</f>
        <v/>
      </c>
      <c r="I25" s="1156" t="s">
        <v>2234</v>
      </c>
      <c r="J25" s="1605" t="str">
        <f>IF(E25=0,"",VLOOKUP(E25,'Tablas Técnicas'!$A$14:$V$771,5,FALSE))</f>
        <v/>
      </c>
      <c r="K25" s="1158" t="str">
        <f>IF(I25="Si",IF(E25=0,"",VLOOKUP(E25,'Tablas Técnicas'!$A$14:$V$771,5,FALSE)),"")</f>
        <v/>
      </c>
      <c r="L25" s="1156" t="s">
        <v>2234</v>
      </c>
      <c r="M25" s="1605" t="str">
        <f>IF(E25=0,"",VLOOKUP(E25,'Tablas Técnicas'!$A$14:$V$771,6,FALSE))</f>
        <v/>
      </c>
      <c r="N25" s="1159" t="str">
        <f>IF(L25="Si",IF(E25=0,"",VLOOKUP(E25,'Tablas Técnicas'!$A$14:$V$771,6,FALSE)),"")</f>
        <v/>
      </c>
      <c r="O25" s="1156" t="s">
        <v>2234</v>
      </c>
      <c r="P25" s="1605" t="str">
        <f>IF(E25=0,"",VLOOKUP(E25,'Tablas Técnicas'!$A$14:$V$771,7,FALSE))</f>
        <v/>
      </c>
      <c r="Q25" s="1159" t="str">
        <f>IF(O25="Si",IF(E25=0,"",VLOOKUP(E25,'Tablas Técnicas'!$A$14:$V$771,7,FALSE)),"")</f>
        <v/>
      </c>
      <c r="R25" s="1157" t="str">
        <f>IF(E25=0,"",VLOOKUP(E25,'Tablas Técnicas'!$A$14:$V$771,8,FALSE))</f>
        <v/>
      </c>
      <c r="S25" s="1155" t="str">
        <f>IF(R25=$D$8,$D$8,IF(R25=2,2,IF(R25=3,3,R25)))</f>
        <v/>
      </c>
      <c r="T25" s="4490" t="s">
        <v>5230</v>
      </c>
      <c r="U25" s="4491"/>
      <c r="V25" s="1581"/>
      <c r="W25" s="4492"/>
      <c r="X25" s="4493"/>
      <c r="Y25" s="4493"/>
      <c r="Z25" s="4493"/>
      <c r="AA25" s="4493"/>
      <c r="AB25" s="4493"/>
      <c r="AC25" s="4493"/>
      <c r="AD25" s="4493"/>
      <c r="AE25" s="4493"/>
      <c r="AF25" s="4494"/>
      <c r="AG25" s="4492"/>
      <c r="AH25" s="4493"/>
      <c r="AI25" s="4493"/>
      <c r="AJ25" s="4493"/>
      <c r="AK25" s="4493"/>
      <c r="AL25" s="4493"/>
      <c r="AM25" s="4493"/>
      <c r="AN25" s="4493"/>
      <c r="AO25" s="4493"/>
      <c r="AP25" s="4494"/>
      <c r="AQ25" s="4492"/>
      <c r="AR25" s="4493"/>
      <c r="AS25" s="4493"/>
      <c r="AT25" s="4493"/>
      <c r="AU25" s="4493"/>
      <c r="AV25" s="4493"/>
      <c r="AW25" s="4493"/>
      <c r="AX25" s="4493"/>
      <c r="AY25" s="4493"/>
      <c r="AZ25" s="4494"/>
      <c r="BA25" s="4492"/>
      <c r="BB25" s="4493"/>
      <c r="BC25" s="4493"/>
      <c r="BD25" s="4493"/>
      <c r="BE25" s="4493"/>
      <c r="BF25" s="4493"/>
      <c r="BG25" s="4493"/>
      <c r="BH25" s="4493"/>
      <c r="BI25" s="4493"/>
      <c r="BJ25" s="4494"/>
      <c r="BK25" s="1155">
        <f>(SUM(G22:G26)+IF(AF22="",0,AF22)+IF(AP22="",0,AP22)+IF(AZ22="",0,AZ22)+IF(BJ22="",0,BJ22)+SUM(K22:K26)+SUM(N22:N26)+SUM(Q22:Q26))- SUM(V25:BA25)</f>
        <v>0</v>
      </c>
      <c r="BL25" s="1627"/>
      <c r="BM25" s="1628"/>
      <c r="BN25" s="1149"/>
      <c r="BO25" s="1150"/>
      <c r="BP25" s="1135" t="str">
        <f>IF(I25="Si",VLOOKUP($D$8,'Tablas Técnicas'!$E$4:$F$6,2,FALSE),"")</f>
        <v/>
      </c>
      <c r="BQ25" s="1136" t="str">
        <f>IF(L25="Si",VLOOKUP($D$8,'Tablas Técnicas'!$I$4:$J$6,2,FALSE),"")</f>
        <v/>
      </c>
      <c r="BR25" s="1134" t="str">
        <f>IF(O25="Si",VLOOKUP($D$8,'Tablas Técnicas'!$I$7:$J$9,2,FALSE),"")</f>
        <v/>
      </c>
      <c r="BS25" s="1151"/>
      <c r="BT25" s="158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64"/>
      <c r="BV25" s="1128"/>
      <c r="BW25" s="1183" t="str">
        <f>IF(SUM(BT25:BU25)=0,"N/A",SUM(BT25:BU25))</f>
        <v>N/A</v>
      </c>
      <c r="BX25" s="158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83" t="str">
        <f>IF(BX25=0,"N/A",BX25)</f>
        <v>N/A</v>
      </c>
      <c r="BZ25" s="1585"/>
      <c r="CA25" s="1100"/>
      <c r="DR25" s="1100"/>
      <c r="DS25" s="1508"/>
      <c r="DT25" s="1514"/>
      <c r="DU25" s="1565"/>
      <c r="DV25" s="1566" t="str">
        <f>IF(E25="","",E25)&amp;IF(I25="No",""," (Mant.)")&amp;IF(L25="No",""," (Sme)")&amp;IF(O25="No",""," (SMa)")</f>
        <v/>
      </c>
      <c r="DW25" s="1566"/>
      <c r="DX25" s="1571"/>
      <c r="DY25" s="1516"/>
      <c r="DZ25" s="1100"/>
      <c r="EA25" s="1660">
        <f t="shared" si="0"/>
        <v>1</v>
      </c>
    </row>
    <row r="26" spans="1:131" x14ac:dyDescent="0.2">
      <c r="A26" s="1096"/>
      <c r="B26" s="1096"/>
      <c r="C26" s="1497"/>
      <c r="D26" s="1643" t="s">
        <v>2310</v>
      </c>
      <c r="E26" s="1160"/>
      <c r="F26" s="1176"/>
      <c r="G26" s="1146" t="str">
        <f>IF(E26=0,"",VLOOKUP(E26,'Tablas Técnicas'!$A$14:$V$771,3,FALSE))</f>
        <v/>
      </c>
      <c r="H26" s="1171" t="str">
        <f>IF($E26=0,"",VLOOKUP($E26,'Tablas Técnicas'!$A$14:$V$771,4,FALSE))</f>
        <v/>
      </c>
      <c r="I26" s="1144" t="s">
        <v>2234</v>
      </c>
      <c r="J26" s="1608" t="str">
        <f>IF(E26=0,"",VLOOKUP(E26,'Tablas Técnicas'!$A$14:$V$771,5,FALSE))</f>
        <v/>
      </c>
      <c r="K26" s="1172" t="str">
        <f>IF(I26="Si",IF(E26=0,"",VLOOKUP(E26,'Tablas Técnicas'!$A$14:$V$771,5,FALSE)),"")</f>
        <v/>
      </c>
      <c r="L26" s="1144" t="s">
        <v>2234</v>
      </c>
      <c r="M26" s="1608" t="str">
        <f>IF(E26=0,"",VLOOKUP(E26,'Tablas Técnicas'!$A$14:$V$771,6,FALSE))</f>
        <v/>
      </c>
      <c r="N26" s="1147" t="str">
        <f>IF(L26="Si",IF(E26=0,"",VLOOKUP(E26,'Tablas Técnicas'!$A$14:$V$771,6,FALSE)),"")</f>
        <v/>
      </c>
      <c r="O26" s="1144" t="s">
        <v>2234</v>
      </c>
      <c r="P26" s="1608" t="str">
        <f>IF(E26=0,"",VLOOKUP(E26,'Tablas Técnicas'!$A$14:$V$771,7,FALSE))</f>
        <v/>
      </c>
      <c r="Q26" s="1147" t="str">
        <f>IF(O26="Si",IF(E26=0,"",VLOOKUP(E26,'Tablas Técnicas'!$A$14:$V$771,7,FALSE)),"")</f>
        <v/>
      </c>
      <c r="R26" s="1193" t="str">
        <f>IF(E26=0,"",VLOOKUP(E26,'Tablas Técnicas'!$A$14:$V$771,8,FALSE))</f>
        <v/>
      </c>
      <c r="S26" s="1161" t="str">
        <f>IF(R26=$D$8,$D$8,IF(R26=2,2,IF(R26=3,3,R26)))</f>
        <v/>
      </c>
      <c r="T26" s="4482" t="s">
        <v>5232</v>
      </c>
      <c r="U26" s="4483"/>
      <c r="V26" s="1579"/>
      <c r="W26" s="4484"/>
      <c r="X26" s="4485"/>
      <c r="Y26" s="4485"/>
      <c r="Z26" s="4485"/>
      <c r="AA26" s="4485"/>
      <c r="AB26" s="4485"/>
      <c r="AC26" s="4485"/>
      <c r="AD26" s="4485"/>
      <c r="AE26" s="4485"/>
      <c r="AF26" s="4486"/>
      <c r="AG26" s="4484"/>
      <c r="AH26" s="4485"/>
      <c r="AI26" s="4485"/>
      <c r="AJ26" s="4485"/>
      <c r="AK26" s="4485"/>
      <c r="AL26" s="4485"/>
      <c r="AM26" s="4485"/>
      <c r="AN26" s="4485"/>
      <c r="AO26" s="4485"/>
      <c r="AP26" s="4486"/>
      <c r="AQ26" s="4484"/>
      <c r="AR26" s="4485"/>
      <c r="AS26" s="4485"/>
      <c r="AT26" s="4485"/>
      <c r="AU26" s="4485"/>
      <c r="AV26" s="4485"/>
      <c r="AW26" s="4485"/>
      <c r="AX26" s="4485"/>
      <c r="AY26" s="4485"/>
      <c r="AZ26" s="4486"/>
      <c r="BA26" s="4484"/>
      <c r="BB26" s="4485"/>
      <c r="BC26" s="4485"/>
      <c r="BD26" s="4485"/>
      <c r="BE26" s="4485"/>
      <c r="BF26" s="4485"/>
      <c r="BG26" s="4485"/>
      <c r="BH26" s="4485"/>
      <c r="BI26" s="4485"/>
      <c r="BJ26" s="4486"/>
      <c r="BK26" s="1171">
        <f>SUM(K22:K26)-SUM(V26:BA26)</f>
        <v>0</v>
      </c>
      <c r="BL26" s="1629"/>
      <c r="BM26" s="1630"/>
      <c r="BN26" s="1165"/>
      <c r="BO26" s="1166"/>
      <c r="BP26" s="1167" t="str">
        <f>IF(I26="Si",VLOOKUP($D$8,'Tablas Técnicas'!$E$4:$F$6,2,FALSE),"")</f>
        <v/>
      </c>
      <c r="BQ26" s="1137" t="str">
        <f>IF(L26="Si",VLOOKUP($D$8,'Tablas Técnicas'!$I$4:$J$6,2,FALSE),"")</f>
        <v/>
      </c>
      <c r="BR26" s="1168" t="str">
        <f>IF(O26="Si",VLOOKUP($D$8,'Tablas Técnicas'!$I$7:$J$9,2,FALSE),"")</f>
        <v/>
      </c>
      <c r="BS26" s="1151"/>
      <c r="BT26" s="1574" t="s">
        <v>2231</v>
      </c>
      <c r="BU26" s="1573" t="s">
        <v>5236</v>
      </c>
      <c r="BV26" s="1128"/>
      <c r="BW26" s="1573" t="s">
        <v>5237</v>
      </c>
      <c r="BX26" s="1574" t="s">
        <v>5238</v>
      </c>
      <c r="BY26" s="1489" t="s">
        <v>5238</v>
      </c>
      <c r="BZ26" s="1585"/>
      <c r="CA26" s="1096"/>
      <c r="DR26" s="1096"/>
      <c r="DS26" s="1507"/>
      <c r="DT26" s="1514"/>
      <c r="DU26" s="1569"/>
      <c r="DV26" s="1566" t="str">
        <f>IF(E26="","",E26)&amp;IF(I26="No",""," (Mant.)")&amp;IF(L26="No",""," (Sme)")&amp;IF(O26="No",""," (SMa)")</f>
        <v/>
      </c>
      <c r="DW26" s="1566"/>
      <c r="DX26" s="1568"/>
      <c r="DY26" s="1513"/>
      <c r="DZ26" s="1096"/>
      <c r="EA26" s="1660">
        <f t="shared" si="0"/>
        <v>1</v>
      </c>
    </row>
    <row r="27" spans="1:131" ht="11.25" customHeight="1" x14ac:dyDescent="0.2">
      <c r="A27" s="1096"/>
      <c r="B27" s="159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97"/>
      <c r="D27" s="1644">
        <v>4</v>
      </c>
      <c r="E27" s="1423"/>
      <c r="F27" s="1173"/>
      <c r="G27" s="1174"/>
      <c r="H27" s="2559">
        <f>IF(AND(OR(ISNUMBER(SEARCH("Afinidad Elemental ("&amp;BK22&amp;")",Principal!$AF$30)),ISNUMBER(SEARCH("Afinidad Elemental ("&amp;BL22&amp;")",Principal!$AF$30)),ISNUMBER(SEARCH("Afinidad Elemental ("&amp;BM22&amp;")",Principal!$AF$30))),SUM(H22:H26)&gt;=5),-5,0)</f>
        <v>0</v>
      </c>
      <c r="I27" s="1603"/>
      <c r="J27" s="1606"/>
      <c r="K27" s="1174"/>
      <c r="L27" s="1603"/>
      <c r="M27" s="1606"/>
      <c r="N27" s="1174"/>
      <c r="O27" s="1603"/>
      <c r="P27" s="1606"/>
      <c r="Q27" s="1174"/>
      <c r="R27" s="1175"/>
      <c r="S27" s="1174"/>
      <c r="T27" s="1174"/>
      <c r="U27" s="1174"/>
      <c r="V27" s="1174"/>
      <c r="W27" s="1174"/>
      <c r="X27" s="1174"/>
      <c r="Y27" s="1174"/>
      <c r="Z27" s="1174"/>
      <c r="AA27" s="1174"/>
      <c r="AB27" s="1174"/>
      <c r="AC27" s="1174"/>
      <c r="AD27" s="1174"/>
      <c r="AE27" s="1174"/>
      <c r="AF27" s="1174"/>
      <c r="AG27" s="1174"/>
      <c r="AH27" s="1174"/>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c r="BD27" s="1174"/>
      <c r="BE27" s="1174"/>
      <c r="BF27" s="1174"/>
      <c r="BG27" s="1174"/>
      <c r="BH27" s="1174"/>
      <c r="BI27" s="1174"/>
      <c r="BJ27" s="1174"/>
      <c r="BK27" s="1174"/>
      <c r="BL27" s="1174"/>
      <c r="BM27" s="1184"/>
      <c r="BN27" s="1185">
        <f>SUM(K27:K30)</f>
        <v>0</v>
      </c>
      <c r="BO27" s="1128" t="str">
        <f>IF(E27=0,"",(AF27+AP27+AZ27+BJ27))</f>
        <v/>
      </c>
      <c r="BP27" s="1186" t="str">
        <f>IF(I27="Si",VLOOKUP($D$8,'Tablas Técnicas'!$E$4:$F$6,2,FALSE),"")</f>
        <v/>
      </c>
      <c r="BQ27" s="1187" t="str">
        <f>IF(L27="Si",VLOOKUP($D$8,'Tablas Técnicas'!$I$4:$J$6,2,FALSE),"")</f>
        <v/>
      </c>
      <c r="BR27" s="1185" t="str">
        <f>IF(O27="Si",VLOOKUP($D$8,'Tablas Técnicas'!$I$7:$J$9,2,FALSE),"")</f>
        <v/>
      </c>
      <c r="BS27" s="1151"/>
      <c r="BT27" s="158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64"/>
      <c r="BV27" s="1128"/>
      <c r="BW27" s="1183" t="str">
        <f>IF(SUM(BT27:BU27)=0,"N/A",SUM(BT27:BU27))</f>
        <v>N/A</v>
      </c>
      <c r="BX27" s="158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83" t="str">
        <f>IF(BX27=0,"N/A",BX27)</f>
        <v>N/A</v>
      </c>
      <c r="BZ27" s="1585"/>
      <c r="CA27" s="1096"/>
      <c r="DR27" s="1096"/>
      <c r="DS27" s="1507"/>
      <c r="DT27" s="1514"/>
      <c r="DU27" s="1569"/>
      <c r="DV27" s="1570"/>
      <c r="DW27" s="1566"/>
      <c r="DX27" s="1568"/>
      <c r="DY27" s="1513"/>
      <c r="DZ27" s="1096"/>
      <c r="EA27" s="1660">
        <f t="shared" si="0"/>
        <v>1</v>
      </c>
    </row>
    <row r="28" spans="1:131" ht="11.25" customHeight="1" x14ac:dyDescent="0.2">
      <c r="A28" s="1096"/>
      <c r="B28" s="1096"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97"/>
      <c r="D28" s="1643" t="s">
        <v>2310</v>
      </c>
      <c r="E28" s="1140"/>
      <c r="F28" s="1176"/>
      <c r="G28" s="1146" t="str">
        <f>IF(E28=0,"",VLOOKUP(E28,'Tablas Técnicas'!$A$14:$V$771,3,FALSE))</f>
        <v/>
      </c>
      <c r="H28" s="1188" t="str">
        <f>IF($E28=0,"",VLOOKUP($E28,'Tablas Técnicas'!$A$14:$V$771,4,FALSE))</f>
        <v/>
      </c>
      <c r="I28" s="1144" t="s">
        <v>2234</v>
      </c>
      <c r="J28" s="1607" t="str">
        <f>IF(E28=0,"",VLOOKUP(E28,'Tablas Técnicas'!$A$14:$V$771,5,FALSE))</f>
        <v/>
      </c>
      <c r="K28" s="1190" t="str">
        <f>IF(I28="Si",IF(E28=0,"",VLOOKUP(E28,'Tablas Técnicas'!$A$14:$V$771,5,FALSE)),"")</f>
        <v/>
      </c>
      <c r="L28" s="1144" t="s">
        <v>2234</v>
      </c>
      <c r="M28" s="1607" t="str">
        <f>IF(E28=0,"",VLOOKUP(E28,'Tablas Técnicas'!$A$14:$V$771,6,FALSE))</f>
        <v/>
      </c>
      <c r="N28" s="1147" t="str">
        <f>IF(L28="Si",IF(E28=0,"",VLOOKUP(E28,'Tablas Técnicas'!$A$14:$V$771,6,FALSE)),"")</f>
        <v/>
      </c>
      <c r="O28" s="1144" t="s">
        <v>2234</v>
      </c>
      <c r="P28" s="1607" t="str">
        <f>IF(E28=0,"",VLOOKUP(E28,'Tablas Técnicas'!$A$14:$V$771,7,FALSE))</f>
        <v/>
      </c>
      <c r="Q28" s="1147" t="str">
        <f>IF(O28="Si",IF(E28=0,"",VLOOKUP(E28,'Tablas Técnicas'!$A$14:$V$771,7,FALSE)),"")</f>
        <v/>
      </c>
      <c r="R28" s="1189" t="str">
        <f>IF(E28=0,"",VLOOKUP(E28,'Tablas Técnicas'!$A$14:$V$771,8,FALSE))</f>
        <v/>
      </c>
      <c r="S28" s="1161" t="str">
        <f>IF(R28=$D$8,$D$8,IF(R28=2,2,IF(R28=3,3,R28)))</f>
        <v/>
      </c>
      <c r="T28" s="1190" t="str">
        <f>IF(E28=0,"",VLOOKUP(E28,'Tablas Técnicas'!$A$14:$V$771,9,FALSE))</f>
        <v/>
      </c>
      <c r="U28" s="1190" t="str">
        <f>IF(E28=0,"",VLOOKUP(E28,'Tablas Técnicas'!$A$14:$V$771,10,FALSE))</f>
        <v/>
      </c>
      <c r="V28" s="1191" t="str">
        <f>IF(E28=0,"",VLOOKUP(E28,'Tablas Técnicas'!$A$14:$V$771,11,FALSE))</f>
        <v/>
      </c>
      <c r="W28" s="1144"/>
      <c r="X28" s="1145" t="e">
        <f>VLOOKUP(E28,'Tablas Técnicas'!$A$14:$V$771,12,FALSE)</f>
        <v>#N/A</v>
      </c>
      <c r="Y28" s="1145" t="e">
        <f>IF(W28=X28,VLOOKUP(E28,'Tablas Técnicas'!$A$14:$V$771,13,FALSE),0)</f>
        <v>#N/A</v>
      </c>
      <c r="Z28" s="1145" t="e">
        <f>VLOOKUP(E28,'Tablas Técnicas'!$A$14:$V$771,14,FALSE)</f>
        <v>#N/A</v>
      </c>
      <c r="AA28" s="1145" t="e">
        <f>IF(W28=Z28,VLOOKUP(E28,'Tablas Técnicas'!$A$14:$V$616,15,FALSE),0)</f>
        <v>#N/A</v>
      </c>
      <c r="AB28" s="1145" t="e">
        <f>VLOOKUP(E28,'Tablas Técnicas'!$A$14:$V$771,16,FALSE)</f>
        <v>#N/A</v>
      </c>
      <c r="AC28" s="1145" t="e">
        <f>IF(W28=AB28,VLOOKUP(E28,'Tablas Técnicas'!$A$14:$V$616,17,FALSE),0)</f>
        <v>#N/A</v>
      </c>
      <c r="AD28" s="1145" t="e">
        <f>VLOOKUP(E28,'Tablas Técnicas'!$A$14:$V$771,18,FALSE)</f>
        <v>#N/A</v>
      </c>
      <c r="AE28" s="1145" t="e">
        <f>IF(W28=AD28,VLOOKUP(E28,'Tablas Técnicas'!$A$14:$V$771,19,FALSE),0)</f>
        <v>#N/A</v>
      </c>
      <c r="AF28" s="1163" t="str">
        <f>IF(E28=0,"",(Y28+AA28+AC28+AE28))</f>
        <v/>
      </c>
      <c r="AG28" s="1144"/>
      <c r="AH28" s="1162" t="e">
        <f>VLOOKUP(E28,'Tablas Técnicas'!$A$14:$V$771,12,FALSE)</f>
        <v>#N/A</v>
      </c>
      <c r="AI28" s="1162" t="e">
        <f>IF(AG28=AH28,VLOOKUP(E28,'Tablas Técnicas'!$A$14:$V$771,13,FALSE),0)</f>
        <v>#N/A</v>
      </c>
      <c r="AJ28" s="1162" t="e">
        <f>VLOOKUP(E28,'Tablas Técnicas'!$A$14:$V$771,14,FALSE)</f>
        <v>#N/A</v>
      </c>
      <c r="AK28" s="1162" t="e">
        <f>IF(AG28=AJ28,VLOOKUP(E28,'Tablas Técnicas'!$A$14:$V$771,15,FALSE),0)</f>
        <v>#N/A</v>
      </c>
      <c r="AL28" s="1162" t="e">
        <f>VLOOKUP(E28,'Tablas Técnicas'!$A$14:$V$771,16,FALSE)</f>
        <v>#N/A</v>
      </c>
      <c r="AM28" s="1162" t="e">
        <f>IF(AG28=AL28,VLOOKUP(E28,'Tablas Técnicas'!$A$14:$V$771,17,FALSE),0)</f>
        <v>#N/A</v>
      </c>
      <c r="AN28" s="1162" t="e">
        <f>VLOOKUP(E28,'Tablas Técnicas'!$A$14:$V$771,18,FALSE)</f>
        <v>#N/A</v>
      </c>
      <c r="AO28" s="1162" t="e">
        <f>IF(AG28=AN28,VLOOKUP(E28,'Tablas Técnicas'!$A$14:$V$771,19,FALSE),0)</f>
        <v>#N/A</v>
      </c>
      <c r="AP28" s="1583" t="str">
        <f>IF(E28=0,"",(AI28+AK28+AM28+AO28))</f>
        <v/>
      </c>
      <c r="AQ28" s="1144"/>
      <c r="AR28" s="1162" t="e">
        <f>VLOOKUP(E28,'Tablas Técnicas'!$A$14:$V$771,12,FALSE)</f>
        <v>#N/A</v>
      </c>
      <c r="AS28" s="1162" t="e">
        <f>IF(AQ28=AR28,VLOOKUP(E28,'Tablas Técnicas'!$A$14:$V$771,13,FALSE),0)</f>
        <v>#N/A</v>
      </c>
      <c r="AT28" s="1162" t="e">
        <f>VLOOKUP(E28,'Tablas Técnicas'!$A$14:$V$771,14,FALSE)</f>
        <v>#N/A</v>
      </c>
      <c r="AU28" s="1162" t="e">
        <f>IF(AQ28=AT28,VLOOKUP(E28,'Tablas Técnicas'!$A$14:$V$771,15,FALSE),0)</f>
        <v>#N/A</v>
      </c>
      <c r="AV28" s="1162" t="e">
        <f>VLOOKUP(E28,'Tablas Técnicas'!$A$14:$V$771,16,FALSE)</f>
        <v>#N/A</v>
      </c>
      <c r="AW28" s="1162" t="e">
        <f>IF(AQ28=AV28,VLOOKUP(E28,'Tablas Técnicas'!$A$14:$V$771,17,FALSE),0)</f>
        <v>#N/A</v>
      </c>
      <c r="AX28" s="1162" t="e">
        <f>VLOOKUP(E28,'Tablas Técnicas'!$A$14:$V$771,18,FALSE)</f>
        <v>#N/A</v>
      </c>
      <c r="AY28" s="1162" t="e">
        <f>IF(AQ28=AX28,VLOOKUP(E28,'Tablas Técnicas'!$A$14:$V$771,19,FALSE),0)</f>
        <v>#N/A</v>
      </c>
      <c r="AZ28" s="1163" t="str">
        <f>IF(E28=0,"",(AS28+AU28+AW28+AY28))</f>
        <v/>
      </c>
      <c r="BA28" s="1144"/>
      <c r="BB28" s="1162" t="e">
        <f>VLOOKUP(E28,'Tablas Técnicas'!$A$14:$V$771,12,FALSE)</f>
        <v>#N/A</v>
      </c>
      <c r="BC28" s="1162" t="e">
        <f>IF(BA28=BB28,VLOOKUP(E28,'Tablas Técnicas'!$A$14:$V$771,13,FALSE),0)</f>
        <v>#N/A</v>
      </c>
      <c r="BD28" s="1162" t="e">
        <f>VLOOKUP(E28,'Tablas Técnicas'!$A$14:$V$771,14,FALSE)</f>
        <v>#N/A</v>
      </c>
      <c r="BE28" s="1162" t="e">
        <f>IF(BA28=BD28,VLOOKUP(E28,'Tablas Técnicas'!$A$14:$V$771,15,FALSE),0)</f>
        <v>#N/A</v>
      </c>
      <c r="BF28" s="1162" t="e">
        <f>VLOOKUP(E28,'Tablas Técnicas'!$A$14:$V$771,16,FALSE)</f>
        <v>#N/A</v>
      </c>
      <c r="BG28" s="1162" t="e">
        <f>IF(BA28=BF28,VLOOKUP(E28,'Tablas Técnicas'!$A$14:$V$771,17,FALSE),0)</f>
        <v>#N/A</v>
      </c>
      <c r="BH28" s="1162" t="e">
        <f>VLOOKUP(E28,'Tablas Técnicas'!$A$14:$V$771,18,FALSE)</f>
        <v>#N/A</v>
      </c>
      <c r="BI28" s="1162" t="e">
        <f>IF(BA28=BH28,VLOOKUP(E28,'Tablas Técnicas'!$A$14:$V$771,19,FALSE),0)</f>
        <v>#N/A</v>
      </c>
      <c r="BJ28" s="1583" t="str">
        <f>IF(E28=0,"",(BC28+BE28+BG28+BI28))</f>
        <v/>
      </c>
      <c r="BK28" s="1190" t="str">
        <f>IF(E28=0,"",VLOOKUP(E28,'Tablas Técnicas'!$A$14:$V$771,20,FALSE))</f>
        <v/>
      </c>
      <c r="BL28" s="1177" t="str">
        <f>IF(E28=0,"",VLOOKUP(E28,'Tablas Técnicas'!$A$14:$V$771,21,FALSE))</f>
        <v/>
      </c>
      <c r="BM28" s="1148" t="str">
        <f>IF(E28=0,"",VLOOKUP(E28,'Tablas Técnicas'!$A$14:$V$771,22,FALSE))</f>
        <v/>
      </c>
      <c r="BN28" s="1149"/>
      <c r="BO28" s="1150"/>
      <c r="BP28" s="1135" t="str">
        <f>IF(I28="Si",VLOOKUP($D$8,'Tablas Técnicas'!$E$4:$F$6,2,FALSE),"")</f>
        <v/>
      </c>
      <c r="BQ28" s="1136" t="str">
        <f>IF(L28="Si",VLOOKUP($D$8,'Tablas Técnicas'!$I$4:$J$6,2,FALSE),"")</f>
        <v/>
      </c>
      <c r="BR28" s="1134" t="str">
        <f>IF(O28="Si",VLOOKUP($D$8,'Tablas Técnicas'!$I$7:$J$9,2,FALSE),"")</f>
        <v/>
      </c>
      <c r="BS28" s="1151"/>
      <c r="BT28" s="1574" t="s">
        <v>2236</v>
      </c>
      <c r="BU28" s="1573" t="s">
        <v>5236</v>
      </c>
      <c r="BV28" s="1128"/>
      <c r="BW28" s="1573" t="s">
        <v>5237</v>
      </c>
      <c r="BX28" s="1574" t="s">
        <v>5238</v>
      </c>
      <c r="BY28" s="1489" t="s">
        <v>5238</v>
      </c>
      <c r="BZ28" s="1585"/>
      <c r="CA28" s="1096"/>
      <c r="DR28" s="1096"/>
      <c r="DS28" s="1507"/>
      <c r="DT28" s="1514"/>
      <c r="DU28" s="1569"/>
      <c r="DV28" s="1566" t="str">
        <f>IF(E28="","",", "&amp;E28)&amp;IF(I28="No",""," (Mant.)")&amp;IF(L28="No",""," (Sme)")&amp;IF(O28="No",""," (SMa)")</f>
        <v/>
      </c>
      <c r="DW28" s="1566"/>
      <c r="DX28" s="1568"/>
      <c r="DY28" s="1513"/>
      <c r="DZ28" s="1096"/>
      <c r="EA28" s="1660">
        <f t="shared" si="0"/>
        <v>1</v>
      </c>
    </row>
    <row r="29" spans="1:131" x14ac:dyDescent="0.2">
      <c r="A29" s="1096"/>
      <c r="B29" s="1096"/>
      <c r="C29" s="1497"/>
      <c r="D29" s="1642" t="s">
        <v>2310</v>
      </c>
      <c r="E29" s="1152"/>
      <c r="F29" s="1182"/>
      <c r="G29" s="1627" t="str">
        <f>IF(E29=0,"",VLOOKUP(E29,'Tablas Técnicas'!$A$14:$V$771,3,FALSE))</f>
        <v/>
      </c>
      <c r="H29" s="1155" t="str">
        <f>IF($E29=0,"",VLOOKUP($E29,'Tablas Técnicas'!$A$14:$V$771,4,FALSE))</f>
        <v/>
      </c>
      <c r="I29" s="1156" t="s">
        <v>2234</v>
      </c>
      <c r="J29" s="1605" t="str">
        <f>IF(E29=0,"",VLOOKUP(E29,'Tablas Técnicas'!$A$14:$V$771,5,FALSE))</f>
        <v/>
      </c>
      <c r="K29" s="1158" t="str">
        <f>IF(I29="Si",IF(E29=0,"",VLOOKUP(E29,'Tablas Técnicas'!$A$14:$V$771,5,FALSE)),"")</f>
        <v/>
      </c>
      <c r="L29" s="1156" t="s">
        <v>2234</v>
      </c>
      <c r="M29" s="1605" t="str">
        <f>IF(E29=0,"",VLOOKUP(E29,'Tablas Técnicas'!$A$14:$V$771,6,FALSE))</f>
        <v/>
      </c>
      <c r="N29" s="1159" t="str">
        <f>IF(L29="Si",IF(E29=0,"",VLOOKUP(E29,'Tablas Técnicas'!$A$14:$V$771,6,FALSE)),"")</f>
        <v/>
      </c>
      <c r="O29" s="1156" t="s">
        <v>2234</v>
      </c>
      <c r="P29" s="1605" t="str">
        <f>IF(E29=0,"",VLOOKUP(E29,'Tablas Técnicas'!$A$14:$V$771,7,FALSE))</f>
        <v/>
      </c>
      <c r="Q29" s="1159" t="str">
        <f>IF(O29="Si",IF(E29=0,"",VLOOKUP(E29,'Tablas Técnicas'!$A$14:$V$771,7,FALSE)),"")</f>
        <v/>
      </c>
      <c r="R29" s="1157" t="str">
        <f>IF(E29=0,"",VLOOKUP(E29,'Tablas Técnicas'!$A$14:$V$771,8,FALSE))</f>
        <v/>
      </c>
      <c r="S29" s="1155" t="str">
        <f>IF(R29=$D$8,$D$8,IF(R29=2,2,IF(R29=3,3,R29)))</f>
        <v/>
      </c>
      <c r="T29" s="4475" t="s">
        <v>5228</v>
      </c>
      <c r="U29" s="4476"/>
      <c r="V29" s="4476"/>
      <c r="W29" s="4476"/>
      <c r="X29" s="4476"/>
      <c r="Y29" s="4476"/>
      <c r="Z29" s="4476"/>
      <c r="AA29" s="4476"/>
      <c r="AB29" s="4476"/>
      <c r="AC29" s="4476"/>
      <c r="AD29" s="4476"/>
      <c r="AE29" s="4476"/>
      <c r="AF29" s="4476"/>
      <c r="AG29" s="4476"/>
      <c r="AH29" s="4476"/>
      <c r="AI29" s="4476"/>
      <c r="AJ29" s="4476"/>
      <c r="AK29" s="4476"/>
      <c r="AL29" s="4476"/>
      <c r="AM29" s="4476"/>
      <c r="AN29" s="4476"/>
      <c r="AO29" s="4476"/>
      <c r="AP29" s="4476"/>
      <c r="AQ29" s="4476"/>
      <c r="AR29" s="4476"/>
      <c r="AS29" s="4476"/>
      <c r="AT29" s="4476"/>
      <c r="AU29" s="4476"/>
      <c r="AV29" s="4476"/>
      <c r="AW29" s="4476"/>
      <c r="AX29" s="4476"/>
      <c r="AY29" s="4476"/>
      <c r="AZ29" s="4476"/>
      <c r="BA29" s="4476"/>
      <c r="BB29" s="4476"/>
      <c r="BC29" s="4476"/>
      <c r="BD29" s="4476"/>
      <c r="BE29" s="4476"/>
      <c r="BF29" s="4476"/>
      <c r="BG29" s="4476"/>
      <c r="BH29" s="4476"/>
      <c r="BI29" s="4476"/>
      <c r="BJ29" s="4476"/>
      <c r="BK29" s="4477"/>
      <c r="BL29" s="1627"/>
      <c r="BM29" s="1628"/>
      <c r="BN29" s="1149"/>
      <c r="BO29" s="1150"/>
      <c r="BP29" s="1135" t="str">
        <f>IF(I29="Si",VLOOKUP($D$8,'Tablas Técnicas'!$E$4:$F$6,2,FALSE),"")</f>
        <v/>
      </c>
      <c r="BQ29" s="1136" t="str">
        <f>IF(L29="Si",VLOOKUP($D$8,'Tablas Técnicas'!$I$4:$J$6,2,FALSE),"")</f>
        <v/>
      </c>
      <c r="BR29" s="1134" t="str">
        <f>IF(O29="Si",VLOOKUP($D$8,'Tablas Técnicas'!$I$7:$J$9,2,FALSE),"")</f>
        <v/>
      </c>
      <c r="BS29" s="1151"/>
      <c r="BT29" s="158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64"/>
      <c r="BV29" s="1128"/>
      <c r="BW29" s="1183" t="str">
        <f>IF(SUM(BT29:BU29)=0,"N/A",SUM(BT29:BU29))</f>
        <v>N/A</v>
      </c>
      <c r="BX29" s="158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83" t="str">
        <f>IF(BX29=0,"N/A",BX29)</f>
        <v>N/A</v>
      </c>
      <c r="BZ29" s="1585"/>
      <c r="CA29" s="1096"/>
      <c r="DR29" s="1096"/>
      <c r="DS29" s="1507"/>
      <c r="DT29" s="1514"/>
      <c r="DU29" s="1569"/>
      <c r="DV29" s="1566" t="str">
        <f>IF(E29="",""," "&amp;E29)&amp;IF(I29="No",""," (Mant.)")&amp;IF(L29="No",""," (Sme)")&amp;IF(O29="No",""," (SMa)")</f>
        <v/>
      </c>
      <c r="DW29" s="1566"/>
      <c r="DX29" s="1568"/>
      <c r="DY29" s="1513"/>
      <c r="DZ29" s="1096"/>
      <c r="EA29" s="1660">
        <f t="shared" si="0"/>
        <v>1</v>
      </c>
    </row>
    <row r="30" spans="1:131" x14ac:dyDescent="0.2">
      <c r="A30" s="1096"/>
      <c r="B30" s="1096"/>
      <c r="C30" s="1497"/>
      <c r="D30" s="1643" t="s">
        <v>2310</v>
      </c>
      <c r="E30" s="1160"/>
      <c r="F30" s="1176"/>
      <c r="G30" s="1146" t="str">
        <f>IF(E30=0,"",VLOOKUP(E30,'Tablas Técnicas'!$A$14:$V$771,3,FALSE))</f>
        <v/>
      </c>
      <c r="H30" s="1582" t="str">
        <f>IF($E30=0,"",VLOOKUP($E30,'Tablas Técnicas'!$A$14:$V$771,4,FALSE))</f>
        <v/>
      </c>
      <c r="I30" s="1144" t="s">
        <v>2234</v>
      </c>
      <c r="J30" s="1601" t="str">
        <f>IF(E30=0,"",VLOOKUP(E30,'Tablas Técnicas'!$A$14:$V$771,5,FALSE))</f>
        <v/>
      </c>
      <c r="K30" s="1163" t="str">
        <f>IF(I30="Si",IF(E30=0,"",VLOOKUP(E30,'Tablas Técnicas'!$A$14:$V$771,5,FALSE)),"")</f>
        <v/>
      </c>
      <c r="L30" s="1144" t="s">
        <v>2234</v>
      </c>
      <c r="M30" s="1601" t="str">
        <f>IF(E30=0,"",VLOOKUP(E30,'Tablas Técnicas'!$A$14:$V$771,6,FALSE))</f>
        <v/>
      </c>
      <c r="N30" s="1147" t="str">
        <f>IF(L30="Si",IF(E30=0,"",VLOOKUP(E30,'Tablas Técnicas'!$A$14:$V$771,6,FALSE)),"")</f>
        <v/>
      </c>
      <c r="O30" s="1144" t="s">
        <v>2234</v>
      </c>
      <c r="P30" s="1601" t="str">
        <f>IF(E30=0,"",VLOOKUP(E30,'Tablas Técnicas'!$A$14:$V$771,7,FALSE))</f>
        <v/>
      </c>
      <c r="Q30" s="1147" t="str">
        <f>IF(O30="Si",IF(E30=0,"",VLOOKUP(E30,'Tablas Técnicas'!$A$14:$V$771,7,FALSE)),"")</f>
        <v/>
      </c>
      <c r="R30" s="1162" t="str">
        <f>IF(E30=0,"",VLOOKUP(E30,'Tablas Técnicas'!$A$14:$V$771,8,FALSE))</f>
        <v/>
      </c>
      <c r="S30" s="1582" t="str">
        <f>IF(R30=$D$8,$D$8,IF(R30=2,2,IF(R30=3,3,R30)))</f>
        <v/>
      </c>
      <c r="T30" s="4487"/>
      <c r="U30" s="4488"/>
      <c r="V30" s="1575" t="str">
        <f>IF(OR(V28=0,V28=""),"N/A",V28)</f>
        <v>N/A</v>
      </c>
      <c r="W30" s="4487" t="str">
        <f xml:space="preserve"> IF(OR(AF28=0,AF28=""),"N/A",W28)</f>
        <v>N/A</v>
      </c>
      <c r="X30" s="4489"/>
      <c r="Y30" s="4489"/>
      <c r="Z30" s="4489"/>
      <c r="AA30" s="4489"/>
      <c r="AB30" s="4489"/>
      <c r="AC30" s="4489"/>
      <c r="AD30" s="4489"/>
      <c r="AE30" s="4489"/>
      <c r="AF30" s="4488"/>
      <c r="AG30" s="4487" t="str">
        <f xml:space="preserve"> IF(OR(AP28="",AP28=0),"N/A",AG28)</f>
        <v>N/A</v>
      </c>
      <c r="AH30" s="4489"/>
      <c r="AI30" s="4489"/>
      <c r="AJ30" s="4489"/>
      <c r="AK30" s="4489"/>
      <c r="AL30" s="4489"/>
      <c r="AM30" s="4489"/>
      <c r="AN30" s="4489"/>
      <c r="AO30" s="4489"/>
      <c r="AP30" s="4488"/>
      <c r="AQ30" s="4487" t="str">
        <f xml:space="preserve"> IF(OR(AZ28="",AZ28=0),"N/A",AQ28)</f>
        <v>N/A</v>
      </c>
      <c r="AR30" s="4489"/>
      <c r="AS30" s="4489"/>
      <c r="AT30" s="4489"/>
      <c r="AU30" s="4489"/>
      <c r="AV30" s="4489"/>
      <c r="AW30" s="4489"/>
      <c r="AX30" s="4489"/>
      <c r="AY30" s="4489"/>
      <c r="AZ30" s="4488"/>
      <c r="BA30" s="4487" t="str">
        <f xml:space="preserve"> IF(OR(BJ28="",BJ28=0),"N/A",BA28)</f>
        <v>N/A</v>
      </c>
      <c r="BB30" s="4489"/>
      <c r="BC30" s="4489"/>
      <c r="BD30" s="4489"/>
      <c r="BE30" s="4489"/>
      <c r="BF30" s="4489"/>
      <c r="BG30" s="4489"/>
      <c r="BH30" s="4489"/>
      <c r="BI30" s="4489"/>
      <c r="BJ30" s="4488"/>
      <c r="BK30" s="1164" t="s">
        <v>5229</v>
      </c>
      <c r="BL30" s="1146"/>
      <c r="BM30" s="1181"/>
      <c r="BN30" s="1165"/>
      <c r="BO30" s="1166"/>
      <c r="BP30" s="1167" t="str">
        <f>IF(I30="Si",VLOOKUP($D$8,'Tablas Técnicas'!$E$4:$F$6,2,FALSE),"")</f>
        <v/>
      </c>
      <c r="BQ30" s="1137" t="str">
        <f>IF(L30="Si",VLOOKUP($D$8,'Tablas Técnicas'!$I$4:$J$6,2,FALSE),"")</f>
        <v/>
      </c>
      <c r="BR30" s="1168" t="str">
        <f>IF(O30="Si",VLOOKUP($D$8,'Tablas Técnicas'!$I$7:$J$9,2,FALSE),"")</f>
        <v/>
      </c>
      <c r="BS30" s="1151"/>
      <c r="BT30" s="1574" t="s">
        <v>2244</v>
      </c>
      <c r="BU30" s="1573" t="s">
        <v>5236</v>
      </c>
      <c r="BV30" s="1128"/>
      <c r="BW30" s="1573" t="s">
        <v>5237</v>
      </c>
      <c r="BX30" s="1574" t="s">
        <v>5238</v>
      </c>
      <c r="BY30" s="1489" t="s">
        <v>5238</v>
      </c>
      <c r="BZ30" s="1585"/>
      <c r="CA30" s="1096"/>
      <c r="DR30" s="1096"/>
      <c r="DS30" s="1507"/>
      <c r="DT30" s="1514"/>
      <c r="DU30" s="1569"/>
      <c r="DV30" s="1566" t="str">
        <f>IF(E30="","",E30)&amp;IF(I30="No",""," (Mant.)")&amp;IF(L30="No",""," (Sme)")&amp;IF(O30="No",""," (SMa)")</f>
        <v/>
      </c>
      <c r="DW30" s="1567"/>
      <c r="DX30" s="1568"/>
      <c r="DY30" s="1513"/>
      <c r="DZ30" s="1096"/>
      <c r="EA30" s="1660">
        <f t="shared" si="0"/>
        <v>1</v>
      </c>
    </row>
    <row r="31" spans="1:131" x14ac:dyDescent="0.2">
      <c r="A31" s="1096"/>
      <c r="B31" s="1096"/>
      <c r="C31" s="1497"/>
      <c r="D31" s="1642" t="s">
        <v>2310</v>
      </c>
      <c r="E31" s="1152"/>
      <c r="F31" s="1182"/>
      <c r="G31" s="1627" t="str">
        <f>IF(E31=0,"",VLOOKUP(E31,'Tablas Técnicas'!$A$14:$V$771,3,FALSE))</f>
        <v/>
      </c>
      <c r="H31" s="1155" t="str">
        <f>IF($E31=0,"",VLOOKUP($E31,'Tablas Técnicas'!$A$14:$V$771,4,FALSE))</f>
        <v/>
      </c>
      <c r="I31" s="1156" t="s">
        <v>2234</v>
      </c>
      <c r="J31" s="1605" t="str">
        <f>IF(E31=0,"",VLOOKUP(E31,'Tablas Técnicas'!$A$14:$V$771,5,FALSE))</f>
        <v/>
      </c>
      <c r="K31" s="1158" t="str">
        <f>IF(I31="Si",IF(E31=0,"",VLOOKUP(E31,'Tablas Técnicas'!$A$14:$V$771,5,FALSE)),"")</f>
        <v/>
      </c>
      <c r="L31" s="1156" t="s">
        <v>2234</v>
      </c>
      <c r="M31" s="1605" t="str">
        <f>IF(E31=0,"",VLOOKUP(E31,'Tablas Técnicas'!$A$14:$V$771,6,FALSE))</f>
        <v/>
      </c>
      <c r="N31" s="1159" t="str">
        <f>IF(L31="Si",IF(E31=0,"",VLOOKUP(E31,'Tablas Técnicas'!$A$14:$V$771,6,FALSE)),"")</f>
        <v/>
      </c>
      <c r="O31" s="1156" t="s">
        <v>2234</v>
      </c>
      <c r="P31" s="1605" t="str">
        <f>IF(E31=0,"",VLOOKUP(E31,'Tablas Técnicas'!$A$14:$V$771,7,FALSE))</f>
        <v/>
      </c>
      <c r="Q31" s="1159" t="str">
        <f>IF(O31="Si",IF(E31=0,"",VLOOKUP(E31,'Tablas Técnicas'!$A$14:$V$771,7,FALSE)),"")</f>
        <v/>
      </c>
      <c r="R31" s="1157" t="str">
        <f>IF(E31=0,"",VLOOKUP(E31,'Tablas Técnicas'!$A$14:$V$771,8,FALSE))</f>
        <v/>
      </c>
      <c r="S31" s="1155" t="str">
        <f>IF(R31=$D$8,$D$8,IF(R31=2,2,IF(R31=3,3,R31)))</f>
        <v/>
      </c>
      <c r="T31" s="4490" t="s">
        <v>5230</v>
      </c>
      <c r="U31" s="4491"/>
      <c r="V31" s="1581"/>
      <c r="W31" s="4492"/>
      <c r="X31" s="4493"/>
      <c r="Y31" s="4493"/>
      <c r="Z31" s="4493"/>
      <c r="AA31" s="4493"/>
      <c r="AB31" s="4493"/>
      <c r="AC31" s="4493"/>
      <c r="AD31" s="4493"/>
      <c r="AE31" s="4493"/>
      <c r="AF31" s="4494"/>
      <c r="AG31" s="4492"/>
      <c r="AH31" s="4493"/>
      <c r="AI31" s="4493"/>
      <c r="AJ31" s="4493"/>
      <c r="AK31" s="4493"/>
      <c r="AL31" s="4493"/>
      <c r="AM31" s="4493"/>
      <c r="AN31" s="4493"/>
      <c r="AO31" s="4493"/>
      <c r="AP31" s="4494"/>
      <c r="AQ31" s="4492"/>
      <c r="AR31" s="4493"/>
      <c r="AS31" s="4493"/>
      <c r="AT31" s="4493"/>
      <c r="AU31" s="4493"/>
      <c r="AV31" s="4493"/>
      <c r="AW31" s="4493"/>
      <c r="AX31" s="4493"/>
      <c r="AY31" s="4493"/>
      <c r="AZ31" s="4494"/>
      <c r="BA31" s="4492"/>
      <c r="BB31" s="4493"/>
      <c r="BC31" s="4493"/>
      <c r="BD31" s="4493"/>
      <c r="BE31" s="4493"/>
      <c r="BF31" s="4493"/>
      <c r="BG31" s="4493"/>
      <c r="BH31" s="4493"/>
      <c r="BI31" s="4493"/>
      <c r="BJ31" s="4494"/>
      <c r="BK31" s="1155">
        <f>(SUM(G28:G32)+IF(AF28="",0,AF28)+IF(AP28="",0,AP28)+IF(AZ28="",0,AZ28)+IF(BJ28="",0,BJ28)+SUM(K28:K32)+SUM(N28:N32)+SUM(Q28:Q32))- SUM(V31:BA31)</f>
        <v>0</v>
      </c>
      <c r="BL31" s="1627"/>
      <c r="BM31" s="1628"/>
      <c r="BN31" s="1149"/>
      <c r="BO31" s="1150"/>
      <c r="BP31" s="1135" t="str">
        <f>IF(I31="Si",VLOOKUP($D$8,'Tablas Técnicas'!$E$4:$F$6,2,FALSE),"")</f>
        <v/>
      </c>
      <c r="BQ31" s="1136" t="str">
        <f>IF(L31="Si",VLOOKUP($D$8,'Tablas Técnicas'!$I$4:$J$6,2,FALSE),"")</f>
        <v/>
      </c>
      <c r="BR31" s="1134" t="str">
        <f>IF(O31="Si",VLOOKUP($D$8,'Tablas Técnicas'!$I$7:$J$9,2,FALSE),"")</f>
        <v/>
      </c>
      <c r="BS31" s="1151"/>
      <c r="BT31" s="158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64"/>
      <c r="BV31" s="1128"/>
      <c r="BW31" s="1183" t="str">
        <f>IF(SUM(BT31:BU31)=0,"N/A",SUM(BT31:BU31))</f>
        <v>N/A</v>
      </c>
      <c r="BX31" s="158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83" t="str">
        <f>IF(BX31=0,"N/A",BX31)</f>
        <v>N/A</v>
      </c>
      <c r="BZ31" s="1585"/>
      <c r="CA31" s="1096"/>
      <c r="DR31" s="1096"/>
      <c r="DS31" s="1507"/>
      <c r="DT31" s="1514"/>
      <c r="DU31" s="1569"/>
      <c r="DV31" s="1566" t="str">
        <f>IF(E31="","",E31)&amp;IF(I31="No",""," (Mant.)")&amp;IF(L31="No",""," (Sme)")&amp;IF(O31="No",""," (SMa)")</f>
        <v/>
      </c>
      <c r="DW31" s="1567"/>
      <c r="DX31" s="1568"/>
      <c r="DY31" s="1513"/>
      <c r="DZ31" s="1096"/>
      <c r="EA31" s="1660">
        <f t="shared" si="0"/>
        <v>1</v>
      </c>
    </row>
    <row r="32" spans="1:131" x14ac:dyDescent="0.2">
      <c r="A32" s="1096"/>
      <c r="B32" s="1096"/>
      <c r="C32" s="1497"/>
      <c r="D32" s="1643" t="s">
        <v>2310</v>
      </c>
      <c r="E32" s="1160"/>
      <c r="F32" s="1176"/>
      <c r="G32" s="1146" t="str">
        <f>IF(E32=0,"",VLOOKUP(E32,'Tablas Técnicas'!$A$14:$V$771,3,FALSE))</f>
        <v/>
      </c>
      <c r="H32" s="1171" t="str">
        <f>IF($E32=0,"",VLOOKUP($E32,'Tablas Técnicas'!$A$14:$V$771,4,FALSE))</f>
        <v/>
      </c>
      <c r="I32" s="1144" t="s">
        <v>2234</v>
      </c>
      <c r="J32" s="1608" t="str">
        <f>IF(E32=0,"",VLOOKUP(E32,'Tablas Técnicas'!$A$14:$V$771,5,FALSE))</f>
        <v/>
      </c>
      <c r="K32" s="1172" t="str">
        <f>IF(I32="Si",IF(E32=0,"",VLOOKUP(E32,'Tablas Técnicas'!$A$14:$V$771,5,FALSE)),"")</f>
        <v/>
      </c>
      <c r="L32" s="1144" t="s">
        <v>2234</v>
      </c>
      <c r="M32" s="1608" t="str">
        <f>IF(E32=0,"",VLOOKUP(E32,'Tablas Técnicas'!$A$14:$V$771,6,FALSE))</f>
        <v/>
      </c>
      <c r="N32" s="1147" t="str">
        <f>IF(L32="Si",IF(E32=0,"",VLOOKUP(E32,'Tablas Técnicas'!$A$14:$V$771,6,FALSE)),"")</f>
        <v/>
      </c>
      <c r="O32" s="1144" t="s">
        <v>2234</v>
      </c>
      <c r="P32" s="1608" t="str">
        <f>IF(E32=0,"",VLOOKUP(E32,'Tablas Técnicas'!$A$14:$V$771,7,FALSE))</f>
        <v/>
      </c>
      <c r="Q32" s="1147" t="str">
        <f>IF(O32="Si",IF(E32=0,"",VLOOKUP(E32,'Tablas Técnicas'!$A$14:$V$771,7,FALSE)),"")</f>
        <v/>
      </c>
      <c r="R32" s="1193" t="str">
        <f>IF(E32=0,"",VLOOKUP(E32,'Tablas Técnicas'!$A$14:$V$771,8,FALSE))</f>
        <v/>
      </c>
      <c r="S32" s="1161" t="str">
        <f>IF(R32=$D$8,$D$8,IF(R32=2,2,IF(R32=3,3,R32)))</f>
        <v/>
      </c>
      <c r="T32" s="4482" t="s">
        <v>5232</v>
      </c>
      <c r="U32" s="4483"/>
      <c r="V32" s="1579"/>
      <c r="W32" s="4484"/>
      <c r="X32" s="4485"/>
      <c r="Y32" s="4485"/>
      <c r="Z32" s="4485"/>
      <c r="AA32" s="4485"/>
      <c r="AB32" s="4485"/>
      <c r="AC32" s="4485"/>
      <c r="AD32" s="4485"/>
      <c r="AE32" s="4485"/>
      <c r="AF32" s="4486"/>
      <c r="AG32" s="4484"/>
      <c r="AH32" s="4485"/>
      <c r="AI32" s="4485"/>
      <c r="AJ32" s="4485"/>
      <c r="AK32" s="4485"/>
      <c r="AL32" s="4485"/>
      <c r="AM32" s="4485"/>
      <c r="AN32" s="4485"/>
      <c r="AO32" s="4485"/>
      <c r="AP32" s="4486"/>
      <c r="AQ32" s="4484"/>
      <c r="AR32" s="4485"/>
      <c r="AS32" s="4485"/>
      <c r="AT32" s="4485"/>
      <c r="AU32" s="4485"/>
      <c r="AV32" s="4485"/>
      <c r="AW32" s="4485"/>
      <c r="AX32" s="4485"/>
      <c r="AY32" s="4485"/>
      <c r="AZ32" s="4486"/>
      <c r="BA32" s="4484"/>
      <c r="BB32" s="4485"/>
      <c r="BC32" s="4485"/>
      <c r="BD32" s="4485"/>
      <c r="BE32" s="4485"/>
      <c r="BF32" s="4485"/>
      <c r="BG32" s="4485"/>
      <c r="BH32" s="4485"/>
      <c r="BI32" s="4485"/>
      <c r="BJ32" s="4486"/>
      <c r="BK32" s="1171">
        <f>SUM(K28:K32)-SUM(V32:BA32)</f>
        <v>0</v>
      </c>
      <c r="BL32" s="1629"/>
      <c r="BM32" s="1630"/>
      <c r="BN32" s="1165"/>
      <c r="BO32" s="1166"/>
      <c r="BP32" s="1167" t="str">
        <f>IF(I32="Si",VLOOKUP($D$8,'Tablas Técnicas'!$E$4:$F$6,2,FALSE),"")</f>
        <v/>
      </c>
      <c r="BQ32" s="1137" t="str">
        <f>IF(L32="Si",VLOOKUP($D$8,'Tablas Técnicas'!$I$4:$J$6,2,FALSE),"")</f>
        <v/>
      </c>
      <c r="BR32" s="1168" t="str">
        <f>IF(O32="Si",VLOOKUP($D$8,'Tablas Técnicas'!$I$7:$J$9,2,FALSE),"")</f>
        <v/>
      </c>
      <c r="BS32" s="1151"/>
      <c r="BT32" s="1574" t="s">
        <v>2245</v>
      </c>
      <c r="BU32" s="1573" t="s">
        <v>5236</v>
      </c>
      <c r="BV32" s="1128"/>
      <c r="BW32" s="1573" t="s">
        <v>5237</v>
      </c>
      <c r="BX32" s="1574" t="s">
        <v>5238</v>
      </c>
      <c r="BY32" s="1489" t="s">
        <v>5238</v>
      </c>
      <c r="BZ32" s="1585"/>
      <c r="CA32" s="1096"/>
      <c r="DR32" s="1096"/>
      <c r="DS32" s="1507"/>
      <c r="DT32" s="1514"/>
      <c r="DU32" s="1569"/>
      <c r="DV32" s="1566" t="str">
        <f>IF(E32="","",E32)&amp;IF(I32="No",""," (Mant.)")&amp;IF(L32="No",""," (Sme)")&amp;IF(O32="No",""," (SMa)")</f>
        <v/>
      </c>
      <c r="DW32" s="1567"/>
      <c r="DX32" s="1568"/>
      <c r="DY32" s="1513"/>
      <c r="DZ32" s="1096"/>
      <c r="EA32" s="1660">
        <f t="shared" si="0"/>
        <v>1</v>
      </c>
    </row>
    <row r="33" spans="1:132" x14ac:dyDescent="0.2">
      <c r="A33" s="1096"/>
      <c r="B33" s="159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97"/>
      <c r="D33" s="1644">
        <v>5</v>
      </c>
      <c r="E33" s="1423"/>
      <c r="F33" s="1173"/>
      <c r="G33" s="1174"/>
      <c r="H33" s="2559">
        <f>IF(AND(OR(ISNUMBER(SEARCH("Afinidad Elemental ("&amp;BK28&amp;")",Principal!$AF$30)),ISNUMBER(SEARCH("Afinidad Elemental ("&amp;BL28&amp;")",Principal!$AF$30)),ISNUMBER(SEARCH("Afinidad Elemental ("&amp;BM28&amp;")",Principal!$AF$30))),SUM(H28:H32)&gt;=5),-5,0)</f>
        <v>0</v>
      </c>
      <c r="I33" s="1603"/>
      <c r="J33" s="1606"/>
      <c r="K33" s="1174"/>
      <c r="L33" s="1603"/>
      <c r="M33" s="1606"/>
      <c r="N33" s="1174"/>
      <c r="O33" s="1603"/>
      <c r="P33" s="1606"/>
      <c r="Q33" s="1174"/>
      <c r="R33" s="1175"/>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c r="BD33" s="1174"/>
      <c r="BE33" s="1174"/>
      <c r="BF33" s="1174"/>
      <c r="BG33" s="1174"/>
      <c r="BH33" s="1174"/>
      <c r="BI33" s="1174"/>
      <c r="BJ33" s="1174"/>
      <c r="BK33" s="1174"/>
      <c r="BL33" s="1174"/>
      <c r="BM33" s="1184"/>
      <c r="BN33" s="1185">
        <f>SUM(K33:K36)</f>
        <v>0</v>
      </c>
      <c r="BO33" s="1128" t="str">
        <f>IF(E33=0,"",(AF33+AP33+AZ33+BJ33))</f>
        <v/>
      </c>
      <c r="BP33" s="1186" t="str">
        <f>IF(I33="Si",VLOOKUP($D$8,'Tablas Técnicas'!$E$4:$F$6,2,FALSE),"")</f>
        <v/>
      </c>
      <c r="BQ33" s="1187" t="str">
        <f>IF(L33="Si",VLOOKUP($D$8,'Tablas Técnicas'!$I$4:$J$6,2,FALSE),"")</f>
        <v/>
      </c>
      <c r="BR33" s="1185" t="str">
        <f>IF(O33="Si",VLOOKUP($D$8,'Tablas Técnicas'!$I$7:$J$9,2,FALSE),"")</f>
        <v/>
      </c>
      <c r="BS33" s="1151"/>
      <c r="BT33" s="158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64"/>
      <c r="BV33" s="1128"/>
      <c r="BW33" s="1183" t="str">
        <f>IF(SUM(BT33:BU33)=0,"N/A",SUM(BT33:BU33))</f>
        <v>N/A</v>
      </c>
      <c r="BX33" s="158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83" t="str">
        <f>IF(BX33=0,"N/A",BX33)</f>
        <v>N/A</v>
      </c>
      <c r="BZ33" s="1585"/>
      <c r="CA33" s="1096"/>
      <c r="DR33" s="1096"/>
      <c r="DS33" s="1507"/>
      <c r="DT33" s="1514"/>
      <c r="DU33" s="1569"/>
      <c r="DV33" s="1570"/>
      <c r="DW33" s="1567"/>
      <c r="DX33" s="1568"/>
      <c r="DY33" s="1513"/>
      <c r="DZ33" s="1096"/>
      <c r="EA33" s="1660">
        <f t="shared" si="0"/>
        <v>1</v>
      </c>
    </row>
    <row r="34" spans="1:132" ht="12" thickBot="1" x14ac:dyDescent="0.25">
      <c r="A34" s="1096"/>
      <c r="B34" s="1096"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97"/>
      <c r="D34" s="1643" t="s">
        <v>2310</v>
      </c>
      <c r="E34" s="1140"/>
      <c r="F34" s="1176"/>
      <c r="G34" s="1146" t="str">
        <f>IF(E34=0,"",VLOOKUP(E34,'Tablas Técnicas'!$A$14:$V$771,3,FALSE))</f>
        <v/>
      </c>
      <c r="H34" s="1188" t="str">
        <f>IF($E34=0,"",VLOOKUP($E34,'Tablas Técnicas'!$A$14:$V$771,4,FALSE))</f>
        <v/>
      </c>
      <c r="I34" s="1144" t="s">
        <v>2234</v>
      </c>
      <c r="J34" s="1607" t="str">
        <f>IF(E34=0,"",VLOOKUP(E34,'Tablas Técnicas'!$A$14:$V$771,5,FALSE))</f>
        <v/>
      </c>
      <c r="K34" s="1190" t="str">
        <f>IF(I34="Si",IF(E34=0,"",VLOOKUP(E34,'Tablas Técnicas'!$A$14:$V$771,5,FALSE)),"")</f>
        <v/>
      </c>
      <c r="L34" s="1144" t="s">
        <v>2234</v>
      </c>
      <c r="M34" s="1607" t="str">
        <f>IF(E34=0,"",VLOOKUP(E34,'Tablas Técnicas'!$A$14:$V$771,6,FALSE))</f>
        <v/>
      </c>
      <c r="N34" s="1147" t="str">
        <f>IF(L34="Si",IF(E34=0,"",VLOOKUP(E34,'Tablas Técnicas'!$A$14:$V$771,6,FALSE)),"")</f>
        <v/>
      </c>
      <c r="O34" s="1144" t="s">
        <v>2234</v>
      </c>
      <c r="P34" s="1607" t="str">
        <f>IF(E34=0,"",VLOOKUP(E34,'Tablas Técnicas'!$A$14:$V$771,7,FALSE))</f>
        <v/>
      </c>
      <c r="Q34" s="1147" t="str">
        <f>IF(O34="Si",IF(E34=0,"",VLOOKUP(E34,'Tablas Técnicas'!$A$14:$V$771,7,FALSE)),"")</f>
        <v/>
      </c>
      <c r="R34" s="1189" t="str">
        <f>IF(E34=0,"",VLOOKUP(E34,'Tablas Técnicas'!$A$14:$V$771,8,FALSE))</f>
        <v/>
      </c>
      <c r="S34" s="1161" t="str">
        <f>IF(R34=$D$8,$D$8,IF(R34=2,2,IF(R34=3,3,R34)))</f>
        <v/>
      </c>
      <c r="T34" s="1190" t="str">
        <f>IF(E34=0,"",VLOOKUP(E34,'Tablas Técnicas'!$A$14:$V$771,9,FALSE))</f>
        <v/>
      </c>
      <c r="U34" s="1190" t="str">
        <f>IF(E34=0,"",VLOOKUP(E34,'Tablas Técnicas'!$A$14:$V$771,10,FALSE))</f>
        <v/>
      </c>
      <c r="V34" s="1191" t="str">
        <f>IF(E34=0,"",VLOOKUP(E34,'Tablas Técnicas'!$A$14:$V$771,11,FALSE))</f>
        <v/>
      </c>
      <c r="W34" s="1144"/>
      <c r="X34" s="1145" t="e">
        <f>VLOOKUP(E34,'Tablas Técnicas'!$A$14:$V$771,12,FALSE)</f>
        <v>#N/A</v>
      </c>
      <c r="Y34" s="1145" t="e">
        <f>IF(W34=X34,VLOOKUP(E34,'Tablas Técnicas'!$A$14:$V$771,13,FALSE),0)</f>
        <v>#N/A</v>
      </c>
      <c r="Z34" s="1145" t="e">
        <f>VLOOKUP(E34,'Tablas Técnicas'!$A$14:$V$771,14,FALSE)</f>
        <v>#N/A</v>
      </c>
      <c r="AA34" s="1145" t="e">
        <f>IF(W34=Z34,VLOOKUP(E34,'Tablas Técnicas'!$A$14:$V$616,15,FALSE),0)</f>
        <v>#N/A</v>
      </c>
      <c r="AB34" s="1145" t="e">
        <f>VLOOKUP(E34,'Tablas Técnicas'!$A$14:$V$771,16,FALSE)</f>
        <v>#N/A</v>
      </c>
      <c r="AC34" s="1145" t="e">
        <f>IF(W34=AB34,VLOOKUP(E34,'Tablas Técnicas'!$A$14:$V$616,17,FALSE),0)</f>
        <v>#N/A</v>
      </c>
      <c r="AD34" s="1145" t="e">
        <f>VLOOKUP(E34,'Tablas Técnicas'!$A$14:$V$771,18,FALSE)</f>
        <v>#N/A</v>
      </c>
      <c r="AE34" s="1145" t="e">
        <f>IF(W34=AD34,VLOOKUP(E34,'Tablas Técnicas'!$A$14:$V$771,19,FALSE),0)</f>
        <v>#N/A</v>
      </c>
      <c r="AF34" s="1163" t="str">
        <f>IF(E34=0,"",(Y34+AA34+AC34+AE34))</f>
        <v/>
      </c>
      <c r="AG34" s="1144"/>
      <c r="AH34" s="1162" t="e">
        <f>VLOOKUP(E34,'Tablas Técnicas'!$A$14:$V$771,12,FALSE)</f>
        <v>#N/A</v>
      </c>
      <c r="AI34" s="1162" t="e">
        <f>IF(AG34=AH34,VLOOKUP(E34,'Tablas Técnicas'!$A$14:$V$771,13,FALSE),0)</f>
        <v>#N/A</v>
      </c>
      <c r="AJ34" s="1162" t="e">
        <f>VLOOKUP(E34,'Tablas Técnicas'!$A$14:$V$771,14,FALSE)</f>
        <v>#N/A</v>
      </c>
      <c r="AK34" s="1162" t="e">
        <f>IF(AG34=AJ34,VLOOKUP(E34,'Tablas Técnicas'!$A$14:$V$771,15,FALSE),0)</f>
        <v>#N/A</v>
      </c>
      <c r="AL34" s="1162" t="e">
        <f>VLOOKUP(E34,'Tablas Técnicas'!$A$14:$V$771,16,FALSE)</f>
        <v>#N/A</v>
      </c>
      <c r="AM34" s="1162" t="e">
        <f>IF(AG34=AL34,VLOOKUP(E34,'Tablas Técnicas'!$A$14:$V$771,17,FALSE),0)</f>
        <v>#N/A</v>
      </c>
      <c r="AN34" s="1162" t="e">
        <f>VLOOKUP(E34,'Tablas Técnicas'!$A$14:$V$771,18,FALSE)</f>
        <v>#N/A</v>
      </c>
      <c r="AO34" s="1162" t="e">
        <f>IF(AG34=AN34,VLOOKUP(E34,'Tablas Técnicas'!$A$14:$V$771,19,FALSE),0)</f>
        <v>#N/A</v>
      </c>
      <c r="AP34" s="1583" t="str">
        <f>IF(E34=0,"",(AI34+AK34+AM34+AO34))</f>
        <v/>
      </c>
      <c r="AQ34" s="1144"/>
      <c r="AR34" s="1162" t="e">
        <f>VLOOKUP(E34,'Tablas Técnicas'!$A$14:$V$771,12,FALSE)</f>
        <v>#N/A</v>
      </c>
      <c r="AS34" s="1162" t="e">
        <f>IF(AQ34=AR34,VLOOKUP(E34,'Tablas Técnicas'!$A$14:$V$771,13,FALSE),0)</f>
        <v>#N/A</v>
      </c>
      <c r="AT34" s="1162" t="e">
        <f>VLOOKUP(E34,'Tablas Técnicas'!$A$14:$V$771,14,FALSE)</f>
        <v>#N/A</v>
      </c>
      <c r="AU34" s="1162" t="e">
        <f>IF(AQ34=AT34,VLOOKUP(E34,'Tablas Técnicas'!$A$14:$V$771,15,FALSE),0)</f>
        <v>#N/A</v>
      </c>
      <c r="AV34" s="1162" t="e">
        <f>VLOOKUP(E34,'Tablas Técnicas'!$A$14:$V$771,16,FALSE)</f>
        <v>#N/A</v>
      </c>
      <c r="AW34" s="1162" t="e">
        <f>IF(AQ34=AV34,VLOOKUP(E34,'Tablas Técnicas'!$A$14:$V$771,17,FALSE),0)</f>
        <v>#N/A</v>
      </c>
      <c r="AX34" s="1162" t="e">
        <f>VLOOKUP(E34,'Tablas Técnicas'!$A$14:$V$771,18,FALSE)</f>
        <v>#N/A</v>
      </c>
      <c r="AY34" s="1162" t="e">
        <f>IF(AQ34=AX34,VLOOKUP(E34,'Tablas Técnicas'!$A$14:$V$771,19,FALSE),0)</f>
        <v>#N/A</v>
      </c>
      <c r="AZ34" s="1163" t="str">
        <f>IF(E34=0,"",(AS34+AU34+AW34+AY34))</f>
        <v/>
      </c>
      <c r="BA34" s="1144"/>
      <c r="BB34" s="1162" t="e">
        <f>VLOOKUP(E34,'Tablas Técnicas'!$A$14:$V$771,12,FALSE)</f>
        <v>#N/A</v>
      </c>
      <c r="BC34" s="1162" t="e">
        <f>IF(BA34=BB34,VLOOKUP(E34,'Tablas Técnicas'!$A$14:$V$771,13,FALSE),0)</f>
        <v>#N/A</v>
      </c>
      <c r="BD34" s="1162" t="e">
        <f>VLOOKUP(E34,'Tablas Técnicas'!$A$14:$V$771,14,FALSE)</f>
        <v>#N/A</v>
      </c>
      <c r="BE34" s="1162" t="e">
        <f>IF(BA34=BD34,VLOOKUP(E34,'Tablas Técnicas'!$A$14:$V$771,15,FALSE),0)</f>
        <v>#N/A</v>
      </c>
      <c r="BF34" s="1162" t="e">
        <f>VLOOKUP(E34,'Tablas Técnicas'!$A$14:$V$771,16,FALSE)</f>
        <v>#N/A</v>
      </c>
      <c r="BG34" s="1162" t="e">
        <f>IF(BA34=BF34,VLOOKUP(E34,'Tablas Técnicas'!$A$14:$V$771,17,FALSE),0)</f>
        <v>#N/A</v>
      </c>
      <c r="BH34" s="1162" t="e">
        <f>VLOOKUP(E34,'Tablas Técnicas'!$A$14:$V$771,18,FALSE)</f>
        <v>#N/A</v>
      </c>
      <c r="BI34" s="1162" t="e">
        <f>IF(BA34=BH34,VLOOKUP(E34,'Tablas Técnicas'!$A$14:$V$771,19,FALSE),0)</f>
        <v>#N/A</v>
      </c>
      <c r="BJ34" s="1583" t="str">
        <f>IF(E34=0,"",(BC34+BE34+BG34+BI34))</f>
        <v/>
      </c>
      <c r="BK34" s="1190" t="str">
        <f>IF(E34=0,"",VLOOKUP(E34,'Tablas Técnicas'!$A$14:$V$771,20,FALSE))</f>
        <v/>
      </c>
      <c r="BL34" s="1177" t="str">
        <f>IF(E34=0,"",VLOOKUP(E34,'Tablas Técnicas'!$A$14:$V$771,21,FALSE))</f>
        <v/>
      </c>
      <c r="BM34" s="1148" t="str">
        <f>IF(E34=0,"",VLOOKUP(E34,'Tablas Técnicas'!$A$14:$V$771,22,FALSE))</f>
        <v/>
      </c>
      <c r="BN34" s="1149"/>
      <c r="BO34" s="1150"/>
      <c r="BP34" s="1135" t="str">
        <f>IF(I34="Si",VLOOKUP($D$8,'Tablas Técnicas'!$E$4:$F$6,2,FALSE),"")</f>
        <v/>
      </c>
      <c r="BQ34" s="1136" t="str">
        <f>IF(L34="Si",VLOOKUP($D$8,'Tablas Técnicas'!$I$4:$J$6,2,FALSE),"")</f>
        <v/>
      </c>
      <c r="BR34" s="1134" t="str">
        <f>IF(O34="Si",VLOOKUP($D$8,'Tablas Técnicas'!$I$7:$J$9,2,FALSE),"")</f>
        <v/>
      </c>
      <c r="BS34" s="1151"/>
      <c r="BU34" s="4442"/>
      <c r="BV34" s="4442"/>
      <c r="BW34" s="4442"/>
      <c r="BX34" s="1108"/>
      <c r="BY34" s="1475"/>
      <c r="BZ34" s="1492"/>
      <c r="CA34" s="1096"/>
      <c r="DR34" s="1096"/>
      <c r="DS34" s="1507"/>
      <c r="DT34" s="1514"/>
      <c r="DU34" s="1618" t="str">
        <f>DU10&amp;DU11&amp;DU12&amp;DU13&amp;DU14&amp;DU15</f>
        <v/>
      </c>
      <c r="DV34" s="1619" t="str">
        <f>DV10&amp;DV11&amp;DV12&amp;DV13&amp;DV14&amp;DV16&amp;DV17&amp;DV18&amp;DV19&amp;DV20&amp;DV22&amp;DV23&amp;DV24&amp;DV25&amp;DV26&amp;DV28&amp;DV29&amp;DV30&amp;DV31&amp;DV32</f>
        <v/>
      </c>
      <c r="DW34" s="1620" t="str">
        <f>DW10&amp;DW11&amp;DW12</f>
        <v/>
      </c>
      <c r="DX34" s="1621" t="str">
        <f>IF(DX16="",DX10,DX16)</f>
        <v/>
      </c>
      <c r="DY34" s="1513"/>
      <c r="DZ34" s="1096"/>
      <c r="EA34" s="1660">
        <f t="shared" si="0"/>
        <v>1</v>
      </c>
    </row>
    <row r="35" spans="1:132" x14ac:dyDescent="0.2">
      <c r="A35" s="1096"/>
      <c r="B35" s="1096"/>
      <c r="C35" s="1497"/>
      <c r="D35" s="1642" t="s">
        <v>2310</v>
      </c>
      <c r="E35" s="1152"/>
      <c r="F35" s="1182"/>
      <c r="G35" s="1627" t="str">
        <f>IF(E35=0,"",VLOOKUP(E35,'Tablas Técnicas'!$A$14:$V$771,3,FALSE))</f>
        <v/>
      </c>
      <c r="H35" s="1155" t="str">
        <f>IF($E35=0,"",VLOOKUP($E35,'Tablas Técnicas'!$A$14:$V$771,4,FALSE))</f>
        <v/>
      </c>
      <c r="I35" s="1156" t="s">
        <v>2234</v>
      </c>
      <c r="J35" s="1605" t="str">
        <f>IF(E35=0,"",VLOOKUP(E35,'Tablas Técnicas'!$A$14:$V$771,5,FALSE))</f>
        <v/>
      </c>
      <c r="K35" s="1158" t="str">
        <f>IF(I35="Si",IF(E35=0,"",VLOOKUP(E35,'Tablas Técnicas'!$A$14:$V$771,5,FALSE)),"")</f>
        <v/>
      </c>
      <c r="L35" s="1156" t="s">
        <v>2234</v>
      </c>
      <c r="M35" s="1605" t="str">
        <f>IF(E35=0,"",VLOOKUP(E35,'Tablas Técnicas'!$A$14:$V$771,6,FALSE))</f>
        <v/>
      </c>
      <c r="N35" s="1159" t="str">
        <f>IF(L35="Si",IF(E35=0,"",VLOOKUP(E35,'Tablas Técnicas'!$A$14:$V$771,6,FALSE)),"")</f>
        <v/>
      </c>
      <c r="O35" s="1156" t="s">
        <v>2234</v>
      </c>
      <c r="P35" s="1605" t="str">
        <f>IF(E35=0,"",VLOOKUP(E35,'Tablas Técnicas'!$A$14:$V$771,7,FALSE))</f>
        <v/>
      </c>
      <c r="Q35" s="1159" t="str">
        <f>IF(O35="Si",IF(E35=0,"",VLOOKUP(E35,'Tablas Técnicas'!$A$14:$V$771,7,FALSE)),"")</f>
        <v/>
      </c>
      <c r="R35" s="1157" t="str">
        <f>IF(E35=0,"",VLOOKUP(E35,'Tablas Técnicas'!$A$14:$V$771,8,FALSE))</f>
        <v/>
      </c>
      <c r="S35" s="1155" t="str">
        <f>IF(R35=$D$8,$D$8,IF(R35=2,2,IF(R35=3,3,R35)))</f>
        <v/>
      </c>
      <c r="T35" s="4475" t="s">
        <v>5228</v>
      </c>
      <c r="U35" s="4476"/>
      <c r="V35" s="4476"/>
      <c r="W35" s="4476"/>
      <c r="X35" s="4476"/>
      <c r="Y35" s="4476"/>
      <c r="Z35" s="4476"/>
      <c r="AA35" s="4476"/>
      <c r="AB35" s="4476"/>
      <c r="AC35" s="4476"/>
      <c r="AD35" s="4476"/>
      <c r="AE35" s="4476"/>
      <c r="AF35" s="4476"/>
      <c r="AG35" s="4476"/>
      <c r="AH35" s="4476"/>
      <c r="AI35" s="4476"/>
      <c r="AJ35" s="4476"/>
      <c r="AK35" s="4476"/>
      <c r="AL35" s="4476"/>
      <c r="AM35" s="4476"/>
      <c r="AN35" s="4476"/>
      <c r="AO35" s="4476"/>
      <c r="AP35" s="4476"/>
      <c r="AQ35" s="4476"/>
      <c r="AR35" s="4476"/>
      <c r="AS35" s="4476"/>
      <c r="AT35" s="4476"/>
      <c r="AU35" s="4476"/>
      <c r="AV35" s="4476"/>
      <c r="AW35" s="4476"/>
      <c r="AX35" s="4476"/>
      <c r="AY35" s="4476"/>
      <c r="AZ35" s="4476"/>
      <c r="BA35" s="4476"/>
      <c r="BB35" s="4476"/>
      <c r="BC35" s="4476"/>
      <c r="BD35" s="4476"/>
      <c r="BE35" s="4476"/>
      <c r="BF35" s="4476"/>
      <c r="BG35" s="4476"/>
      <c r="BH35" s="4476"/>
      <c r="BI35" s="4476"/>
      <c r="BJ35" s="4476"/>
      <c r="BK35" s="4477"/>
      <c r="BL35" s="1627"/>
      <c r="BM35" s="1628"/>
      <c r="BN35" s="1149"/>
      <c r="BO35" s="1150"/>
      <c r="BP35" s="1135" t="str">
        <f>IF(I35="Si",VLOOKUP($D$8,'Tablas Técnicas'!$E$4:$F$6,2,FALSE),"")</f>
        <v/>
      </c>
      <c r="BQ35" s="1136" t="str">
        <f>IF(L35="Si",VLOOKUP($D$8,'Tablas Técnicas'!$I$4:$J$6,2,FALSE),"")</f>
        <v/>
      </c>
      <c r="BR35" s="1134" t="str">
        <f>IF(O35="Si",VLOOKUP($D$8,'Tablas Técnicas'!$I$7:$J$9,2,FALSE),"")</f>
        <v/>
      </c>
      <c r="BS35" s="1151"/>
      <c r="BT35" s="1194"/>
      <c r="BU35" s="1232"/>
      <c r="BV35" s="1232"/>
      <c r="BW35" s="1232"/>
      <c r="BX35" s="1108"/>
      <c r="BY35" s="1474"/>
      <c r="BZ35" s="1492"/>
      <c r="CA35" s="1096"/>
      <c r="DR35" s="1096"/>
      <c r="DS35" s="1507"/>
      <c r="DT35" s="1514"/>
      <c r="DU35" s="1567"/>
      <c r="DV35" s="1566" t="str">
        <f>IF(E35="","",E35)&amp;IF(I35="No",""," (Mant.)")&amp;IF(L35="No",""," (Sme)")&amp;IF(O35="No",""," (SMa)")</f>
        <v/>
      </c>
      <c r="DW35" s="1567"/>
      <c r="DX35" s="1567"/>
      <c r="DY35" s="1513"/>
      <c r="DZ35" s="1096"/>
      <c r="EA35" s="1660">
        <f t="shared" si="0"/>
        <v>1</v>
      </c>
    </row>
    <row r="36" spans="1:132" x14ac:dyDescent="0.2">
      <c r="A36" s="1096"/>
      <c r="B36" s="1096"/>
      <c r="C36" s="1497"/>
      <c r="D36" s="1643" t="s">
        <v>2310</v>
      </c>
      <c r="E36" s="1160"/>
      <c r="F36" s="1176"/>
      <c r="G36" s="1146" t="str">
        <f>IF(E36=0,"",VLOOKUP(E36,'Tablas Técnicas'!$A$14:$V$771,3,FALSE))</f>
        <v/>
      </c>
      <c r="H36" s="1582" t="str">
        <f>IF($E36=0,"",VLOOKUP($E36,'Tablas Técnicas'!$A$14:$V$771,4,FALSE))</f>
        <v/>
      </c>
      <c r="I36" s="1144" t="s">
        <v>2234</v>
      </c>
      <c r="J36" s="1601" t="str">
        <f>IF(E36=0,"",VLOOKUP(E36,'Tablas Técnicas'!$A$14:$V$771,5,FALSE))</f>
        <v/>
      </c>
      <c r="K36" s="1163" t="str">
        <f>IF(I36="Si",IF(E36=0,"",VLOOKUP(E36,'Tablas Técnicas'!$A$14:$V$771,5,FALSE)),"")</f>
        <v/>
      </c>
      <c r="L36" s="1144" t="s">
        <v>2234</v>
      </c>
      <c r="M36" s="1601" t="str">
        <f>IF(E36=0,"",VLOOKUP(E36,'Tablas Técnicas'!$A$14:$V$771,6,FALSE))</f>
        <v/>
      </c>
      <c r="N36" s="1147" t="str">
        <f>IF(L36="Si",IF(E36=0,"",VLOOKUP(E36,'Tablas Técnicas'!$A$14:$V$771,6,FALSE)),"")</f>
        <v/>
      </c>
      <c r="O36" s="1144" t="s">
        <v>2234</v>
      </c>
      <c r="P36" s="1601" t="str">
        <f>IF(E36=0,"",VLOOKUP(E36,'Tablas Técnicas'!$A$14:$V$771,7,FALSE))</f>
        <v/>
      </c>
      <c r="Q36" s="1147" t="str">
        <f>IF(O36="Si",IF(E36=0,"",VLOOKUP(E36,'Tablas Técnicas'!$A$14:$V$771,7,FALSE)),"")</f>
        <v/>
      </c>
      <c r="R36" s="1162" t="str">
        <f>IF(E36=0,"",VLOOKUP(E36,'Tablas Técnicas'!$A$14:$V$771,8,FALSE))</f>
        <v/>
      </c>
      <c r="S36" s="1582" t="str">
        <f>IF(R36=$D$8,$D$8,IF(R36=2,2,IF(R36=3,3,R36)))</f>
        <v/>
      </c>
      <c r="T36" s="4487"/>
      <c r="U36" s="4488"/>
      <c r="V36" s="1575" t="str">
        <f>IF(OR(V34=0,V34=""),"N/A",V34)</f>
        <v>N/A</v>
      </c>
      <c r="W36" s="4487" t="str">
        <f xml:space="preserve"> IF(OR(AF34=0,AF34=""),"N/A",W34)</f>
        <v>N/A</v>
      </c>
      <c r="X36" s="4489"/>
      <c r="Y36" s="4489"/>
      <c r="Z36" s="4489"/>
      <c r="AA36" s="4489"/>
      <c r="AB36" s="4489"/>
      <c r="AC36" s="4489"/>
      <c r="AD36" s="4489"/>
      <c r="AE36" s="4489"/>
      <c r="AF36" s="4488"/>
      <c r="AG36" s="4487" t="str">
        <f xml:space="preserve"> IF(OR(AP34="",AP34=0),"N/A",AG34)</f>
        <v>N/A</v>
      </c>
      <c r="AH36" s="4489"/>
      <c r="AI36" s="4489"/>
      <c r="AJ36" s="4489"/>
      <c r="AK36" s="4489"/>
      <c r="AL36" s="4489"/>
      <c r="AM36" s="4489"/>
      <c r="AN36" s="4489"/>
      <c r="AO36" s="4489"/>
      <c r="AP36" s="4488"/>
      <c r="AQ36" s="4487" t="str">
        <f xml:space="preserve"> IF(OR(AZ34="",AZ34=0),"N/A",AQ34)</f>
        <v>N/A</v>
      </c>
      <c r="AR36" s="4489"/>
      <c r="AS36" s="4489"/>
      <c r="AT36" s="4489"/>
      <c r="AU36" s="4489"/>
      <c r="AV36" s="4489"/>
      <c r="AW36" s="4489"/>
      <c r="AX36" s="4489"/>
      <c r="AY36" s="4489"/>
      <c r="AZ36" s="4488"/>
      <c r="BA36" s="4487" t="str">
        <f xml:space="preserve"> IF(OR(BJ34="",BJ34=0),"N/A",BA34)</f>
        <v>N/A</v>
      </c>
      <c r="BB36" s="4489"/>
      <c r="BC36" s="4489"/>
      <c r="BD36" s="4489"/>
      <c r="BE36" s="4489"/>
      <c r="BF36" s="4489"/>
      <c r="BG36" s="4489"/>
      <c r="BH36" s="4489"/>
      <c r="BI36" s="4489"/>
      <c r="BJ36" s="4488"/>
      <c r="BK36" s="1164" t="s">
        <v>5229</v>
      </c>
      <c r="BL36" s="1146"/>
      <c r="BM36" s="1181"/>
      <c r="BN36" s="1165"/>
      <c r="BO36" s="1166"/>
      <c r="BP36" s="1167" t="str">
        <f>IF(I36="Si",VLOOKUP($D$8,'Tablas Técnicas'!$E$4:$F$6,2,FALSE),"")</f>
        <v/>
      </c>
      <c r="BQ36" s="1137" t="str">
        <f>IF(L36="Si",VLOOKUP($D$8,'Tablas Técnicas'!$I$4:$J$6,2,FALSE),"")</f>
        <v/>
      </c>
      <c r="BR36" s="1168" t="str">
        <f>IF(O36="Si",VLOOKUP($D$8,'Tablas Técnicas'!$I$7:$J$9,2,FALSE),"")</f>
        <v/>
      </c>
      <c r="BS36" s="1151"/>
      <c r="BU36" s="4443"/>
      <c r="BV36" s="4443"/>
      <c r="BW36" s="4443"/>
      <c r="BX36" s="1108"/>
      <c r="BY36" s="1474"/>
      <c r="BZ36" s="1492"/>
      <c r="CA36" s="1096"/>
      <c r="DR36" s="1096"/>
      <c r="DS36" s="1507"/>
      <c r="DT36" s="1514"/>
      <c r="DU36" s="1567"/>
      <c r="DV36" s="1566" t="str">
        <f>IF(E36="","",E36)&amp;IF(I36="No",""," (Mant.)")&amp;IF(L36="No",""," (Sme)")&amp;IF(O36="No",""," (SMa)")</f>
        <v/>
      </c>
      <c r="DW36" s="1567"/>
      <c r="DX36" s="1567"/>
      <c r="DY36" s="1513"/>
      <c r="DZ36" s="1096"/>
      <c r="EA36" s="1660">
        <f t="shared" si="0"/>
        <v>1</v>
      </c>
    </row>
    <row r="37" spans="1:132" s="1170" customFormat="1" x14ac:dyDescent="0.2">
      <c r="A37" s="1096"/>
      <c r="B37" s="1096"/>
      <c r="C37" s="1559"/>
      <c r="D37" s="1642" t="s">
        <v>2310</v>
      </c>
      <c r="E37" s="1152"/>
      <c r="F37" s="1182"/>
      <c r="G37" s="1627" t="str">
        <f>IF(E37=0,"",VLOOKUP(E37,'Tablas Técnicas'!$A$14:$V$771,3,FALSE))</f>
        <v/>
      </c>
      <c r="H37" s="1155" t="str">
        <f>IF($E37=0,"",VLOOKUP($E37,'Tablas Técnicas'!$A$14:$V$771,4,FALSE))</f>
        <v/>
      </c>
      <c r="I37" s="1156" t="s">
        <v>2234</v>
      </c>
      <c r="J37" s="1605" t="str">
        <f>IF(E37=0,"",VLOOKUP(E37,'Tablas Técnicas'!$A$14:$V$771,5,FALSE))</f>
        <v/>
      </c>
      <c r="K37" s="1158" t="str">
        <f>IF(I37="Si",IF(E37=0,"",VLOOKUP(E37,'Tablas Técnicas'!$A$14:$V$771,5,FALSE)),"")</f>
        <v/>
      </c>
      <c r="L37" s="1156" t="s">
        <v>2234</v>
      </c>
      <c r="M37" s="1605" t="str">
        <f>IF(E37=0,"",VLOOKUP(E37,'Tablas Técnicas'!$A$14:$V$771,6,FALSE))</f>
        <v/>
      </c>
      <c r="N37" s="1159" t="str">
        <f>IF(L37="Si",IF(E37=0,"",VLOOKUP(E37,'Tablas Técnicas'!$A$14:$V$771,6,FALSE)),"")</f>
        <v/>
      </c>
      <c r="O37" s="1156" t="s">
        <v>2234</v>
      </c>
      <c r="P37" s="1605" t="str">
        <f>IF(E37=0,"",VLOOKUP(E37,'Tablas Técnicas'!$A$14:$V$771,7,FALSE))</f>
        <v/>
      </c>
      <c r="Q37" s="1159" t="str">
        <f>IF(O37="Si",IF(E37=0,"",VLOOKUP(E37,'Tablas Técnicas'!$A$14:$V$771,7,FALSE)),"")</f>
        <v/>
      </c>
      <c r="R37" s="1157" t="str">
        <f>IF(E37=0,"",VLOOKUP(E37,'Tablas Técnicas'!$A$14:$V$771,8,FALSE))</f>
        <v/>
      </c>
      <c r="S37" s="1155" t="str">
        <f>IF(R37=$D$8,$D$8,IF(R37=2,2,IF(R37=3,3,R37)))</f>
        <v/>
      </c>
      <c r="T37" s="4490" t="s">
        <v>5230</v>
      </c>
      <c r="U37" s="4491"/>
      <c r="V37" s="1581"/>
      <c r="W37" s="4492"/>
      <c r="X37" s="4493"/>
      <c r="Y37" s="4493"/>
      <c r="Z37" s="4493"/>
      <c r="AA37" s="4493"/>
      <c r="AB37" s="4493"/>
      <c r="AC37" s="4493"/>
      <c r="AD37" s="4493"/>
      <c r="AE37" s="4493"/>
      <c r="AF37" s="4494"/>
      <c r="AG37" s="4492"/>
      <c r="AH37" s="4493"/>
      <c r="AI37" s="4493"/>
      <c r="AJ37" s="4493"/>
      <c r="AK37" s="4493"/>
      <c r="AL37" s="4493"/>
      <c r="AM37" s="4493"/>
      <c r="AN37" s="4493"/>
      <c r="AO37" s="4493"/>
      <c r="AP37" s="4494"/>
      <c r="AQ37" s="4492"/>
      <c r="AR37" s="4493"/>
      <c r="AS37" s="4493"/>
      <c r="AT37" s="4493"/>
      <c r="AU37" s="4493"/>
      <c r="AV37" s="4493"/>
      <c r="AW37" s="4493"/>
      <c r="AX37" s="4493"/>
      <c r="AY37" s="4493"/>
      <c r="AZ37" s="4494"/>
      <c r="BA37" s="4492"/>
      <c r="BB37" s="4493"/>
      <c r="BC37" s="4493"/>
      <c r="BD37" s="4493"/>
      <c r="BE37" s="4493"/>
      <c r="BF37" s="4493"/>
      <c r="BG37" s="4493"/>
      <c r="BH37" s="4493"/>
      <c r="BI37" s="4493"/>
      <c r="BJ37" s="4494"/>
      <c r="BK37" s="1155">
        <f>(SUM(G34:G38)+IF(AF34="",0,AF34)+IF(AP34="",0,AP34)+IF(AZ34="",0,AZ34)+IF(BJ34="",0,BJ34)+SUM(K34:K38)+SUM(N34:N38)+SUM(Q34:Q38))- SUM(V37:BA37)</f>
        <v>0</v>
      </c>
      <c r="BL37" s="1627"/>
      <c r="BM37" s="1628"/>
      <c r="BN37" s="1149"/>
      <c r="BO37" s="1150"/>
      <c r="BP37" s="1135" t="str">
        <f>IF(I37="Si",VLOOKUP($D$8,'Tablas Técnicas'!$E$4:$F$6,2,FALSE),"")</f>
        <v/>
      </c>
      <c r="BQ37" s="1136" t="str">
        <f>IF(L37="Si",VLOOKUP($D$8,'Tablas Técnicas'!$I$4:$J$6,2,FALSE),"")</f>
        <v/>
      </c>
      <c r="BR37" s="1134" t="str">
        <f>IF(O37="Si",VLOOKUP($D$8,'Tablas Técnicas'!$I$7:$J$9,2,FALSE),"")</f>
        <v/>
      </c>
      <c r="BS37" s="1151"/>
      <c r="BT37" s="1117"/>
      <c r="BU37" s="1232"/>
      <c r="BV37" s="1232"/>
      <c r="BW37" s="1232"/>
      <c r="BX37" s="1108"/>
      <c r="BY37" s="1474"/>
      <c r="BZ37" s="1492"/>
      <c r="CA37" s="1100"/>
      <c r="DR37" s="1100"/>
      <c r="DS37" s="1508"/>
      <c r="DT37" s="1515"/>
      <c r="DU37" s="1622"/>
      <c r="DV37" s="1566" t="str">
        <f>IF(E37="","",E37)&amp;IF(I37="No",""," (Mant.)")&amp;IF(L37="No",""," (Sme)")&amp;IF(O37="No",""," (SMa)")</f>
        <v/>
      </c>
      <c r="DW37" s="1622"/>
      <c r="DX37" s="1622"/>
      <c r="DY37" s="1516"/>
      <c r="DZ37" s="1100"/>
      <c r="EA37" s="1660">
        <f t="shared" si="0"/>
        <v>1</v>
      </c>
    </row>
    <row r="38" spans="1:132" x14ac:dyDescent="0.2">
      <c r="A38" s="1096"/>
      <c r="B38" s="1096"/>
      <c r="C38" s="1497"/>
      <c r="D38" s="1643" t="s">
        <v>2310</v>
      </c>
      <c r="E38" s="1160"/>
      <c r="F38" s="1176"/>
      <c r="G38" s="1146" t="str">
        <f>IF(E38=0,"",VLOOKUP(E38,'Tablas Técnicas'!$A$14:$V$771,3,FALSE))</f>
        <v/>
      </c>
      <c r="H38" s="1161" t="str">
        <f>IF($E38=0,"",VLOOKUP($E38,'Tablas Técnicas'!$A$14:$V$771,4,FALSE))</f>
        <v/>
      </c>
      <c r="I38" s="1144" t="s">
        <v>2234</v>
      </c>
      <c r="J38" s="1601" t="str">
        <f>IF(E38=0,"",VLOOKUP(E38,'Tablas Técnicas'!$A$14:$V$771,5,FALSE))</f>
        <v/>
      </c>
      <c r="K38" s="1163" t="str">
        <f>IF(I38="Si",IF(E38=0,"",VLOOKUP(E38,'Tablas Técnicas'!$A$14:$V$771,5,FALSE)),"")</f>
        <v/>
      </c>
      <c r="L38" s="1144" t="s">
        <v>2234</v>
      </c>
      <c r="M38" s="1601" t="str">
        <f>IF(E38=0,"",VLOOKUP(E38,'Tablas Técnicas'!$A$14:$V$771,6,FALSE))</f>
        <v/>
      </c>
      <c r="N38" s="1147" t="str">
        <f>IF(L38="Si",IF(E38=0,"",VLOOKUP(E38,'Tablas Técnicas'!$A$14:$V$771,6,FALSE)),"")</f>
        <v/>
      </c>
      <c r="O38" s="1144" t="s">
        <v>2234</v>
      </c>
      <c r="P38" s="1601" t="str">
        <f>IF(E38=0,"",VLOOKUP(E38,'Tablas Técnicas'!$A$14:$V$771,7,FALSE))</f>
        <v/>
      </c>
      <c r="Q38" s="1147" t="str">
        <f>IF(O38="Si",IF(E38=0,"",VLOOKUP(E38,'Tablas Técnicas'!$A$14:$V$771,7,FALSE)),"")</f>
        <v/>
      </c>
      <c r="R38" s="1162" t="str">
        <f>IF(E38=0,"",VLOOKUP(E38,'Tablas Técnicas'!$A$14:$V$771,8,FALSE))</f>
        <v/>
      </c>
      <c r="S38" s="1161" t="str">
        <f>IF(R38=$D$8,$D$8,IF(R38=2,2,IF(R38=3,3,R38)))</f>
        <v/>
      </c>
      <c r="T38" s="4495" t="s">
        <v>5232</v>
      </c>
      <c r="U38" s="4496"/>
      <c r="V38" s="1584"/>
      <c r="W38" s="4497"/>
      <c r="X38" s="4498"/>
      <c r="Y38" s="4498"/>
      <c r="Z38" s="4498"/>
      <c r="AA38" s="4498"/>
      <c r="AB38" s="4498"/>
      <c r="AC38" s="4498"/>
      <c r="AD38" s="4498"/>
      <c r="AE38" s="4498"/>
      <c r="AF38" s="4499"/>
      <c r="AG38" s="4497"/>
      <c r="AH38" s="4498"/>
      <c r="AI38" s="4498"/>
      <c r="AJ38" s="4498"/>
      <c r="AK38" s="4498"/>
      <c r="AL38" s="4498"/>
      <c r="AM38" s="4498"/>
      <c r="AN38" s="4498"/>
      <c r="AO38" s="4498"/>
      <c r="AP38" s="4499"/>
      <c r="AQ38" s="4497"/>
      <c r="AR38" s="4498"/>
      <c r="AS38" s="4498"/>
      <c r="AT38" s="4498"/>
      <c r="AU38" s="4498"/>
      <c r="AV38" s="4498"/>
      <c r="AW38" s="4498"/>
      <c r="AX38" s="4498"/>
      <c r="AY38" s="4498"/>
      <c r="AZ38" s="4499"/>
      <c r="BA38" s="4497"/>
      <c r="BB38" s="4498"/>
      <c r="BC38" s="4498"/>
      <c r="BD38" s="4498"/>
      <c r="BE38" s="4498"/>
      <c r="BF38" s="4498"/>
      <c r="BG38" s="4498"/>
      <c r="BH38" s="4498"/>
      <c r="BI38" s="4498"/>
      <c r="BJ38" s="4499"/>
      <c r="BK38" s="1161">
        <f>SUM(K34:K38)-SUM(V38:BA38)</f>
        <v>0</v>
      </c>
      <c r="BL38" s="1146"/>
      <c r="BM38" s="1181"/>
      <c r="BN38" s="1165"/>
      <c r="BO38" s="1166"/>
      <c r="BP38" s="1167" t="str">
        <f>IF(I38="Si",VLOOKUP($D$8,'Tablas Técnicas'!$E$4:$F$6,2,FALSE),"")</f>
        <v/>
      </c>
      <c r="BQ38" s="1137" t="str">
        <f>IF(L38="Si",VLOOKUP($D$8,'Tablas Técnicas'!$I$4:$J$6,2,FALSE),"")</f>
        <v/>
      </c>
      <c r="BR38" s="1168" t="str">
        <f>IF(O38="Si",VLOOKUP($D$8,'Tablas Técnicas'!$I$7:$J$9,2,FALSE),"")</f>
        <v/>
      </c>
      <c r="BS38" s="1151"/>
      <c r="BU38" s="1232"/>
      <c r="BV38" s="1232"/>
      <c r="BW38" s="1232"/>
      <c r="BX38" s="1108"/>
      <c r="BY38" s="1474"/>
      <c r="BZ38" s="1492"/>
      <c r="CA38" s="1096"/>
      <c r="DR38" s="1096"/>
      <c r="DS38" s="1507"/>
      <c r="DT38" s="1514"/>
      <c r="DU38" s="1567"/>
      <c r="DV38" s="1566" t="str">
        <f>IF(E38="","",E38)&amp;IF(I38="No",""," (Mant.)")&amp;IF(L38="No",""," (Sme)")&amp;IF(O38="No",""," (SMa)")</f>
        <v/>
      </c>
      <c r="DW38" s="1567"/>
      <c r="DX38" s="1567"/>
      <c r="DY38" s="1513"/>
      <c r="DZ38" s="1096"/>
      <c r="EA38" s="1660">
        <f t="shared" si="0"/>
        <v>1</v>
      </c>
    </row>
    <row r="39" spans="1:132" ht="11.25" customHeight="1" x14ac:dyDescent="0.2">
      <c r="A39" s="1096"/>
      <c r="B39" s="1096"/>
      <c r="C39" s="1497"/>
      <c r="D39" s="1645"/>
      <c r="E39" s="1594" t="s">
        <v>5239</v>
      </c>
      <c r="F39" s="1173"/>
      <c r="G39" s="1174"/>
      <c r="H39" s="2559">
        <f>IF(AND(OR(ISNUMBER(SEARCH("Afinidad Elemental ("&amp;BK34&amp;")",Principal!$AF$30)),ISNUMBER(SEARCH("Afinidad Elemental ("&amp;BL34&amp;")",Principal!$AF$30)),ISNUMBER(SEARCH("Afinidad Elemental ("&amp;BM34&amp;")",Principal!$AF$30))),SUM(H34:H38)&gt;=5),-5,0)</f>
        <v>0</v>
      </c>
      <c r="I39" s="1174"/>
      <c r="J39" s="1175"/>
      <c r="K39" s="1174"/>
      <c r="L39" s="1174"/>
      <c r="M39" s="1175"/>
      <c r="N39" s="1174"/>
      <c r="O39" s="1174"/>
      <c r="P39" s="1175"/>
      <c r="Q39" s="1174"/>
      <c r="R39" s="1175"/>
      <c r="S39" s="1174"/>
      <c r="T39" s="1174"/>
      <c r="U39" s="1195"/>
      <c r="V39" s="1195"/>
      <c r="W39" s="1195"/>
      <c r="X39" s="1195"/>
      <c r="Y39" s="1195"/>
      <c r="Z39" s="1195"/>
      <c r="AA39" s="1195"/>
      <c r="AB39" s="1195"/>
      <c r="AC39" s="1195"/>
      <c r="AD39" s="1195"/>
      <c r="AE39" s="1195"/>
      <c r="AF39" s="1195"/>
      <c r="AG39" s="1195"/>
      <c r="AH39" s="1195"/>
      <c r="AI39" s="1195"/>
      <c r="AJ39" s="1195"/>
      <c r="AK39" s="1195"/>
      <c r="AL39" s="1195"/>
      <c r="AM39" s="1195"/>
      <c r="AN39" s="1195"/>
      <c r="AO39" s="1195"/>
      <c r="AP39" s="1195"/>
      <c r="AQ39" s="1195"/>
      <c r="AR39" s="1195"/>
      <c r="AS39" s="1195"/>
      <c r="AT39" s="1195"/>
      <c r="AU39" s="1195"/>
      <c r="AV39" s="1195"/>
      <c r="AW39" s="1195"/>
      <c r="AX39" s="1195"/>
      <c r="AY39" s="1195"/>
      <c r="AZ39" s="1195"/>
      <c r="BA39" s="1195"/>
      <c r="BB39" s="1195"/>
      <c r="BC39" s="1195"/>
      <c r="BD39" s="1195"/>
      <c r="BE39" s="1195"/>
      <c r="BF39" s="1195"/>
      <c r="BG39" s="1195"/>
      <c r="BH39" s="1195"/>
      <c r="BI39" s="1195"/>
      <c r="BJ39" s="1195"/>
      <c r="BK39" s="4481"/>
      <c r="BL39" s="4481"/>
      <c r="BM39" s="4445"/>
      <c r="BN39" s="1134">
        <f>SUM(K39:K42)</f>
        <v>0</v>
      </c>
      <c r="BO39" s="1128">
        <f>IF(E39=0,"",(AF39+AP39+AZ39+BJ39))</f>
        <v>0</v>
      </c>
      <c r="BP39" s="1135" t="str">
        <f>IF(I39="Si",VLOOKUP($D$8,'Tablas Técnicas'!$E$4:$F$6,2,FALSE),"")</f>
        <v/>
      </c>
      <c r="BQ39" s="1136" t="str">
        <f>IF(L39="Si",VLOOKUP($D$8,'Tablas Técnicas'!$I$4:$J$6,2,FALSE),"")</f>
        <v/>
      </c>
      <c r="BR39" s="1134" t="str">
        <f>IF(O39="Si",VLOOKUP($D$8,'Tablas Técnicas'!$I$7:$J$9,2,FALSE),"")</f>
        <v/>
      </c>
      <c r="BS39" s="1151"/>
      <c r="BT39" s="4444" t="s">
        <v>5241</v>
      </c>
      <c r="BU39" s="4445"/>
      <c r="BV39" s="1128"/>
      <c r="BW39" s="1108"/>
      <c r="BX39" s="1108"/>
      <c r="BY39" s="1474"/>
      <c r="BZ39" s="1492"/>
      <c r="CA39" s="1096"/>
      <c r="DR39" s="1096"/>
      <c r="DT39" s="1514"/>
      <c r="DU39" s="1567"/>
      <c r="DV39" s="1567"/>
      <c r="DW39" s="1567"/>
      <c r="DX39" s="1567"/>
      <c r="DY39" s="1513"/>
      <c r="DZ39" s="1096"/>
      <c r="EA39" s="1660">
        <f t="shared" si="0"/>
        <v>1</v>
      </c>
    </row>
    <row r="40" spans="1:132" ht="11.25" customHeight="1" x14ac:dyDescent="0.2">
      <c r="A40" s="1096"/>
      <c r="B40" s="1096"/>
      <c r="C40" s="1497"/>
      <c r="D40" s="1646" t="s">
        <v>5240</v>
      </c>
      <c r="E40" s="1140"/>
      <c r="F40" s="1163"/>
      <c r="G40" s="1163"/>
      <c r="H40" s="1161" t="str">
        <f>IF(D8=0,"",IF(E40=0,"",VLOOKUP(E40,'Tablas Técnicas'!$A$14:$V$771,4,FALSE)))</f>
        <v/>
      </c>
      <c r="I40" s="1163"/>
      <c r="J40" s="1163"/>
      <c r="K40" s="1196"/>
      <c r="L40" s="1163"/>
      <c r="M40" s="1163"/>
      <c r="N40" s="1196"/>
      <c r="O40" s="1163"/>
      <c r="P40" s="1163"/>
      <c r="Q40" s="1163"/>
      <c r="R40" s="1162" t="str">
        <f>IF(E40=0,"",VLOOKUP(E40,'Tablas Técnicas'!$A$14:$V$771,8,FALSE))</f>
        <v/>
      </c>
      <c r="S40" s="1188" t="str">
        <f>IF(R40=$D$8,$D$8,IF(R40=2,2,IF(R40=3,3,R40)))</f>
        <v/>
      </c>
      <c r="T40" s="1163" t="str">
        <f>IF(E40=0,"",VLOOKUP(E40,'Tablas Técnicas'!$A$14:$V$771,9,FALSE))</f>
        <v/>
      </c>
      <c r="U40" s="1190" t="str">
        <f>IF(E40=0,"",VLOOKUP(E40,'Tablas Técnicas'!$A$14:$V$771,10,FALSE))</f>
        <v/>
      </c>
      <c r="V40" s="1191"/>
      <c r="W40" s="1191"/>
      <c r="X40" s="1190"/>
      <c r="Y40" s="1190"/>
      <c r="Z40" s="1190"/>
      <c r="AA40" s="1190"/>
      <c r="AB40" s="1190"/>
      <c r="AC40" s="1190"/>
      <c r="AD40" s="1190"/>
      <c r="AE40" s="1190"/>
      <c r="AF40" s="1190"/>
      <c r="AG40" s="4478" t="str">
        <f>IF(OR(E40='Tablas Técnicas'!A$678,E40='Tablas Técnicas'!A$679,E41='Tablas Técnicas'!A$678,E41='Tablas Técnicas'!A$679,E42='Tablas Técnicas'!A$678,E42='Tablas Técnicas'!A$679),"Selecciona la atadura elemental:","")</f>
        <v/>
      </c>
      <c r="AH40" s="4479"/>
      <c r="AI40" s="4479"/>
      <c r="AJ40" s="4479"/>
      <c r="AK40" s="4479"/>
      <c r="AL40" s="4479"/>
      <c r="AM40" s="4479"/>
      <c r="AN40" s="4479"/>
      <c r="AO40" s="4479"/>
      <c r="AP40" s="4479"/>
      <c r="AQ40" s="4479"/>
      <c r="AR40" s="4479"/>
      <c r="AS40" s="4479"/>
      <c r="AT40" s="4479"/>
      <c r="AU40" s="4479"/>
      <c r="AV40" s="4479"/>
      <c r="AW40" s="4479"/>
      <c r="AX40" s="4479"/>
      <c r="AY40" s="4479"/>
      <c r="AZ40" s="4479"/>
      <c r="BA40" s="4479"/>
      <c r="BB40" s="4479"/>
      <c r="BC40" s="4479"/>
      <c r="BD40" s="4479"/>
      <c r="BE40" s="4479"/>
      <c r="BF40" s="4479"/>
      <c r="BG40" s="4479"/>
      <c r="BH40" s="4479"/>
      <c r="BI40" s="4479"/>
      <c r="BJ40" s="4479"/>
      <c r="BK40" s="4480"/>
      <c r="BL40" s="1631"/>
      <c r="BM40" s="1631"/>
      <c r="BN40" s="1163"/>
      <c r="BO40" s="1163"/>
      <c r="BP40" s="1196"/>
      <c r="BQ40" s="1163"/>
      <c r="BR40" s="1163"/>
      <c r="BS40" s="1163"/>
      <c r="BT40" s="4446">
        <f>D8</f>
        <v>1</v>
      </c>
      <c r="BU40" s="4447"/>
      <c r="BV40" s="1128">
        <f>IF(BV39=0,0,VLOOKUP(BV39,'Tablas Técnicas'!$M$4:$N$7,2,FALSE))</f>
        <v>0</v>
      </c>
      <c r="BW40" s="1108"/>
      <c r="BX40" s="1108"/>
      <c r="BY40" s="1474"/>
      <c r="BZ40" s="1492"/>
      <c r="CA40" s="1096"/>
      <c r="DR40" s="1096"/>
      <c r="DT40" s="1514"/>
      <c r="DU40" s="1567"/>
      <c r="DV40" s="1567"/>
      <c r="DW40" s="1567"/>
      <c r="DX40" s="1567"/>
      <c r="DY40" s="1513"/>
      <c r="DZ40" s="1096"/>
      <c r="EA40" s="1660">
        <f t="shared" si="0"/>
        <v>1</v>
      </c>
    </row>
    <row r="41" spans="1:132" x14ac:dyDescent="0.2">
      <c r="A41" s="1096"/>
      <c r="B41" s="1096"/>
      <c r="C41" s="1497"/>
      <c r="D41" s="1642" t="s">
        <v>5242</v>
      </c>
      <c r="E41" s="1197"/>
      <c r="F41" s="1595"/>
      <c r="G41" s="1596"/>
      <c r="H41" s="1153" t="str">
        <f>IF(VALUE(D8)&gt;1,IF(E41=0,"",VLOOKUP(E41,'Tablas Técnicas'!$A$14:$V$771,4,FALSE)),"")</f>
        <v/>
      </c>
      <c r="I41" s="1595"/>
      <c r="J41" s="1596"/>
      <c r="K41" s="1596"/>
      <c r="L41" s="1595"/>
      <c r="M41" s="1596"/>
      <c r="N41" s="1597"/>
      <c r="O41" s="1596"/>
      <c r="P41" s="1596"/>
      <c r="Q41" s="1596"/>
      <c r="R41" s="1157" t="str">
        <f>IF(E41=0,"",VLOOKUP(E41,'Tablas Técnicas'!$A$14:$V$771,8,FALSE))</f>
        <v/>
      </c>
      <c r="S41" s="1155" t="str">
        <f>IF(R41=$D$8,$D$8,IF(R41=2,2,IF(R41=3,3,R41)))</f>
        <v/>
      </c>
      <c r="T41" s="1158" t="str">
        <f>IF(E41=0,"",VLOOKUP(E41,'Tablas Técnicas'!$A$14:$V$771,9,FALSE))</f>
        <v/>
      </c>
      <c r="U41" s="1158" t="str">
        <f>IF(E41=0,"",VLOOKUP(E41,'Tablas Técnicas'!$A$14:$V$771,10,FALSE))</f>
        <v/>
      </c>
      <c r="V41" s="1595"/>
      <c r="W41" s="1595"/>
      <c r="X41" s="1596"/>
      <c r="Y41" s="1596"/>
      <c r="Z41" s="1596"/>
      <c r="AA41" s="1596"/>
      <c r="AB41" s="1596"/>
      <c r="AC41" s="1596"/>
      <c r="AD41" s="1596"/>
      <c r="AE41" s="1596"/>
      <c r="AF41" s="1596"/>
      <c r="AG41" s="1598"/>
      <c r="AH41" s="1599"/>
      <c r="AI41" s="1599"/>
      <c r="AJ41" s="1599"/>
      <c r="AK41" s="1599"/>
      <c r="AL41" s="1599"/>
      <c r="AM41" s="1599"/>
      <c r="AN41" s="1599"/>
      <c r="AO41" s="1599"/>
      <c r="AP41" s="1597"/>
      <c r="AQ41" s="1599"/>
      <c r="AR41" s="1599"/>
      <c r="AS41" s="1599"/>
      <c r="AT41" s="1599"/>
      <c r="AU41" s="1599"/>
      <c r="AV41" s="1599"/>
      <c r="AW41" s="1599"/>
      <c r="AX41" s="1599"/>
      <c r="AY41" s="1599"/>
      <c r="AZ41" s="1600"/>
      <c r="BA41" s="1596"/>
      <c r="BB41" s="1596"/>
      <c r="BC41" s="1596"/>
      <c r="BD41" s="1596"/>
      <c r="BE41" s="1596"/>
      <c r="BF41" s="1596"/>
      <c r="BG41" s="1596"/>
      <c r="BH41" s="1596"/>
      <c r="BI41" s="1596"/>
      <c r="BJ41" s="1597"/>
      <c r="BK41" s="1596"/>
      <c r="BL41" s="1632"/>
      <c r="BM41" s="1633"/>
      <c r="BN41" s="1596"/>
      <c r="BO41" s="1596"/>
      <c r="BP41" s="1597"/>
      <c r="BQ41" s="1596"/>
      <c r="BR41" s="1596"/>
      <c r="BS41" s="1596"/>
      <c r="BU41" s="1113"/>
      <c r="BV41" s="1128"/>
      <c r="BW41" s="1108"/>
      <c r="BX41" s="1108"/>
      <c r="BY41" s="1474"/>
      <c r="BZ41" s="1492"/>
      <c r="CA41" s="1096"/>
      <c r="DR41" s="1096"/>
      <c r="DT41" s="1514"/>
      <c r="DU41" s="1567"/>
      <c r="DV41" s="1567"/>
      <c r="DW41" s="1567"/>
      <c r="DX41" s="1567"/>
      <c r="DY41" s="1513"/>
      <c r="DZ41" s="1096"/>
      <c r="EA41" s="1660">
        <f t="shared" si="0"/>
        <v>1</v>
      </c>
    </row>
    <row r="42" spans="1:132" s="1170" customFormat="1" x14ac:dyDescent="0.2">
      <c r="A42" s="1096"/>
      <c r="B42" s="1096"/>
      <c r="C42" s="1497"/>
      <c r="D42" s="1647" t="s">
        <v>5243</v>
      </c>
      <c r="E42" s="1198"/>
      <c r="F42" s="1577"/>
      <c r="G42" s="1172"/>
      <c r="H42" s="1171" t="str">
        <f>IF(VALUE(D8)=3,IF(E42=0,"",VLOOKUP(E42,'Tablas Técnicas'!$A$14:$V$771,4,FALSE)),"")</f>
        <v/>
      </c>
      <c r="I42" s="1172"/>
      <c r="J42" s="1172"/>
      <c r="K42" s="1172"/>
      <c r="L42" s="1577"/>
      <c r="M42" s="1172"/>
      <c r="N42" s="1172"/>
      <c r="O42" s="1577"/>
      <c r="P42" s="1172"/>
      <c r="Q42" s="1172"/>
      <c r="R42" s="1193" t="str">
        <f>IF(E42=0,"",VLOOKUP(E42,'Tablas Técnicas'!$A$14:$V$771,8,FALSE))</f>
        <v/>
      </c>
      <c r="S42" s="1171" t="str">
        <f>IF(R42=$D$8,$D$8,IF(R42=2,2,IF(R42=3,3,R42)))</f>
        <v/>
      </c>
      <c r="T42" s="1172" t="str">
        <f>IF(E42=0,"",VLOOKUP(E42,'Tablas Técnicas'!$A$14:$V$771,9,FALSE))</f>
        <v/>
      </c>
      <c r="U42" s="1172" t="str">
        <f>IF(E42=0,"",VLOOKUP(E42,'Tablas Técnicas'!$A$14:$V$771,10,FALSE))</f>
        <v/>
      </c>
      <c r="V42" s="1577"/>
      <c r="W42" s="1486"/>
      <c r="X42" s="1486"/>
      <c r="Y42" s="1486"/>
      <c r="Z42" s="1486"/>
      <c r="AA42" s="1486"/>
      <c r="AB42" s="1486"/>
      <c r="AC42" s="1486"/>
      <c r="AD42" s="1486"/>
      <c r="AE42" s="1486"/>
      <c r="AF42" s="1487"/>
      <c r="AG42" s="1577"/>
      <c r="AH42" s="1172"/>
      <c r="AI42" s="1172"/>
      <c r="AJ42" s="1172"/>
      <c r="AK42" s="1172"/>
      <c r="AL42" s="1172"/>
      <c r="AM42" s="1172"/>
      <c r="AN42" s="1172"/>
      <c r="AO42" s="1172"/>
      <c r="AP42" s="1578"/>
      <c r="AQ42" s="1172"/>
      <c r="AR42" s="1172"/>
      <c r="AS42" s="1172"/>
      <c r="AT42" s="1172"/>
      <c r="AU42" s="1172"/>
      <c r="AV42" s="1172"/>
      <c r="AW42" s="1172"/>
      <c r="AX42" s="1172"/>
      <c r="AY42" s="1172"/>
      <c r="AZ42" s="1578"/>
      <c r="BA42" s="1172"/>
      <c r="BB42" s="1172"/>
      <c r="BC42" s="1172"/>
      <c r="BD42" s="1172"/>
      <c r="BE42" s="1172"/>
      <c r="BF42" s="1172"/>
      <c r="BG42" s="1172"/>
      <c r="BH42" s="1172"/>
      <c r="BI42" s="1172"/>
      <c r="BJ42" s="1578"/>
      <c r="BK42" s="1172"/>
      <c r="BL42" s="1629"/>
      <c r="BM42" s="1634"/>
      <c r="BN42" s="1172"/>
      <c r="BO42" s="1172"/>
      <c r="BP42" s="1172"/>
      <c r="BQ42" s="1577"/>
      <c r="BR42" s="1172"/>
      <c r="BS42" s="1172"/>
      <c r="BT42" s="1113"/>
      <c r="BU42" s="1113"/>
      <c r="BV42" s="1128">
        <f>IF(BV41=0,0,VLOOKUP(BV41,'Tablas Técnicas'!$M$4:$N$7,2,FALSE))</f>
        <v>0</v>
      </c>
      <c r="BW42" s="1108"/>
      <c r="BX42" s="1108"/>
      <c r="BY42" s="1474"/>
      <c r="BZ42" s="1492"/>
      <c r="CA42" s="1100"/>
      <c r="DR42" s="1100"/>
      <c r="DS42" s="1509"/>
      <c r="DT42" s="1517"/>
      <c r="DU42" s="1623"/>
      <c r="DV42" s="1623"/>
      <c r="DW42" s="1623"/>
      <c r="DX42" s="1623"/>
      <c r="DY42" s="1518"/>
      <c r="DZ42" s="1100"/>
      <c r="EA42" s="1660">
        <f t="shared" si="0"/>
        <v>1</v>
      </c>
    </row>
    <row r="43" spans="1:132" x14ac:dyDescent="0.2">
      <c r="A43" s="1100"/>
      <c r="B43" s="1100"/>
      <c r="C43" s="1497"/>
      <c r="D43" s="1648"/>
      <c r="E43" s="1113"/>
      <c r="F43" s="1108"/>
      <c r="G43" s="1113"/>
      <c r="H43" s="1113"/>
      <c r="I43" s="1108"/>
      <c r="J43" s="1113"/>
      <c r="K43" s="1113"/>
      <c r="L43" s="1113"/>
      <c r="M43" s="1113"/>
      <c r="N43" s="1113"/>
      <c r="O43" s="1113"/>
      <c r="P43" s="1113"/>
      <c r="Q43" s="1113"/>
      <c r="R43" s="1113"/>
      <c r="S43" s="1113"/>
      <c r="T43" s="1113"/>
      <c r="U43" s="1113"/>
      <c r="V43" s="1113"/>
      <c r="W43" s="1113"/>
      <c r="X43" s="1113"/>
      <c r="Y43" s="1113"/>
      <c r="Z43" s="1113"/>
      <c r="AA43" s="1113"/>
      <c r="AB43" s="1113"/>
      <c r="AC43" s="1113"/>
      <c r="AD43" s="1113"/>
      <c r="AE43" s="1113"/>
      <c r="AF43" s="1113"/>
      <c r="AG43" s="1113"/>
      <c r="AH43" s="1113"/>
      <c r="AI43" s="1113"/>
      <c r="AJ43" s="1113"/>
      <c r="AK43" s="1113"/>
      <c r="AL43" s="1113"/>
      <c r="AM43" s="1113"/>
      <c r="AN43" s="1113"/>
      <c r="AO43" s="1113"/>
      <c r="AP43" s="1113"/>
      <c r="AQ43" s="1113"/>
      <c r="AR43" s="1113"/>
      <c r="AS43" s="1113"/>
      <c r="AT43" s="1113"/>
      <c r="AU43" s="1113"/>
      <c r="AV43" s="1113"/>
      <c r="AW43" s="1113"/>
      <c r="AX43" s="1113"/>
      <c r="AY43" s="1113"/>
      <c r="AZ43" s="1113"/>
      <c r="BA43" s="1113"/>
      <c r="BB43" s="1113"/>
      <c r="BC43" s="1113"/>
      <c r="BD43" s="1113"/>
      <c r="BE43" s="1113"/>
      <c r="BF43" s="1113"/>
      <c r="BG43" s="1113"/>
      <c r="BH43" s="1113"/>
      <c r="BI43" s="1113"/>
      <c r="BJ43" s="1113"/>
      <c r="BK43" s="1113"/>
      <c r="BL43" s="1592"/>
      <c r="BM43" s="1592"/>
      <c r="BN43" s="1101">
        <f>SUM(BN48:BN63)</f>
        <v>0</v>
      </c>
      <c r="BO43" s="1101">
        <f>SUM(BO48:BO63)</f>
        <v>0</v>
      </c>
      <c r="BP43" s="1101">
        <f>SUM(BP48:BP63)</f>
        <v>0</v>
      </c>
      <c r="BQ43" s="1101">
        <f>SUM(BQ48:BQ63)</f>
        <v>0</v>
      </c>
      <c r="BR43" s="1101">
        <f>SUM(BR48:BR63)</f>
        <v>0</v>
      </c>
      <c r="BS43" s="1199"/>
      <c r="BU43" s="1113"/>
      <c r="BW43" s="1108"/>
      <c r="BX43" s="1108"/>
      <c r="BY43" s="1117"/>
      <c r="BZ43" s="1492"/>
      <c r="CA43" s="1096"/>
      <c r="DR43" s="1096"/>
      <c r="DT43" s="1514"/>
      <c r="DU43" s="1567"/>
      <c r="DV43" s="1567"/>
      <c r="DW43" s="1567"/>
      <c r="DX43" s="1567"/>
      <c r="DY43" s="1513"/>
      <c r="DZ43" s="1096"/>
      <c r="EA43" s="1660">
        <f t="shared" si="0"/>
        <v>1</v>
      </c>
    </row>
    <row r="44" spans="1:132" x14ac:dyDescent="0.2">
      <c r="A44" s="1096"/>
      <c r="B44" s="1096"/>
      <c r="C44" s="1497"/>
      <c r="D44" s="1640" t="s">
        <v>8726</v>
      </c>
      <c r="E44" s="1114"/>
      <c r="F44" s="1114"/>
      <c r="G44" s="1114"/>
      <c r="H44" s="1114"/>
      <c r="I44" s="1114"/>
      <c r="J44" s="1115"/>
      <c r="K44" s="1114"/>
      <c r="L44" s="1114"/>
      <c r="M44" s="1115"/>
      <c r="N44" s="1114"/>
      <c r="O44" s="1114"/>
      <c r="P44" s="1115"/>
      <c r="Q44" s="1114"/>
      <c r="R44" s="1115"/>
      <c r="S44" s="1114"/>
      <c r="T44" s="1114"/>
      <c r="U44" s="1114"/>
      <c r="V44" s="1114"/>
      <c r="W44" s="1108"/>
      <c r="X44" s="1115"/>
      <c r="Y44" s="1115"/>
      <c r="Z44" s="1115"/>
      <c r="AA44" s="1115"/>
      <c r="AB44" s="1115"/>
      <c r="AC44" s="1115"/>
      <c r="AD44" s="1115"/>
      <c r="AE44" s="1115"/>
      <c r="AF44" s="1114"/>
      <c r="AG44" s="1108"/>
      <c r="AH44" s="1115"/>
      <c r="AI44" s="1115"/>
      <c r="AJ44" s="1115"/>
      <c r="AK44" s="1115"/>
      <c r="AL44" s="1115"/>
      <c r="AM44" s="1115"/>
      <c r="AN44" s="1115"/>
      <c r="AO44" s="1115"/>
      <c r="AP44" s="1108"/>
      <c r="AQ44" s="1108"/>
      <c r="AR44" s="1115"/>
      <c r="AS44" s="1115"/>
      <c r="AT44" s="1115"/>
      <c r="AU44" s="1115"/>
      <c r="AV44" s="1115"/>
      <c r="AW44" s="1115"/>
      <c r="AX44" s="1115"/>
      <c r="AY44" s="1115"/>
      <c r="AZ44" s="1108"/>
      <c r="BA44" s="1108"/>
      <c r="BB44" s="1115"/>
      <c r="BC44" s="1115"/>
      <c r="BD44" s="1115"/>
      <c r="BE44" s="1115"/>
      <c r="BF44" s="1115"/>
      <c r="BG44" s="1115"/>
      <c r="BH44" s="1115"/>
      <c r="BI44" s="1115"/>
      <c r="BJ44" s="1108"/>
      <c r="BK44" s="1108"/>
      <c r="BL44" s="1108"/>
      <c r="BM44" s="1108"/>
      <c r="BN44" s="1101">
        <f>SUM(BN46:BN79)</f>
        <v>0</v>
      </c>
      <c r="BO44" s="1101">
        <f>SUM(BO46:BO79)</f>
        <v>0</v>
      </c>
      <c r="BP44" s="1101">
        <f>MAX(BP46:BP79)</f>
        <v>0</v>
      </c>
      <c r="BQ44" s="1101">
        <f>MAX(BQ46:BQ79)</f>
        <v>0</v>
      </c>
      <c r="BR44" s="1101">
        <f>MAX(BR46:BR79)</f>
        <v>0</v>
      </c>
      <c r="BS44" s="1116"/>
      <c r="BU44" s="2608"/>
      <c r="BV44" s="1118"/>
      <c r="BW44" s="1108"/>
      <c r="BX44" s="1108"/>
      <c r="BY44" s="1474"/>
      <c r="BZ44" s="1492"/>
      <c r="CA44" s="1096"/>
      <c r="DR44" s="1096"/>
      <c r="DT44" s="1514"/>
      <c r="DU44" s="1567"/>
      <c r="DV44" s="1567"/>
      <c r="DW44" s="1567"/>
      <c r="DX44" s="1567"/>
      <c r="DY44" s="1513"/>
      <c r="DZ44" s="1096"/>
      <c r="EA44" s="1660">
        <f t="shared" si="0"/>
        <v>1</v>
      </c>
    </row>
    <row r="45" spans="1:132" ht="12" thickBot="1" x14ac:dyDescent="0.25">
      <c r="A45" s="1096"/>
      <c r="B45" s="1096"/>
      <c r="C45" s="1497"/>
      <c r="D45" s="1641">
        <v>1</v>
      </c>
      <c r="E45" s="1119" t="s">
        <v>9094</v>
      </c>
      <c r="F45" s="1120" t="s">
        <v>2333</v>
      </c>
      <c r="G45" s="1121" t="s">
        <v>2334</v>
      </c>
      <c r="H45" s="1121" t="s">
        <v>2356</v>
      </c>
      <c r="I45" s="1122" t="s">
        <v>4020</v>
      </c>
      <c r="J45" s="1123"/>
      <c r="K45" s="1124"/>
      <c r="L45" s="1122" t="s">
        <v>4021</v>
      </c>
      <c r="M45" s="1123"/>
      <c r="N45" s="1124"/>
      <c r="O45" s="1122" t="s">
        <v>4022</v>
      </c>
      <c r="P45" s="1123"/>
      <c r="Q45" s="1124"/>
      <c r="R45" s="1125" t="s">
        <v>5219</v>
      </c>
      <c r="S45" s="1121" t="s">
        <v>3990</v>
      </c>
      <c r="T45" s="2613" t="s">
        <v>2252</v>
      </c>
      <c r="U45" s="2613" t="s">
        <v>2223</v>
      </c>
      <c r="V45" s="2613" t="s">
        <v>4023</v>
      </c>
      <c r="W45" s="4473" t="s">
        <v>4024</v>
      </c>
      <c r="X45" s="4473"/>
      <c r="Y45" s="4473"/>
      <c r="Z45" s="4473"/>
      <c r="AA45" s="4473"/>
      <c r="AB45" s="4473"/>
      <c r="AC45" s="4473"/>
      <c r="AD45" s="4473"/>
      <c r="AE45" s="4473"/>
      <c r="AF45" s="4473"/>
      <c r="AG45" s="4473"/>
      <c r="AH45" s="4473"/>
      <c r="AI45" s="4473"/>
      <c r="AJ45" s="4473"/>
      <c r="AK45" s="4473"/>
      <c r="AL45" s="4473"/>
      <c r="AM45" s="4473"/>
      <c r="AN45" s="4473"/>
      <c r="AO45" s="4473"/>
      <c r="AP45" s="4473"/>
      <c r="AQ45" s="4473"/>
      <c r="AR45" s="4473"/>
      <c r="AS45" s="4473"/>
      <c r="AT45" s="4473"/>
      <c r="AU45" s="4473"/>
      <c r="AV45" s="4473"/>
      <c r="AW45" s="4473"/>
      <c r="AX45" s="4473"/>
      <c r="AY45" s="4473"/>
      <c r="AZ45" s="4473"/>
      <c r="BA45" s="4473"/>
      <c r="BB45" s="4473"/>
      <c r="BC45" s="4473"/>
      <c r="BD45" s="4473"/>
      <c r="BE45" s="4473"/>
      <c r="BF45" s="4473"/>
      <c r="BG45" s="4473"/>
      <c r="BH45" s="4473"/>
      <c r="BI45" s="4473"/>
      <c r="BJ45" s="4473"/>
      <c r="BK45" s="4473" t="s">
        <v>4025</v>
      </c>
      <c r="BL45" s="4473"/>
      <c r="BM45" s="4474"/>
      <c r="BN45" s="1126" t="s">
        <v>5220</v>
      </c>
      <c r="BO45" s="1126" t="s">
        <v>5221</v>
      </c>
      <c r="BP45" s="1126" t="s">
        <v>5222</v>
      </c>
      <c r="BQ45" s="1126" t="s">
        <v>5223</v>
      </c>
      <c r="BR45" s="1126" t="s">
        <v>5224</v>
      </c>
      <c r="BS45" s="1127" t="s">
        <v>5225</v>
      </c>
      <c r="BT45" s="4448" t="s">
        <v>5226</v>
      </c>
      <c r="BU45" s="4449"/>
      <c r="BV45" s="1128"/>
      <c r="BW45" s="1108"/>
      <c r="BX45" s="1108"/>
      <c r="BY45" s="1474"/>
      <c r="BZ45" s="1492"/>
      <c r="CA45" s="1096"/>
      <c r="DR45" s="1096"/>
      <c r="DT45" s="1514"/>
      <c r="DU45" s="1567"/>
      <c r="DV45" s="1567"/>
      <c r="DW45" s="1567"/>
      <c r="DX45" s="1567"/>
      <c r="DY45" s="1513"/>
      <c r="DZ45" s="1096"/>
      <c r="EB45" s="2558">
        <f>D45</f>
        <v>1</v>
      </c>
    </row>
    <row r="46" spans="1:132" x14ac:dyDescent="0.2">
      <c r="A46" s="1129"/>
      <c r="B46" s="159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98"/>
      <c r="D46" s="1642">
        <v>1</v>
      </c>
      <c r="E46" s="1423"/>
      <c r="F46" s="1130"/>
      <c r="G46" s="1131"/>
      <c r="H46" s="1131"/>
      <c r="I46" s="1131"/>
      <c r="J46" s="1132"/>
      <c r="K46" s="1131"/>
      <c r="L46" s="1131"/>
      <c r="M46" s="1132"/>
      <c r="N46" s="1131"/>
      <c r="O46" s="1131"/>
      <c r="P46" s="1132"/>
      <c r="Q46" s="1131"/>
      <c r="R46" s="1132"/>
      <c r="S46" s="1131"/>
      <c r="T46" s="1131"/>
      <c r="U46" s="1131"/>
      <c r="V46" s="1131"/>
      <c r="W46" s="1131"/>
      <c r="X46" s="1131"/>
      <c r="Y46" s="1131"/>
      <c r="Z46" s="1131"/>
      <c r="AA46" s="1131"/>
      <c r="AB46" s="1131"/>
      <c r="AC46" s="1131"/>
      <c r="AD46" s="1131"/>
      <c r="AE46" s="1131"/>
      <c r="AF46" s="1131"/>
      <c r="AG46" s="1131"/>
      <c r="AH46" s="1131"/>
      <c r="AI46" s="1131"/>
      <c r="AJ46" s="1131"/>
      <c r="AK46" s="1131"/>
      <c r="AL46" s="1131"/>
      <c r="AM46" s="1131"/>
      <c r="AN46" s="1131"/>
      <c r="AO46" s="1131"/>
      <c r="AP46" s="1131"/>
      <c r="AQ46" s="1131"/>
      <c r="AR46" s="1131"/>
      <c r="AS46" s="1131"/>
      <c r="AT46" s="1131"/>
      <c r="AU46" s="1131"/>
      <c r="AV46" s="1131"/>
      <c r="AW46" s="1131"/>
      <c r="AX46" s="1131"/>
      <c r="AY46" s="1131"/>
      <c r="AZ46" s="1131"/>
      <c r="BA46" s="1131"/>
      <c r="BB46" s="1131"/>
      <c r="BC46" s="1131"/>
      <c r="BD46" s="1131"/>
      <c r="BE46" s="1131"/>
      <c r="BF46" s="1131"/>
      <c r="BG46" s="1131"/>
      <c r="BH46" s="1131"/>
      <c r="BI46" s="1131"/>
      <c r="BJ46" s="1131"/>
      <c r="BK46" s="1131"/>
      <c r="BL46" s="1131"/>
      <c r="BM46" s="1133"/>
      <c r="BN46" s="1134">
        <f>SUM(K46:K49)</f>
        <v>0</v>
      </c>
      <c r="BO46" s="1128" t="str">
        <f>IF(E46=0,"",(AF46+AP46+AZ46+BJ46))</f>
        <v/>
      </c>
      <c r="BP46" s="1135" t="str">
        <f>IF(I46="Si",VLOOKUP($D$8,'Tablas Técnicas'!$E$4:$F$6,2,FALSE),"")</f>
        <v/>
      </c>
      <c r="BQ46" s="1136" t="str">
        <f>IF(L46="Si",VLOOKUP($D$8,'Tablas Técnicas'!$I$4:$J$6,2,FALSE),"")</f>
        <v/>
      </c>
      <c r="BR46" s="1134" t="str">
        <f>IF(O46="Si",VLOOKUP($D$8,'Tablas Técnicas'!$I$7:$J$9,2,FALSE),"")</f>
        <v/>
      </c>
      <c r="BS46" s="1137">
        <f>VLOOKUP(D45,'Tablas Técnicas'!$P$6:$R$8,3)</f>
        <v>50</v>
      </c>
      <c r="BT46" s="1138">
        <f>VLOOKUP(D45,'Tablas Técnicas'!$P$6:$R$8,3,FALSE)</f>
        <v>50</v>
      </c>
      <c r="BU46" s="1139">
        <f>VLOOKUP(D45,'Tablas Técnicas'!$P$6:$R$8,2,FALSE)</f>
        <v>20</v>
      </c>
      <c r="BV46" s="1128">
        <f>IF(D45=0,"",VLOOKUP(D45,'Tablas Técnicas'!$L$4:$N$7,2,FALSE))</f>
        <v>3</v>
      </c>
      <c r="BW46" s="1108"/>
      <c r="BX46" s="1108"/>
      <c r="BY46" s="1474"/>
      <c r="BZ46" s="1492"/>
      <c r="CA46" s="1096"/>
      <c r="DR46" s="1096"/>
      <c r="DT46" s="1514"/>
      <c r="DU46" s="1614" t="s">
        <v>2345</v>
      </c>
      <c r="DV46" s="1615" t="s">
        <v>4001</v>
      </c>
      <c r="DW46" s="1615" t="s">
        <v>3987</v>
      </c>
      <c r="DX46" s="1616" t="s">
        <v>8729</v>
      </c>
      <c r="DY46" s="1513"/>
      <c r="DZ46" s="1096"/>
      <c r="EA46" s="1660">
        <f>EB45</f>
        <v>1</v>
      </c>
    </row>
    <row r="47" spans="1:132" x14ac:dyDescent="0.2">
      <c r="A47" s="1096"/>
      <c r="B47" s="1096"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97"/>
      <c r="D47" s="1643" t="s">
        <v>2310</v>
      </c>
      <c r="E47" s="1140"/>
      <c r="F47" s="1141" t="str">
        <f>IF(E47=0,"",VLOOKUP(E47,'Tablas Técnicas'!$A$14:$V$771,2,FALSE))</f>
        <v/>
      </c>
      <c r="G47" s="1142"/>
      <c r="H47" s="1143" t="str">
        <f>IF($E47=0,"",VLOOKUP($E47,'Tablas Técnicas'!$A$14:$V$771,4,FALSE))</f>
        <v/>
      </c>
      <c r="I47" s="1144" t="s">
        <v>2234</v>
      </c>
      <c r="J47" s="1602" t="str">
        <f>IF(E47=0,"",VLOOKUP(E47,'Tablas Técnicas'!$A$14:$V$771,5,FALSE))</f>
        <v/>
      </c>
      <c r="K47" s="1146" t="str">
        <f>IF(I47="Si",IF(E47=0,"",VLOOKUP(E47,'Tablas Técnicas'!$A$14:$V$771,5,FALSE)),"")</f>
        <v/>
      </c>
      <c r="L47" s="1144" t="s">
        <v>2234</v>
      </c>
      <c r="M47" s="1602" t="str">
        <f>IF(E47=0,"",VLOOKUP(E47,'Tablas Técnicas'!$A$14:$V$771,6,FALSE))</f>
        <v/>
      </c>
      <c r="N47" s="1147" t="str">
        <f>IF(L47="Si",IF(E47=0,"",VLOOKUP(E47,'Tablas Técnicas'!$A$14:$V$771,6,FALSE)),"")</f>
        <v/>
      </c>
      <c r="O47" s="1144" t="s">
        <v>2234</v>
      </c>
      <c r="P47" s="1602" t="str">
        <f>IF(E47=0,"",VLOOKUP(E47,'Tablas Técnicas'!$A$14:$V$771,7,FALSE))</f>
        <v/>
      </c>
      <c r="Q47" s="1147" t="str">
        <f>IF(O47="Si",IF(E47=0,"",VLOOKUP(E47,'Tablas Técnicas'!$A$14:$V$771,7,FALSE)),"")</f>
        <v/>
      </c>
      <c r="R47" s="1145" t="str">
        <f>IF(E47=0,"",VLOOKUP(E47,'Tablas Técnicas'!$A$14:$V$771,8,FALSE))</f>
        <v/>
      </c>
      <c r="S47" s="1143" t="str">
        <f>IF(R47=$D$8,$D$8,IF(R47=2,2,IF(R47=3,3,R47)))</f>
        <v/>
      </c>
      <c r="T47" s="1146" t="str">
        <f>IF(E47=0,"",VLOOKUP(E47,'Tablas Técnicas'!$A$14:$V$771,9,FALSE))</f>
        <v/>
      </c>
      <c r="U47" s="1146" t="str">
        <f>IF(E47=0,"",VLOOKUP(E47,'Tablas Técnicas'!$A$14:$V$771,10,FALSE))</f>
        <v/>
      </c>
      <c r="V47" s="1141" t="str">
        <f>IF(E47=0,"",VLOOKUP(E47,'Tablas Técnicas'!$A$14:$V$771,11,FALSE))</f>
        <v/>
      </c>
      <c r="W47" s="1144"/>
      <c r="X47" s="1145" t="e">
        <f>VLOOKUP(E47,'Tablas Técnicas'!$A$14:$V$771,12,FALSE)</f>
        <v>#N/A</v>
      </c>
      <c r="Y47" s="1145" t="e">
        <f>IF(W47=X47,VLOOKUP(E47,'Tablas Técnicas'!$A$14:$V$771,13,FALSE),0)</f>
        <v>#N/A</v>
      </c>
      <c r="Z47" s="1145" t="e">
        <f>VLOOKUP(E47,'Tablas Técnicas'!$A$14:$V$771,14,FALSE)</f>
        <v>#N/A</v>
      </c>
      <c r="AA47" s="1145" t="e">
        <f>IF(W47=Z47,VLOOKUP(E47,'Tablas Técnicas'!$A$14:$V$616,15,FALSE),0)</f>
        <v>#N/A</v>
      </c>
      <c r="AB47" s="1145" t="e">
        <f>VLOOKUP(E47,'Tablas Técnicas'!$A$14:$V$771,16,FALSE)</f>
        <v>#N/A</v>
      </c>
      <c r="AC47" s="1145" t="e">
        <f>IF(W47=AB47,VLOOKUP(E47,'Tablas Técnicas'!$A$14:$V$616,17,FALSE),0)</f>
        <v>#N/A</v>
      </c>
      <c r="AD47" s="1145" t="e">
        <f>VLOOKUP(E47,'Tablas Técnicas'!$A$14:$V$771,18,FALSE)</f>
        <v>#N/A</v>
      </c>
      <c r="AE47" s="1145" t="e">
        <f>IF(W47=AD47,VLOOKUP(E47,'Tablas Técnicas'!$A$14:$V$771,19,FALSE),0)</f>
        <v>#N/A</v>
      </c>
      <c r="AF47" s="1147" t="str">
        <f>IF(E47=0,"",(Y47+AA47+AC47+AE47))</f>
        <v/>
      </c>
      <c r="AG47" s="1144"/>
      <c r="AH47" s="1145" t="e">
        <f>VLOOKUP(E47,'Tablas Técnicas'!$A$14:$V$771,12,FALSE)</f>
        <v>#N/A</v>
      </c>
      <c r="AI47" s="1145" t="e">
        <f>IF(AG47=AH47,VLOOKUP(E47,'Tablas Técnicas'!$A$14:$V$771,13,FALSE),0)</f>
        <v>#N/A</v>
      </c>
      <c r="AJ47" s="1145" t="e">
        <f>VLOOKUP(E47,'Tablas Técnicas'!$A$14:$V$771,14,FALSE)</f>
        <v>#N/A</v>
      </c>
      <c r="AK47" s="1145" t="e">
        <f>IF(AG47=AJ47,VLOOKUP(E47,'Tablas Técnicas'!$A$14:$V$771,15,FALSE),0)</f>
        <v>#N/A</v>
      </c>
      <c r="AL47" s="1145" t="e">
        <f>VLOOKUP(E47,'Tablas Técnicas'!$A$14:$V$771,16,FALSE)</f>
        <v>#N/A</v>
      </c>
      <c r="AM47" s="1145" t="e">
        <f>IF(AG47=AL47,VLOOKUP(E47,'Tablas Técnicas'!$A$14:$V$771,17,FALSE),0)</f>
        <v>#N/A</v>
      </c>
      <c r="AN47" s="1145" t="e">
        <f>VLOOKUP(E47,'Tablas Técnicas'!$A$14:$V$771,18,FALSE)</f>
        <v>#N/A</v>
      </c>
      <c r="AO47" s="1145" t="e">
        <f>IF(AG47=AN47,VLOOKUP(E47,'Tablas Técnicas'!$A$14:$V$771,19,FALSE),0)</f>
        <v>#N/A</v>
      </c>
      <c r="AP47" s="1147" t="str">
        <f>IF(E47=0,"",(AI47+AK47+AM47+AO47))</f>
        <v/>
      </c>
      <c r="AQ47" s="1144"/>
      <c r="AR47" s="1145" t="e">
        <f>VLOOKUP(E47,'Tablas Técnicas'!$A$14:$V$771,12,FALSE)</f>
        <v>#N/A</v>
      </c>
      <c r="AS47" s="1145" t="e">
        <f>IF(AQ47=AR47,VLOOKUP(E47,'Tablas Técnicas'!$A$14:$V$771,13,FALSE),0)</f>
        <v>#N/A</v>
      </c>
      <c r="AT47" s="1145" t="e">
        <f>VLOOKUP(E47,'Tablas Técnicas'!$A$14:$V$771,14,FALSE)</f>
        <v>#N/A</v>
      </c>
      <c r="AU47" s="1145" t="e">
        <f>IF(AQ47=AT47,VLOOKUP(E47,'Tablas Técnicas'!$A$14:$V$771,15,FALSE),0)</f>
        <v>#N/A</v>
      </c>
      <c r="AV47" s="1145" t="e">
        <f>VLOOKUP(E47,'Tablas Técnicas'!$A$14:$V$771,16,FALSE)</f>
        <v>#N/A</v>
      </c>
      <c r="AW47" s="1145" t="e">
        <f>IF(AQ47=AV47,VLOOKUP(E47,'Tablas Técnicas'!$A$14:$V$771,17,FALSE),0)</f>
        <v>#N/A</v>
      </c>
      <c r="AX47" s="1145" t="e">
        <f>VLOOKUP(E47,'Tablas Técnicas'!$A$14:$V$771,18,FALSE)</f>
        <v>#N/A</v>
      </c>
      <c r="AY47" s="1145" t="e">
        <f>IF(AQ47=AX47,VLOOKUP(E47,'Tablas Técnicas'!$A$14:$V$771,19,FALSE),0)</f>
        <v>#N/A</v>
      </c>
      <c r="AZ47" s="1146" t="str">
        <f>IF(E47=0,"",(AS47+AU47+AW47+AY47))</f>
        <v/>
      </c>
      <c r="BA47" s="1144"/>
      <c r="BB47" s="1145" t="e">
        <f>VLOOKUP(E47,'Tablas Técnicas'!$A$14:$V$771,12,FALSE)</f>
        <v>#N/A</v>
      </c>
      <c r="BC47" s="1145" t="e">
        <f>IF(BA47=BB47,VLOOKUP(E47,'Tablas Técnicas'!$A$14:$V$771,13,FALSE),0)</f>
        <v>#N/A</v>
      </c>
      <c r="BD47" s="1145" t="e">
        <f>VLOOKUP(E47,'Tablas Técnicas'!$A$14:$V$771,14,FALSE)</f>
        <v>#N/A</v>
      </c>
      <c r="BE47" s="1145" t="e">
        <f>IF(BA47=BD47,VLOOKUP(E47,'Tablas Técnicas'!$A$14:$V$771,15,FALSE),0)</f>
        <v>#N/A</v>
      </c>
      <c r="BF47" s="1145" t="e">
        <f>VLOOKUP(E47,'Tablas Técnicas'!$A$14:$V$771,16,FALSE)</f>
        <v>#N/A</v>
      </c>
      <c r="BG47" s="1145" t="e">
        <f>IF(BA47=BF47,VLOOKUP(E47,'Tablas Técnicas'!$A$14:$V$771,17,FALSE),0)</f>
        <v>#N/A</v>
      </c>
      <c r="BH47" s="1145" t="e">
        <f>VLOOKUP(E47,'Tablas Técnicas'!$A$14:$V$771,18,FALSE)</f>
        <v>#N/A</v>
      </c>
      <c r="BI47" s="1145" t="e">
        <f>IF(BA47=BH47,VLOOKUP(E47,'Tablas Técnicas'!$A$14:$V$771,19,FALSE),0)</f>
        <v>#N/A</v>
      </c>
      <c r="BJ47" s="1147" t="str">
        <f>IF(E47=0,"",(BC47+BE47+BG47+BI47))</f>
        <v/>
      </c>
      <c r="BK47" s="1146" t="str">
        <f>IF(E47=0,"",VLOOKUP(E47,'Tablas Técnicas'!$A$14:$V$771,20,FALSE))</f>
        <v/>
      </c>
      <c r="BL47" s="1146" t="str">
        <f>IF(E47=0,"",VLOOKUP(E47,'Tablas Técnicas'!$A$14:$V$771,21,FALSE))</f>
        <v/>
      </c>
      <c r="BM47" s="1148" t="str">
        <f>IF(E47=0,"",VLOOKUP(E47,'Tablas Técnicas'!$A$14:$V$771,22,FALSE))</f>
        <v/>
      </c>
      <c r="BN47" s="1149"/>
      <c r="BO47" s="1150"/>
      <c r="BP47" s="1135" t="str">
        <f>IF(I47="Si",VLOOKUP($D$8,'Tablas Técnicas'!$E$4:$F$6,2,FALSE),"")</f>
        <v/>
      </c>
      <c r="BQ47" s="1136" t="str">
        <f>IF(L47="Si",VLOOKUP($D$8,'Tablas Técnicas'!$I$4:$J$6,2,FALSE),"")</f>
        <v/>
      </c>
      <c r="BR47" s="1134" t="str">
        <f>IF(O47="Si",VLOOKUP($D$8,'Tablas Técnicas'!$I$7:$J$9,2,FALSE),"")</f>
        <v/>
      </c>
      <c r="BS47" s="1151"/>
      <c r="BT47" s="4448" t="s">
        <v>5227</v>
      </c>
      <c r="BU47" s="4449"/>
      <c r="BV47" s="1128"/>
      <c r="BW47" s="1108"/>
      <c r="BX47" s="1108"/>
      <c r="BY47" s="1474"/>
      <c r="BZ47" s="1492"/>
      <c r="CA47" s="1096"/>
      <c r="DR47" s="1096"/>
      <c r="DT47" s="1514"/>
      <c r="DU47" s="1565" t="str">
        <f>IF(BW60="N/A","",BT59&amp;" "&amp;BW60&amp;IF(BY60="N/A"," "," ("&amp;BY60&amp;") "))</f>
        <v/>
      </c>
      <c r="DV47" s="1566" t="str">
        <f>IF(E47="","",E47)&amp;IF(I47="No",""," (Mant.)")&amp;IF(L47="No",""," (Sme)")&amp;IF(O47="No",""," (SMa)")</f>
        <v/>
      </c>
      <c r="DW47" s="1567" t="str">
        <f>IF(E77="","",E77)</f>
        <v/>
      </c>
      <c r="DX47" s="445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13"/>
      <c r="DZ47" s="1096"/>
      <c r="EA47" s="1660">
        <f t="shared" si="0"/>
        <v>1</v>
      </c>
    </row>
    <row r="48" spans="1:132" ht="11.25" customHeight="1" x14ac:dyDescent="0.2">
      <c r="A48" s="1096"/>
      <c r="B48" s="1096"/>
      <c r="C48" s="1497"/>
      <c r="D48" s="1642" t="s">
        <v>2310</v>
      </c>
      <c r="E48" s="1152"/>
      <c r="F48" s="1153" t="str">
        <f>IF(E48=0,"",VLOOKUP(E48,'Tablas Técnicas'!$A$14:$V$771,2,FALSE))</f>
        <v/>
      </c>
      <c r="G48" s="1154"/>
      <c r="H48" s="1155" t="str">
        <f>IF($E48=0,"",VLOOKUP($E48,'Tablas Técnicas'!$A$14:$V$771,4,FALSE))</f>
        <v/>
      </c>
      <c r="I48" s="1156" t="s">
        <v>2234</v>
      </c>
      <c r="J48" s="1605" t="str">
        <f>IF(E48=0,"",VLOOKUP(E48,'Tablas Técnicas'!$A$14:$V$771,5,FALSE))</f>
        <v/>
      </c>
      <c r="K48" s="1158" t="str">
        <f>IF(I48="Si",IF(E48=0,"",VLOOKUP(E48,'Tablas Técnicas'!$A$14:$V$771,5,FALSE)),"")</f>
        <v/>
      </c>
      <c r="L48" s="1156" t="s">
        <v>2234</v>
      </c>
      <c r="M48" s="1605" t="str">
        <f>IF(E48=0,"",VLOOKUP(E48,'Tablas Técnicas'!$A$14:$V$771,6,FALSE))</f>
        <v/>
      </c>
      <c r="N48" s="1159" t="str">
        <f>IF(L48="Si",IF(E48=0,"",VLOOKUP(E48,'Tablas Técnicas'!$A$14:$V$771,6,FALSE)),"")</f>
        <v/>
      </c>
      <c r="O48" s="1156" t="s">
        <v>2234</v>
      </c>
      <c r="P48" s="1605" t="str">
        <f>IF(E48=0,"",VLOOKUP(E48,'Tablas Técnicas'!$A$14:$V$771,7,FALSE))</f>
        <v/>
      </c>
      <c r="Q48" s="1159" t="str">
        <f>IF(O48="Si",IF(E48=0,"",VLOOKUP(E48,'Tablas Técnicas'!$A$14:$V$771,7,FALSE)),"")</f>
        <v/>
      </c>
      <c r="R48" s="1157" t="str">
        <f>IF(E48=0,"",VLOOKUP(E48,'Tablas Técnicas'!$A$14:$V$771,8,FALSE))</f>
        <v/>
      </c>
      <c r="S48" s="1155" t="str">
        <f>IF(R48=$D$8,$D$8,IF(R48=2,2,IF(R48=3,3,R48)))</f>
        <v/>
      </c>
      <c r="T48" s="4475" t="s">
        <v>5228</v>
      </c>
      <c r="U48" s="4476"/>
      <c r="V48" s="4476"/>
      <c r="W48" s="4476"/>
      <c r="X48" s="4476"/>
      <c r="Y48" s="4476"/>
      <c r="Z48" s="4476"/>
      <c r="AA48" s="4476"/>
      <c r="AB48" s="4476"/>
      <c r="AC48" s="4476"/>
      <c r="AD48" s="4476"/>
      <c r="AE48" s="4476"/>
      <c r="AF48" s="4476"/>
      <c r="AG48" s="4476"/>
      <c r="AH48" s="4476"/>
      <c r="AI48" s="4476"/>
      <c r="AJ48" s="4476"/>
      <c r="AK48" s="4476"/>
      <c r="AL48" s="4476"/>
      <c r="AM48" s="4476"/>
      <c r="AN48" s="4476"/>
      <c r="AO48" s="4476"/>
      <c r="AP48" s="4476"/>
      <c r="AQ48" s="4476"/>
      <c r="AR48" s="4476"/>
      <c r="AS48" s="4476"/>
      <c r="AT48" s="4476"/>
      <c r="AU48" s="4476"/>
      <c r="AV48" s="4476"/>
      <c r="AW48" s="4476"/>
      <c r="AX48" s="4476"/>
      <c r="AY48" s="4476"/>
      <c r="AZ48" s="4476"/>
      <c r="BA48" s="4476"/>
      <c r="BB48" s="4476"/>
      <c r="BC48" s="4476"/>
      <c r="BD48" s="4476"/>
      <c r="BE48" s="4476"/>
      <c r="BF48" s="4476"/>
      <c r="BG48" s="4476"/>
      <c r="BH48" s="4476"/>
      <c r="BI48" s="4476"/>
      <c r="BJ48" s="4476"/>
      <c r="BK48" s="4477"/>
      <c r="BL48" s="1627"/>
      <c r="BM48" s="1628"/>
      <c r="BN48" s="1149"/>
      <c r="BO48" s="1150"/>
      <c r="BP48" s="1135" t="str">
        <f>IF(I48="Si",VLOOKUP($D$8,'Tablas Técnicas'!$E$4:$F$6,2,FALSE),"")</f>
        <v/>
      </c>
      <c r="BQ48" s="1136" t="str">
        <f>IF(L48="Si",VLOOKUP($D$8,'Tablas Técnicas'!$I$4:$J$6,2,FALSE),"")</f>
        <v/>
      </c>
      <c r="BR48" s="1134" t="str">
        <f>IF(O48="Si",VLOOKUP($D$8,'Tablas Técnicas'!$I$7:$J$9,2,FALSE),"")</f>
        <v/>
      </c>
      <c r="BS48" s="1151"/>
      <c r="BT48" s="445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51"/>
      <c r="BV48" s="1128"/>
      <c r="BW48" s="1108"/>
      <c r="BX48" s="1108"/>
      <c r="BY48" s="1474"/>
      <c r="BZ48" s="1492"/>
      <c r="CA48" s="1096"/>
      <c r="DR48" s="1096"/>
      <c r="DT48" s="1514"/>
      <c r="DU48" s="1565" t="str">
        <f>IF(BW62="N/A","",BT61&amp;" "&amp;BW62&amp;IF(BY62="N/A"," "," ("&amp;BY62&amp;") "))</f>
        <v/>
      </c>
      <c r="DV48" s="1566" t="str">
        <f>IF(E48="",""," "&amp;E48)&amp;IF(I48="No",""," (Mant.)")&amp;IF(L48="No",""," (Sme)")&amp;IF(O48="No",""," (SMa)")</f>
        <v/>
      </c>
      <c r="DW48" s="1567" t="str">
        <f>IF(E78="","",", "&amp;E78)</f>
        <v/>
      </c>
      <c r="DX48" s="4454"/>
      <c r="DY48" s="1513"/>
      <c r="DZ48" s="1096"/>
      <c r="EA48" s="1660">
        <f t="shared" si="0"/>
        <v>1</v>
      </c>
    </row>
    <row r="49" spans="1:131" ht="11.25" customHeight="1" x14ac:dyDescent="0.2">
      <c r="A49" s="1096"/>
      <c r="B49" s="1096"/>
      <c r="C49" s="1497"/>
      <c r="D49" s="1643" t="s">
        <v>2310</v>
      </c>
      <c r="E49" s="1160"/>
      <c r="F49" s="2619" t="str">
        <f>IF(E49=0,"",VLOOKUP(E49,'Tablas Técnicas'!$A$14:$V$771,2,FALSE))</f>
        <v/>
      </c>
      <c r="G49" s="1142"/>
      <c r="H49" s="1161" t="str">
        <f>IF($E49=0,"",VLOOKUP($E49,'Tablas Técnicas'!$A$14:$V$771,4,FALSE))</f>
        <v/>
      </c>
      <c r="I49" s="1144" t="s">
        <v>2234</v>
      </c>
      <c r="J49" s="1601" t="str">
        <f>IF(E49=0,"",VLOOKUP(E49,'Tablas Técnicas'!$A$14:$V$771,5,FALSE))</f>
        <v/>
      </c>
      <c r="K49" s="1163" t="str">
        <f>IF(I49="Si",IF(E49=0,"",VLOOKUP(E49,'Tablas Técnicas'!$A$14:$V$771,5,FALSE)),"")</f>
        <v/>
      </c>
      <c r="L49" s="1144" t="s">
        <v>2234</v>
      </c>
      <c r="M49" s="1601" t="str">
        <f>IF(E49=0,"",VLOOKUP(E49,'Tablas Técnicas'!$A$14:$V$771,6,FALSE))</f>
        <v/>
      </c>
      <c r="N49" s="1147" t="str">
        <f>IF(L49="Si",IF(E49=0,"",VLOOKUP(E49,'Tablas Técnicas'!$A$14:$V$771,6,FALSE)),"")</f>
        <v/>
      </c>
      <c r="O49" s="1144" t="s">
        <v>2234</v>
      </c>
      <c r="P49" s="1601" t="str">
        <f>IF(E49=0,"",VLOOKUP(E49,'Tablas Técnicas'!$A$14:$V$771,7,FALSE))</f>
        <v/>
      </c>
      <c r="Q49" s="1147" t="str">
        <f>IF(O49="Si",IF(E49=0,"",VLOOKUP(E49,'Tablas Técnicas'!$A$14:$V$771,7,FALSE)),"")</f>
        <v/>
      </c>
      <c r="R49" s="1162" t="str">
        <f>IF(E49=0,"",VLOOKUP(E49,'Tablas Técnicas'!$A$14:$V$771,8,FALSE))</f>
        <v/>
      </c>
      <c r="S49" s="2619" t="str">
        <f>IF(R49=$D$8,$D$8,IF(R49=2,2,IF(R49=3,3,R49)))</f>
        <v/>
      </c>
      <c r="T49" s="4487"/>
      <c r="U49" s="4488"/>
      <c r="V49" s="2617" t="str">
        <f>IF(OR(V47=0,V47=""),"N/A",V47)</f>
        <v>N/A</v>
      </c>
      <c r="W49" s="4487" t="str">
        <f xml:space="preserve"> IF(OR(AF47=0,AF47=""),"N/A",W47)</f>
        <v>N/A</v>
      </c>
      <c r="X49" s="4489"/>
      <c r="Y49" s="4489"/>
      <c r="Z49" s="4489"/>
      <c r="AA49" s="4489"/>
      <c r="AB49" s="4489"/>
      <c r="AC49" s="4489"/>
      <c r="AD49" s="4489"/>
      <c r="AE49" s="4489"/>
      <c r="AF49" s="4488"/>
      <c r="AG49" s="4487" t="str">
        <f xml:space="preserve"> IF(OR(AP47="",AP47=0),"N/A",AG47)</f>
        <v>N/A</v>
      </c>
      <c r="AH49" s="4489"/>
      <c r="AI49" s="4489"/>
      <c r="AJ49" s="4489"/>
      <c r="AK49" s="4489"/>
      <c r="AL49" s="4489"/>
      <c r="AM49" s="4489"/>
      <c r="AN49" s="4489"/>
      <c r="AO49" s="4489"/>
      <c r="AP49" s="4488"/>
      <c r="AQ49" s="4487" t="str">
        <f xml:space="preserve"> IF(OR(AZ47="",AZ47=0),"N/A",AQ47)</f>
        <v>N/A</v>
      </c>
      <c r="AR49" s="4489"/>
      <c r="AS49" s="4489"/>
      <c r="AT49" s="4489"/>
      <c r="AU49" s="4489"/>
      <c r="AV49" s="4489"/>
      <c r="AW49" s="4489"/>
      <c r="AX49" s="4489"/>
      <c r="AY49" s="4489"/>
      <c r="AZ49" s="4488"/>
      <c r="BA49" s="4487" t="str">
        <f xml:space="preserve"> IF(OR(BJ47="",BJ47=0),"N/A",BA47)</f>
        <v>N/A</v>
      </c>
      <c r="BB49" s="4489"/>
      <c r="BC49" s="4489"/>
      <c r="BD49" s="4489"/>
      <c r="BE49" s="4489"/>
      <c r="BF49" s="4489"/>
      <c r="BG49" s="4489"/>
      <c r="BH49" s="4489"/>
      <c r="BI49" s="4489"/>
      <c r="BJ49" s="4488"/>
      <c r="BK49" s="1164" t="s">
        <v>5229</v>
      </c>
      <c r="BL49" s="1146"/>
      <c r="BM49" s="1181"/>
      <c r="BN49" s="1165"/>
      <c r="BO49" s="1166"/>
      <c r="BP49" s="1167" t="str">
        <f>IF(I49="Si",VLOOKUP($D$8,'Tablas Técnicas'!$E$4:$F$6,2,FALSE),"")</f>
        <v/>
      </c>
      <c r="BQ49" s="1137" t="str">
        <f>IF(L49="Si",VLOOKUP($D$8,'Tablas Técnicas'!$I$4:$J$6,2,FALSE),"")</f>
        <v/>
      </c>
      <c r="BR49" s="1168" t="str">
        <f>IF(O49="Si",VLOOKUP($D$8,'Tablas Técnicas'!$I$7:$J$9,2,FALSE),"")</f>
        <v/>
      </c>
      <c r="BS49" s="1169"/>
      <c r="BU49" s="2608"/>
      <c r="BV49" s="1128"/>
      <c r="BW49" s="1108"/>
      <c r="BX49" s="1108"/>
      <c r="BY49" s="1474"/>
      <c r="BZ49" s="1492"/>
      <c r="CA49" s="1096"/>
      <c r="DR49" s="1096"/>
      <c r="DT49" s="1514"/>
      <c r="DU49" s="1565" t="str">
        <f>IF(BW64="N/A","",BT63&amp;" "&amp;BW64&amp;IF(BY64="N/A"," "," ("&amp;BY64&amp;") "))</f>
        <v/>
      </c>
      <c r="DV49" s="1566" t="str">
        <f>IF(E49="","",E49)&amp;IF(I49="No",""," (Mant.)")&amp;IF(L49="No",""," (Sme)")&amp;IF(O49="No",""," (SMa)")</f>
        <v/>
      </c>
      <c r="DW49" s="1567" t="str">
        <f>IF(E79="","",", "&amp;E79)</f>
        <v/>
      </c>
      <c r="DX49" s="4454"/>
      <c r="DY49" s="1513"/>
      <c r="DZ49" s="1096"/>
      <c r="EA49" s="1660">
        <f t="shared" si="0"/>
        <v>1</v>
      </c>
    </row>
    <row r="50" spans="1:131" x14ac:dyDescent="0.2">
      <c r="A50" s="1096"/>
      <c r="B50" s="1096"/>
      <c r="C50" s="1497"/>
      <c r="D50" s="1642" t="s">
        <v>2310</v>
      </c>
      <c r="E50" s="1152"/>
      <c r="F50" s="1153" t="str">
        <f>IF(E50=0,"",VLOOKUP(E50,'Tablas Técnicas'!$A$14:$V$771,2,FALSE))</f>
        <v/>
      </c>
      <c r="G50" s="1154"/>
      <c r="H50" s="1155" t="str">
        <f>IF($E50=0,"",VLOOKUP($E50,'Tablas Técnicas'!$A$14:$V$771,4,FALSE))</f>
        <v/>
      </c>
      <c r="I50" s="1156" t="s">
        <v>2234</v>
      </c>
      <c r="J50" s="1605" t="str">
        <f>IF(E50=0,"",VLOOKUP(E50,'Tablas Técnicas'!$A$14:$V$771,5,FALSE))</f>
        <v/>
      </c>
      <c r="K50" s="1158" t="str">
        <f>IF(I50="Si",IF(E50=0,"",VLOOKUP(E50,'Tablas Técnicas'!$A$14:$V$771,5,FALSE)),"")</f>
        <v/>
      </c>
      <c r="L50" s="1156" t="s">
        <v>2234</v>
      </c>
      <c r="M50" s="1605" t="str">
        <f>IF(E50=0,"",VLOOKUP(E50,'Tablas Técnicas'!$A$14:$V$771,6,FALSE))</f>
        <v/>
      </c>
      <c r="N50" s="1159" t="str">
        <f>IF(L50="Si",IF(E50=0,"",VLOOKUP(E50,'Tablas Técnicas'!$A$14:$V$771,6,FALSE)),"")</f>
        <v/>
      </c>
      <c r="O50" s="1156" t="s">
        <v>2234</v>
      </c>
      <c r="P50" s="1605" t="str">
        <f>IF(E50=0,"",VLOOKUP(E50,'Tablas Técnicas'!$A$14:$V$771,7,FALSE))</f>
        <v/>
      </c>
      <c r="Q50" s="1159" t="str">
        <f>IF(O50="Si",IF(E50=0,"",VLOOKUP(E50,'Tablas Técnicas'!$A$14:$V$771,7,FALSE)),"")</f>
        <v/>
      </c>
      <c r="R50" s="1157" t="str">
        <f>IF(E50=0,"",VLOOKUP(E50,'Tablas Técnicas'!$A$14:$V$771,8,FALSE))</f>
        <v/>
      </c>
      <c r="S50" s="1155" t="str">
        <f>IF(R50=$D$8,$D$8,IF(R50=2,2,IF(R50=3,3,R50)))</f>
        <v/>
      </c>
      <c r="T50" s="4490" t="s">
        <v>5230</v>
      </c>
      <c r="U50" s="4491"/>
      <c r="V50" s="2618"/>
      <c r="W50" s="4492"/>
      <c r="X50" s="4493"/>
      <c r="Y50" s="4493"/>
      <c r="Z50" s="4493"/>
      <c r="AA50" s="4493"/>
      <c r="AB50" s="4493"/>
      <c r="AC50" s="4493"/>
      <c r="AD50" s="4493"/>
      <c r="AE50" s="4493"/>
      <c r="AF50" s="4494"/>
      <c r="AG50" s="4492"/>
      <c r="AH50" s="4493"/>
      <c r="AI50" s="4493"/>
      <c r="AJ50" s="4493"/>
      <c r="AK50" s="4493"/>
      <c r="AL50" s="4493"/>
      <c r="AM50" s="4493"/>
      <c r="AN50" s="4493"/>
      <c r="AO50" s="4493"/>
      <c r="AP50" s="4494"/>
      <c r="AQ50" s="4492"/>
      <c r="AR50" s="4493"/>
      <c r="AS50" s="4493"/>
      <c r="AT50" s="4493"/>
      <c r="AU50" s="4493"/>
      <c r="AV50" s="4493"/>
      <c r="AW50" s="4493"/>
      <c r="AX50" s="4493"/>
      <c r="AY50" s="4493"/>
      <c r="AZ50" s="4494"/>
      <c r="BA50" s="4492"/>
      <c r="BB50" s="4493"/>
      <c r="BC50" s="4493"/>
      <c r="BD50" s="4493"/>
      <c r="BE50" s="4493"/>
      <c r="BF50" s="4493"/>
      <c r="BG50" s="4493"/>
      <c r="BH50" s="4493"/>
      <c r="BI50" s="4493"/>
      <c r="BJ50" s="4494"/>
      <c r="BK50" s="1155">
        <f>(SUM(F47:F51)+IF(AF47="",0,AF47)+IF(AP47="",0,AP47)+IF(AZ47="",0,AZ47)+IF(BJ47="",0,BJ47)+SUM(K47:K51)+SUM(N47:N51)+SUM(Q47:Q51))- SUM(V50:BA50)</f>
        <v>0</v>
      </c>
      <c r="BL50" s="1627"/>
      <c r="BM50" s="1628"/>
      <c r="BN50" s="1149"/>
      <c r="BO50" s="1150"/>
      <c r="BP50" s="1135" t="str">
        <f>IF(I50="Si",VLOOKUP($D$8,'Tablas Técnicas'!$E$4:$F$6,2,FALSE),"")</f>
        <v/>
      </c>
      <c r="BQ50" s="1136" t="str">
        <f>IF(L50="Si",VLOOKUP($D$8,'Tablas Técnicas'!$I$4:$J$6,2,FALSE),"")</f>
        <v/>
      </c>
      <c r="BR50" s="1134" t="str">
        <f>IF(O50="Si",VLOOKUP($D$8,'Tablas Técnicas'!$I$7:$J$9,2,FALSE),"")</f>
        <v/>
      </c>
      <c r="BS50" s="1151"/>
      <c r="BT50" s="4448" t="s">
        <v>5231</v>
      </c>
      <c r="BU50" s="4449"/>
      <c r="BV50" s="1128"/>
      <c r="BW50" s="1108"/>
      <c r="BX50" s="1108"/>
      <c r="BY50" s="1474"/>
      <c r="BZ50" s="1492"/>
      <c r="CA50" s="1096"/>
      <c r="DR50" s="1096"/>
      <c r="DT50" s="1514"/>
      <c r="DU50" s="1565" t="str">
        <f>IF(BW66="N/A","",BT65&amp;" "&amp;BW66&amp;IF(BY66="N/A"," "," ("&amp;BY66&amp;") "))</f>
        <v/>
      </c>
      <c r="DV50" s="1566" t="str">
        <f>IF(E50="","",E50)&amp;IF(I50="No",""," (Mant.)")&amp;IF(L50="No",""," (Sme)")&amp;IF(O50="No",""," (SMa)")</f>
        <v/>
      </c>
      <c r="DW50" s="1567"/>
      <c r="DX50" s="4454"/>
      <c r="DY50" s="1513"/>
      <c r="DZ50" s="1096"/>
      <c r="EA50" s="1660">
        <f t="shared" si="0"/>
        <v>1</v>
      </c>
    </row>
    <row r="51" spans="1:131" x14ac:dyDescent="0.2">
      <c r="A51" s="1096"/>
      <c r="B51" s="1096"/>
      <c r="C51" s="1497"/>
      <c r="D51" s="1643" t="s">
        <v>2310</v>
      </c>
      <c r="E51" s="1160"/>
      <c r="F51" s="2619" t="str">
        <f>IF(E51=0,"",VLOOKUP(E51,'Tablas Técnicas'!$A$14:$V$771,2,FALSE))</f>
        <v/>
      </c>
      <c r="G51" s="1142"/>
      <c r="H51" s="1161" t="str">
        <f>IF($E51=0,"",VLOOKUP($E51,'Tablas Técnicas'!$A$14:$V$771,4,FALSE))</f>
        <v/>
      </c>
      <c r="I51" s="1144" t="s">
        <v>2234</v>
      </c>
      <c r="J51" s="1601" t="str">
        <f>IF(E51=0,"",VLOOKUP(E51,'Tablas Técnicas'!$A$14:$V$771,5,FALSE))</f>
        <v/>
      </c>
      <c r="K51" s="1163" t="str">
        <f>IF(I51="Si",IF(E51=0,"",VLOOKUP(E51,'Tablas Técnicas'!$A$14:$V$771,5,FALSE)),"")</f>
        <v/>
      </c>
      <c r="L51" s="1144" t="s">
        <v>2234</v>
      </c>
      <c r="M51" s="1601" t="str">
        <f>IF(E51=0,"",VLOOKUP(E51,'Tablas Técnicas'!$A$14:$V$771,6,FALSE))</f>
        <v/>
      </c>
      <c r="N51" s="1147" t="str">
        <f>IF(L51="Si",IF(E51=0,"",VLOOKUP(E51,'Tablas Técnicas'!$A$14:$V$771,6,FALSE)),"")</f>
        <v/>
      </c>
      <c r="O51" s="1144" t="s">
        <v>2234</v>
      </c>
      <c r="P51" s="1601" t="str">
        <f>IF(E51=0,"",VLOOKUP(E51,'Tablas Técnicas'!$A$14:$V$771,7,FALSE))</f>
        <v/>
      </c>
      <c r="Q51" s="1147" t="str">
        <f>IF(O51="Si",IF(E51=0,"",VLOOKUP(E51,'Tablas Técnicas'!$A$14:$V$771,7,FALSE)),"")</f>
        <v/>
      </c>
      <c r="R51" s="1162" t="str">
        <f>IF(E51=0,"",VLOOKUP(E51,'Tablas Técnicas'!$A$14:$V$771,8,FALSE))</f>
        <v/>
      </c>
      <c r="S51" s="1161" t="str">
        <f>IF(R51=$D$8,$D$8,IF(R51=2,2,IF(R51=3,3,R51)))</f>
        <v/>
      </c>
      <c r="T51" s="4482" t="s">
        <v>5232</v>
      </c>
      <c r="U51" s="4483"/>
      <c r="V51" s="2616"/>
      <c r="W51" s="4484"/>
      <c r="X51" s="4485"/>
      <c r="Y51" s="4485"/>
      <c r="Z51" s="4485"/>
      <c r="AA51" s="4485"/>
      <c r="AB51" s="4485"/>
      <c r="AC51" s="4485"/>
      <c r="AD51" s="4485"/>
      <c r="AE51" s="4485"/>
      <c r="AF51" s="4486"/>
      <c r="AG51" s="4484"/>
      <c r="AH51" s="4485"/>
      <c r="AI51" s="4485"/>
      <c r="AJ51" s="4485"/>
      <c r="AK51" s="4485"/>
      <c r="AL51" s="4485"/>
      <c r="AM51" s="4485"/>
      <c r="AN51" s="4485"/>
      <c r="AO51" s="4485"/>
      <c r="AP51" s="4486"/>
      <c r="AQ51" s="4484"/>
      <c r="AR51" s="4485"/>
      <c r="AS51" s="4485"/>
      <c r="AT51" s="4485"/>
      <c r="AU51" s="4485"/>
      <c r="AV51" s="4485"/>
      <c r="AW51" s="4485"/>
      <c r="AX51" s="4485"/>
      <c r="AY51" s="4485"/>
      <c r="AZ51" s="4486"/>
      <c r="BA51" s="4484"/>
      <c r="BB51" s="4485"/>
      <c r="BC51" s="4485"/>
      <c r="BD51" s="4485"/>
      <c r="BE51" s="4485"/>
      <c r="BF51" s="4485"/>
      <c r="BG51" s="4485"/>
      <c r="BH51" s="4485"/>
      <c r="BI51" s="4485"/>
      <c r="BJ51" s="4486"/>
      <c r="BK51" s="1171">
        <f>SUM(K47:K51)-SUM(V51:BA51)</f>
        <v>0</v>
      </c>
      <c r="BL51" s="1629"/>
      <c r="BM51" s="1630"/>
      <c r="BN51" s="1165"/>
      <c r="BO51" s="1166"/>
      <c r="BP51" s="1167" t="str">
        <f>IF(I51="Si",VLOOKUP($D$8,'Tablas Técnicas'!$E$4:$F$6,2,FALSE),"")</f>
        <v/>
      </c>
      <c r="BQ51" s="1137" t="str">
        <f>IF(L51="Si",VLOOKUP($D$8,'Tablas Técnicas'!$I$4:$J$6,2,FALSE),"")</f>
        <v/>
      </c>
      <c r="BR51" s="1168" t="str">
        <f>IF(O51="Si",VLOOKUP($D$8,'Tablas Técnicas'!$I$7:$J$9,2,FALSE),"")</f>
        <v/>
      </c>
      <c r="BS51" s="1169"/>
      <c r="BT51" s="4452" t="s">
        <v>2234</v>
      </c>
      <c r="BU51" s="4453"/>
      <c r="BV51" s="1128"/>
      <c r="BW51" s="1108"/>
      <c r="BX51" s="1108"/>
      <c r="BY51" s="1474"/>
      <c r="BZ51" s="1492"/>
      <c r="CA51" s="1096"/>
      <c r="DR51" s="1096"/>
      <c r="DT51" s="1514"/>
      <c r="DU51" s="1565" t="str">
        <f>IF(BW68="N/A","",BT67&amp;" "&amp;BW68&amp;IF(BY68="N/A"," "," ("&amp;BY68&amp;") "))</f>
        <v/>
      </c>
      <c r="DV51" s="1566" t="str">
        <f>IF(E51="","",E51)&amp;IF(I51="No",""," (Mant.)")&amp;IF(L51="No",""," (Sme)")&amp;IF(O51="No",""," (SMa)")</f>
        <v/>
      </c>
      <c r="DW51" s="1567"/>
      <c r="DX51" s="4454"/>
      <c r="DY51" s="1513"/>
      <c r="DZ51" s="1096"/>
      <c r="EA51" s="1660">
        <f t="shared" si="0"/>
        <v>1</v>
      </c>
    </row>
    <row r="52" spans="1:131" x14ac:dyDescent="0.2">
      <c r="A52" s="1096"/>
      <c r="B52" s="159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97"/>
      <c r="D52" s="1644">
        <v>2</v>
      </c>
      <c r="E52" s="1423"/>
      <c r="F52" s="1173"/>
      <c r="G52" s="1174"/>
      <c r="H52" s="2559">
        <f>IF(AND(OR(ISNUMBER(SEARCH("Afinidad Elemental ("&amp;BK47&amp;")",Principal!$AF$30)),ISNUMBER(SEARCH("Afinidad Elemental ("&amp;BL47&amp;")",Principal!$AF$30)),ISNUMBER(SEARCH("Afinidad Elemental ("&amp;BM47&amp;")",Principal!$AF$30))),SUM(H47:H51)&gt;=5),-5,0)</f>
        <v>0</v>
      </c>
      <c r="I52" s="1603"/>
      <c r="J52" s="1606"/>
      <c r="K52" s="1174"/>
      <c r="L52" s="1603"/>
      <c r="M52" s="1606"/>
      <c r="N52" s="1174"/>
      <c r="O52" s="1603"/>
      <c r="P52" s="1606"/>
      <c r="Q52" s="1174"/>
      <c r="R52" s="1175"/>
      <c r="S52" s="1174"/>
      <c r="T52" s="1174"/>
      <c r="U52" s="1131"/>
      <c r="V52" s="1131"/>
      <c r="W52" s="1131"/>
      <c r="X52" s="1131"/>
      <c r="Y52" s="1131"/>
      <c r="Z52" s="1131"/>
      <c r="AA52" s="1131"/>
      <c r="AB52" s="1131"/>
      <c r="AC52" s="1131"/>
      <c r="AD52" s="1131"/>
      <c r="AE52" s="1131"/>
      <c r="AF52" s="1131"/>
      <c r="AG52" s="1131"/>
      <c r="AH52" s="1131"/>
      <c r="AI52" s="1131"/>
      <c r="AJ52" s="1131"/>
      <c r="AK52" s="1131"/>
      <c r="AL52" s="1131"/>
      <c r="AM52" s="1131"/>
      <c r="AN52" s="1131"/>
      <c r="AO52" s="1131"/>
      <c r="AP52" s="1131"/>
      <c r="AQ52" s="1131"/>
      <c r="AR52" s="1131"/>
      <c r="AS52" s="1131"/>
      <c r="AT52" s="1131"/>
      <c r="AU52" s="1131"/>
      <c r="AV52" s="1131"/>
      <c r="AW52" s="1131"/>
      <c r="AX52" s="1131"/>
      <c r="AY52" s="1131"/>
      <c r="AZ52" s="1131"/>
      <c r="BA52" s="1131"/>
      <c r="BB52" s="1131"/>
      <c r="BC52" s="1131"/>
      <c r="BD52" s="1131"/>
      <c r="BE52" s="1131"/>
      <c r="BF52" s="1131"/>
      <c r="BG52" s="1131"/>
      <c r="BH52" s="1131"/>
      <c r="BI52" s="1131"/>
      <c r="BJ52" s="1131"/>
      <c r="BK52" s="1131"/>
      <c r="BL52" s="1131"/>
      <c r="BM52" s="1133"/>
      <c r="BN52" s="1134">
        <f>SUM(K52:K55)</f>
        <v>0</v>
      </c>
      <c r="BO52" s="1128" t="str">
        <f>IF(E52=0,"",(AF52+AP52+AZ52+BJ52))</f>
        <v/>
      </c>
      <c r="BP52" s="1135" t="str">
        <f>IF(I52="Si",VLOOKUP($D$8,'Tablas Técnicas'!$E$4:$F$6,2,FALSE),"")</f>
        <v/>
      </c>
      <c r="BQ52" s="1136" t="str">
        <f>IF(L52="Si",VLOOKUP($D$8,'Tablas Técnicas'!$I$4:$J$6,2,FALSE),"")</f>
        <v/>
      </c>
      <c r="BR52" s="1134" t="str">
        <f>IF(O52="Si",VLOOKUP($D$8,'Tablas Técnicas'!$I$7:$J$9,2,FALSE),"")</f>
        <v/>
      </c>
      <c r="BS52" s="1151"/>
      <c r="BT52" s="4448" t="s">
        <v>5233</v>
      </c>
      <c r="BU52" s="4449"/>
      <c r="BV52" s="1128"/>
      <c r="BW52" s="1108"/>
      <c r="BX52" s="1108"/>
      <c r="BY52" s="1474"/>
      <c r="BZ52" s="1492"/>
      <c r="CA52" s="1096"/>
      <c r="DR52" s="1096"/>
      <c r="DT52" s="1514"/>
      <c r="DU52" s="1565" t="str">
        <f>IF(BW70="N/A","",BT69&amp;" "&amp;BW70&amp;IF(BY70="N/A"," "," ("&amp;BY70&amp;") "))</f>
        <v/>
      </c>
      <c r="DV52" s="1570"/>
      <c r="DW52" s="1567"/>
      <c r="DX52" s="1617" t="s">
        <v>2373</v>
      </c>
      <c r="DY52" s="1513"/>
      <c r="DZ52" s="1096"/>
      <c r="EA52" s="1660">
        <f t="shared" si="0"/>
        <v>1</v>
      </c>
    </row>
    <row r="53" spans="1:131" s="1170" customFormat="1" x14ac:dyDescent="0.2">
      <c r="A53" s="1096"/>
      <c r="B53" s="1096"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97"/>
      <c r="D53" s="1643" t="s">
        <v>2310</v>
      </c>
      <c r="E53" s="1140"/>
      <c r="F53" s="1176"/>
      <c r="G53" s="1146" t="str">
        <f>IF(E53=0,"",VLOOKUP(E53,'Tablas Técnicas'!$A$14:$V$771,3,FALSE))</f>
        <v/>
      </c>
      <c r="H53" s="1178" t="str">
        <f>IF($E53=0,"",VLOOKUP($E53,'Tablas Técnicas'!$A$14:$V$771,4,FALSE))</f>
        <v/>
      </c>
      <c r="I53" s="1144" t="s">
        <v>2234</v>
      </c>
      <c r="J53" s="1604" t="str">
        <f>IF(E53=0,"",VLOOKUP(E53,'Tablas Técnicas'!$A$14:$V$771,5,FALSE))</f>
        <v/>
      </c>
      <c r="K53" s="1177" t="str">
        <f>IF(I53="Si",IF(E53=0,"",VLOOKUP(E53,'Tablas Técnicas'!$A$14:$V$771,5,FALSE)),"")</f>
        <v/>
      </c>
      <c r="L53" s="1144" t="s">
        <v>2234</v>
      </c>
      <c r="M53" s="1604" t="str">
        <f>IF(E53=0,"",VLOOKUP(E53,'Tablas Técnicas'!$A$14:$V$771,6,FALSE))</f>
        <v/>
      </c>
      <c r="N53" s="1147" t="str">
        <f>IF(L53="Si",IF(E53=0,"",VLOOKUP(E53,'Tablas Técnicas'!$A$14:$V$771,6,FALSE)),"")</f>
        <v/>
      </c>
      <c r="O53" s="1144" t="s">
        <v>2234</v>
      </c>
      <c r="P53" s="1604" t="str">
        <f>IF(E53=0,"",VLOOKUP(E53,'Tablas Técnicas'!$A$14:$V$771,7,FALSE))</f>
        <v/>
      </c>
      <c r="Q53" s="1147" t="str">
        <f>IF(O53="Si",IF(E53=0,"",VLOOKUP(E53,'Tablas Técnicas'!$A$14:$V$771,7,FALSE)),"")</f>
        <v/>
      </c>
      <c r="R53" s="1179" t="str">
        <f>IF(E53=0,"",VLOOKUP(E53,'Tablas Técnicas'!$A$14:$V$771,8,FALSE))</f>
        <v/>
      </c>
      <c r="S53" s="1178" t="str">
        <f>IF(R53=$D$8,$D$8,IF(R53=2,2,IF(R53=3,3,R53)))</f>
        <v/>
      </c>
      <c r="T53" s="1146" t="str">
        <f>IF(E53=0,"",VLOOKUP(E53,'Tablas Técnicas'!$A$14:$V$771,9,FALSE))</f>
        <v/>
      </c>
      <c r="U53" s="1146" t="str">
        <f>IF(E53=0,"",VLOOKUP(E53,'Tablas Técnicas'!$A$14:$V$771,10,FALSE))</f>
        <v/>
      </c>
      <c r="V53" s="1141" t="str">
        <f>IF(E53=0,"",VLOOKUP(E53,'Tablas Técnicas'!$A$14:$V$771,11,FALSE))</f>
        <v/>
      </c>
      <c r="W53" s="1144"/>
      <c r="X53" s="1145" t="e">
        <f>VLOOKUP(E53,'Tablas Técnicas'!$A$14:$V$771,12,FALSE)</f>
        <v>#N/A</v>
      </c>
      <c r="Y53" s="1145" t="e">
        <f>IF(W53=X53,VLOOKUP(E53,'Tablas Técnicas'!$A$14:$V$771,13,FALSE),0)</f>
        <v>#N/A</v>
      </c>
      <c r="Z53" s="1145" t="e">
        <f>VLOOKUP(E53,'Tablas Técnicas'!$A$14:$V$771,14,FALSE)</f>
        <v>#N/A</v>
      </c>
      <c r="AA53" s="1145" t="e">
        <f>IF(W53=Z53,VLOOKUP(E53,'Tablas Técnicas'!$A$14:$V$616,15,FALSE),0)</f>
        <v>#N/A</v>
      </c>
      <c r="AB53" s="1145" t="e">
        <f>VLOOKUP(E53,'Tablas Técnicas'!$A$14:$V$771,16,FALSE)</f>
        <v>#N/A</v>
      </c>
      <c r="AC53" s="1145" t="e">
        <f>IF(W53=AB53,VLOOKUP(E53,'Tablas Técnicas'!$A$14:$V$616,17,FALSE),0)</f>
        <v>#N/A</v>
      </c>
      <c r="AD53" s="1145" t="e">
        <f>VLOOKUP(E53,'Tablas Técnicas'!$A$14:$V$771,18,FALSE)</f>
        <v>#N/A</v>
      </c>
      <c r="AE53" s="1145" t="e">
        <f>IF(W53=AD53,VLOOKUP(E53,'Tablas Técnicas'!$A$14:$V$771,19,FALSE),0)</f>
        <v>#N/A</v>
      </c>
      <c r="AF53" s="1146" t="str">
        <f>IF(E53=0,"",(Y53+AA53+AC53+AE53))</f>
        <v/>
      </c>
      <c r="AG53" s="1144"/>
      <c r="AH53" s="1179" t="e">
        <f>VLOOKUP(E53,'Tablas Técnicas'!$A$14:$V$771,12,FALSE)</f>
        <v>#N/A</v>
      </c>
      <c r="AI53" s="1179" t="e">
        <f>IF(AG53=AH53,VLOOKUP(E53,'Tablas Técnicas'!$A$14:$V$771,13,FALSE),0)</f>
        <v>#N/A</v>
      </c>
      <c r="AJ53" s="1179" t="e">
        <f>VLOOKUP(E53,'Tablas Técnicas'!$A$14:$V$771,14,FALSE)</f>
        <v>#N/A</v>
      </c>
      <c r="AK53" s="1179" t="e">
        <f>IF(AG53=AJ53,VLOOKUP(E53,'Tablas Técnicas'!$A$14:$V$771,15,FALSE),0)</f>
        <v>#N/A</v>
      </c>
      <c r="AL53" s="1179" t="e">
        <f>VLOOKUP(E53,'Tablas Técnicas'!$A$14:$V$771,16,FALSE)</f>
        <v>#N/A</v>
      </c>
      <c r="AM53" s="1179" t="e">
        <f>IF(AG53=AL53,VLOOKUP(E53,'Tablas Técnicas'!$A$14:$V$771,17,FALSE),0)</f>
        <v>#N/A</v>
      </c>
      <c r="AN53" s="1179" t="e">
        <f>VLOOKUP(E53,'Tablas Técnicas'!$A$14:$V$771,18,FALSE)</f>
        <v>#N/A</v>
      </c>
      <c r="AO53" s="1179" t="e">
        <f>IF(AG53=AN53,VLOOKUP(E53,'Tablas Técnicas'!$A$14:$V$771,19,FALSE),0)</f>
        <v>#N/A</v>
      </c>
      <c r="AP53" s="1180" t="str">
        <f>IF(E53=0,"",(AI53+AK53+AM53+AO53))</f>
        <v/>
      </c>
      <c r="AQ53" s="1144"/>
      <c r="AR53" s="1145" t="e">
        <f>VLOOKUP(E53,'Tablas Técnicas'!$A$14:$V$771,12,FALSE)</f>
        <v>#N/A</v>
      </c>
      <c r="AS53" s="1145" t="e">
        <f>IF(AQ53=AR53,VLOOKUP(E53,'Tablas Técnicas'!$A$14:$V$771,13,FALSE),0)</f>
        <v>#N/A</v>
      </c>
      <c r="AT53" s="1145" t="e">
        <f>VLOOKUP(E53,'Tablas Técnicas'!$A$14:$V$771,14,FALSE)</f>
        <v>#N/A</v>
      </c>
      <c r="AU53" s="1145" t="e">
        <f>IF(AQ53=AT53,VLOOKUP(E53,'Tablas Técnicas'!$A$14:$V$771,15,FALSE),0)</f>
        <v>#N/A</v>
      </c>
      <c r="AV53" s="1145" t="e">
        <f>VLOOKUP(E53,'Tablas Técnicas'!$A$14:$V$771,16,FALSE)</f>
        <v>#N/A</v>
      </c>
      <c r="AW53" s="1145" t="e">
        <f>IF(AQ53=AV53,VLOOKUP(E53,'Tablas Técnicas'!$A$14:$V$771,17,FALSE),0)</f>
        <v>#N/A</v>
      </c>
      <c r="AX53" s="1145" t="e">
        <f>VLOOKUP(E53,'Tablas Técnicas'!$A$14:$V$771,18,FALSE)</f>
        <v>#N/A</v>
      </c>
      <c r="AY53" s="1145" t="e">
        <f>IF(AQ53=AX53,VLOOKUP(E53,'Tablas Técnicas'!$A$14:$V$771,19,FALSE),0)</f>
        <v>#N/A</v>
      </c>
      <c r="AZ53" s="1146" t="str">
        <f>IF(E53=0,"",(AS53+AU53+AW53+AY53))</f>
        <v/>
      </c>
      <c r="BA53" s="1144"/>
      <c r="BB53" s="1145" t="e">
        <f>VLOOKUP(E53,'Tablas Técnicas'!$A$14:$V$771,12,FALSE)</f>
        <v>#N/A</v>
      </c>
      <c r="BC53" s="1145" t="e">
        <f>IF(BA53=BB53,VLOOKUP(E53,'Tablas Técnicas'!$A$14:$V$771,13,FALSE),0)</f>
        <v>#N/A</v>
      </c>
      <c r="BD53" s="1145" t="e">
        <f>VLOOKUP(E53,'Tablas Técnicas'!$A$14:$V$771,14,FALSE)</f>
        <v>#N/A</v>
      </c>
      <c r="BE53" s="1145" t="e">
        <f>IF(BA53=BD53,VLOOKUP(E53,'Tablas Técnicas'!$A$14:$V$771,15,FALSE),0)</f>
        <v>#N/A</v>
      </c>
      <c r="BF53" s="1145" t="e">
        <f>VLOOKUP(E53,'Tablas Técnicas'!$A$14:$V$771,16,FALSE)</f>
        <v>#N/A</v>
      </c>
      <c r="BG53" s="1145" t="e">
        <f>IF(BA53=BF53,VLOOKUP(E53,'Tablas Técnicas'!$A$14:$V$771,17,FALSE),0)</f>
        <v>#N/A</v>
      </c>
      <c r="BH53" s="1145" t="e">
        <f>VLOOKUP(E53,'Tablas Técnicas'!$A$14:$V$771,18,FALSE)</f>
        <v>#N/A</v>
      </c>
      <c r="BI53" s="1145" t="e">
        <f>IF(BA53=BH53,VLOOKUP(E53,'Tablas Técnicas'!$A$14:$V$771,19,FALSE),0)</f>
        <v>#N/A</v>
      </c>
      <c r="BJ53" s="1147" t="str">
        <f>IF(E53=0,"",(BC53+BE53+BG53+BI53))</f>
        <v/>
      </c>
      <c r="BK53" s="1146" t="str">
        <f>IF(E53=0,"",VLOOKUP(E53,'Tablas Técnicas'!$A$14:$V$771,20,FALSE))</f>
        <v/>
      </c>
      <c r="BL53" s="1146" t="str">
        <f>IF(E53=0,"",VLOOKUP(E53,'Tablas Técnicas'!$A$14:$V$771,21,FALSE))</f>
        <v/>
      </c>
      <c r="BM53" s="1181" t="str">
        <f>IF(E53=0,"",VLOOKUP(E53,'Tablas Técnicas'!$A$14:$V$771,22,FALSE))</f>
        <v/>
      </c>
      <c r="BN53" s="1149"/>
      <c r="BO53" s="1150"/>
      <c r="BP53" s="1135" t="str">
        <f>IF(I53="Si",VLOOKUP($D$8,'Tablas Técnicas'!$E$4:$F$6,2,FALSE),"")</f>
        <v/>
      </c>
      <c r="BQ53" s="1136" t="str">
        <f>IF(L53="Si",VLOOKUP($D$8,'Tablas Técnicas'!$I$4:$J$6,2,FALSE),"")</f>
        <v/>
      </c>
      <c r="BR53" s="1134" t="str">
        <f>IF(O53="Si",VLOOKUP($D$8,'Tablas Técnicas'!$I$7:$J$9,2,FALSE),"")</f>
        <v/>
      </c>
      <c r="BS53" s="1151"/>
      <c r="BT53" s="4452" t="s">
        <v>5213</v>
      </c>
      <c r="BU53" s="4453"/>
      <c r="BV53" s="1128"/>
      <c r="BW53" s="1108"/>
      <c r="BX53" s="1108"/>
      <c r="BY53" s="1474"/>
      <c r="BZ53" s="1492"/>
      <c r="CA53" s="1096"/>
      <c r="DR53" s="1096"/>
      <c r="DS53" s="1509"/>
      <c r="DT53" s="1515"/>
      <c r="DU53" s="1569"/>
      <c r="DV53" s="1566" t="str">
        <f>IF(E53="","",", "&amp;E53)&amp;IF(I53="No",""," (Mant.)")&amp;IF(L53="No",""," (Sme)")&amp;IF(O53="No",""," (SMa)")</f>
        <v/>
      </c>
      <c r="DW53" s="1567"/>
      <c r="DX53" s="1568" t="str">
        <f>IF(ISNUMBER(FIND('Tablas Técnicas'!A$678,DW71)),BL77&amp;BM77,IF(ISNUMBER(FIND('Tablas Técnicas'!A$679,DW71)),BL77&amp;" "&amp;BM77,""))</f>
        <v/>
      </c>
      <c r="DY53" s="1516"/>
      <c r="DZ53" s="1096"/>
      <c r="EA53" s="1660">
        <f t="shared" si="0"/>
        <v>1</v>
      </c>
    </row>
    <row r="54" spans="1:131" x14ac:dyDescent="0.2">
      <c r="A54" s="1096"/>
      <c r="B54" s="1096"/>
      <c r="C54" s="1497"/>
      <c r="D54" s="1642" t="s">
        <v>2310</v>
      </c>
      <c r="E54" s="1152"/>
      <c r="F54" s="1182"/>
      <c r="G54" s="1627" t="str">
        <f>IF(E54=0,"",VLOOKUP(E54,'Tablas Técnicas'!$A$14:$V$771,3,FALSE))</f>
        <v/>
      </c>
      <c r="H54" s="1155" t="str">
        <f>IF($E54=0,"",VLOOKUP($E54,'Tablas Técnicas'!$A$14:$V$771,4,FALSE))</f>
        <v/>
      </c>
      <c r="I54" s="1156" t="s">
        <v>2234</v>
      </c>
      <c r="J54" s="1605" t="str">
        <f>IF(E54=0,"",VLOOKUP(E54,'Tablas Técnicas'!$A$14:$V$771,5,FALSE))</f>
        <v/>
      </c>
      <c r="K54" s="1158" t="str">
        <f>IF(I54="Si",IF(E54=0,"",VLOOKUP(E54,'Tablas Técnicas'!$A$14:$V$771,5,FALSE)),"")</f>
        <v/>
      </c>
      <c r="L54" s="1156" t="s">
        <v>2234</v>
      </c>
      <c r="M54" s="1605" t="str">
        <f>IF(E54=0,"",VLOOKUP(E54,'Tablas Técnicas'!$A$14:$V$771,6,FALSE))</f>
        <v/>
      </c>
      <c r="N54" s="1159" t="str">
        <f>IF(L54="Si",IF(E54=0,"",VLOOKUP(E54,'Tablas Técnicas'!$A$14:$V$771,6,FALSE)),"")</f>
        <v/>
      </c>
      <c r="O54" s="1156" t="s">
        <v>2234</v>
      </c>
      <c r="P54" s="1605" t="str">
        <f>IF(E54=0,"",VLOOKUP(E54,'Tablas Técnicas'!$A$14:$V$771,7,FALSE))</f>
        <v/>
      </c>
      <c r="Q54" s="1159" t="str">
        <f>IF(O54="Si",IF(E54=0,"",VLOOKUP(E54,'Tablas Técnicas'!$A$14:$V$771,7,FALSE)),"")</f>
        <v/>
      </c>
      <c r="R54" s="1157" t="str">
        <f>IF(E54=0,"",VLOOKUP(E54,'Tablas Técnicas'!$A$14:$V$771,8,FALSE))</f>
        <v/>
      </c>
      <c r="S54" s="1155" t="str">
        <f>IF(R54=$D$8,$D$8,IF(R54=2,2,IF(R54=3,3,R54)))</f>
        <v/>
      </c>
      <c r="T54" s="4475" t="s">
        <v>5228</v>
      </c>
      <c r="U54" s="4476"/>
      <c r="V54" s="4476"/>
      <c r="W54" s="4476"/>
      <c r="X54" s="4476"/>
      <c r="Y54" s="4476"/>
      <c r="Z54" s="4476"/>
      <c r="AA54" s="4476"/>
      <c r="AB54" s="4476"/>
      <c r="AC54" s="4476"/>
      <c r="AD54" s="4476"/>
      <c r="AE54" s="4476"/>
      <c r="AF54" s="4476"/>
      <c r="AG54" s="4476"/>
      <c r="AH54" s="4476"/>
      <c r="AI54" s="4476"/>
      <c r="AJ54" s="4476"/>
      <c r="AK54" s="4476"/>
      <c r="AL54" s="4476"/>
      <c r="AM54" s="4476"/>
      <c r="AN54" s="4476"/>
      <c r="AO54" s="4476"/>
      <c r="AP54" s="4476"/>
      <c r="AQ54" s="4476"/>
      <c r="AR54" s="4476"/>
      <c r="AS54" s="4476"/>
      <c r="AT54" s="4476"/>
      <c r="AU54" s="4476"/>
      <c r="AV54" s="4476"/>
      <c r="AW54" s="4476"/>
      <c r="AX54" s="4476"/>
      <c r="AY54" s="4476"/>
      <c r="AZ54" s="4476"/>
      <c r="BA54" s="4476"/>
      <c r="BB54" s="4476"/>
      <c r="BC54" s="4476"/>
      <c r="BD54" s="4476"/>
      <c r="BE54" s="4476"/>
      <c r="BF54" s="4476"/>
      <c r="BG54" s="4476"/>
      <c r="BH54" s="4476"/>
      <c r="BI54" s="4476"/>
      <c r="BJ54" s="4476"/>
      <c r="BK54" s="4477"/>
      <c r="BL54" s="1627"/>
      <c r="BM54" s="1628"/>
      <c r="BN54" s="1149"/>
      <c r="BO54" s="1150"/>
      <c r="BP54" s="1135" t="str">
        <f>IF(I54="Si",VLOOKUP($D$8,'Tablas Técnicas'!$E$4:$F$6,2,FALSE),"")</f>
        <v/>
      </c>
      <c r="BQ54" s="1136" t="str">
        <f>IF(L54="Si",VLOOKUP($D$8,'Tablas Técnicas'!$I$4:$J$6,2,FALSE),"")</f>
        <v/>
      </c>
      <c r="BR54" s="1134" t="str">
        <f>IF(O54="Si",VLOOKUP($D$8,'Tablas Técnicas'!$I$7:$J$9,2,FALSE),"")</f>
        <v/>
      </c>
      <c r="BS54" s="1151"/>
      <c r="BT54" s="4448" t="s">
        <v>5234</v>
      </c>
      <c r="BU54" s="4449"/>
      <c r="BV54" s="1128"/>
      <c r="BW54" s="1108"/>
      <c r="BX54" s="1108"/>
      <c r="BY54" s="1474"/>
      <c r="BZ54" s="1492"/>
      <c r="CA54" s="1096"/>
      <c r="DR54" s="1096"/>
      <c r="DT54" s="1514"/>
      <c r="DU54" s="1565"/>
      <c r="DV54" s="1566" t="str">
        <f>IF(E54="",""," "&amp;E54)&amp;IF(I54="No",""," (Mant.)")&amp;IF(L54="No",""," (Sme)")&amp;IF(O54="No",""," (SMa)")</f>
        <v/>
      </c>
      <c r="DW54" s="1567"/>
      <c r="DX54" s="1568"/>
      <c r="DY54" s="1513"/>
      <c r="DZ54" s="1096"/>
      <c r="EA54" s="1660">
        <f t="shared" si="0"/>
        <v>1</v>
      </c>
    </row>
    <row r="55" spans="1:131" ht="11.25" customHeight="1" x14ac:dyDescent="0.2">
      <c r="A55" s="1096"/>
      <c r="B55" s="1096"/>
      <c r="C55" s="1497"/>
      <c r="D55" s="1643" t="s">
        <v>2310</v>
      </c>
      <c r="E55" s="1160"/>
      <c r="F55" s="1176"/>
      <c r="G55" s="1146" t="str">
        <f>IF(E55=0,"",VLOOKUP(E55,'Tablas Técnicas'!$A$14:$V$771,3,FALSE))</f>
        <v/>
      </c>
      <c r="H55" s="2619" t="str">
        <f>IF($E55=0,"",VLOOKUP($E55,'Tablas Técnicas'!$A$14:$V$771,4,FALSE))</f>
        <v/>
      </c>
      <c r="I55" s="1144" t="s">
        <v>2234</v>
      </c>
      <c r="J55" s="1601" t="str">
        <f>IF(E55=0,"",VLOOKUP(E55,'Tablas Técnicas'!$A$14:$V$771,5,FALSE))</f>
        <v/>
      </c>
      <c r="K55" s="1163" t="str">
        <f>IF(I55="Si",IF(E55=0,"",VLOOKUP(E55,'Tablas Técnicas'!$A$14:$V$771,5,FALSE)),"")</f>
        <v/>
      </c>
      <c r="L55" s="1144" t="s">
        <v>2234</v>
      </c>
      <c r="M55" s="1601" t="str">
        <f>IF(E55=0,"",VLOOKUP(E55,'Tablas Técnicas'!$A$14:$V$771,6,FALSE))</f>
        <v/>
      </c>
      <c r="N55" s="1147" t="str">
        <f>IF(L55="Si",IF(E55=0,"",VLOOKUP(E55,'Tablas Técnicas'!$A$14:$V$771,6,FALSE)),"")</f>
        <v/>
      </c>
      <c r="O55" s="1144" t="s">
        <v>2234</v>
      </c>
      <c r="P55" s="1601" t="str">
        <f>IF(E55=0,"",VLOOKUP(E55,'Tablas Técnicas'!$A$14:$V$771,7,FALSE))</f>
        <v/>
      </c>
      <c r="Q55" s="1147" t="str">
        <f>IF(O55="Si",IF(E55=0,"",VLOOKUP(E55,'Tablas Técnicas'!$A$14:$V$771,7,FALSE)),"")</f>
        <v/>
      </c>
      <c r="R55" s="1162" t="str">
        <f>IF(E55=0,"",VLOOKUP(E55,'Tablas Técnicas'!$A$14:$V$771,8,FALSE))</f>
        <v/>
      </c>
      <c r="S55" s="2619" t="str">
        <f>IF(R55=$D$8,$D$8,IF(R55=2,2,IF(R55=3,3,R55)))</f>
        <v/>
      </c>
      <c r="T55" s="4487"/>
      <c r="U55" s="4488"/>
      <c r="V55" s="2617" t="str">
        <f>IF(OR(V53=0,V53=""),"N/A",V53)</f>
        <v>N/A</v>
      </c>
      <c r="W55" s="4487" t="str">
        <f xml:space="preserve"> IF(OR(AF53=0,AF53=""),"N/A",W53)</f>
        <v>N/A</v>
      </c>
      <c r="X55" s="4489"/>
      <c r="Y55" s="4489"/>
      <c r="Z55" s="4489"/>
      <c r="AA55" s="4489"/>
      <c r="AB55" s="4489"/>
      <c r="AC55" s="4489"/>
      <c r="AD55" s="4489"/>
      <c r="AE55" s="4489"/>
      <c r="AF55" s="4488"/>
      <c r="AG55" s="4487" t="str">
        <f xml:space="preserve"> IF(OR(AP53="",AP53=0),"N/A",AG53)</f>
        <v>N/A</v>
      </c>
      <c r="AH55" s="4489"/>
      <c r="AI55" s="4489"/>
      <c r="AJ55" s="4489"/>
      <c r="AK55" s="4489"/>
      <c r="AL55" s="4489"/>
      <c r="AM55" s="4489"/>
      <c r="AN55" s="4489"/>
      <c r="AO55" s="4489"/>
      <c r="AP55" s="4488"/>
      <c r="AQ55" s="4487" t="str">
        <f xml:space="preserve"> IF(OR(AZ53="",AZ53=0),"N/A",AQ53)</f>
        <v>N/A</v>
      </c>
      <c r="AR55" s="4489"/>
      <c r="AS55" s="4489"/>
      <c r="AT55" s="4489"/>
      <c r="AU55" s="4489"/>
      <c r="AV55" s="4489"/>
      <c r="AW55" s="4489"/>
      <c r="AX55" s="4489"/>
      <c r="AY55" s="4489"/>
      <c r="AZ55" s="4488"/>
      <c r="BA55" s="4487" t="str">
        <f xml:space="preserve"> IF(OR(BJ53="",BJ53=0),"N/A",BA53)</f>
        <v>N/A</v>
      </c>
      <c r="BB55" s="4489"/>
      <c r="BC55" s="4489"/>
      <c r="BD55" s="4489"/>
      <c r="BE55" s="4489"/>
      <c r="BF55" s="4489"/>
      <c r="BG55" s="4489"/>
      <c r="BH55" s="4489"/>
      <c r="BI55" s="4489"/>
      <c r="BJ55" s="4488"/>
      <c r="BK55" s="1164" t="s">
        <v>5229</v>
      </c>
      <c r="BL55" s="1146"/>
      <c r="BM55" s="1181"/>
      <c r="BN55" s="1149"/>
      <c r="BO55" s="1166"/>
      <c r="BP55" s="1135" t="str">
        <f>IF(I55="Si",VLOOKUP($D$8,'Tablas Técnicas'!$E$4:$F$6,2,FALSE),"")</f>
        <v/>
      </c>
      <c r="BQ55" s="1136" t="str">
        <f>IF(L55="Si",VLOOKUP($D$8,'Tablas Técnicas'!$I$4:$J$6,2,FALSE),"")</f>
        <v/>
      </c>
      <c r="BR55" s="1134" t="str">
        <f>IF(O55="Si",VLOOKUP($D$8,'Tablas Técnicas'!$I$7:$J$9,2,FALSE),"")</f>
        <v/>
      </c>
      <c r="BS55" s="1151"/>
      <c r="BT55" s="4452" t="s">
        <v>5207</v>
      </c>
      <c r="BU55" s="4453"/>
      <c r="BV55" s="1128"/>
      <c r="BW55" s="1108"/>
      <c r="BX55" s="1108"/>
      <c r="BY55" s="1474"/>
      <c r="BZ55" s="1492"/>
      <c r="CA55" s="1096"/>
      <c r="DR55" s="1096"/>
      <c r="DT55" s="1514"/>
      <c r="DU55" s="1569"/>
      <c r="DV55" s="1566" t="str">
        <f>IF(E55="","",E55)&amp;IF(I55="No",""," (Mant.)")&amp;IF(L55="No",""," (Sme)")&amp;IF(O55="No",""," (SMa)")</f>
        <v/>
      </c>
      <c r="DW55" s="1567"/>
      <c r="DX55" s="1568"/>
      <c r="DY55" s="1513"/>
      <c r="DZ55" s="1096"/>
      <c r="EA55" s="1660">
        <f t="shared" si="0"/>
        <v>1</v>
      </c>
    </row>
    <row r="56" spans="1:131" ht="11.25" customHeight="1" x14ac:dyDescent="0.2">
      <c r="A56" s="1096"/>
      <c r="B56" s="1096"/>
      <c r="C56" s="1497"/>
      <c r="D56" s="1642" t="s">
        <v>2310</v>
      </c>
      <c r="E56" s="1152"/>
      <c r="F56" s="1182"/>
      <c r="G56" s="1627" t="str">
        <f>IF(E56=0,"",VLOOKUP(E56,'Tablas Técnicas'!$A$14:$V$771,3,FALSE))</f>
        <v/>
      </c>
      <c r="H56" s="1155" t="str">
        <f>IF($E56=0,"",VLOOKUP($E56,'Tablas Técnicas'!$A$14:$V$771,4,FALSE))</f>
        <v/>
      </c>
      <c r="I56" s="1156" t="s">
        <v>2234</v>
      </c>
      <c r="J56" s="1605" t="str">
        <f>IF(E56=0,"",VLOOKUP(E56,'Tablas Técnicas'!$A$14:$V$771,5,FALSE))</f>
        <v/>
      </c>
      <c r="K56" s="1158" t="str">
        <f>IF(I56="Si",IF(E56=0,"",VLOOKUP(E56,'Tablas Técnicas'!$A$14:$V$771,5,FALSE)),"")</f>
        <v/>
      </c>
      <c r="L56" s="1156" t="s">
        <v>2234</v>
      </c>
      <c r="M56" s="1605" t="str">
        <f>IF(E56=0,"",VLOOKUP(E56,'Tablas Técnicas'!$A$14:$V$771,6,FALSE))</f>
        <v/>
      </c>
      <c r="N56" s="1159" t="str">
        <f>IF(L56="Si",IF(E56=0,"",VLOOKUP(E56,'Tablas Técnicas'!$A$14:$V$771,6,FALSE)),"")</f>
        <v/>
      </c>
      <c r="O56" s="1156" t="s">
        <v>2234</v>
      </c>
      <c r="P56" s="1605" t="str">
        <f>IF(E56=0,"",VLOOKUP(E56,'Tablas Técnicas'!$A$14:$V$771,7,FALSE))</f>
        <v/>
      </c>
      <c r="Q56" s="1159" t="str">
        <f>IF(O56="Si",IF(E56=0,"",VLOOKUP(E56,'Tablas Técnicas'!$A$14:$V$771,7,FALSE)),"")</f>
        <v/>
      </c>
      <c r="R56" s="1157" t="str">
        <f>IF(E56=0,"",VLOOKUP(E56,'Tablas Técnicas'!$A$14:$V$771,8,FALSE))</f>
        <v/>
      </c>
      <c r="S56" s="1155" t="str">
        <f>IF(R56=$D$8,$D$8,IF(R56=2,2,IF(R56=3,3,R56)))</f>
        <v/>
      </c>
      <c r="T56" s="4490" t="s">
        <v>5230</v>
      </c>
      <c r="U56" s="4491"/>
      <c r="V56" s="2618"/>
      <c r="W56" s="4492"/>
      <c r="X56" s="4493"/>
      <c r="Y56" s="4493"/>
      <c r="Z56" s="4493"/>
      <c r="AA56" s="4493"/>
      <c r="AB56" s="4493"/>
      <c r="AC56" s="4493"/>
      <c r="AD56" s="4493"/>
      <c r="AE56" s="4493"/>
      <c r="AF56" s="4494"/>
      <c r="AG56" s="4492"/>
      <c r="AH56" s="4493"/>
      <c r="AI56" s="4493"/>
      <c r="AJ56" s="4493"/>
      <c r="AK56" s="4493"/>
      <c r="AL56" s="4493"/>
      <c r="AM56" s="4493"/>
      <c r="AN56" s="4493"/>
      <c r="AO56" s="4493"/>
      <c r="AP56" s="4494"/>
      <c r="AQ56" s="4492"/>
      <c r="AR56" s="4493"/>
      <c r="AS56" s="4493"/>
      <c r="AT56" s="4493"/>
      <c r="AU56" s="4493"/>
      <c r="AV56" s="4493"/>
      <c r="AW56" s="4493"/>
      <c r="AX56" s="4493"/>
      <c r="AY56" s="4493"/>
      <c r="AZ56" s="4494"/>
      <c r="BA56" s="4492"/>
      <c r="BB56" s="4493"/>
      <c r="BC56" s="4493"/>
      <c r="BD56" s="4493"/>
      <c r="BE56" s="4493"/>
      <c r="BF56" s="4493"/>
      <c r="BG56" s="4493"/>
      <c r="BH56" s="4493"/>
      <c r="BI56" s="4493"/>
      <c r="BJ56" s="4494"/>
      <c r="BK56" s="1155">
        <f>(SUM(G53:G57)+IF(AF53="",0,AF53)+IF(AP53="",0,AP53)+IF(AZ53="",0,AZ53)+IF(BJ53="",0,BJ53)+SUM(K53:K57)+SUM(N53:N57)+SUM(Q53:Q57))- SUM(V56:BA56)</f>
        <v>0</v>
      </c>
      <c r="BL56" s="1627"/>
      <c r="BM56" s="1628"/>
      <c r="BN56" s="1149"/>
      <c r="BO56" s="1150"/>
      <c r="BP56" s="1135" t="str">
        <f>IF(I56="Si",VLOOKUP($D$8,'Tablas Técnicas'!$E$4:$F$6,2,FALSE),"")</f>
        <v/>
      </c>
      <c r="BQ56" s="1136" t="str">
        <f>IF(L56="Si",VLOOKUP($D$8,'Tablas Técnicas'!$I$4:$J$6,2,FALSE),"")</f>
        <v/>
      </c>
      <c r="BR56" s="1134" t="str">
        <f>IF(O56="Si",VLOOKUP($D$8,'Tablas Técnicas'!$I$7:$J$9,2,FALSE),"")</f>
        <v/>
      </c>
      <c r="BS56" s="1151"/>
      <c r="BT56" s="4444" t="s">
        <v>5235</v>
      </c>
      <c r="BU56" s="4445"/>
      <c r="BV56" s="1128"/>
      <c r="BW56" s="1108"/>
      <c r="BX56" s="1108"/>
      <c r="BY56" s="1474"/>
      <c r="BZ56" s="1492"/>
      <c r="CA56" s="1096"/>
      <c r="DR56" s="1096"/>
      <c r="DT56" s="1514"/>
      <c r="DU56" s="1565"/>
      <c r="DV56" s="1566" t="str">
        <f>IF(E56="","",E56)&amp;IF(I56="No",""," (Mant.)")&amp;IF(L56="No",""," (Sme)")&amp;IF(O56="No",""," (SMa)")</f>
        <v/>
      </c>
      <c r="DW56" s="1567"/>
      <c r="DX56" s="1568"/>
      <c r="DY56" s="1513"/>
      <c r="DZ56" s="1096"/>
      <c r="EA56" s="1660">
        <f t="shared" si="0"/>
        <v>1</v>
      </c>
    </row>
    <row r="57" spans="1:131" x14ac:dyDescent="0.2">
      <c r="A57" s="1096"/>
      <c r="B57" s="1096"/>
      <c r="C57" s="1497"/>
      <c r="D57" s="1643" t="s">
        <v>2310</v>
      </c>
      <c r="E57" s="1160"/>
      <c r="F57" s="1176"/>
      <c r="G57" s="1146" t="str">
        <f>IF(E57=0,"",VLOOKUP(E57,'Tablas Técnicas'!$A$14:$V$771,3,FALSE))</f>
        <v/>
      </c>
      <c r="H57" s="1161" t="str">
        <f>IF($E57=0,"",VLOOKUP($E57,'Tablas Técnicas'!$A$14:$V$771,4,FALSE))</f>
        <v/>
      </c>
      <c r="I57" s="1144" t="s">
        <v>2234</v>
      </c>
      <c r="J57" s="1601" t="str">
        <f>IF(E57=0,"",VLOOKUP(E57,'Tablas Técnicas'!$A$14:$V$771,5,FALSE))</f>
        <v/>
      </c>
      <c r="K57" s="1163" t="str">
        <f>IF(I57="Si",IF(E57=0,"",VLOOKUP(E57,'Tablas Técnicas'!$A$14:$V$771,5,FALSE)),"")</f>
        <v/>
      </c>
      <c r="L57" s="1144" t="s">
        <v>2234</v>
      </c>
      <c r="M57" s="1601" t="str">
        <f>IF(E57=0,"",VLOOKUP(E57,'Tablas Técnicas'!$A$14:$V$771,6,FALSE))</f>
        <v/>
      </c>
      <c r="N57" s="1147" t="str">
        <f>IF(L57="Si",IF(E57=0,"",VLOOKUP(E57,'Tablas Técnicas'!$A$14:$V$771,6,FALSE)),"")</f>
        <v/>
      </c>
      <c r="O57" s="1144" t="s">
        <v>2234</v>
      </c>
      <c r="P57" s="1601" t="str">
        <f>IF(E57=0,"",VLOOKUP(E57,'Tablas Técnicas'!$A$14:$V$771,7,FALSE))</f>
        <v/>
      </c>
      <c r="Q57" s="1147" t="str">
        <f>IF(O57="Si",IF(E57=0,"",VLOOKUP(E57,'Tablas Técnicas'!$A$14:$V$771,7,FALSE)),"")</f>
        <v/>
      </c>
      <c r="R57" s="1162" t="str">
        <f>IF(E57=0,"",VLOOKUP(E57,'Tablas Técnicas'!$A$14:$V$771,8,FALSE))</f>
        <v/>
      </c>
      <c r="S57" s="1161" t="str">
        <f>IF(R57=$D$8,$D$8,IF(R57=2,2,IF(R57=3,3,R57)))</f>
        <v/>
      </c>
      <c r="T57" s="4482" t="s">
        <v>5232</v>
      </c>
      <c r="U57" s="4483"/>
      <c r="V57" s="2616"/>
      <c r="W57" s="4484"/>
      <c r="X57" s="4485"/>
      <c r="Y57" s="4485"/>
      <c r="Z57" s="4485"/>
      <c r="AA57" s="4485"/>
      <c r="AB57" s="4485"/>
      <c r="AC57" s="4485"/>
      <c r="AD57" s="4485"/>
      <c r="AE57" s="4485"/>
      <c r="AF57" s="4486"/>
      <c r="AG57" s="4484"/>
      <c r="AH57" s="4485"/>
      <c r="AI57" s="4485"/>
      <c r="AJ57" s="4485"/>
      <c r="AK57" s="4485"/>
      <c r="AL57" s="4485"/>
      <c r="AM57" s="4485"/>
      <c r="AN57" s="4485"/>
      <c r="AO57" s="4485"/>
      <c r="AP57" s="4486"/>
      <c r="AQ57" s="4484"/>
      <c r="AR57" s="4485"/>
      <c r="AS57" s="4485"/>
      <c r="AT57" s="4485"/>
      <c r="AU57" s="4485"/>
      <c r="AV57" s="4485"/>
      <c r="AW57" s="4485"/>
      <c r="AX57" s="4485"/>
      <c r="AY57" s="4485"/>
      <c r="AZ57" s="4486"/>
      <c r="BA57" s="4484"/>
      <c r="BB57" s="4485"/>
      <c r="BC57" s="4485"/>
      <c r="BD57" s="4485"/>
      <c r="BE57" s="4485"/>
      <c r="BF57" s="4485"/>
      <c r="BG57" s="4485"/>
      <c r="BH57" s="4485"/>
      <c r="BI57" s="4485"/>
      <c r="BJ57" s="4486"/>
      <c r="BK57" s="1171">
        <f>SUM(K53:K57)-SUM(V57:BA57)</f>
        <v>0</v>
      </c>
      <c r="BL57" s="1629"/>
      <c r="BM57" s="1630"/>
      <c r="BN57" s="1149"/>
      <c r="BO57" s="1166"/>
      <c r="BP57" s="1135" t="str">
        <f>IF(I57="Si",VLOOKUP($D$8,'Tablas Técnicas'!$E$4:$F$6,2,FALSE),"")</f>
        <v/>
      </c>
      <c r="BQ57" s="1136" t="str">
        <f>IF(L57="Si",VLOOKUP($D$8,'Tablas Técnicas'!$I$4:$J$6,2,FALSE),"")</f>
        <v/>
      </c>
      <c r="BR57" s="1134" t="str">
        <f>IF(O57="Si",VLOOKUP($D$8,'Tablas Técnicas'!$I$7:$J$9,2,FALSE),"")</f>
        <v/>
      </c>
      <c r="BS57" s="1151"/>
      <c r="BT57" s="1183">
        <f>IF(BT51="No",0,IF(D45=0,0,VLOOKUP(D45,'Tablas Técnicas'!$L$4:$N$7,2,FALSE)))+IF(BT53="Bajar coste de CM",0,IF(BT53="-5 CM",2,IF(BT53="-10 CM",4,IF(BT53="-15 CM",6,IF(BT53="-20 CM",8,0)))))+IF(BT55="Bajar coste de Ki",0,IF(BT55="-1 Ki",-1,IF(BT55="-2 Ki",-2,IF(BT55="-3 Ki",-3,IF(BT55="-4 Ki",-4,IF(BT55="-5 Ki",-5,0))))))-BU60-BU62-BU64-BU66-BU68-BU70</f>
        <v>0</v>
      </c>
      <c r="BU57" s="2612">
        <f>IF(BT51="No",0,IF(D45=0,0,VLOOKUP(D45,'Tablas Técnicas'!$L$4:$N$7,2,FALSE)))+IF(BT53="Bajar coste de CM",0,IF(BT53="-5 CM",2,IF(BT53="-10 CM",4,IF(BT53="-15 CM",6,IF(BT53="-20 CM",8,0)))))+IF(BT55="Bajar coste de Ki",0,IF(BT55="-1 Ki",-1,IF(BT55="-2 Ki",-2,IF(BT55="-3 Ki",-3,IF(BT55="-4 Ki",-4,IF(BT55="-5 Ki",-5,0))))))</f>
        <v>0</v>
      </c>
      <c r="BV57" s="1128"/>
      <c r="BW57" s="1108"/>
      <c r="BX57" s="1108"/>
      <c r="BY57" s="1474"/>
      <c r="BZ57" s="4441"/>
      <c r="CA57" s="1096"/>
      <c r="DR57" s="1096"/>
      <c r="DT57" s="1514"/>
      <c r="DU57" s="1569"/>
      <c r="DV57" s="1566" t="str">
        <f>IF(E57="","",E57)&amp;IF(I57="No",""," (Mant.)")&amp;IF(L57="No",""," (Sme)")&amp;IF(O57="No",""," (SMa)")</f>
        <v/>
      </c>
      <c r="DW57" s="1567"/>
      <c r="DX57" s="1568"/>
      <c r="DY57" s="1513"/>
      <c r="DZ57" s="1096"/>
      <c r="EA57" s="1660">
        <f t="shared" si="0"/>
        <v>1</v>
      </c>
    </row>
    <row r="58" spans="1:131" x14ac:dyDescent="0.2">
      <c r="A58" s="1096"/>
      <c r="B58" s="159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97"/>
      <c r="D58" s="1644">
        <v>3</v>
      </c>
      <c r="E58" s="1423"/>
      <c r="F58" s="1173"/>
      <c r="G58" s="1174"/>
      <c r="H58" s="2559">
        <f>IF(AND(OR(ISNUMBER(SEARCH("Afinidad Elemental ("&amp;BK53&amp;")",Principal!$AF$30)),ISNUMBER(SEARCH("Afinidad Elemental ("&amp;BL53&amp;")",Principal!$AF$30)),ISNUMBER(SEARCH("Afinidad Elemental ("&amp;BM53&amp;")",Principal!$AF$30))),SUM(H53:H57)&gt;=5),-5,0)</f>
        <v>0</v>
      </c>
      <c r="I58" s="1603"/>
      <c r="J58" s="1606"/>
      <c r="K58" s="1174"/>
      <c r="L58" s="1603"/>
      <c r="M58" s="1606"/>
      <c r="N58" s="1174"/>
      <c r="O58" s="1603"/>
      <c r="P58" s="1606"/>
      <c r="Q58" s="1174"/>
      <c r="R58" s="1175"/>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c r="BD58" s="1174"/>
      <c r="BE58" s="1174"/>
      <c r="BF58" s="1174"/>
      <c r="BG58" s="1174"/>
      <c r="BH58" s="1174"/>
      <c r="BI58" s="1174"/>
      <c r="BJ58" s="1174"/>
      <c r="BK58" s="1174"/>
      <c r="BL58" s="1174"/>
      <c r="BM58" s="1184"/>
      <c r="BN58" s="1185">
        <f>SUM(K58:K61)</f>
        <v>0</v>
      </c>
      <c r="BO58" s="1128" t="str">
        <f>IF(E58=0,"",(AF58+AP58+AZ58+BJ58))</f>
        <v/>
      </c>
      <c r="BP58" s="1186" t="str">
        <f>IF(I58="Si",VLOOKUP($D$8,'Tablas Técnicas'!$E$4:$F$6,2,FALSE),"")</f>
        <v/>
      </c>
      <c r="BQ58" s="1187" t="str">
        <f>IF(L58="Si",VLOOKUP($D$8,'Tablas Técnicas'!$I$4:$J$6,2,FALSE),"")</f>
        <v/>
      </c>
      <c r="BR58" s="1185" t="str">
        <f>IF(O58="Si",VLOOKUP($D$8,'Tablas Técnicas'!$I$7:$J$9,2,FALSE),"")</f>
        <v/>
      </c>
      <c r="BS58" s="1151"/>
      <c r="BU58" s="2608"/>
      <c r="BV58" s="1128"/>
      <c r="BW58" s="1108"/>
      <c r="BX58" s="1108"/>
      <c r="BY58" s="1474"/>
      <c r="BZ58" s="4441"/>
      <c r="CA58" s="1096"/>
      <c r="DR58" s="1096"/>
      <c r="DT58" s="1514"/>
      <c r="DU58" s="1569"/>
      <c r="DV58" s="1570"/>
      <c r="DW58" s="1567"/>
      <c r="DX58" s="1568"/>
      <c r="DY58" s="1513"/>
      <c r="DZ58" s="1096"/>
      <c r="EA58" s="1660">
        <f t="shared" si="0"/>
        <v>1</v>
      </c>
    </row>
    <row r="59" spans="1:131" x14ac:dyDescent="0.2">
      <c r="A59" s="1096"/>
      <c r="B59" s="1096"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97"/>
      <c r="D59" s="1643" t="s">
        <v>2310</v>
      </c>
      <c r="E59" s="1140"/>
      <c r="F59" s="1176"/>
      <c r="G59" s="1146" t="str">
        <f>IF(E59=0,"",VLOOKUP(E59,'Tablas Técnicas'!$A$14:$V$771,3,FALSE))</f>
        <v/>
      </c>
      <c r="H59" s="1188" t="str">
        <f>IF($E59=0,"",VLOOKUP($E59,'Tablas Técnicas'!$A$14:$V$771,4,FALSE))</f>
        <v/>
      </c>
      <c r="I59" s="1144" t="s">
        <v>2234</v>
      </c>
      <c r="J59" s="1607" t="str">
        <f>IF(E59=0,"",VLOOKUP(E59,'Tablas Técnicas'!$A$14:$V$771,5,FALSE))</f>
        <v/>
      </c>
      <c r="K59" s="1190" t="str">
        <f>IF(I59="Si",IF(E59=0,"",VLOOKUP(E59,'Tablas Técnicas'!$A$14:$V$771,5,FALSE)),"")</f>
        <v/>
      </c>
      <c r="L59" s="1144" t="s">
        <v>2234</v>
      </c>
      <c r="M59" s="1607" t="str">
        <f>IF(E59=0,"",VLOOKUP(E59,'Tablas Técnicas'!$A$14:$V$771,6,FALSE))</f>
        <v/>
      </c>
      <c r="N59" s="1147" t="str">
        <f>IF(L59="Si",IF(E59=0,"",VLOOKUP(E59,'Tablas Técnicas'!$A$14:$V$771,6,FALSE)),"")</f>
        <v/>
      </c>
      <c r="O59" s="1144" t="s">
        <v>2234</v>
      </c>
      <c r="P59" s="1607" t="str">
        <f>IF(E59=0,"",VLOOKUP(E59,'Tablas Técnicas'!$A$14:$V$771,7,FALSE))</f>
        <v/>
      </c>
      <c r="Q59" s="1147" t="str">
        <f>IF(O59="Si",IF(E59=0,"",VLOOKUP(E59,'Tablas Técnicas'!$A$14:$V$771,7,FALSE)),"")</f>
        <v/>
      </c>
      <c r="R59" s="1189" t="str">
        <f>IF(E59=0,"",VLOOKUP(E59,'Tablas Técnicas'!$A$14:$V$771,8,FALSE))</f>
        <v/>
      </c>
      <c r="S59" s="1161" t="str">
        <f>IF(R59=$D$8,$D$8,IF(R59=2,2,IF(R59=3,3,R59)))</f>
        <v/>
      </c>
      <c r="T59" s="1190" t="str">
        <f>IF(E59=0,"",VLOOKUP(E59,'Tablas Técnicas'!$A$14:$V$771,9,FALSE))</f>
        <v/>
      </c>
      <c r="U59" s="1190" t="str">
        <f>IF(E59=0,"",VLOOKUP(E59,'Tablas Técnicas'!$A$14:$V$771,10,FALSE))</f>
        <v/>
      </c>
      <c r="V59" s="1191" t="str">
        <f>IF(E59=0,"",VLOOKUP(E59,'Tablas Técnicas'!$A$14:$V$771,11,FALSE))</f>
        <v/>
      </c>
      <c r="W59" s="1144"/>
      <c r="X59" s="1145" t="e">
        <f>VLOOKUP(E59,'Tablas Técnicas'!$A$14:$V$771,12,FALSE)</f>
        <v>#N/A</v>
      </c>
      <c r="Y59" s="1145" t="e">
        <f>IF(W59=X59,VLOOKUP(E59,'Tablas Técnicas'!$A$14:$V$771,13,FALSE),0)</f>
        <v>#N/A</v>
      </c>
      <c r="Z59" s="1145" t="e">
        <f>VLOOKUP(E59,'Tablas Técnicas'!$A$14:$V$771,14,FALSE)</f>
        <v>#N/A</v>
      </c>
      <c r="AA59" s="1145" t="e">
        <f>IF(W59=Z59,VLOOKUP(E59,'Tablas Técnicas'!$A$14:$V$616,15,FALSE),0)</f>
        <v>#N/A</v>
      </c>
      <c r="AB59" s="1145" t="e">
        <f>VLOOKUP(E59,'Tablas Técnicas'!$A$14:$V$771,16,FALSE)</f>
        <v>#N/A</v>
      </c>
      <c r="AC59" s="1145" t="e">
        <f>IF(W59=AB59,VLOOKUP(E59,'Tablas Técnicas'!$A$14:$V$616,17,FALSE),0)</f>
        <v>#N/A</v>
      </c>
      <c r="AD59" s="1145" t="e">
        <f>VLOOKUP(E59,'Tablas Técnicas'!$A$14:$V$771,18,FALSE)</f>
        <v>#N/A</v>
      </c>
      <c r="AE59" s="1145" t="e">
        <f>IF(W59=AD59,VLOOKUP(E59,'Tablas Técnicas'!$A$14:$V$771,19,FALSE),0)</f>
        <v>#N/A</v>
      </c>
      <c r="AF59" s="1163" t="str">
        <f>IF(E59=0,"",(Y59+AA59+AC59+AE59))</f>
        <v/>
      </c>
      <c r="AG59" s="1144"/>
      <c r="AH59" s="1162" t="e">
        <f>VLOOKUP(E59,'Tablas Técnicas'!$A$14:$V$771,12,FALSE)</f>
        <v>#N/A</v>
      </c>
      <c r="AI59" s="1162" t="e">
        <f>IF(AG59=AH59,VLOOKUP(E59,'Tablas Técnicas'!$A$14:$V$771,13,FALSE),0)</f>
        <v>#N/A</v>
      </c>
      <c r="AJ59" s="1162" t="e">
        <f>VLOOKUP(E59,'Tablas Técnicas'!$A$14:$V$771,14,FALSE)</f>
        <v>#N/A</v>
      </c>
      <c r="AK59" s="1162" t="e">
        <f>IF(AG59=AJ59,VLOOKUP(E59,'Tablas Técnicas'!$A$14:$V$771,15,FALSE),0)</f>
        <v>#N/A</v>
      </c>
      <c r="AL59" s="1162" t="e">
        <f>VLOOKUP(E59,'Tablas Técnicas'!$A$14:$V$771,16,FALSE)</f>
        <v>#N/A</v>
      </c>
      <c r="AM59" s="1162" t="e">
        <f>IF(AG59=AL59,VLOOKUP(E59,'Tablas Técnicas'!$A$14:$V$771,17,FALSE),0)</f>
        <v>#N/A</v>
      </c>
      <c r="AN59" s="1162" t="e">
        <f>VLOOKUP(E59,'Tablas Técnicas'!$A$14:$V$771,18,FALSE)</f>
        <v>#N/A</v>
      </c>
      <c r="AO59" s="1162" t="e">
        <f>IF(AG59=AN59,VLOOKUP(E59,'Tablas Técnicas'!$A$14:$V$771,19,FALSE),0)</f>
        <v>#N/A</v>
      </c>
      <c r="AP59" s="2620" t="str">
        <f>IF(E59=0,"",(AI59+AK59+AM59+AO59))</f>
        <v/>
      </c>
      <c r="AQ59" s="1144"/>
      <c r="AR59" s="1162" t="e">
        <f>VLOOKUP(E59,'Tablas Técnicas'!$A$14:$V$771,12,FALSE)</f>
        <v>#N/A</v>
      </c>
      <c r="AS59" s="1162" t="e">
        <f>IF(AQ59=AR59,VLOOKUP(E59,'Tablas Técnicas'!$A$14:$V$771,13,FALSE),0)</f>
        <v>#N/A</v>
      </c>
      <c r="AT59" s="1162" t="e">
        <f>VLOOKUP(E59,'Tablas Técnicas'!$A$14:$V$771,14,FALSE)</f>
        <v>#N/A</v>
      </c>
      <c r="AU59" s="1162" t="e">
        <f>IF(AQ59=AT59,VLOOKUP(E59,'Tablas Técnicas'!$A$14:$V$771,15,FALSE),0)</f>
        <v>#N/A</v>
      </c>
      <c r="AV59" s="1162" t="e">
        <f>VLOOKUP(E59,'Tablas Técnicas'!$A$14:$V$771,16,FALSE)</f>
        <v>#N/A</v>
      </c>
      <c r="AW59" s="1162" t="e">
        <f>IF(AQ59=AV59,VLOOKUP(E59,'Tablas Técnicas'!$A$14:$V$771,17,FALSE),0)</f>
        <v>#N/A</v>
      </c>
      <c r="AX59" s="1162" t="e">
        <f>VLOOKUP(E59,'Tablas Técnicas'!$A$14:$V$771,18,FALSE)</f>
        <v>#N/A</v>
      </c>
      <c r="AY59" s="1162" t="e">
        <f>IF(AQ59=AX59,VLOOKUP(E59,'Tablas Técnicas'!$A$14:$V$771,19,FALSE),0)</f>
        <v>#N/A</v>
      </c>
      <c r="AZ59" s="1163" t="str">
        <f>IF(E59=0,"",(AS59+AU59+AW59+AY59))</f>
        <v/>
      </c>
      <c r="BA59" s="1144"/>
      <c r="BB59" s="1162" t="e">
        <f>VLOOKUP(E59,'Tablas Técnicas'!$A$14:$V$771,12,FALSE)</f>
        <v>#N/A</v>
      </c>
      <c r="BC59" s="1162" t="e">
        <f>IF(BA59=BB59,VLOOKUP(E59,'Tablas Técnicas'!$A$14:$V$771,13,FALSE),0)</f>
        <v>#N/A</v>
      </c>
      <c r="BD59" s="1162" t="e">
        <f>VLOOKUP(E59,'Tablas Técnicas'!$A$14:$V$771,14,FALSE)</f>
        <v>#N/A</v>
      </c>
      <c r="BE59" s="1162" t="e">
        <f>IF(BA59=BD59,VLOOKUP(E59,'Tablas Técnicas'!$A$14:$V$771,15,FALSE),0)</f>
        <v>#N/A</v>
      </c>
      <c r="BF59" s="1162" t="e">
        <f>VLOOKUP(E59,'Tablas Técnicas'!$A$14:$V$771,16,FALSE)</f>
        <v>#N/A</v>
      </c>
      <c r="BG59" s="1162" t="e">
        <f>IF(BA59=BF59,VLOOKUP(E59,'Tablas Técnicas'!$A$14:$V$771,17,FALSE),0)</f>
        <v>#N/A</v>
      </c>
      <c r="BH59" s="1162" t="e">
        <f>VLOOKUP(E59,'Tablas Técnicas'!$A$14:$V$771,18,FALSE)</f>
        <v>#N/A</v>
      </c>
      <c r="BI59" s="1162" t="e">
        <f>IF(BA59=BH59,VLOOKUP(E59,'Tablas Técnicas'!$A$14:$V$771,19,FALSE),0)</f>
        <v>#N/A</v>
      </c>
      <c r="BJ59" s="2620" t="str">
        <f>IF(E59=0,"",(BC59+BE59+BG59+BI59))</f>
        <v/>
      </c>
      <c r="BK59" s="1190" t="str">
        <f>IF(E59=0,"",VLOOKUP(E59,'Tablas Técnicas'!$A$14:$V$771,20,FALSE))</f>
        <v/>
      </c>
      <c r="BL59" s="1177" t="str">
        <f>IF(E59=0,"",VLOOKUP(E59,'Tablas Técnicas'!$A$14:$V$771,21,FALSE))</f>
        <v/>
      </c>
      <c r="BM59" s="1148" t="str">
        <f>IF(E59=0,"",VLOOKUP(E59,'Tablas Técnicas'!$A$14:$V$771,22,FALSE))</f>
        <v/>
      </c>
      <c r="BN59" s="1149"/>
      <c r="BO59" s="1150"/>
      <c r="BP59" s="1135" t="str">
        <f>IF(I59="Si",VLOOKUP($D$8,'Tablas Técnicas'!$E$4:$F$6,2,FALSE),"")</f>
        <v/>
      </c>
      <c r="BQ59" s="1136" t="str">
        <f>IF(L59="Si",VLOOKUP($D$8,'Tablas Técnicas'!$I$4:$J$6,2,FALSE),"")</f>
        <v/>
      </c>
      <c r="BR59" s="1134" t="str">
        <f>IF(O59="Si",VLOOKUP($D$8,'Tablas Técnicas'!$I$7:$J$9,2,FALSE),"")</f>
        <v/>
      </c>
      <c r="BS59" s="1151"/>
      <c r="BT59" s="2609" t="s">
        <v>2226</v>
      </c>
      <c r="BU59" s="2610" t="s">
        <v>5236</v>
      </c>
      <c r="BV59" s="1128"/>
      <c r="BW59" s="2610" t="s">
        <v>5237</v>
      </c>
      <c r="BX59" s="2609" t="s">
        <v>5238</v>
      </c>
      <c r="BY59" s="1488" t="s">
        <v>5238</v>
      </c>
      <c r="BZ59" s="4441"/>
      <c r="CA59" s="1096"/>
      <c r="DR59" s="1096"/>
      <c r="DT59" s="1514"/>
      <c r="DU59" s="1569"/>
      <c r="DV59" s="1566" t="str">
        <f>IF(E59="","",", "&amp;E59)&amp;IF(I59="No",""," (Mant.)")&amp;IF(L59="No",""," (Sme)")&amp;IF(O59="No",""," (SMa)")</f>
        <v/>
      </c>
      <c r="DW59" s="1567"/>
      <c r="DX59" s="1568"/>
      <c r="DY59" s="1513"/>
      <c r="DZ59" s="1096"/>
      <c r="EA59" s="1660">
        <f t="shared" si="0"/>
        <v>1</v>
      </c>
    </row>
    <row r="60" spans="1:131" x14ac:dyDescent="0.2">
      <c r="A60" s="1096"/>
      <c r="B60" s="1096"/>
      <c r="C60" s="1497"/>
      <c r="D60" s="1642" t="s">
        <v>2310</v>
      </c>
      <c r="E60" s="1152"/>
      <c r="F60" s="1182"/>
      <c r="G60" s="1627" t="str">
        <f>IF(E60=0,"",VLOOKUP(E60,'Tablas Técnicas'!$A$14:$V$771,3,FALSE))</f>
        <v/>
      </c>
      <c r="H60" s="1155" t="str">
        <f>IF($E60=0,"",VLOOKUP($E60,'Tablas Técnicas'!$A$14:$V$771,4,FALSE))</f>
        <v/>
      </c>
      <c r="I60" s="1156" t="s">
        <v>2234</v>
      </c>
      <c r="J60" s="1605" t="str">
        <f>IF(E60=0,"",VLOOKUP(E60,'Tablas Técnicas'!$A$14:$V$771,5,FALSE))</f>
        <v/>
      </c>
      <c r="K60" s="1158" t="str">
        <f>IF(I60="Si",IF(E60=0,"",VLOOKUP(E60,'Tablas Técnicas'!$A$14:$V$771,5,FALSE)),"")</f>
        <v/>
      </c>
      <c r="L60" s="1156" t="s">
        <v>2234</v>
      </c>
      <c r="M60" s="1605" t="str">
        <f>IF(E60=0,"",VLOOKUP(E60,'Tablas Técnicas'!$A$14:$V$771,6,FALSE))</f>
        <v/>
      </c>
      <c r="N60" s="1159" t="str">
        <f>IF(L60="Si",IF(E60=0,"",VLOOKUP(E60,'Tablas Técnicas'!$A$14:$V$771,6,FALSE)),"")</f>
        <v/>
      </c>
      <c r="O60" s="1156" t="s">
        <v>2234</v>
      </c>
      <c r="P60" s="1605" t="str">
        <f>IF(E60=0,"",VLOOKUP(E60,'Tablas Técnicas'!$A$14:$V$771,7,FALSE))</f>
        <v/>
      </c>
      <c r="Q60" s="1159" t="str">
        <f>IF(O60="Si",IF(E60=0,"",VLOOKUP(E60,'Tablas Técnicas'!$A$14:$V$771,7,FALSE)),"")</f>
        <v/>
      </c>
      <c r="R60" s="1157" t="str">
        <f>IF(E60=0,"",VLOOKUP(E60,'Tablas Técnicas'!$A$14:$V$771,8,FALSE))</f>
        <v/>
      </c>
      <c r="S60" s="1155" t="str">
        <f>IF(R60=$D$8,$D$8,IF(R60=2,2,IF(R60=3,3,R60)))</f>
        <v/>
      </c>
      <c r="T60" s="4475" t="s">
        <v>5228</v>
      </c>
      <c r="U60" s="4476"/>
      <c r="V60" s="4476"/>
      <c r="W60" s="4476"/>
      <c r="X60" s="4476"/>
      <c r="Y60" s="4476"/>
      <c r="Z60" s="4476"/>
      <c r="AA60" s="4476"/>
      <c r="AB60" s="4476"/>
      <c r="AC60" s="4476"/>
      <c r="AD60" s="4476"/>
      <c r="AE60" s="4476"/>
      <c r="AF60" s="4476"/>
      <c r="AG60" s="4476"/>
      <c r="AH60" s="4476"/>
      <c r="AI60" s="4476"/>
      <c r="AJ60" s="4476"/>
      <c r="AK60" s="4476"/>
      <c r="AL60" s="4476"/>
      <c r="AM60" s="4476"/>
      <c r="AN60" s="4476"/>
      <c r="AO60" s="4476"/>
      <c r="AP60" s="4476"/>
      <c r="AQ60" s="4476"/>
      <c r="AR60" s="4476"/>
      <c r="AS60" s="4476"/>
      <c r="AT60" s="4476"/>
      <c r="AU60" s="4476"/>
      <c r="AV60" s="4476"/>
      <c r="AW60" s="4476"/>
      <c r="AX60" s="4476"/>
      <c r="AY60" s="4476"/>
      <c r="AZ60" s="4476"/>
      <c r="BA60" s="4476"/>
      <c r="BB60" s="4476"/>
      <c r="BC60" s="4476"/>
      <c r="BD60" s="4476"/>
      <c r="BE60" s="4476"/>
      <c r="BF60" s="4476"/>
      <c r="BG60" s="4476"/>
      <c r="BH60" s="4476"/>
      <c r="BI60" s="4476"/>
      <c r="BJ60" s="4476"/>
      <c r="BK60" s="4477"/>
      <c r="BL60" s="1627"/>
      <c r="BM60" s="1628"/>
      <c r="BN60" s="1149"/>
      <c r="BO60" s="1150"/>
      <c r="BP60" s="1135" t="str">
        <f>IF(I60="Si",VLOOKUP($D$8,'Tablas Técnicas'!$E$4:$F$6,2,FALSE),"")</f>
        <v/>
      </c>
      <c r="BQ60" s="1136" t="str">
        <f>IF(L60="Si",VLOOKUP($D$8,'Tablas Técnicas'!$I$4:$J$6,2,FALSE),"")</f>
        <v/>
      </c>
      <c r="BR60" s="1134" t="str">
        <f>IF(O60="Si",VLOOKUP($D$8,'Tablas Técnicas'!$I$7:$J$9,2,FALSE),"")</f>
        <v/>
      </c>
      <c r="BS60" s="1151"/>
      <c r="BT60" s="261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92"/>
      <c r="BV60" s="1128"/>
      <c r="BW60" s="1183" t="str">
        <f>IF(SUM(BT60:BU60)=0,"N/A",SUM(BT60:BU60))</f>
        <v>N/A</v>
      </c>
      <c r="BX60" s="261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83" t="str">
        <f>IF(BX60=0,"N/A",BX60)</f>
        <v>N/A</v>
      </c>
      <c r="BZ60" s="2351"/>
      <c r="CA60" s="1096"/>
      <c r="DR60" s="1096"/>
      <c r="DT60" s="1514"/>
      <c r="DU60" s="1569"/>
      <c r="DV60" s="1566" t="str">
        <f>IF(E60="",""," "&amp;E60)&amp;IF(I60="No",""," (Mant.)")&amp;IF(L60="No",""," (Sme)")&amp;IF(O60="No",""," (SMa)")</f>
        <v/>
      </c>
      <c r="DW60" s="1567"/>
      <c r="DX60" s="1568"/>
      <c r="DY60" s="1513"/>
      <c r="DZ60" s="1096"/>
      <c r="EA60" s="1660">
        <f t="shared" si="0"/>
        <v>1</v>
      </c>
    </row>
    <row r="61" spans="1:131" x14ac:dyDescent="0.2">
      <c r="A61" s="1096"/>
      <c r="B61" s="1096"/>
      <c r="C61" s="1497"/>
      <c r="D61" s="1643" t="s">
        <v>2310</v>
      </c>
      <c r="E61" s="1160"/>
      <c r="F61" s="1176"/>
      <c r="G61" s="1146" t="str">
        <f>IF(E61=0,"",VLOOKUP(E61,'Tablas Técnicas'!$A$14:$V$771,3,FALSE))</f>
        <v/>
      </c>
      <c r="H61" s="2619" t="str">
        <f>IF($E61=0,"",VLOOKUP($E61,'Tablas Técnicas'!$A$14:$V$771,4,FALSE))</f>
        <v/>
      </c>
      <c r="I61" s="1144" t="s">
        <v>2234</v>
      </c>
      <c r="J61" s="1601" t="str">
        <f>IF(E61=0,"",VLOOKUP(E61,'Tablas Técnicas'!$A$14:$V$771,5,FALSE))</f>
        <v/>
      </c>
      <c r="K61" s="1163" t="str">
        <f>IF(I61="Si",IF(E61=0,"",VLOOKUP(E61,'Tablas Técnicas'!$A$14:$V$771,5,FALSE)),"")</f>
        <v/>
      </c>
      <c r="L61" s="1144" t="s">
        <v>2234</v>
      </c>
      <c r="M61" s="1601" t="str">
        <f>IF(E61=0,"",VLOOKUP(E61,'Tablas Técnicas'!$A$14:$V$771,6,FALSE))</f>
        <v/>
      </c>
      <c r="N61" s="1147" t="str">
        <f>IF(L61="Si",IF(E61=0,"",VLOOKUP(E61,'Tablas Técnicas'!$A$14:$V$771,6,FALSE)),"")</f>
        <v/>
      </c>
      <c r="O61" s="1144" t="s">
        <v>2234</v>
      </c>
      <c r="P61" s="1601" t="str">
        <f>IF(E61=0,"",VLOOKUP(E61,'Tablas Técnicas'!$A$14:$V$771,7,FALSE))</f>
        <v/>
      </c>
      <c r="Q61" s="1147" t="str">
        <f>IF(O61="Si",IF(E61=0,"",VLOOKUP(E61,'Tablas Técnicas'!$A$14:$V$771,7,FALSE)),"")</f>
        <v/>
      </c>
      <c r="R61" s="1162" t="str">
        <f>IF(E61=0,"",VLOOKUP(E61,'Tablas Técnicas'!$A$14:$V$771,8,FALSE))</f>
        <v/>
      </c>
      <c r="S61" s="2619" t="str">
        <f>IF(R61=$D$8,$D$8,IF(R61=2,2,IF(R61=3,3,R61)))</f>
        <v/>
      </c>
      <c r="T61" s="4487"/>
      <c r="U61" s="4488"/>
      <c r="V61" s="2617" t="str">
        <f>IF(OR(V59=0,V59=""),"N/A",V59)</f>
        <v>N/A</v>
      </c>
      <c r="W61" s="4487" t="str">
        <f xml:space="preserve"> IF(OR(AF59=0,AF59=""),"N/A",W59)</f>
        <v>N/A</v>
      </c>
      <c r="X61" s="4489"/>
      <c r="Y61" s="4489"/>
      <c r="Z61" s="4489"/>
      <c r="AA61" s="4489"/>
      <c r="AB61" s="4489"/>
      <c r="AC61" s="4489"/>
      <c r="AD61" s="4489"/>
      <c r="AE61" s="4489"/>
      <c r="AF61" s="4488"/>
      <c r="AG61" s="4487" t="str">
        <f xml:space="preserve"> IF(OR(AP59="",AP59=0),"N/A",AG59)</f>
        <v>N/A</v>
      </c>
      <c r="AH61" s="4489"/>
      <c r="AI61" s="4489"/>
      <c r="AJ61" s="4489"/>
      <c r="AK61" s="4489"/>
      <c r="AL61" s="4489"/>
      <c r="AM61" s="4489"/>
      <c r="AN61" s="4489"/>
      <c r="AO61" s="4489"/>
      <c r="AP61" s="4488"/>
      <c r="AQ61" s="4487" t="str">
        <f xml:space="preserve"> IF(OR(AZ59="",AZ59=0),"N/A",AQ59)</f>
        <v>N/A</v>
      </c>
      <c r="AR61" s="4489"/>
      <c r="AS61" s="4489"/>
      <c r="AT61" s="4489"/>
      <c r="AU61" s="4489"/>
      <c r="AV61" s="4489"/>
      <c r="AW61" s="4489"/>
      <c r="AX61" s="4489"/>
      <c r="AY61" s="4489"/>
      <c r="AZ61" s="4488"/>
      <c r="BA61" s="4487" t="str">
        <f xml:space="preserve"> IF(OR(BJ59="",BJ59=0),"N/A",BA59)</f>
        <v>N/A</v>
      </c>
      <c r="BB61" s="4489"/>
      <c r="BC61" s="4489"/>
      <c r="BD61" s="4489"/>
      <c r="BE61" s="4489"/>
      <c r="BF61" s="4489"/>
      <c r="BG61" s="4489"/>
      <c r="BH61" s="4489"/>
      <c r="BI61" s="4489"/>
      <c r="BJ61" s="4488"/>
      <c r="BK61" s="1164" t="s">
        <v>5229</v>
      </c>
      <c r="BL61" s="1146"/>
      <c r="BM61" s="1181"/>
      <c r="BN61" s="1165"/>
      <c r="BO61" s="1166"/>
      <c r="BP61" s="1167" t="str">
        <f>IF(I61="Si",VLOOKUP($D$8,'Tablas Técnicas'!$E$4:$F$6,2,FALSE),"")</f>
        <v/>
      </c>
      <c r="BQ61" s="1137" t="str">
        <f>IF(L61="Si",VLOOKUP($D$8,'Tablas Técnicas'!$I$4:$J$6,2,FALSE),"")</f>
        <v/>
      </c>
      <c r="BR61" s="1168" t="str">
        <f>IF(O61="Si",VLOOKUP($D$8,'Tablas Técnicas'!$I$7:$J$9,2,FALSE),"")</f>
        <v/>
      </c>
      <c r="BS61" s="1151"/>
      <c r="BT61" s="2609" t="s">
        <v>2354</v>
      </c>
      <c r="BU61" s="2610" t="s">
        <v>5236</v>
      </c>
      <c r="BV61" s="1128"/>
      <c r="BW61" s="2610" t="s">
        <v>5237</v>
      </c>
      <c r="BX61" s="2609" t="s">
        <v>5238</v>
      </c>
      <c r="BY61" s="1489" t="s">
        <v>5238</v>
      </c>
      <c r="BZ61" s="2351"/>
      <c r="CA61" s="1096"/>
      <c r="DR61" s="1096"/>
      <c r="DT61" s="1514"/>
      <c r="DU61" s="1569"/>
      <c r="DV61" s="1566" t="str">
        <f>IF(E61="","",E61)&amp;IF(I61="No",""," (Mant.)")&amp;IF(L61="No",""," (Sme)")&amp;IF(O61="No",""," (SMa)")</f>
        <v/>
      </c>
      <c r="DW61" s="1566"/>
      <c r="DX61" s="1568"/>
      <c r="DY61" s="1513"/>
      <c r="DZ61" s="1096"/>
      <c r="EA61" s="1660">
        <f t="shared" si="0"/>
        <v>1</v>
      </c>
    </row>
    <row r="62" spans="1:131" s="1170" customFormat="1" x14ac:dyDescent="0.2">
      <c r="A62" s="1096"/>
      <c r="B62" s="1096"/>
      <c r="C62" s="1497"/>
      <c r="D62" s="1642" t="s">
        <v>2310</v>
      </c>
      <c r="E62" s="1152"/>
      <c r="F62" s="1182"/>
      <c r="G62" s="1627" t="str">
        <f>IF(E62=0,"",VLOOKUP(E62,'Tablas Técnicas'!$A$14:$V$771,3,FALSE))</f>
        <v/>
      </c>
      <c r="H62" s="1155" t="str">
        <f>IF($E62=0,"",VLOOKUP($E62,'Tablas Técnicas'!$A$14:$V$771,4,FALSE))</f>
        <v/>
      </c>
      <c r="I62" s="1156" t="s">
        <v>2234</v>
      </c>
      <c r="J62" s="1605" t="str">
        <f>IF(E62=0,"",VLOOKUP(E62,'Tablas Técnicas'!$A$14:$V$771,5,FALSE))</f>
        <v/>
      </c>
      <c r="K62" s="1158" t="str">
        <f>IF(I62="Si",IF(E62=0,"",VLOOKUP(E62,'Tablas Técnicas'!$A$14:$V$771,5,FALSE)),"")</f>
        <v/>
      </c>
      <c r="L62" s="1156" t="s">
        <v>2234</v>
      </c>
      <c r="M62" s="1605" t="str">
        <f>IF(E62=0,"",VLOOKUP(E62,'Tablas Técnicas'!$A$14:$V$771,6,FALSE))</f>
        <v/>
      </c>
      <c r="N62" s="1159" t="str">
        <f>IF(L62="Si",IF(E62=0,"",VLOOKUP(E62,'Tablas Técnicas'!$A$14:$V$771,6,FALSE)),"")</f>
        <v/>
      </c>
      <c r="O62" s="1156" t="s">
        <v>2234</v>
      </c>
      <c r="P62" s="1605" t="str">
        <f>IF(E62=0,"",VLOOKUP(E62,'Tablas Técnicas'!$A$14:$V$771,7,FALSE))</f>
        <v/>
      </c>
      <c r="Q62" s="1159" t="str">
        <f>IF(O62="Si",IF(E62=0,"",VLOOKUP(E62,'Tablas Técnicas'!$A$14:$V$771,7,FALSE)),"")</f>
        <v/>
      </c>
      <c r="R62" s="1157" t="str">
        <f>IF(E62=0,"",VLOOKUP(E62,'Tablas Técnicas'!$A$14:$V$771,8,FALSE))</f>
        <v/>
      </c>
      <c r="S62" s="1155" t="str">
        <f>IF(R62=$D$8,$D$8,IF(R62=2,2,IF(R62=3,3,R62)))</f>
        <v/>
      </c>
      <c r="T62" s="4490" t="s">
        <v>5230</v>
      </c>
      <c r="U62" s="4491"/>
      <c r="V62" s="2618"/>
      <c r="W62" s="4492"/>
      <c r="X62" s="4493"/>
      <c r="Y62" s="4493"/>
      <c r="Z62" s="4493"/>
      <c r="AA62" s="4493"/>
      <c r="AB62" s="4493"/>
      <c r="AC62" s="4493"/>
      <c r="AD62" s="4493"/>
      <c r="AE62" s="4493"/>
      <c r="AF62" s="4494"/>
      <c r="AG62" s="4492"/>
      <c r="AH62" s="4493"/>
      <c r="AI62" s="4493"/>
      <c r="AJ62" s="4493"/>
      <c r="AK62" s="4493"/>
      <c r="AL62" s="4493"/>
      <c r="AM62" s="4493"/>
      <c r="AN62" s="4493"/>
      <c r="AO62" s="4493"/>
      <c r="AP62" s="4494"/>
      <c r="AQ62" s="4492"/>
      <c r="AR62" s="4493"/>
      <c r="AS62" s="4493"/>
      <c r="AT62" s="4493"/>
      <c r="AU62" s="4493"/>
      <c r="AV62" s="4493"/>
      <c r="AW62" s="4493"/>
      <c r="AX62" s="4493"/>
      <c r="AY62" s="4493"/>
      <c r="AZ62" s="4494"/>
      <c r="BA62" s="4492"/>
      <c r="BB62" s="4493"/>
      <c r="BC62" s="4493"/>
      <c r="BD62" s="4493"/>
      <c r="BE62" s="4493"/>
      <c r="BF62" s="4493"/>
      <c r="BG62" s="4493"/>
      <c r="BH62" s="4493"/>
      <c r="BI62" s="4493"/>
      <c r="BJ62" s="4494"/>
      <c r="BK62" s="1155">
        <f>(SUM(G59:G63)+IF(AF59="",0,AF59)+IF(AP59="",0,AP59)+IF(AZ59="",0,AZ59)+IF(BJ59="",0,BJ59)+SUM(K59:K63)+SUM(N59:N63)+SUM(Q59:Q63))- SUM(V62:BA62)</f>
        <v>0</v>
      </c>
      <c r="BL62" s="1627"/>
      <c r="BM62" s="1628"/>
      <c r="BN62" s="1149"/>
      <c r="BO62" s="1150"/>
      <c r="BP62" s="1135" t="str">
        <f>IF(I62="Si",VLOOKUP($D$8,'Tablas Técnicas'!$E$4:$F$6,2,FALSE),"")</f>
        <v/>
      </c>
      <c r="BQ62" s="1136" t="str">
        <f>IF(L62="Si",VLOOKUP($D$8,'Tablas Técnicas'!$I$4:$J$6,2,FALSE),"")</f>
        <v/>
      </c>
      <c r="BR62" s="1134" t="str">
        <f>IF(O62="Si",VLOOKUP($D$8,'Tablas Técnicas'!$I$7:$J$9,2,FALSE),"")</f>
        <v/>
      </c>
      <c r="BS62" s="1151"/>
      <c r="BT62" s="261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92"/>
      <c r="BV62" s="1128"/>
      <c r="BW62" s="1183" t="str">
        <f>IF(SUM(BT62:BU62)=0,"N/A",SUM(BT62:BU62))</f>
        <v>N/A</v>
      </c>
      <c r="BX62" s="261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83" t="str">
        <f>IF(BX62=0,"N/A",BX62)</f>
        <v>N/A</v>
      </c>
      <c r="BZ62" s="2351"/>
      <c r="CA62" s="1100"/>
      <c r="DR62" s="1100"/>
      <c r="DS62" s="1509"/>
      <c r="DT62" s="1515"/>
      <c r="DU62" s="1565"/>
      <c r="DV62" s="1566" t="str">
        <f>IF(E62="","",E62)&amp;IF(I62="No",""," (Mant.)")&amp;IF(L62="No",""," (Sme)")&amp;IF(O62="No",""," (SMa)")</f>
        <v/>
      </c>
      <c r="DW62" s="1566"/>
      <c r="DX62" s="1571"/>
      <c r="DY62" s="1516"/>
      <c r="DZ62" s="1100"/>
      <c r="EA62" s="1660">
        <f t="shared" si="0"/>
        <v>1</v>
      </c>
    </row>
    <row r="63" spans="1:131" x14ac:dyDescent="0.2">
      <c r="A63" s="1096"/>
      <c r="B63" s="1096"/>
      <c r="C63" s="1497"/>
      <c r="D63" s="1643" t="s">
        <v>2310</v>
      </c>
      <c r="E63" s="1160"/>
      <c r="F63" s="1176"/>
      <c r="G63" s="1146" t="str">
        <f>IF(E63=0,"",VLOOKUP(E63,'Tablas Técnicas'!$A$14:$V$771,3,FALSE))</f>
        <v/>
      </c>
      <c r="H63" s="1171" t="str">
        <f>IF($E63=0,"",VLOOKUP($E63,'Tablas Técnicas'!$A$14:$V$771,4,FALSE))</f>
        <v/>
      </c>
      <c r="I63" s="1144" t="s">
        <v>2234</v>
      </c>
      <c r="J63" s="1608" t="str">
        <f>IF(E63=0,"",VLOOKUP(E63,'Tablas Técnicas'!$A$14:$V$771,5,FALSE))</f>
        <v/>
      </c>
      <c r="K63" s="1172" t="str">
        <f>IF(I63="Si",IF(E63=0,"",VLOOKUP(E63,'Tablas Técnicas'!$A$14:$V$771,5,FALSE)),"")</f>
        <v/>
      </c>
      <c r="L63" s="1144" t="s">
        <v>2234</v>
      </c>
      <c r="M63" s="1608" t="str">
        <f>IF(E63=0,"",VLOOKUP(E63,'Tablas Técnicas'!$A$14:$V$771,6,FALSE))</f>
        <v/>
      </c>
      <c r="N63" s="1147" t="str">
        <f>IF(L63="Si",IF(E63=0,"",VLOOKUP(E63,'Tablas Técnicas'!$A$14:$V$771,6,FALSE)),"")</f>
        <v/>
      </c>
      <c r="O63" s="1144" t="s">
        <v>2234</v>
      </c>
      <c r="P63" s="1608" t="str">
        <f>IF(E63=0,"",VLOOKUP(E63,'Tablas Técnicas'!$A$14:$V$771,7,FALSE))</f>
        <v/>
      </c>
      <c r="Q63" s="1147" t="str">
        <f>IF(O63="Si",IF(E63=0,"",VLOOKUP(E63,'Tablas Técnicas'!$A$14:$V$771,7,FALSE)),"")</f>
        <v/>
      </c>
      <c r="R63" s="1193" t="str">
        <f>IF(E63=0,"",VLOOKUP(E63,'Tablas Técnicas'!$A$14:$V$771,8,FALSE))</f>
        <v/>
      </c>
      <c r="S63" s="1161" t="str">
        <f>IF(R63=$D$8,$D$8,IF(R63=2,2,IF(R63=3,3,R63)))</f>
        <v/>
      </c>
      <c r="T63" s="4482" t="s">
        <v>5232</v>
      </c>
      <c r="U63" s="4483"/>
      <c r="V63" s="2616"/>
      <c r="W63" s="4484"/>
      <c r="X63" s="4485"/>
      <c r="Y63" s="4485"/>
      <c r="Z63" s="4485"/>
      <c r="AA63" s="4485"/>
      <c r="AB63" s="4485"/>
      <c r="AC63" s="4485"/>
      <c r="AD63" s="4485"/>
      <c r="AE63" s="4485"/>
      <c r="AF63" s="4486"/>
      <c r="AG63" s="4484"/>
      <c r="AH63" s="4485"/>
      <c r="AI63" s="4485"/>
      <c r="AJ63" s="4485"/>
      <c r="AK63" s="4485"/>
      <c r="AL63" s="4485"/>
      <c r="AM63" s="4485"/>
      <c r="AN63" s="4485"/>
      <c r="AO63" s="4485"/>
      <c r="AP63" s="4486"/>
      <c r="AQ63" s="4484"/>
      <c r="AR63" s="4485"/>
      <c r="AS63" s="4485"/>
      <c r="AT63" s="4485"/>
      <c r="AU63" s="4485"/>
      <c r="AV63" s="4485"/>
      <c r="AW63" s="4485"/>
      <c r="AX63" s="4485"/>
      <c r="AY63" s="4485"/>
      <c r="AZ63" s="4486"/>
      <c r="BA63" s="4484"/>
      <c r="BB63" s="4485"/>
      <c r="BC63" s="4485"/>
      <c r="BD63" s="4485"/>
      <c r="BE63" s="4485"/>
      <c r="BF63" s="4485"/>
      <c r="BG63" s="4485"/>
      <c r="BH63" s="4485"/>
      <c r="BI63" s="4485"/>
      <c r="BJ63" s="4486"/>
      <c r="BK63" s="1171">
        <f>SUM(K59:K63)-SUM(V63:BA63)</f>
        <v>0</v>
      </c>
      <c r="BL63" s="1629"/>
      <c r="BM63" s="1630"/>
      <c r="BN63" s="1165"/>
      <c r="BO63" s="1166"/>
      <c r="BP63" s="1167" t="str">
        <f>IF(I63="Si",VLOOKUP($D$8,'Tablas Técnicas'!$E$4:$F$6,2,FALSE),"")</f>
        <v/>
      </c>
      <c r="BQ63" s="1137" t="str">
        <f>IF(L63="Si",VLOOKUP($D$8,'Tablas Técnicas'!$I$4:$J$6,2,FALSE),"")</f>
        <v/>
      </c>
      <c r="BR63" s="1168" t="str">
        <f>IF(O63="Si",VLOOKUP($D$8,'Tablas Técnicas'!$I$7:$J$9,2,FALSE),"")</f>
        <v/>
      </c>
      <c r="BS63" s="1151"/>
      <c r="BT63" s="2609" t="s">
        <v>2231</v>
      </c>
      <c r="BU63" s="2610" t="s">
        <v>5236</v>
      </c>
      <c r="BV63" s="1128"/>
      <c r="BW63" s="2610" t="s">
        <v>5237</v>
      </c>
      <c r="BX63" s="2609" t="s">
        <v>5238</v>
      </c>
      <c r="BY63" s="1489" t="s">
        <v>5238</v>
      </c>
      <c r="BZ63" s="2351"/>
      <c r="CA63" s="1096"/>
      <c r="DR63" s="1096"/>
      <c r="DT63" s="1514"/>
      <c r="DU63" s="1569"/>
      <c r="DV63" s="1566" t="str">
        <f>IF(E63="","",E63)&amp;IF(I63="No",""," (Mant.)")&amp;IF(L63="No",""," (Sme)")&amp;IF(O63="No",""," (SMa)")</f>
        <v/>
      </c>
      <c r="DW63" s="1566"/>
      <c r="DX63" s="1568"/>
      <c r="DY63" s="1513"/>
      <c r="DZ63" s="1096"/>
      <c r="EA63" s="1660">
        <f t="shared" si="0"/>
        <v>1</v>
      </c>
    </row>
    <row r="64" spans="1:131" x14ac:dyDescent="0.2">
      <c r="A64" s="1096"/>
      <c r="B64" s="159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97"/>
      <c r="D64" s="1644">
        <v>4</v>
      </c>
      <c r="E64" s="1423"/>
      <c r="F64" s="1173"/>
      <c r="G64" s="1174"/>
      <c r="H64" s="2559">
        <f>IF(AND(OR(ISNUMBER(SEARCH("Afinidad Elemental ("&amp;BK59&amp;")",Principal!$AF$30)),ISNUMBER(SEARCH("Afinidad Elemental ("&amp;BL59&amp;")",Principal!$AF$30)),ISNUMBER(SEARCH("Afinidad Elemental ("&amp;BM59&amp;")",Principal!$AF$30))),SUM(H59:H63)&gt;=5),-5,0)</f>
        <v>0</v>
      </c>
      <c r="I64" s="1603"/>
      <c r="J64" s="1606"/>
      <c r="K64" s="1174"/>
      <c r="L64" s="1603"/>
      <c r="M64" s="1606"/>
      <c r="N64" s="1174"/>
      <c r="O64" s="1603"/>
      <c r="P64" s="1606"/>
      <c r="Q64" s="1174"/>
      <c r="R64" s="1175"/>
      <c r="S64" s="1174"/>
      <c r="T64" s="1174"/>
      <c r="U64" s="1174"/>
      <c r="V64" s="1174"/>
      <c r="W64" s="1174"/>
      <c r="X64" s="1174"/>
      <c r="Y64" s="1174"/>
      <c r="Z64" s="1174"/>
      <c r="AA64" s="1174"/>
      <c r="AB64" s="1174"/>
      <c r="AC64" s="1174"/>
      <c r="AD64" s="1174"/>
      <c r="AE64" s="1174"/>
      <c r="AF64" s="1174"/>
      <c r="AG64" s="1174"/>
      <c r="AH64" s="1174"/>
      <c r="AI64" s="117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c r="BD64" s="1174"/>
      <c r="BE64" s="1174"/>
      <c r="BF64" s="1174"/>
      <c r="BG64" s="1174"/>
      <c r="BH64" s="1174"/>
      <c r="BI64" s="1174"/>
      <c r="BJ64" s="1174"/>
      <c r="BK64" s="1174"/>
      <c r="BL64" s="1174"/>
      <c r="BM64" s="1184"/>
      <c r="BN64" s="1185">
        <f>SUM(K64:K67)</f>
        <v>0</v>
      </c>
      <c r="BO64" s="1128" t="str">
        <f>IF(E64=0,"",(AF64+AP64+AZ64+BJ64))</f>
        <v/>
      </c>
      <c r="BP64" s="1186" t="str">
        <f>IF(I64="Si",VLOOKUP($D$8,'Tablas Técnicas'!$E$4:$F$6,2,FALSE),"")</f>
        <v/>
      </c>
      <c r="BQ64" s="1187" t="str">
        <f>IF(L64="Si",VLOOKUP($D$8,'Tablas Técnicas'!$I$4:$J$6,2,FALSE),"")</f>
        <v/>
      </c>
      <c r="BR64" s="1185" t="str">
        <f>IF(O64="Si",VLOOKUP($D$8,'Tablas Técnicas'!$I$7:$J$9,2,FALSE),"")</f>
        <v/>
      </c>
      <c r="BS64" s="1151"/>
      <c r="BT64" s="261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92"/>
      <c r="BV64" s="1128"/>
      <c r="BW64" s="1183" t="str">
        <f>IF(SUM(BT64:BU64)=0,"N/A",SUM(BT64:BU64))</f>
        <v>N/A</v>
      </c>
      <c r="BX64" s="261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83" t="str">
        <f>IF(BX64=0,"N/A",BX64)</f>
        <v>N/A</v>
      </c>
      <c r="BZ64" s="2351"/>
      <c r="CA64" s="1096"/>
      <c r="DR64" s="1096"/>
      <c r="DT64" s="1514"/>
      <c r="DU64" s="1569"/>
      <c r="DV64" s="1570"/>
      <c r="DW64" s="1566"/>
      <c r="DX64" s="1568"/>
      <c r="DY64" s="1513"/>
      <c r="DZ64" s="1096"/>
      <c r="EA64" s="1660">
        <f t="shared" si="0"/>
        <v>1</v>
      </c>
    </row>
    <row r="65" spans="1:131" x14ac:dyDescent="0.2">
      <c r="A65" s="1096"/>
      <c r="B65" s="1096"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97"/>
      <c r="D65" s="1643" t="s">
        <v>2310</v>
      </c>
      <c r="E65" s="1140"/>
      <c r="F65" s="1176"/>
      <c r="G65" s="1146" t="str">
        <f>IF(E65=0,"",VLOOKUP(E65,'Tablas Técnicas'!$A$14:$V$771,3,FALSE))</f>
        <v/>
      </c>
      <c r="H65" s="1188" t="str">
        <f>IF($E65=0,"",VLOOKUP($E65,'Tablas Técnicas'!$A$14:$V$771,4,FALSE))</f>
        <v/>
      </c>
      <c r="I65" s="1144" t="s">
        <v>2234</v>
      </c>
      <c r="J65" s="1607" t="str">
        <f>IF(E65=0,"",VLOOKUP(E65,'Tablas Técnicas'!$A$14:$V$771,5,FALSE))</f>
        <v/>
      </c>
      <c r="K65" s="1190" t="str">
        <f>IF(I65="Si",IF(E65=0,"",VLOOKUP(E65,'Tablas Técnicas'!$A$14:$V$771,5,FALSE)),"")</f>
        <v/>
      </c>
      <c r="L65" s="1144" t="s">
        <v>2234</v>
      </c>
      <c r="M65" s="1607" t="str">
        <f>IF(E65=0,"",VLOOKUP(E65,'Tablas Técnicas'!$A$14:$V$771,6,FALSE))</f>
        <v/>
      </c>
      <c r="N65" s="1147" t="str">
        <f>IF(L65="Si",IF(E65=0,"",VLOOKUP(E65,'Tablas Técnicas'!$A$14:$V$771,6,FALSE)),"")</f>
        <v/>
      </c>
      <c r="O65" s="1144" t="s">
        <v>2234</v>
      </c>
      <c r="P65" s="1607" t="str">
        <f>IF(E65=0,"",VLOOKUP(E65,'Tablas Técnicas'!$A$14:$V$771,7,FALSE))</f>
        <v/>
      </c>
      <c r="Q65" s="1147" t="str">
        <f>IF(O65="Si",IF(E65=0,"",VLOOKUP(E65,'Tablas Técnicas'!$A$14:$V$771,7,FALSE)),"")</f>
        <v/>
      </c>
      <c r="R65" s="1189" t="str">
        <f>IF(E65=0,"",VLOOKUP(E65,'Tablas Técnicas'!$A$14:$V$771,8,FALSE))</f>
        <v/>
      </c>
      <c r="S65" s="1161" t="str">
        <f>IF(R65=$D$8,$D$8,IF(R65=2,2,IF(R65=3,3,R65)))</f>
        <v/>
      </c>
      <c r="T65" s="1190" t="str">
        <f>IF(E65=0,"",VLOOKUP(E65,'Tablas Técnicas'!$A$14:$V$771,9,FALSE))</f>
        <v/>
      </c>
      <c r="U65" s="1190" t="str">
        <f>IF(E65=0,"",VLOOKUP(E65,'Tablas Técnicas'!$A$14:$V$771,10,FALSE))</f>
        <v/>
      </c>
      <c r="V65" s="1191" t="str">
        <f>IF(E65=0,"",VLOOKUP(E65,'Tablas Técnicas'!$A$14:$V$771,11,FALSE))</f>
        <v/>
      </c>
      <c r="W65" s="1144"/>
      <c r="X65" s="1145" t="e">
        <f>VLOOKUP(E65,'Tablas Técnicas'!$A$14:$V$771,12,FALSE)</f>
        <v>#N/A</v>
      </c>
      <c r="Y65" s="1145" t="e">
        <f>IF(W65=X65,VLOOKUP(E65,'Tablas Técnicas'!$A$14:$V$771,13,FALSE),0)</f>
        <v>#N/A</v>
      </c>
      <c r="Z65" s="1145" t="e">
        <f>VLOOKUP(E65,'Tablas Técnicas'!$A$14:$V$771,14,FALSE)</f>
        <v>#N/A</v>
      </c>
      <c r="AA65" s="1145" t="e">
        <f>IF(W65=Z65,VLOOKUP(E65,'Tablas Técnicas'!$A$14:$V$616,15,FALSE),0)</f>
        <v>#N/A</v>
      </c>
      <c r="AB65" s="1145" t="e">
        <f>VLOOKUP(E65,'Tablas Técnicas'!$A$14:$V$771,16,FALSE)</f>
        <v>#N/A</v>
      </c>
      <c r="AC65" s="1145" t="e">
        <f>IF(W65=AB65,VLOOKUP(E65,'Tablas Técnicas'!$A$14:$V$616,17,FALSE),0)</f>
        <v>#N/A</v>
      </c>
      <c r="AD65" s="1145" t="e">
        <f>VLOOKUP(E65,'Tablas Técnicas'!$A$14:$V$771,18,FALSE)</f>
        <v>#N/A</v>
      </c>
      <c r="AE65" s="1145" t="e">
        <f>IF(W65=AD65,VLOOKUP(E65,'Tablas Técnicas'!$A$14:$V$771,19,FALSE),0)</f>
        <v>#N/A</v>
      </c>
      <c r="AF65" s="1163" t="str">
        <f>IF(E65=0,"",(Y65+AA65+AC65+AE65))</f>
        <v/>
      </c>
      <c r="AG65" s="1144"/>
      <c r="AH65" s="1162" t="e">
        <f>VLOOKUP(E65,'Tablas Técnicas'!$A$14:$V$771,12,FALSE)</f>
        <v>#N/A</v>
      </c>
      <c r="AI65" s="1162" t="e">
        <f>IF(AG65=AH65,VLOOKUP(E65,'Tablas Técnicas'!$A$14:$V$771,13,FALSE),0)</f>
        <v>#N/A</v>
      </c>
      <c r="AJ65" s="1162" t="e">
        <f>VLOOKUP(E65,'Tablas Técnicas'!$A$14:$V$771,14,FALSE)</f>
        <v>#N/A</v>
      </c>
      <c r="AK65" s="1162" t="e">
        <f>IF(AG65=AJ65,VLOOKUP(E65,'Tablas Técnicas'!$A$14:$V$771,15,FALSE),0)</f>
        <v>#N/A</v>
      </c>
      <c r="AL65" s="1162" t="e">
        <f>VLOOKUP(E65,'Tablas Técnicas'!$A$14:$V$771,16,FALSE)</f>
        <v>#N/A</v>
      </c>
      <c r="AM65" s="1162" t="e">
        <f>IF(AG65=AL65,VLOOKUP(E65,'Tablas Técnicas'!$A$14:$V$771,17,FALSE),0)</f>
        <v>#N/A</v>
      </c>
      <c r="AN65" s="1162" t="e">
        <f>VLOOKUP(E65,'Tablas Técnicas'!$A$14:$V$771,18,FALSE)</f>
        <v>#N/A</v>
      </c>
      <c r="AO65" s="1162" t="e">
        <f>IF(AG65=AN65,VLOOKUP(E65,'Tablas Técnicas'!$A$14:$V$771,19,FALSE),0)</f>
        <v>#N/A</v>
      </c>
      <c r="AP65" s="2620" t="str">
        <f>IF(E65=0,"",(AI65+AK65+AM65+AO65))</f>
        <v/>
      </c>
      <c r="AQ65" s="1144"/>
      <c r="AR65" s="1162" t="e">
        <f>VLOOKUP(E65,'Tablas Técnicas'!$A$14:$V$771,12,FALSE)</f>
        <v>#N/A</v>
      </c>
      <c r="AS65" s="1162" t="e">
        <f>IF(AQ65=AR65,VLOOKUP(E65,'Tablas Técnicas'!$A$14:$V$771,13,FALSE),0)</f>
        <v>#N/A</v>
      </c>
      <c r="AT65" s="1162" t="e">
        <f>VLOOKUP(E65,'Tablas Técnicas'!$A$14:$V$771,14,FALSE)</f>
        <v>#N/A</v>
      </c>
      <c r="AU65" s="1162" t="e">
        <f>IF(AQ65=AT65,VLOOKUP(E65,'Tablas Técnicas'!$A$14:$V$771,15,FALSE),0)</f>
        <v>#N/A</v>
      </c>
      <c r="AV65" s="1162" t="e">
        <f>VLOOKUP(E65,'Tablas Técnicas'!$A$14:$V$771,16,FALSE)</f>
        <v>#N/A</v>
      </c>
      <c r="AW65" s="1162" t="e">
        <f>IF(AQ65=AV65,VLOOKUP(E65,'Tablas Técnicas'!$A$14:$V$771,17,FALSE),0)</f>
        <v>#N/A</v>
      </c>
      <c r="AX65" s="1162" t="e">
        <f>VLOOKUP(E65,'Tablas Técnicas'!$A$14:$V$771,18,FALSE)</f>
        <v>#N/A</v>
      </c>
      <c r="AY65" s="1162" t="e">
        <f>IF(AQ65=AX65,VLOOKUP(E65,'Tablas Técnicas'!$A$14:$V$771,19,FALSE),0)</f>
        <v>#N/A</v>
      </c>
      <c r="AZ65" s="1163" t="str">
        <f>IF(E65=0,"",(AS65+AU65+AW65+AY65))</f>
        <v/>
      </c>
      <c r="BA65" s="1144"/>
      <c r="BB65" s="1162" t="e">
        <f>VLOOKUP(E65,'Tablas Técnicas'!$A$14:$V$771,12,FALSE)</f>
        <v>#N/A</v>
      </c>
      <c r="BC65" s="1162" t="e">
        <f>IF(BA65=BB65,VLOOKUP(E65,'Tablas Técnicas'!$A$14:$V$771,13,FALSE),0)</f>
        <v>#N/A</v>
      </c>
      <c r="BD65" s="1162" t="e">
        <f>VLOOKUP(E65,'Tablas Técnicas'!$A$14:$V$771,14,FALSE)</f>
        <v>#N/A</v>
      </c>
      <c r="BE65" s="1162" t="e">
        <f>IF(BA65=BD65,VLOOKUP(E65,'Tablas Técnicas'!$A$14:$V$771,15,FALSE),0)</f>
        <v>#N/A</v>
      </c>
      <c r="BF65" s="1162" t="e">
        <f>VLOOKUP(E65,'Tablas Técnicas'!$A$14:$V$771,16,FALSE)</f>
        <v>#N/A</v>
      </c>
      <c r="BG65" s="1162" t="e">
        <f>IF(BA65=BF65,VLOOKUP(E65,'Tablas Técnicas'!$A$14:$V$771,17,FALSE),0)</f>
        <v>#N/A</v>
      </c>
      <c r="BH65" s="1162" t="e">
        <f>VLOOKUP(E65,'Tablas Técnicas'!$A$14:$V$771,18,FALSE)</f>
        <v>#N/A</v>
      </c>
      <c r="BI65" s="1162" t="e">
        <f>IF(BA65=BH65,VLOOKUP(E65,'Tablas Técnicas'!$A$14:$V$771,19,FALSE),0)</f>
        <v>#N/A</v>
      </c>
      <c r="BJ65" s="2620" t="str">
        <f>IF(E65=0,"",(BC65+BE65+BG65+BI65))</f>
        <v/>
      </c>
      <c r="BK65" s="1190" t="str">
        <f>IF(E65=0,"",VLOOKUP(E65,'Tablas Técnicas'!$A$14:$V$771,20,FALSE))</f>
        <v/>
      </c>
      <c r="BL65" s="1177" t="str">
        <f>IF(E65=0,"",VLOOKUP(E65,'Tablas Técnicas'!$A$14:$V$771,21,FALSE))</f>
        <v/>
      </c>
      <c r="BM65" s="1148" t="str">
        <f>IF(E65=0,"",VLOOKUP(E65,'Tablas Técnicas'!$A$14:$V$771,22,FALSE))</f>
        <v/>
      </c>
      <c r="BN65" s="1149"/>
      <c r="BO65" s="1150"/>
      <c r="BP65" s="1135" t="str">
        <f>IF(I65="Si",VLOOKUP($D$8,'Tablas Técnicas'!$E$4:$F$6,2,FALSE),"")</f>
        <v/>
      </c>
      <c r="BQ65" s="1136" t="str">
        <f>IF(L65="Si",VLOOKUP($D$8,'Tablas Técnicas'!$I$4:$J$6,2,FALSE),"")</f>
        <v/>
      </c>
      <c r="BR65" s="1134" t="str">
        <f>IF(O65="Si",VLOOKUP($D$8,'Tablas Técnicas'!$I$7:$J$9,2,FALSE),"")</f>
        <v/>
      </c>
      <c r="BS65" s="1151"/>
      <c r="BT65" s="2609" t="s">
        <v>2236</v>
      </c>
      <c r="BU65" s="2610" t="s">
        <v>5236</v>
      </c>
      <c r="BV65" s="1128"/>
      <c r="BW65" s="2610" t="s">
        <v>5237</v>
      </c>
      <c r="BX65" s="2609" t="s">
        <v>5238</v>
      </c>
      <c r="BY65" s="1489" t="s">
        <v>5238</v>
      </c>
      <c r="BZ65" s="2351"/>
      <c r="CA65" s="1096"/>
      <c r="DR65" s="1096"/>
      <c r="DT65" s="1514"/>
      <c r="DU65" s="1569"/>
      <c r="DV65" s="1566" t="str">
        <f>IF(E65="","",", "&amp;E65)&amp;IF(I65="No",""," (Mant.)")&amp;IF(L65="No",""," (Sme)")&amp;IF(O65="No",""," (SMa)")</f>
        <v/>
      </c>
      <c r="DW65" s="1566"/>
      <c r="DX65" s="1568"/>
      <c r="DY65" s="1513"/>
      <c r="DZ65" s="1096"/>
      <c r="EA65" s="1660">
        <f t="shared" si="0"/>
        <v>1</v>
      </c>
    </row>
    <row r="66" spans="1:131" ht="11.25" customHeight="1" x14ac:dyDescent="0.2">
      <c r="A66" s="1096"/>
      <c r="B66" s="1096"/>
      <c r="C66" s="1497"/>
      <c r="D66" s="1642" t="s">
        <v>2310</v>
      </c>
      <c r="E66" s="1152"/>
      <c r="F66" s="1182"/>
      <c r="G66" s="1627" t="str">
        <f>IF(E66=0,"",VLOOKUP(E66,'Tablas Técnicas'!$A$14:$V$771,3,FALSE))</f>
        <v/>
      </c>
      <c r="H66" s="1155" t="str">
        <f>IF($E66=0,"",VLOOKUP($E66,'Tablas Técnicas'!$A$14:$V$771,4,FALSE))</f>
        <v/>
      </c>
      <c r="I66" s="1156" t="s">
        <v>2234</v>
      </c>
      <c r="J66" s="1605" t="str">
        <f>IF(E66=0,"",VLOOKUP(E66,'Tablas Técnicas'!$A$14:$V$771,5,FALSE))</f>
        <v/>
      </c>
      <c r="K66" s="1158" t="str">
        <f>IF(I66="Si",IF(E66=0,"",VLOOKUP(E66,'Tablas Técnicas'!$A$14:$V$771,5,FALSE)),"")</f>
        <v/>
      </c>
      <c r="L66" s="1156" t="s">
        <v>2234</v>
      </c>
      <c r="M66" s="1605" t="str">
        <f>IF(E66=0,"",VLOOKUP(E66,'Tablas Técnicas'!$A$14:$V$771,6,FALSE))</f>
        <v/>
      </c>
      <c r="N66" s="1159" t="str">
        <f>IF(L66="Si",IF(E66=0,"",VLOOKUP(E66,'Tablas Técnicas'!$A$14:$V$771,6,FALSE)),"")</f>
        <v/>
      </c>
      <c r="O66" s="1156" t="s">
        <v>2234</v>
      </c>
      <c r="P66" s="1605" t="str">
        <f>IF(E66=0,"",VLOOKUP(E66,'Tablas Técnicas'!$A$14:$V$771,7,FALSE))</f>
        <v/>
      </c>
      <c r="Q66" s="1159" t="str">
        <f>IF(O66="Si",IF(E66=0,"",VLOOKUP(E66,'Tablas Técnicas'!$A$14:$V$771,7,FALSE)),"")</f>
        <v/>
      </c>
      <c r="R66" s="1157" t="str">
        <f>IF(E66=0,"",VLOOKUP(E66,'Tablas Técnicas'!$A$14:$V$771,8,FALSE))</f>
        <v/>
      </c>
      <c r="S66" s="1155" t="str">
        <f>IF(R66=$D$8,$D$8,IF(R66=2,2,IF(R66=3,3,R66)))</f>
        <v/>
      </c>
      <c r="T66" s="4475" t="s">
        <v>5228</v>
      </c>
      <c r="U66" s="4476"/>
      <c r="V66" s="4476"/>
      <c r="W66" s="4476"/>
      <c r="X66" s="4476"/>
      <c r="Y66" s="4476"/>
      <c r="Z66" s="4476"/>
      <c r="AA66" s="4476"/>
      <c r="AB66" s="4476"/>
      <c r="AC66" s="4476"/>
      <c r="AD66" s="4476"/>
      <c r="AE66" s="4476"/>
      <c r="AF66" s="4476"/>
      <c r="AG66" s="4476"/>
      <c r="AH66" s="4476"/>
      <c r="AI66" s="4476"/>
      <c r="AJ66" s="4476"/>
      <c r="AK66" s="4476"/>
      <c r="AL66" s="4476"/>
      <c r="AM66" s="4476"/>
      <c r="AN66" s="4476"/>
      <c r="AO66" s="4476"/>
      <c r="AP66" s="4476"/>
      <c r="AQ66" s="4476"/>
      <c r="AR66" s="4476"/>
      <c r="AS66" s="4476"/>
      <c r="AT66" s="4476"/>
      <c r="AU66" s="4476"/>
      <c r="AV66" s="4476"/>
      <c r="AW66" s="4476"/>
      <c r="AX66" s="4476"/>
      <c r="AY66" s="4476"/>
      <c r="AZ66" s="4476"/>
      <c r="BA66" s="4476"/>
      <c r="BB66" s="4476"/>
      <c r="BC66" s="4476"/>
      <c r="BD66" s="4476"/>
      <c r="BE66" s="4476"/>
      <c r="BF66" s="4476"/>
      <c r="BG66" s="4476"/>
      <c r="BH66" s="4476"/>
      <c r="BI66" s="4476"/>
      <c r="BJ66" s="4476"/>
      <c r="BK66" s="4477"/>
      <c r="BL66" s="1627"/>
      <c r="BM66" s="1628"/>
      <c r="BN66" s="1149"/>
      <c r="BO66" s="1150"/>
      <c r="BP66" s="1135" t="str">
        <f>IF(I66="Si",VLOOKUP($D$8,'Tablas Técnicas'!$E$4:$F$6,2,FALSE),"")</f>
        <v/>
      </c>
      <c r="BQ66" s="1136" t="str">
        <f>IF(L66="Si",VLOOKUP($D$8,'Tablas Técnicas'!$I$4:$J$6,2,FALSE),"")</f>
        <v/>
      </c>
      <c r="BR66" s="1134" t="str">
        <f>IF(O66="Si",VLOOKUP($D$8,'Tablas Técnicas'!$I$7:$J$9,2,FALSE),"")</f>
        <v/>
      </c>
      <c r="BS66" s="1151"/>
      <c r="BT66" s="261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92"/>
      <c r="BV66" s="1128"/>
      <c r="BW66" s="1183" t="str">
        <f>IF(SUM(BT66:BU66)=0,"N/A",SUM(BT66:BU66))</f>
        <v>N/A</v>
      </c>
      <c r="BX66" s="261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83" t="str">
        <f>IF(BX66=0,"N/A",BX66)</f>
        <v>N/A</v>
      </c>
      <c r="BZ66" s="2351"/>
      <c r="CA66" s="1096"/>
      <c r="DR66" s="1096"/>
      <c r="DT66" s="1514"/>
      <c r="DU66" s="1569"/>
      <c r="DV66" s="1566" t="str">
        <f>IF(E66="",""," "&amp;E66)&amp;IF(I66="No",""," (Mant.)")&amp;IF(L66="No",""," (Sme)")&amp;IF(O66="No",""," (SMa)")</f>
        <v/>
      </c>
      <c r="DW66" s="1566"/>
      <c r="DX66" s="1568"/>
      <c r="DY66" s="1513"/>
      <c r="DZ66" s="1096"/>
      <c r="EA66" s="1660">
        <f t="shared" si="0"/>
        <v>1</v>
      </c>
    </row>
    <row r="67" spans="1:131" ht="11.25" customHeight="1" x14ac:dyDescent="0.2">
      <c r="A67" s="1096"/>
      <c r="B67" s="1096"/>
      <c r="C67" s="1497"/>
      <c r="D67" s="1643" t="s">
        <v>2310</v>
      </c>
      <c r="E67" s="1160"/>
      <c r="F67" s="1176"/>
      <c r="G67" s="1146" t="str">
        <f>IF(E67=0,"",VLOOKUP(E67,'Tablas Técnicas'!$A$14:$V$771,3,FALSE))</f>
        <v/>
      </c>
      <c r="H67" s="2619" t="str">
        <f>IF($E67=0,"",VLOOKUP($E67,'Tablas Técnicas'!$A$14:$V$771,4,FALSE))</f>
        <v/>
      </c>
      <c r="I67" s="1144" t="s">
        <v>2234</v>
      </c>
      <c r="J67" s="1601" t="str">
        <f>IF(E67=0,"",VLOOKUP(E67,'Tablas Técnicas'!$A$14:$V$771,5,FALSE))</f>
        <v/>
      </c>
      <c r="K67" s="1163" t="str">
        <f>IF(I67="Si",IF(E67=0,"",VLOOKUP(E67,'Tablas Técnicas'!$A$14:$V$771,5,FALSE)),"")</f>
        <v/>
      </c>
      <c r="L67" s="1144" t="s">
        <v>2234</v>
      </c>
      <c r="M67" s="1601" t="str">
        <f>IF(E67=0,"",VLOOKUP(E67,'Tablas Técnicas'!$A$14:$V$771,6,FALSE))</f>
        <v/>
      </c>
      <c r="N67" s="1147" t="str">
        <f>IF(L67="Si",IF(E67=0,"",VLOOKUP(E67,'Tablas Técnicas'!$A$14:$V$771,6,FALSE)),"")</f>
        <v/>
      </c>
      <c r="O67" s="1144" t="s">
        <v>2234</v>
      </c>
      <c r="P67" s="1601" t="str">
        <f>IF(E67=0,"",VLOOKUP(E67,'Tablas Técnicas'!$A$14:$V$771,7,FALSE))</f>
        <v/>
      </c>
      <c r="Q67" s="1147" t="str">
        <f>IF(O67="Si",IF(E67=0,"",VLOOKUP(E67,'Tablas Técnicas'!$A$14:$V$771,7,FALSE)),"")</f>
        <v/>
      </c>
      <c r="R67" s="1162" t="str">
        <f>IF(E67=0,"",VLOOKUP(E67,'Tablas Técnicas'!$A$14:$V$771,8,FALSE))</f>
        <v/>
      </c>
      <c r="S67" s="2619" t="str">
        <f>IF(R67=$D$8,$D$8,IF(R67=2,2,IF(R67=3,3,R67)))</f>
        <v/>
      </c>
      <c r="T67" s="4487"/>
      <c r="U67" s="4488"/>
      <c r="V67" s="2617" t="str">
        <f>IF(OR(V65=0,V65=""),"N/A",V65)</f>
        <v>N/A</v>
      </c>
      <c r="W67" s="4487" t="str">
        <f xml:space="preserve"> IF(OR(AF65=0,AF65=""),"N/A",W65)</f>
        <v>N/A</v>
      </c>
      <c r="X67" s="4489"/>
      <c r="Y67" s="4489"/>
      <c r="Z67" s="4489"/>
      <c r="AA67" s="4489"/>
      <c r="AB67" s="4489"/>
      <c r="AC67" s="4489"/>
      <c r="AD67" s="4489"/>
      <c r="AE67" s="4489"/>
      <c r="AF67" s="4488"/>
      <c r="AG67" s="4487" t="str">
        <f xml:space="preserve"> IF(OR(AP65="",AP65=0),"N/A",AG65)</f>
        <v>N/A</v>
      </c>
      <c r="AH67" s="4489"/>
      <c r="AI67" s="4489"/>
      <c r="AJ67" s="4489"/>
      <c r="AK67" s="4489"/>
      <c r="AL67" s="4489"/>
      <c r="AM67" s="4489"/>
      <c r="AN67" s="4489"/>
      <c r="AO67" s="4489"/>
      <c r="AP67" s="4488"/>
      <c r="AQ67" s="4487" t="str">
        <f xml:space="preserve"> IF(OR(AZ65="",AZ65=0),"N/A",AQ65)</f>
        <v>N/A</v>
      </c>
      <c r="AR67" s="4489"/>
      <c r="AS67" s="4489"/>
      <c r="AT67" s="4489"/>
      <c r="AU67" s="4489"/>
      <c r="AV67" s="4489"/>
      <c r="AW67" s="4489"/>
      <c r="AX67" s="4489"/>
      <c r="AY67" s="4489"/>
      <c r="AZ67" s="4488"/>
      <c r="BA67" s="4487" t="str">
        <f xml:space="preserve"> IF(OR(BJ65="",BJ65=0),"N/A",BA65)</f>
        <v>N/A</v>
      </c>
      <c r="BB67" s="4489"/>
      <c r="BC67" s="4489"/>
      <c r="BD67" s="4489"/>
      <c r="BE67" s="4489"/>
      <c r="BF67" s="4489"/>
      <c r="BG67" s="4489"/>
      <c r="BH67" s="4489"/>
      <c r="BI67" s="4489"/>
      <c r="BJ67" s="4488"/>
      <c r="BK67" s="1164" t="s">
        <v>5229</v>
      </c>
      <c r="BL67" s="1146"/>
      <c r="BM67" s="1181"/>
      <c r="BN67" s="1165"/>
      <c r="BO67" s="1166"/>
      <c r="BP67" s="1167" t="str">
        <f>IF(I67="Si",VLOOKUP($D$8,'Tablas Técnicas'!$E$4:$F$6,2,FALSE),"")</f>
        <v/>
      </c>
      <c r="BQ67" s="1137" t="str">
        <f>IF(L67="Si",VLOOKUP($D$8,'Tablas Técnicas'!$I$4:$J$6,2,FALSE),"")</f>
        <v/>
      </c>
      <c r="BR67" s="1168" t="str">
        <f>IF(O67="Si",VLOOKUP($D$8,'Tablas Técnicas'!$I$7:$J$9,2,FALSE),"")</f>
        <v/>
      </c>
      <c r="BS67" s="1151"/>
      <c r="BT67" s="2609" t="s">
        <v>2244</v>
      </c>
      <c r="BU67" s="2610" t="s">
        <v>5236</v>
      </c>
      <c r="BV67" s="1128"/>
      <c r="BW67" s="2610" t="s">
        <v>5237</v>
      </c>
      <c r="BX67" s="2609" t="s">
        <v>5238</v>
      </c>
      <c r="BY67" s="1489" t="s">
        <v>5238</v>
      </c>
      <c r="BZ67" s="2351"/>
      <c r="CA67" s="1096"/>
      <c r="DR67" s="1096"/>
      <c r="DT67" s="1514"/>
      <c r="DU67" s="1569"/>
      <c r="DV67" s="1566" t="str">
        <f>IF(E67="","",E67)&amp;IF(I67="No",""," (Mant.)")&amp;IF(L67="No",""," (Sme)")&amp;IF(O67="No",""," (SMa)")</f>
        <v/>
      </c>
      <c r="DW67" s="1567"/>
      <c r="DX67" s="1568"/>
      <c r="DY67" s="1513"/>
      <c r="DZ67" s="1096"/>
      <c r="EA67" s="1660">
        <f t="shared" si="0"/>
        <v>1</v>
      </c>
    </row>
    <row r="68" spans="1:131" x14ac:dyDescent="0.2">
      <c r="A68" s="1096"/>
      <c r="B68" s="1096"/>
      <c r="C68" s="1497"/>
      <c r="D68" s="1642" t="s">
        <v>2310</v>
      </c>
      <c r="E68" s="1152"/>
      <c r="F68" s="1182"/>
      <c r="G68" s="1627" t="str">
        <f>IF(E68=0,"",VLOOKUP(E68,'Tablas Técnicas'!$A$14:$V$771,3,FALSE))</f>
        <v/>
      </c>
      <c r="H68" s="1155" t="str">
        <f>IF($E68=0,"",VLOOKUP($E68,'Tablas Técnicas'!$A$14:$V$771,4,FALSE))</f>
        <v/>
      </c>
      <c r="I68" s="1156" t="s">
        <v>2234</v>
      </c>
      <c r="J68" s="1605" t="str">
        <f>IF(E68=0,"",VLOOKUP(E68,'Tablas Técnicas'!$A$14:$V$771,5,FALSE))</f>
        <v/>
      </c>
      <c r="K68" s="1158" t="str">
        <f>IF(I68="Si",IF(E68=0,"",VLOOKUP(E68,'Tablas Técnicas'!$A$14:$V$771,5,FALSE)),"")</f>
        <v/>
      </c>
      <c r="L68" s="1156" t="s">
        <v>2234</v>
      </c>
      <c r="M68" s="1605" t="str">
        <f>IF(E68=0,"",VLOOKUP(E68,'Tablas Técnicas'!$A$14:$V$771,6,FALSE))</f>
        <v/>
      </c>
      <c r="N68" s="1159" t="str">
        <f>IF(L68="Si",IF(E68=0,"",VLOOKUP(E68,'Tablas Técnicas'!$A$14:$V$771,6,FALSE)),"")</f>
        <v/>
      </c>
      <c r="O68" s="1156" t="s">
        <v>2234</v>
      </c>
      <c r="P68" s="1605" t="str">
        <f>IF(E68=0,"",VLOOKUP(E68,'Tablas Técnicas'!$A$14:$V$771,7,FALSE))</f>
        <v/>
      </c>
      <c r="Q68" s="1159" t="str">
        <f>IF(O68="Si",IF(E68=0,"",VLOOKUP(E68,'Tablas Técnicas'!$A$14:$V$771,7,FALSE)),"")</f>
        <v/>
      </c>
      <c r="R68" s="1157" t="str">
        <f>IF(E68=0,"",VLOOKUP(E68,'Tablas Técnicas'!$A$14:$V$771,8,FALSE))</f>
        <v/>
      </c>
      <c r="S68" s="1155" t="str">
        <f>IF(R68=$D$8,$D$8,IF(R68=2,2,IF(R68=3,3,R68)))</f>
        <v/>
      </c>
      <c r="T68" s="4490" t="s">
        <v>5230</v>
      </c>
      <c r="U68" s="4491"/>
      <c r="V68" s="2618"/>
      <c r="W68" s="4492"/>
      <c r="X68" s="4493"/>
      <c r="Y68" s="4493"/>
      <c r="Z68" s="4493"/>
      <c r="AA68" s="4493"/>
      <c r="AB68" s="4493"/>
      <c r="AC68" s="4493"/>
      <c r="AD68" s="4493"/>
      <c r="AE68" s="4493"/>
      <c r="AF68" s="4494"/>
      <c r="AG68" s="4492"/>
      <c r="AH68" s="4493"/>
      <c r="AI68" s="4493"/>
      <c r="AJ68" s="4493"/>
      <c r="AK68" s="4493"/>
      <c r="AL68" s="4493"/>
      <c r="AM68" s="4493"/>
      <c r="AN68" s="4493"/>
      <c r="AO68" s="4493"/>
      <c r="AP68" s="4494"/>
      <c r="AQ68" s="4492"/>
      <c r="AR68" s="4493"/>
      <c r="AS68" s="4493"/>
      <c r="AT68" s="4493"/>
      <c r="AU68" s="4493"/>
      <c r="AV68" s="4493"/>
      <c r="AW68" s="4493"/>
      <c r="AX68" s="4493"/>
      <c r="AY68" s="4493"/>
      <c r="AZ68" s="4494"/>
      <c r="BA68" s="4492"/>
      <c r="BB68" s="4493"/>
      <c r="BC68" s="4493"/>
      <c r="BD68" s="4493"/>
      <c r="BE68" s="4493"/>
      <c r="BF68" s="4493"/>
      <c r="BG68" s="4493"/>
      <c r="BH68" s="4493"/>
      <c r="BI68" s="4493"/>
      <c r="BJ68" s="4494"/>
      <c r="BK68" s="1155">
        <f>(SUM(G65:G69)+IF(AF65="",0,AF65)+IF(AP65="",0,AP65)+IF(AZ65="",0,AZ65)+IF(BJ65="",0,BJ65)+SUM(K65:K69)+SUM(N65:N69)+SUM(Q65:Q69))- SUM(V68:BA68)</f>
        <v>0</v>
      </c>
      <c r="BL68" s="1627"/>
      <c r="BM68" s="1628"/>
      <c r="BN68" s="1149"/>
      <c r="BO68" s="1150"/>
      <c r="BP68" s="1135" t="str">
        <f>IF(I68="Si",VLOOKUP($D$8,'Tablas Técnicas'!$E$4:$F$6,2,FALSE),"")</f>
        <v/>
      </c>
      <c r="BQ68" s="1136" t="str">
        <f>IF(L68="Si",VLOOKUP($D$8,'Tablas Técnicas'!$I$4:$J$6,2,FALSE),"")</f>
        <v/>
      </c>
      <c r="BR68" s="1134" t="str">
        <f>IF(O68="Si",VLOOKUP($D$8,'Tablas Técnicas'!$I$7:$J$9,2,FALSE),"")</f>
        <v/>
      </c>
      <c r="BS68" s="1151"/>
      <c r="BT68" s="261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92"/>
      <c r="BV68" s="1128"/>
      <c r="BW68" s="1183" t="str">
        <f>IF(SUM(BT68:BU68)=0,"N/A",SUM(BT68:BU68))</f>
        <v>N/A</v>
      </c>
      <c r="BX68" s="261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83" t="str">
        <f>IF(BX68=0,"N/A",BX68)</f>
        <v>N/A</v>
      </c>
      <c r="BZ68" s="2351"/>
      <c r="CA68" s="1096"/>
      <c r="DR68" s="1096"/>
      <c r="DT68" s="1514"/>
      <c r="DU68" s="1569"/>
      <c r="DV68" s="1566" t="str">
        <f>IF(E68="","",E68)&amp;IF(I68="No",""," (Mant.)")&amp;IF(L68="No",""," (Sme)")&amp;IF(O68="No",""," (SMa)")</f>
        <v/>
      </c>
      <c r="DW68" s="1567"/>
      <c r="DX68" s="1568"/>
      <c r="DY68" s="1513"/>
      <c r="DZ68" s="1096"/>
      <c r="EA68" s="1660">
        <f t="shared" si="0"/>
        <v>1</v>
      </c>
    </row>
    <row r="69" spans="1:131" x14ac:dyDescent="0.2">
      <c r="A69" s="1096"/>
      <c r="B69" s="1096"/>
      <c r="C69" s="1497"/>
      <c r="D69" s="1643" t="s">
        <v>2310</v>
      </c>
      <c r="E69" s="1160"/>
      <c r="F69" s="1176"/>
      <c r="G69" s="1146" t="str">
        <f>IF(E69=0,"",VLOOKUP(E69,'Tablas Técnicas'!$A$14:$V$771,3,FALSE))</f>
        <v/>
      </c>
      <c r="H69" s="1171" t="str">
        <f>IF($E69=0,"",VLOOKUP($E69,'Tablas Técnicas'!$A$14:$V$771,4,FALSE))</f>
        <v/>
      </c>
      <c r="I69" s="1144" t="s">
        <v>2234</v>
      </c>
      <c r="J69" s="1608" t="str">
        <f>IF(E69=0,"",VLOOKUP(E69,'Tablas Técnicas'!$A$14:$V$771,5,FALSE))</f>
        <v/>
      </c>
      <c r="K69" s="1172" t="str">
        <f>IF(I69="Si",IF(E69=0,"",VLOOKUP(E69,'Tablas Técnicas'!$A$14:$V$771,5,FALSE)),"")</f>
        <v/>
      </c>
      <c r="L69" s="1144" t="s">
        <v>2234</v>
      </c>
      <c r="M69" s="1608" t="str">
        <f>IF(E69=0,"",VLOOKUP(E69,'Tablas Técnicas'!$A$14:$V$771,6,FALSE))</f>
        <v/>
      </c>
      <c r="N69" s="1147" t="str">
        <f>IF(L69="Si",IF(E69=0,"",VLOOKUP(E69,'Tablas Técnicas'!$A$14:$V$771,6,FALSE)),"")</f>
        <v/>
      </c>
      <c r="O69" s="1144" t="s">
        <v>2234</v>
      </c>
      <c r="P69" s="1608" t="str">
        <f>IF(E69=0,"",VLOOKUP(E69,'Tablas Técnicas'!$A$14:$V$771,7,FALSE))</f>
        <v/>
      </c>
      <c r="Q69" s="1147" t="str">
        <f>IF(O69="Si",IF(E69=0,"",VLOOKUP(E69,'Tablas Técnicas'!$A$14:$V$771,7,FALSE)),"")</f>
        <v/>
      </c>
      <c r="R69" s="1193" t="str">
        <f>IF(E69=0,"",VLOOKUP(E69,'Tablas Técnicas'!$A$14:$V$771,8,FALSE))</f>
        <v/>
      </c>
      <c r="S69" s="1161" t="str">
        <f>IF(R69=$D$8,$D$8,IF(R69=2,2,IF(R69=3,3,R69)))</f>
        <v/>
      </c>
      <c r="T69" s="4482" t="s">
        <v>5232</v>
      </c>
      <c r="U69" s="4483"/>
      <c r="V69" s="2616"/>
      <c r="W69" s="4484"/>
      <c r="X69" s="4485"/>
      <c r="Y69" s="4485"/>
      <c r="Z69" s="4485"/>
      <c r="AA69" s="4485"/>
      <c r="AB69" s="4485"/>
      <c r="AC69" s="4485"/>
      <c r="AD69" s="4485"/>
      <c r="AE69" s="4485"/>
      <c r="AF69" s="4486"/>
      <c r="AG69" s="4484"/>
      <c r="AH69" s="4485"/>
      <c r="AI69" s="4485"/>
      <c r="AJ69" s="4485"/>
      <c r="AK69" s="4485"/>
      <c r="AL69" s="4485"/>
      <c r="AM69" s="4485"/>
      <c r="AN69" s="4485"/>
      <c r="AO69" s="4485"/>
      <c r="AP69" s="4486"/>
      <c r="AQ69" s="4484"/>
      <c r="AR69" s="4485"/>
      <c r="AS69" s="4485"/>
      <c r="AT69" s="4485"/>
      <c r="AU69" s="4485"/>
      <c r="AV69" s="4485"/>
      <c r="AW69" s="4485"/>
      <c r="AX69" s="4485"/>
      <c r="AY69" s="4485"/>
      <c r="AZ69" s="4486"/>
      <c r="BA69" s="4484"/>
      <c r="BB69" s="4485"/>
      <c r="BC69" s="4485"/>
      <c r="BD69" s="4485"/>
      <c r="BE69" s="4485"/>
      <c r="BF69" s="4485"/>
      <c r="BG69" s="4485"/>
      <c r="BH69" s="4485"/>
      <c r="BI69" s="4485"/>
      <c r="BJ69" s="4486"/>
      <c r="BK69" s="1171">
        <f>SUM(K65:K69)-SUM(V69:BA69)</f>
        <v>0</v>
      </c>
      <c r="BL69" s="1629"/>
      <c r="BM69" s="1630"/>
      <c r="BN69" s="1165"/>
      <c r="BO69" s="1166"/>
      <c r="BP69" s="1167" t="str">
        <f>IF(I69="Si",VLOOKUP($D$8,'Tablas Técnicas'!$E$4:$F$6,2,FALSE),"")</f>
        <v/>
      </c>
      <c r="BQ69" s="1137" t="str">
        <f>IF(L69="Si",VLOOKUP($D$8,'Tablas Técnicas'!$I$4:$J$6,2,FALSE),"")</f>
        <v/>
      </c>
      <c r="BR69" s="1168" t="str">
        <f>IF(O69="Si",VLOOKUP($D$8,'Tablas Técnicas'!$I$7:$J$9,2,FALSE),"")</f>
        <v/>
      </c>
      <c r="BS69" s="1151"/>
      <c r="BT69" s="2609" t="s">
        <v>2245</v>
      </c>
      <c r="BU69" s="2610" t="s">
        <v>5236</v>
      </c>
      <c r="BV69" s="1128"/>
      <c r="BW69" s="2610" t="s">
        <v>5237</v>
      </c>
      <c r="BX69" s="2609" t="s">
        <v>5238</v>
      </c>
      <c r="BY69" s="1489" t="s">
        <v>5238</v>
      </c>
      <c r="BZ69" s="2351"/>
      <c r="CA69" s="1096"/>
      <c r="DR69" s="1096"/>
      <c r="DT69" s="1514"/>
      <c r="DU69" s="1569"/>
      <c r="DV69" s="1566" t="str">
        <f>IF(E69="","",E69)&amp;IF(I69="No",""," (Mant.)")&amp;IF(L69="No",""," (Sme)")&amp;IF(O69="No",""," (SMa)")</f>
        <v/>
      </c>
      <c r="DW69" s="1567"/>
      <c r="DX69" s="1568"/>
      <c r="DY69" s="1513"/>
      <c r="DZ69" s="1096"/>
      <c r="EA69" s="1660">
        <f t="shared" si="0"/>
        <v>1</v>
      </c>
    </row>
    <row r="70" spans="1:131" x14ac:dyDescent="0.2">
      <c r="A70" s="1096"/>
      <c r="B70" s="159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97"/>
      <c r="D70" s="1644">
        <v>5</v>
      </c>
      <c r="E70" s="1423"/>
      <c r="F70" s="1173"/>
      <c r="G70" s="1174"/>
      <c r="H70" s="2559">
        <f>IF(AND(OR(ISNUMBER(SEARCH("Afinidad Elemental ("&amp;BK65&amp;")",Principal!$AF$30)),ISNUMBER(SEARCH("Afinidad Elemental ("&amp;BL65&amp;")",Principal!$AF$30)),ISNUMBER(SEARCH("Afinidad Elemental ("&amp;BM65&amp;")",Principal!$AF$30))),SUM(H65:H69)&gt;=5),-5,0)</f>
        <v>0</v>
      </c>
      <c r="I70" s="1603"/>
      <c r="J70" s="1606"/>
      <c r="K70" s="1174"/>
      <c r="L70" s="1603"/>
      <c r="M70" s="1606"/>
      <c r="N70" s="1174"/>
      <c r="O70" s="1603"/>
      <c r="P70" s="1606"/>
      <c r="Q70" s="1174"/>
      <c r="R70" s="1175"/>
      <c r="S70" s="1174"/>
      <c r="T70" s="1174"/>
      <c r="U70" s="1174"/>
      <c r="V70" s="1174"/>
      <c r="W70" s="1174"/>
      <c r="X70" s="1174"/>
      <c r="Y70" s="1174"/>
      <c r="Z70" s="1174"/>
      <c r="AA70" s="1174"/>
      <c r="AB70" s="1174"/>
      <c r="AC70" s="1174"/>
      <c r="AD70" s="1174"/>
      <c r="AE70" s="1174"/>
      <c r="AF70" s="1174"/>
      <c r="AG70" s="1174"/>
      <c r="AH70" s="1174"/>
      <c r="AI70" s="1174"/>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c r="BD70" s="1174"/>
      <c r="BE70" s="1174"/>
      <c r="BF70" s="1174"/>
      <c r="BG70" s="1174"/>
      <c r="BH70" s="1174"/>
      <c r="BI70" s="1174"/>
      <c r="BJ70" s="1174"/>
      <c r="BK70" s="1174"/>
      <c r="BL70" s="1174"/>
      <c r="BM70" s="1184"/>
      <c r="BN70" s="1185">
        <f>SUM(K70:K73)</f>
        <v>0</v>
      </c>
      <c r="BO70" s="1128" t="str">
        <f>IF(E70=0,"",(AF70+AP70+AZ70+BJ70))</f>
        <v/>
      </c>
      <c r="BP70" s="1186" t="str">
        <f>IF(I70="Si",VLOOKUP($D$8,'Tablas Técnicas'!$E$4:$F$6,2,FALSE),"")</f>
        <v/>
      </c>
      <c r="BQ70" s="1187" t="str">
        <f>IF(L70="Si",VLOOKUP($D$8,'Tablas Técnicas'!$I$4:$J$6,2,FALSE),"")</f>
        <v/>
      </c>
      <c r="BR70" s="1185" t="str">
        <f>IF(O70="Si",VLOOKUP($D$8,'Tablas Técnicas'!$I$7:$J$9,2,FALSE),"")</f>
        <v/>
      </c>
      <c r="BS70" s="1151"/>
      <c r="BT70" s="261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92"/>
      <c r="BV70" s="1128"/>
      <c r="BW70" s="1183" t="str">
        <f>IF(SUM(BT70:BU70)=0,"N/A",SUM(BT70:BU70))</f>
        <v>N/A</v>
      </c>
      <c r="BX70" s="261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83" t="str">
        <f>IF(BX70=0,"N/A",BX70)</f>
        <v>N/A</v>
      </c>
      <c r="BZ70" s="2351"/>
      <c r="CA70" s="1096"/>
      <c r="DR70" s="1096"/>
      <c r="DT70" s="1514"/>
      <c r="DU70" s="1569"/>
      <c r="DV70" s="1570"/>
      <c r="DW70" s="1567"/>
      <c r="DX70" s="1568"/>
      <c r="DY70" s="1513"/>
      <c r="DZ70" s="1096"/>
      <c r="EA70" s="1660">
        <f t="shared" si="0"/>
        <v>1</v>
      </c>
    </row>
    <row r="71" spans="1:131" s="1170" customFormat="1" ht="12" thickBot="1" x14ac:dyDescent="0.25">
      <c r="A71" s="1096"/>
      <c r="B71" s="1096"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97"/>
      <c r="D71" s="1643" t="s">
        <v>2310</v>
      </c>
      <c r="E71" s="1140"/>
      <c r="F71" s="1176"/>
      <c r="G71" s="1146" t="str">
        <f>IF(E71=0,"",VLOOKUP(E71,'Tablas Técnicas'!$A$14:$V$771,3,FALSE))</f>
        <v/>
      </c>
      <c r="H71" s="1188" t="str">
        <f>IF($E71=0,"",VLOOKUP($E71,'Tablas Técnicas'!$A$14:$V$771,4,FALSE))</f>
        <v/>
      </c>
      <c r="I71" s="1144" t="s">
        <v>2234</v>
      </c>
      <c r="J71" s="1607" t="str">
        <f>IF(E71=0,"",VLOOKUP(E71,'Tablas Técnicas'!$A$14:$V$771,5,FALSE))</f>
        <v/>
      </c>
      <c r="K71" s="1190" t="str">
        <f>IF(I71="Si",IF(E71=0,"",VLOOKUP(E71,'Tablas Técnicas'!$A$14:$V$771,5,FALSE)),"")</f>
        <v/>
      </c>
      <c r="L71" s="1144" t="s">
        <v>2234</v>
      </c>
      <c r="M71" s="1607" t="str">
        <f>IF(E71=0,"",VLOOKUP(E71,'Tablas Técnicas'!$A$14:$V$771,6,FALSE))</f>
        <v/>
      </c>
      <c r="N71" s="1147" t="str">
        <f>IF(L71="Si",IF(E71=0,"",VLOOKUP(E71,'Tablas Técnicas'!$A$14:$V$771,6,FALSE)),"")</f>
        <v/>
      </c>
      <c r="O71" s="1144" t="s">
        <v>2234</v>
      </c>
      <c r="P71" s="1607" t="str">
        <f>IF(E71=0,"",VLOOKUP(E71,'Tablas Técnicas'!$A$14:$V$771,7,FALSE))</f>
        <v/>
      </c>
      <c r="Q71" s="1147" t="str">
        <f>IF(O71="Si",IF(E71=0,"",VLOOKUP(E71,'Tablas Técnicas'!$A$14:$V$771,7,FALSE)),"")</f>
        <v/>
      </c>
      <c r="R71" s="1189" t="str">
        <f>IF(E71=0,"",VLOOKUP(E71,'Tablas Técnicas'!$A$14:$V$771,8,FALSE))</f>
        <v/>
      </c>
      <c r="S71" s="1161" t="str">
        <f>IF(R71=$D$8,$D$8,IF(R71=2,2,IF(R71=3,3,R71)))</f>
        <v/>
      </c>
      <c r="T71" s="1190" t="str">
        <f>IF(E71=0,"",VLOOKUP(E71,'Tablas Técnicas'!$A$14:$V$771,9,FALSE))</f>
        <v/>
      </c>
      <c r="U71" s="1190" t="str">
        <f>IF(E71=0,"",VLOOKUP(E71,'Tablas Técnicas'!$A$14:$V$771,10,FALSE))</f>
        <v/>
      </c>
      <c r="V71" s="1191" t="str">
        <f>IF(E71=0,"",VLOOKUP(E71,'Tablas Técnicas'!$A$14:$V$771,11,FALSE))</f>
        <v/>
      </c>
      <c r="W71" s="1144"/>
      <c r="X71" s="1145" t="e">
        <f>VLOOKUP(E71,'Tablas Técnicas'!$A$14:$V$771,12,FALSE)</f>
        <v>#N/A</v>
      </c>
      <c r="Y71" s="1145" t="e">
        <f>IF(W71=X71,VLOOKUP(E71,'Tablas Técnicas'!$A$14:$V$771,13,FALSE),0)</f>
        <v>#N/A</v>
      </c>
      <c r="Z71" s="1145" t="e">
        <f>VLOOKUP(E71,'Tablas Técnicas'!$A$14:$V$771,14,FALSE)</f>
        <v>#N/A</v>
      </c>
      <c r="AA71" s="1145" t="e">
        <f>IF(W71=Z71,VLOOKUP(E71,'Tablas Técnicas'!$A$14:$V$616,15,FALSE),0)</f>
        <v>#N/A</v>
      </c>
      <c r="AB71" s="1145" t="e">
        <f>VLOOKUP(E71,'Tablas Técnicas'!$A$14:$V$771,16,FALSE)</f>
        <v>#N/A</v>
      </c>
      <c r="AC71" s="1145" t="e">
        <f>IF(W71=AB71,VLOOKUP(E71,'Tablas Técnicas'!$A$14:$V$616,17,FALSE),0)</f>
        <v>#N/A</v>
      </c>
      <c r="AD71" s="1145" t="e">
        <f>VLOOKUP(E71,'Tablas Técnicas'!$A$14:$V$771,18,FALSE)</f>
        <v>#N/A</v>
      </c>
      <c r="AE71" s="1145" t="e">
        <f>IF(W71=AD71,VLOOKUP(E71,'Tablas Técnicas'!$A$14:$V$771,19,FALSE),0)</f>
        <v>#N/A</v>
      </c>
      <c r="AF71" s="1163" t="str">
        <f>IF(E71=0,"",(Y71+AA71+AC71+AE71))</f>
        <v/>
      </c>
      <c r="AG71" s="1144"/>
      <c r="AH71" s="1162" t="e">
        <f>VLOOKUP(E71,'Tablas Técnicas'!$A$14:$V$771,12,FALSE)</f>
        <v>#N/A</v>
      </c>
      <c r="AI71" s="1162" t="e">
        <f>IF(AG71=AH71,VLOOKUP(E71,'Tablas Técnicas'!$A$14:$V$771,13,FALSE),0)</f>
        <v>#N/A</v>
      </c>
      <c r="AJ71" s="1162" t="e">
        <f>VLOOKUP(E71,'Tablas Técnicas'!$A$14:$V$771,14,FALSE)</f>
        <v>#N/A</v>
      </c>
      <c r="AK71" s="1162" t="e">
        <f>IF(AG71=AJ71,VLOOKUP(E71,'Tablas Técnicas'!$A$14:$V$771,15,FALSE),0)</f>
        <v>#N/A</v>
      </c>
      <c r="AL71" s="1162" t="e">
        <f>VLOOKUP(E71,'Tablas Técnicas'!$A$14:$V$771,16,FALSE)</f>
        <v>#N/A</v>
      </c>
      <c r="AM71" s="1162" t="e">
        <f>IF(AG71=AL71,VLOOKUP(E71,'Tablas Técnicas'!$A$14:$V$771,17,FALSE),0)</f>
        <v>#N/A</v>
      </c>
      <c r="AN71" s="1162" t="e">
        <f>VLOOKUP(E71,'Tablas Técnicas'!$A$14:$V$771,18,FALSE)</f>
        <v>#N/A</v>
      </c>
      <c r="AO71" s="1162" t="e">
        <f>IF(AG71=AN71,VLOOKUP(E71,'Tablas Técnicas'!$A$14:$V$771,19,FALSE),0)</f>
        <v>#N/A</v>
      </c>
      <c r="AP71" s="2620" t="str">
        <f>IF(E71=0,"",(AI71+AK71+AM71+AO71))</f>
        <v/>
      </c>
      <c r="AQ71" s="1144"/>
      <c r="AR71" s="1162" t="e">
        <f>VLOOKUP(E71,'Tablas Técnicas'!$A$14:$V$771,12,FALSE)</f>
        <v>#N/A</v>
      </c>
      <c r="AS71" s="1162" t="e">
        <f>IF(AQ71=AR71,VLOOKUP(E71,'Tablas Técnicas'!$A$14:$V$771,13,FALSE),0)</f>
        <v>#N/A</v>
      </c>
      <c r="AT71" s="1162" t="e">
        <f>VLOOKUP(E71,'Tablas Técnicas'!$A$14:$V$771,14,FALSE)</f>
        <v>#N/A</v>
      </c>
      <c r="AU71" s="1162" t="e">
        <f>IF(AQ71=AT71,VLOOKUP(E71,'Tablas Técnicas'!$A$14:$V$771,15,FALSE),0)</f>
        <v>#N/A</v>
      </c>
      <c r="AV71" s="1162" t="e">
        <f>VLOOKUP(E71,'Tablas Técnicas'!$A$14:$V$771,16,FALSE)</f>
        <v>#N/A</v>
      </c>
      <c r="AW71" s="1162" t="e">
        <f>IF(AQ71=AV71,VLOOKUP(E71,'Tablas Técnicas'!$A$14:$V$771,17,FALSE),0)</f>
        <v>#N/A</v>
      </c>
      <c r="AX71" s="1162" t="e">
        <f>VLOOKUP(E71,'Tablas Técnicas'!$A$14:$V$771,18,FALSE)</f>
        <v>#N/A</v>
      </c>
      <c r="AY71" s="1162" t="e">
        <f>IF(AQ71=AX71,VLOOKUP(E71,'Tablas Técnicas'!$A$14:$V$771,19,FALSE),0)</f>
        <v>#N/A</v>
      </c>
      <c r="AZ71" s="1163" t="str">
        <f>IF(E71=0,"",(AS71+AU71+AW71+AY71))</f>
        <v/>
      </c>
      <c r="BA71" s="1144"/>
      <c r="BB71" s="1162" t="e">
        <f>VLOOKUP(E71,'Tablas Técnicas'!$A$14:$V$771,12,FALSE)</f>
        <v>#N/A</v>
      </c>
      <c r="BC71" s="1162" t="e">
        <f>IF(BA71=BB71,VLOOKUP(E71,'Tablas Técnicas'!$A$14:$V$771,13,FALSE),0)</f>
        <v>#N/A</v>
      </c>
      <c r="BD71" s="1162" t="e">
        <f>VLOOKUP(E71,'Tablas Técnicas'!$A$14:$V$771,14,FALSE)</f>
        <v>#N/A</v>
      </c>
      <c r="BE71" s="1162" t="e">
        <f>IF(BA71=BD71,VLOOKUP(E71,'Tablas Técnicas'!$A$14:$V$771,15,FALSE),0)</f>
        <v>#N/A</v>
      </c>
      <c r="BF71" s="1162" t="e">
        <f>VLOOKUP(E71,'Tablas Técnicas'!$A$14:$V$771,16,FALSE)</f>
        <v>#N/A</v>
      </c>
      <c r="BG71" s="1162" t="e">
        <f>IF(BA71=BF71,VLOOKUP(E71,'Tablas Técnicas'!$A$14:$V$771,17,FALSE),0)</f>
        <v>#N/A</v>
      </c>
      <c r="BH71" s="1162" t="e">
        <f>VLOOKUP(E71,'Tablas Técnicas'!$A$14:$V$771,18,FALSE)</f>
        <v>#N/A</v>
      </c>
      <c r="BI71" s="1162" t="e">
        <f>IF(BA71=BH71,VLOOKUP(E71,'Tablas Técnicas'!$A$14:$V$771,19,FALSE),0)</f>
        <v>#N/A</v>
      </c>
      <c r="BJ71" s="2620" t="str">
        <f>IF(E71=0,"",(BC71+BE71+BG71+BI71))</f>
        <v/>
      </c>
      <c r="BK71" s="1190" t="str">
        <f>IF(E71=0,"",VLOOKUP(E71,'Tablas Técnicas'!$A$14:$V$771,20,FALSE))</f>
        <v/>
      </c>
      <c r="BL71" s="1177" t="str">
        <f>IF(E71=0,"",VLOOKUP(E71,'Tablas Técnicas'!$A$14:$V$771,21,FALSE))</f>
        <v/>
      </c>
      <c r="BM71" s="1148" t="str">
        <f>IF(E71=0,"",VLOOKUP(E71,'Tablas Técnicas'!$A$14:$V$771,22,FALSE))</f>
        <v/>
      </c>
      <c r="BN71" s="1149"/>
      <c r="BO71" s="1150"/>
      <c r="BP71" s="1135" t="str">
        <f>IF(I71="Si",VLOOKUP($D$8,'Tablas Técnicas'!$E$4:$F$6,2,FALSE),"")</f>
        <v/>
      </c>
      <c r="BQ71" s="1136" t="str">
        <f>IF(L71="Si",VLOOKUP($D$8,'Tablas Técnicas'!$I$4:$J$6,2,FALSE),"")</f>
        <v/>
      </c>
      <c r="BR71" s="1134" t="str">
        <f>IF(O71="Si",VLOOKUP($D$8,'Tablas Técnicas'!$I$7:$J$9,2,FALSE),"")</f>
        <v/>
      </c>
      <c r="BS71" s="1151"/>
      <c r="BT71" s="1117"/>
      <c r="BU71" s="4442"/>
      <c r="BV71" s="4442"/>
      <c r="BW71" s="4442"/>
      <c r="BX71" s="1108"/>
      <c r="BY71" s="1475"/>
      <c r="BZ71" s="1492"/>
      <c r="CA71" s="1096"/>
      <c r="DR71" s="1096"/>
      <c r="DS71" s="1509"/>
      <c r="DT71" s="1515"/>
      <c r="DU71" s="1618" t="str">
        <f>DU47&amp;DU48&amp;DU49&amp;DU50&amp;DU51&amp;DU52</f>
        <v/>
      </c>
      <c r="DV71" s="1619" t="str">
        <f>DV47&amp;DV48&amp;DV49&amp;DV50&amp;DV51&amp;DV53&amp;DV54&amp;DV55&amp;DV56&amp;DV57&amp;DV59&amp;DV60&amp;DV61&amp;DV62&amp;DV63&amp;DV65&amp;DV66&amp;DV67&amp;DV68&amp;DV69</f>
        <v/>
      </c>
      <c r="DW71" s="1620" t="str">
        <f>DW47&amp;DW48&amp;DW49</f>
        <v/>
      </c>
      <c r="DX71" s="1621" t="str">
        <f>IF(DX53="",DX47,DX53)</f>
        <v/>
      </c>
      <c r="DY71" s="1516"/>
      <c r="DZ71" s="1096"/>
      <c r="EA71" s="1660">
        <f t="shared" si="0"/>
        <v>1</v>
      </c>
    </row>
    <row r="72" spans="1:131" x14ac:dyDescent="0.2">
      <c r="A72" s="1096"/>
      <c r="B72" s="1096"/>
      <c r="C72" s="1497"/>
      <c r="D72" s="1642" t="s">
        <v>2310</v>
      </c>
      <c r="E72" s="1152"/>
      <c r="F72" s="1182"/>
      <c r="G72" s="1627" t="str">
        <f>IF(E72=0,"",VLOOKUP(E72,'Tablas Técnicas'!$A$14:$V$771,3,FALSE))</f>
        <v/>
      </c>
      <c r="H72" s="1155" t="str">
        <f>IF($E72=0,"",VLOOKUP($E72,'Tablas Técnicas'!$A$14:$V$771,4,FALSE))</f>
        <v/>
      </c>
      <c r="I72" s="1156" t="s">
        <v>2234</v>
      </c>
      <c r="J72" s="1605" t="str">
        <f>IF(E72=0,"",VLOOKUP(E72,'Tablas Técnicas'!$A$14:$V$771,5,FALSE))</f>
        <v/>
      </c>
      <c r="K72" s="1158" t="str">
        <f>IF(I72="Si",IF(E72=0,"",VLOOKUP(E72,'Tablas Técnicas'!$A$14:$V$771,5,FALSE)),"")</f>
        <v/>
      </c>
      <c r="L72" s="1156" t="s">
        <v>2234</v>
      </c>
      <c r="M72" s="1605" t="str">
        <f>IF(E72=0,"",VLOOKUP(E72,'Tablas Técnicas'!$A$14:$V$771,6,FALSE))</f>
        <v/>
      </c>
      <c r="N72" s="1159" t="str">
        <f>IF(L72="Si",IF(E72=0,"",VLOOKUP(E72,'Tablas Técnicas'!$A$14:$V$771,6,FALSE)),"")</f>
        <v/>
      </c>
      <c r="O72" s="1156" t="s">
        <v>2234</v>
      </c>
      <c r="P72" s="1605" t="str">
        <f>IF(E72=0,"",VLOOKUP(E72,'Tablas Técnicas'!$A$14:$V$771,7,FALSE))</f>
        <v/>
      </c>
      <c r="Q72" s="1159" t="str">
        <f>IF(O72="Si",IF(E72=0,"",VLOOKUP(E72,'Tablas Técnicas'!$A$14:$V$771,7,FALSE)),"")</f>
        <v/>
      </c>
      <c r="R72" s="1157" t="str">
        <f>IF(E72=0,"",VLOOKUP(E72,'Tablas Técnicas'!$A$14:$V$771,8,FALSE))</f>
        <v/>
      </c>
      <c r="S72" s="1155" t="str">
        <f>IF(R72=$D$8,$D$8,IF(R72=2,2,IF(R72=3,3,R72)))</f>
        <v/>
      </c>
      <c r="T72" s="4475" t="s">
        <v>5228</v>
      </c>
      <c r="U72" s="4476"/>
      <c r="V72" s="4476"/>
      <c r="W72" s="4476"/>
      <c r="X72" s="4476"/>
      <c r="Y72" s="4476"/>
      <c r="Z72" s="4476"/>
      <c r="AA72" s="4476"/>
      <c r="AB72" s="4476"/>
      <c r="AC72" s="4476"/>
      <c r="AD72" s="4476"/>
      <c r="AE72" s="4476"/>
      <c r="AF72" s="4476"/>
      <c r="AG72" s="4476"/>
      <c r="AH72" s="4476"/>
      <c r="AI72" s="4476"/>
      <c r="AJ72" s="4476"/>
      <c r="AK72" s="4476"/>
      <c r="AL72" s="4476"/>
      <c r="AM72" s="4476"/>
      <c r="AN72" s="4476"/>
      <c r="AO72" s="4476"/>
      <c r="AP72" s="4476"/>
      <c r="AQ72" s="4476"/>
      <c r="AR72" s="4476"/>
      <c r="AS72" s="4476"/>
      <c r="AT72" s="4476"/>
      <c r="AU72" s="4476"/>
      <c r="AV72" s="4476"/>
      <c r="AW72" s="4476"/>
      <c r="AX72" s="4476"/>
      <c r="AY72" s="4476"/>
      <c r="AZ72" s="4476"/>
      <c r="BA72" s="4476"/>
      <c r="BB72" s="4476"/>
      <c r="BC72" s="4476"/>
      <c r="BD72" s="4476"/>
      <c r="BE72" s="4476"/>
      <c r="BF72" s="4476"/>
      <c r="BG72" s="4476"/>
      <c r="BH72" s="4476"/>
      <c r="BI72" s="4476"/>
      <c r="BJ72" s="4476"/>
      <c r="BK72" s="4477"/>
      <c r="BL72" s="1627"/>
      <c r="BM72" s="1628"/>
      <c r="BN72" s="1149"/>
      <c r="BO72" s="1150"/>
      <c r="BP72" s="1135" t="str">
        <f>IF(I72="Si",VLOOKUP($D$8,'Tablas Técnicas'!$E$4:$F$6,2,FALSE),"")</f>
        <v/>
      </c>
      <c r="BQ72" s="1136" t="str">
        <f>IF(L72="Si",VLOOKUP($D$8,'Tablas Técnicas'!$I$4:$J$6,2,FALSE),"")</f>
        <v/>
      </c>
      <c r="BR72" s="1134" t="str">
        <f>IF(O72="Si",VLOOKUP($D$8,'Tablas Técnicas'!$I$7:$J$9,2,FALSE),"")</f>
        <v/>
      </c>
      <c r="BS72" s="1151"/>
      <c r="BT72" s="1194"/>
      <c r="BU72" s="1232"/>
      <c r="BV72" s="1232"/>
      <c r="BW72" s="1232"/>
      <c r="BX72" s="1108"/>
      <c r="BY72" s="1474"/>
      <c r="BZ72" s="1492"/>
      <c r="CA72" s="1096"/>
      <c r="DR72" s="1096"/>
      <c r="DT72" s="1514"/>
      <c r="DU72" s="1567"/>
      <c r="DV72" s="1566" t="str">
        <f>IF(E72="","",E72)&amp;IF(I72="No",""," (Mant.)")&amp;IF(L72="No",""," (Sme)")&amp;IF(O72="No",""," (SMa)")</f>
        <v/>
      </c>
      <c r="DW72" s="1567"/>
      <c r="DX72" s="1567"/>
      <c r="DY72" s="1513"/>
      <c r="DZ72" s="1096"/>
      <c r="EA72" s="1660">
        <f t="shared" si="0"/>
        <v>1</v>
      </c>
    </row>
    <row r="73" spans="1:131" ht="11.25" customHeight="1" x14ac:dyDescent="0.2">
      <c r="A73" s="1096"/>
      <c r="B73" s="1096"/>
      <c r="C73" s="1497"/>
      <c r="D73" s="1643" t="s">
        <v>2310</v>
      </c>
      <c r="E73" s="1160"/>
      <c r="F73" s="1176"/>
      <c r="G73" s="1146" t="str">
        <f>IF(E73=0,"",VLOOKUP(E73,'Tablas Técnicas'!$A$14:$V$771,3,FALSE))</f>
        <v/>
      </c>
      <c r="H73" s="2619" t="str">
        <f>IF($E73=0,"",VLOOKUP($E73,'Tablas Técnicas'!$A$14:$V$771,4,FALSE))</f>
        <v/>
      </c>
      <c r="I73" s="1144" t="s">
        <v>2234</v>
      </c>
      <c r="J73" s="1601" t="str">
        <f>IF(E73=0,"",VLOOKUP(E73,'Tablas Técnicas'!$A$14:$V$771,5,FALSE))</f>
        <v/>
      </c>
      <c r="K73" s="1163" t="str">
        <f>IF(I73="Si",IF(E73=0,"",VLOOKUP(E73,'Tablas Técnicas'!$A$14:$V$771,5,FALSE)),"")</f>
        <v/>
      </c>
      <c r="L73" s="1144" t="s">
        <v>2234</v>
      </c>
      <c r="M73" s="1601" t="str">
        <f>IF(E73=0,"",VLOOKUP(E73,'Tablas Técnicas'!$A$14:$V$771,6,FALSE))</f>
        <v/>
      </c>
      <c r="N73" s="1147" t="str">
        <f>IF(L73="Si",IF(E73=0,"",VLOOKUP(E73,'Tablas Técnicas'!$A$14:$V$771,6,FALSE)),"")</f>
        <v/>
      </c>
      <c r="O73" s="1144" t="s">
        <v>2234</v>
      </c>
      <c r="P73" s="1601" t="str">
        <f>IF(E73=0,"",VLOOKUP(E73,'Tablas Técnicas'!$A$14:$V$771,7,FALSE))</f>
        <v/>
      </c>
      <c r="Q73" s="1147" t="str">
        <f>IF(O73="Si",IF(E73=0,"",VLOOKUP(E73,'Tablas Técnicas'!$A$14:$V$771,7,FALSE)),"")</f>
        <v/>
      </c>
      <c r="R73" s="1162" t="str">
        <f>IF(E73=0,"",VLOOKUP(E73,'Tablas Técnicas'!$A$14:$V$771,8,FALSE))</f>
        <v/>
      </c>
      <c r="S73" s="2619" t="str">
        <f>IF(R73=$D$8,$D$8,IF(R73=2,2,IF(R73=3,3,R73)))</f>
        <v/>
      </c>
      <c r="T73" s="4487"/>
      <c r="U73" s="4488"/>
      <c r="V73" s="2617" t="str">
        <f>IF(OR(V71=0,V71=""),"N/A",V71)</f>
        <v>N/A</v>
      </c>
      <c r="W73" s="4487" t="str">
        <f xml:space="preserve"> IF(OR(AF71=0,AF71=""),"N/A",W71)</f>
        <v>N/A</v>
      </c>
      <c r="X73" s="4489"/>
      <c r="Y73" s="4489"/>
      <c r="Z73" s="4489"/>
      <c r="AA73" s="4489"/>
      <c r="AB73" s="4489"/>
      <c r="AC73" s="4489"/>
      <c r="AD73" s="4489"/>
      <c r="AE73" s="4489"/>
      <c r="AF73" s="4488"/>
      <c r="AG73" s="4487" t="str">
        <f xml:space="preserve"> IF(OR(AP71="",AP71=0),"N/A",AG71)</f>
        <v>N/A</v>
      </c>
      <c r="AH73" s="4489"/>
      <c r="AI73" s="4489"/>
      <c r="AJ73" s="4489"/>
      <c r="AK73" s="4489"/>
      <c r="AL73" s="4489"/>
      <c r="AM73" s="4489"/>
      <c r="AN73" s="4489"/>
      <c r="AO73" s="4489"/>
      <c r="AP73" s="4488"/>
      <c r="AQ73" s="4487" t="str">
        <f xml:space="preserve"> IF(OR(AZ71="",AZ71=0),"N/A",AQ71)</f>
        <v>N/A</v>
      </c>
      <c r="AR73" s="4489"/>
      <c r="AS73" s="4489"/>
      <c r="AT73" s="4489"/>
      <c r="AU73" s="4489"/>
      <c r="AV73" s="4489"/>
      <c r="AW73" s="4489"/>
      <c r="AX73" s="4489"/>
      <c r="AY73" s="4489"/>
      <c r="AZ73" s="4488"/>
      <c r="BA73" s="4487" t="str">
        <f xml:space="preserve"> IF(OR(BJ71="",BJ71=0),"N/A",BA71)</f>
        <v>N/A</v>
      </c>
      <c r="BB73" s="4489"/>
      <c r="BC73" s="4489"/>
      <c r="BD73" s="4489"/>
      <c r="BE73" s="4489"/>
      <c r="BF73" s="4489"/>
      <c r="BG73" s="4489"/>
      <c r="BH73" s="4489"/>
      <c r="BI73" s="4489"/>
      <c r="BJ73" s="4488"/>
      <c r="BK73" s="1164" t="s">
        <v>5229</v>
      </c>
      <c r="BL73" s="1146"/>
      <c r="BM73" s="1181"/>
      <c r="BN73" s="1165"/>
      <c r="BO73" s="1166"/>
      <c r="BP73" s="1167" t="str">
        <f>IF(I73="Si",VLOOKUP($D$8,'Tablas Técnicas'!$E$4:$F$6,2,FALSE),"")</f>
        <v/>
      </c>
      <c r="BQ73" s="1137" t="str">
        <f>IF(L73="Si",VLOOKUP($D$8,'Tablas Técnicas'!$I$4:$J$6,2,FALSE),"")</f>
        <v/>
      </c>
      <c r="BR73" s="1168" t="str">
        <f>IF(O73="Si",VLOOKUP($D$8,'Tablas Técnicas'!$I$7:$J$9,2,FALSE),"")</f>
        <v/>
      </c>
      <c r="BS73" s="1151"/>
      <c r="BU73" s="4443"/>
      <c r="BV73" s="4443"/>
      <c r="BW73" s="4443"/>
      <c r="BX73" s="1108"/>
      <c r="BY73" s="1474"/>
      <c r="BZ73" s="1492"/>
      <c r="CA73" s="1096"/>
      <c r="DR73" s="1096"/>
      <c r="DT73" s="1514"/>
      <c r="DU73" s="1567"/>
      <c r="DV73" s="1566" t="str">
        <f>IF(E73="","",E73)&amp;IF(I73="No",""," (Mant.)")&amp;IF(L73="No",""," (Sme)")&amp;IF(O73="No",""," (SMa)")</f>
        <v/>
      </c>
      <c r="DW73" s="1567"/>
      <c r="DX73" s="1567"/>
      <c r="DY73" s="1513"/>
      <c r="DZ73" s="1096"/>
      <c r="EA73" s="1660">
        <f t="shared" si="0"/>
        <v>1</v>
      </c>
    </row>
    <row r="74" spans="1:131" ht="11.25" customHeight="1" x14ac:dyDescent="0.2">
      <c r="A74" s="1096"/>
      <c r="B74" s="1096"/>
      <c r="C74" s="1497"/>
      <c r="D74" s="1642" t="s">
        <v>2310</v>
      </c>
      <c r="E74" s="1152"/>
      <c r="F74" s="1182"/>
      <c r="G74" s="1627" t="str">
        <f>IF(E74=0,"",VLOOKUP(E74,'Tablas Técnicas'!$A$14:$V$771,3,FALSE))</f>
        <v/>
      </c>
      <c r="H74" s="1155" t="str">
        <f>IF($E74=0,"",VLOOKUP($E74,'Tablas Técnicas'!$A$14:$V$771,4,FALSE))</f>
        <v/>
      </c>
      <c r="I74" s="1156" t="s">
        <v>2234</v>
      </c>
      <c r="J74" s="1605" t="str">
        <f>IF(E74=0,"",VLOOKUP(E74,'Tablas Técnicas'!$A$14:$V$771,5,FALSE))</f>
        <v/>
      </c>
      <c r="K74" s="1158" t="str">
        <f>IF(I74="Si",IF(E74=0,"",VLOOKUP(E74,'Tablas Técnicas'!$A$14:$V$771,5,FALSE)),"")</f>
        <v/>
      </c>
      <c r="L74" s="1156" t="s">
        <v>2234</v>
      </c>
      <c r="M74" s="1605" t="str">
        <f>IF(E74=0,"",VLOOKUP(E74,'Tablas Técnicas'!$A$14:$V$771,6,FALSE))</f>
        <v/>
      </c>
      <c r="N74" s="1159" t="str">
        <f>IF(L74="Si",IF(E74=0,"",VLOOKUP(E74,'Tablas Técnicas'!$A$14:$V$771,6,FALSE)),"")</f>
        <v/>
      </c>
      <c r="O74" s="1156" t="s">
        <v>2234</v>
      </c>
      <c r="P74" s="1605" t="str">
        <f>IF(E74=0,"",VLOOKUP(E74,'Tablas Técnicas'!$A$14:$V$771,7,FALSE))</f>
        <v/>
      </c>
      <c r="Q74" s="1159" t="str">
        <f>IF(O74="Si",IF(E74=0,"",VLOOKUP(E74,'Tablas Técnicas'!$A$14:$V$771,7,FALSE)),"")</f>
        <v/>
      </c>
      <c r="R74" s="1157" t="str">
        <f>IF(E74=0,"",VLOOKUP(E74,'Tablas Técnicas'!$A$14:$V$771,8,FALSE))</f>
        <v/>
      </c>
      <c r="S74" s="1155" t="str">
        <f>IF(R74=$D$8,$D$8,IF(R74=2,2,IF(R74=3,3,R74)))</f>
        <v/>
      </c>
      <c r="T74" s="4490" t="s">
        <v>5230</v>
      </c>
      <c r="U74" s="4491"/>
      <c r="V74" s="2618"/>
      <c r="W74" s="4492"/>
      <c r="X74" s="4493"/>
      <c r="Y74" s="4493"/>
      <c r="Z74" s="4493"/>
      <c r="AA74" s="4493"/>
      <c r="AB74" s="4493"/>
      <c r="AC74" s="4493"/>
      <c r="AD74" s="4493"/>
      <c r="AE74" s="4493"/>
      <c r="AF74" s="4494"/>
      <c r="AG74" s="4492"/>
      <c r="AH74" s="4493"/>
      <c r="AI74" s="4493"/>
      <c r="AJ74" s="4493"/>
      <c r="AK74" s="4493"/>
      <c r="AL74" s="4493"/>
      <c r="AM74" s="4493"/>
      <c r="AN74" s="4493"/>
      <c r="AO74" s="4493"/>
      <c r="AP74" s="4494"/>
      <c r="AQ74" s="4492"/>
      <c r="AR74" s="4493"/>
      <c r="AS74" s="4493"/>
      <c r="AT74" s="4493"/>
      <c r="AU74" s="4493"/>
      <c r="AV74" s="4493"/>
      <c r="AW74" s="4493"/>
      <c r="AX74" s="4493"/>
      <c r="AY74" s="4493"/>
      <c r="AZ74" s="4494"/>
      <c r="BA74" s="4492"/>
      <c r="BB74" s="4493"/>
      <c r="BC74" s="4493"/>
      <c r="BD74" s="4493"/>
      <c r="BE74" s="4493"/>
      <c r="BF74" s="4493"/>
      <c r="BG74" s="4493"/>
      <c r="BH74" s="4493"/>
      <c r="BI74" s="4493"/>
      <c r="BJ74" s="4494"/>
      <c r="BK74" s="1155">
        <f>(SUM(G71:G75)+IF(AF71="",0,AF71)+IF(AP71="",0,AP71)+IF(AZ71="",0,AZ71)+IF(BJ71="",0,BJ71)+SUM(K71:K75)+SUM(N71:N75)+SUM(Q71:Q75))- SUM(V74:BA74)</f>
        <v>0</v>
      </c>
      <c r="BL74" s="1627"/>
      <c r="BM74" s="1628"/>
      <c r="BN74" s="1149"/>
      <c r="BO74" s="1150"/>
      <c r="BP74" s="1135" t="str">
        <f>IF(I74="Si",VLOOKUP($D$8,'Tablas Técnicas'!$E$4:$F$6,2,FALSE),"")</f>
        <v/>
      </c>
      <c r="BQ74" s="1136" t="str">
        <f>IF(L74="Si",VLOOKUP($D$8,'Tablas Técnicas'!$I$4:$J$6,2,FALSE),"")</f>
        <v/>
      </c>
      <c r="BR74" s="1134" t="str">
        <f>IF(O74="Si",VLOOKUP($D$8,'Tablas Técnicas'!$I$7:$J$9,2,FALSE),"")</f>
        <v/>
      </c>
      <c r="BS74" s="1151"/>
      <c r="BU74" s="1232"/>
      <c r="BV74" s="1232"/>
      <c r="BW74" s="1232"/>
      <c r="BX74" s="1108"/>
      <c r="BY74" s="1474"/>
      <c r="BZ74" s="1492"/>
      <c r="CA74" s="1100"/>
      <c r="DR74" s="1100"/>
      <c r="DT74" s="1514"/>
      <c r="DU74" s="1622"/>
      <c r="DV74" s="1566" t="str">
        <f>IF(E74="","",E74)&amp;IF(I74="No",""," (Mant.)")&amp;IF(L74="No",""," (Sme)")&amp;IF(O74="No",""," (SMa)")</f>
        <v/>
      </c>
      <c r="DW74" s="1622"/>
      <c r="DX74" s="1622"/>
      <c r="DY74" s="1513"/>
      <c r="DZ74" s="1100"/>
      <c r="EA74" s="1660">
        <f t="shared" ref="EA74:EA137" si="1">EA73</f>
        <v>1</v>
      </c>
    </row>
    <row r="75" spans="1:131" x14ac:dyDescent="0.2">
      <c r="A75" s="1096"/>
      <c r="B75" s="1096"/>
      <c r="C75" s="1497"/>
      <c r="D75" s="1643" t="s">
        <v>2310</v>
      </c>
      <c r="E75" s="1160"/>
      <c r="F75" s="1176"/>
      <c r="G75" s="1146" t="str">
        <f>IF(E75=0,"",VLOOKUP(E75,'Tablas Técnicas'!$A$14:$V$771,3,FALSE))</f>
        <v/>
      </c>
      <c r="H75" s="1161" t="str">
        <f>IF($E75=0,"",VLOOKUP($E75,'Tablas Técnicas'!$A$14:$V$771,4,FALSE))</f>
        <v/>
      </c>
      <c r="I75" s="1144" t="s">
        <v>2234</v>
      </c>
      <c r="J75" s="1601" t="str">
        <f>IF(E75=0,"",VLOOKUP(E75,'Tablas Técnicas'!$A$14:$V$771,5,FALSE))</f>
        <v/>
      </c>
      <c r="K75" s="1163" t="str">
        <f>IF(I75="Si",IF(E75=0,"",VLOOKUP(E75,'Tablas Técnicas'!$A$14:$V$771,5,FALSE)),"")</f>
        <v/>
      </c>
      <c r="L75" s="1144" t="s">
        <v>2234</v>
      </c>
      <c r="M75" s="1601" t="str">
        <f>IF(E75=0,"",VLOOKUP(E75,'Tablas Técnicas'!$A$14:$V$771,6,FALSE))</f>
        <v/>
      </c>
      <c r="N75" s="1147" t="str">
        <f>IF(L75="Si",IF(E75=0,"",VLOOKUP(E75,'Tablas Técnicas'!$A$14:$V$771,6,FALSE)),"")</f>
        <v/>
      </c>
      <c r="O75" s="1144" t="s">
        <v>2234</v>
      </c>
      <c r="P75" s="1601" t="str">
        <f>IF(E75=0,"",VLOOKUP(E75,'Tablas Técnicas'!$A$14:$V$771,7,FALSE))</f>
        <v/>
      </c>
      <c r="Q75" s="1147" t="str">
        <f>IF(O75="Si",IF(E75=0,"",VLOOKUP(E75,'Tablas Técnicas'!$A$14:$V$771,7,FALSE)),"")</f>
        <v/>
      </c>
      <c r="R75" s="1162" t="str">
        <f>IF(E75=0,"",VLOOKUP(E75,'Tablas Técnicas'!$A$14:$V$771,8,FALSE))</f>
        <v/>
      </c>
      <c r="S75" s="1161" t="str">
        <f>IF(R75=$D$8,$D$8,IF(R75=2,2,IF(R75=3,3,R75)))</f>
        <v/>
      </c>
      <c r="T75" s="4495" t="s">
        <v>5232</v>
      </c>
      <c r="U75" s="4496"/>
      <c r="V75" s="2621"/>
      <c r="W75" s="4497"/>
      <c r="X75" s="4498"/>
      <c r="Y75" s="4498"/>
      <c r="Z75" s="4498"/>
      <c r="AA75" s="4498"/>
      <c r="AB75" s="4498"/>
      <c r="AC75" s="4498"/>
      <c r="AD75" s="4498"/>
      <c r="AE75" s="4498"/>
      <c r="AF75" s="4499"/>
      <c r="AG75" s="4497"/>
      <c r="AH75" s="4498"/>
      <c r="AI75" s="4498"/>
      <c r="AJ75" s="4498"/>
      <c r="AK75" s="4498"/>
      <c r="AL75" s="4498"/>
      <c r="AM75" s="4498"/>
      <c r="AN75" s="4498"/>
      <c r="AO75" s="4498"/>
      <c r="AP75" s="4499"/>
      <c r="AQ75" s="4497"/>
      <c r="AR75" s="4498"/>
      <c r="AS75" s="4498"/>
      <c r="AT75" s="4498"/>
      <c r="AU75" s="4498"/>
      <c r="AV75" s="4498"/>
      <c r="AW75" s="4498"/>
      <c r="AX75" s="4498"/>
      <c r="AY75" s="4498"/>
      <c r="AZ75" s="4499"/>
      <c r="BA75" s="4497"/>
      <c r="BB75" s="4498"/>
      <c r="BC75" s="4498"/>
      <c r="BD75" s="4498"/>
      <c r="BE75" s="4498"/>
      <c r="BF75" s="4498"/>
      <c r="BG75" s="4498"/>
      <c r="BH75" s="4498"/>
      <c r="BI75" s="4498"/>
      <c r="BJ75" s="4499"/>
      <c r="BK75" s="1161">
        <f>SUM(K71:K75)-SUM(V75:BA75)</f>
        <v>0</v>
      </c>
      <c r="BL75" s="1146"/>
      <c r="BM75" s="1181"/>
      <c r="BN75" s="1165"/>
      <c r="BO75" s="1166"/>
      <c r="BP75" s="1167" t="str">
        <f>IF(I75="Si",VLOOKUP($D$8,'Tablas Técnicas'!$E$4:$F$6,2,FALSE),"")</f>
        <v/>
      </c>
      <c r="BQ75" s="1137" t="str">
        <f>IF(L75="Si",VLOOKUP($D$8,'Tablas Técnicas'!$I$4:$J$6,2,FALSE),"")</f>
        <v/>
      </c>
      <c r="BR75" s="1168" t="str">
        <f>IF(O75="Si",VLOOKUP($D$8,'Tablas Técnicas'!$I$7:$J$9,2,FALSE),"")</f>
        <v/>
      </c>
      <c r="BS75" s="1151"/>
      <c r="BU75" s="1232"/>
      <c r="BV75" s="1232"/>
      <c r="BW75" s="1232"/>
      <c r="BX75" s="1108"/>
      <c r="BY75" s="1474"/>
      <c r="BZ75" s="1492"/>
      <c r="CA75" s="1096"/>
      <c r="DR75" s="1096"/>
      <c r="DT75" s="1514"/>
      <c r="DU75" s="1567"/>
      <c r="DV75" s="1566" t="str">
        <f>IF(E75="","",E75)&amp;IF(I75="No",""," (Mant.)")&amp;IF(L75="No",""," (Sme)")&amp;IF(O75="No",""," (SMa)")</f>
        <v/>
      </c>
      <c r="DW75" s="1567"/>
      <c r="DX75" s="1567"/>
      <c r="DY75" s="1513"/>
      <c r="DZ75" s="1096"/>
      <c r="EA75" s="1660">
        <f t="shared" si="1"/>
        <v>1</v>
      </c>
    </row>
    <row r="76" spans="1:131" x14ac:dyDescent="0.2">
      <c r="A76" s="1096"/>
      <c r="B76" s="1096"/>
      <c r="C76" s="1497"/>
      <c r="D76" s="1645"/>
      <c r="E76" s="1594" t="s">
        <v>5239</v>
      </c>
      <c r="F76" s="1173"/>
      <c r="G76" s="1174"/>
      <c r="H76" s="2559">
        <f>IF(AND(OR(ISNUMBER(SEARCH("Afinidad Elemental ("&amp;BK71&amp;")",Principal!$AF$30)),ISNUMBER(SEARCH("Afinidad Elemental ("&amp;BL71&amp;")",Principal!$AF$30)),ISNUMBER(SEARCH("Afinidad Elemental ("&amp;BM71&amp;")",Principal!$AF$30))),SUM(H71:H75)&gt;=5),-5,0)</f>
        <v>0</v>
      </c>
      <c r="I76" s="1174"/>
      <c r="J76" s="1175"/>
      <c r="K76" s="1174"/>
      <c r="L76" s="1174"/>
      <c r="M76" s="1175"/>
      <c r="N76" s="1174"/>
      <c r="O76" s="1174"/>
      <c r="P76" s="1175"/>
      <c r="Q76" s="1174"/>
      <c r="R76" s="1175"/>
      <c r="S76" s="1174"/>
      <c r="T76" s="1174"/>
      <c r="U76" s="1195"/>
      <c r="V76" s="1195"/>
      <c r="W76" s="1195"/>
      <c r="X76" s="1195"/>
      <c r="Y76" s="1195"/>
      <c r="Z76" s="1195"/>
      <c r="AA76" s="1195"/>
      <c r="AB76" s="1195"/>
      <c r="AC76" s="1195"/>
      <c r="AD76" s="1195"/>
      <c r="AE76" s="1195"/>
      <c r="AF76" s="1195"/>
      <c r="AG76" s="1195"/>
      <c r="AH76" s="1195"/>
      <c r="AI76" s="1195"/>
      <c r="AJ76" s="1195"/>
      <c r="AK76" s="1195"/>
      <c r="AL76" s="1195"/>
      <c r="AM76" s="1195"/>
      <c r="AN76" s="1195"/>
      <c r="AO76" s="1195"/>
      <c r="AP76" s="1195"/>
      <c r="AQ76" s="1195"/>
      <c r="AR76" s="1195"/>
      <c r="AS76" s="1195"/>
      <c r="AT76" s="1195"/>
      <c r="AU76" s="1195"/>
      <c r="AV76" s="1195"/>
      <c r="AW76" s="1195"/>
      <c r="AX76" s="1195"/>
      <c r="AY76" s="1195"/>
      <c r="AZ76" s="1195"/>
      <c r="BA76" s="1195"/>
      <c r="BB76" s="1195"/>
      <c r="BC76" s="1195"/>
      <c r="BD76" s="1195"/>
      <c r="BE76" s="1195"/>
      <c r="BF76" s="1195"/>
      <c r="BG76" s="1195"/>
      <c r="BH76" s="1195"/>
      <c r="BI76" s="1195"/>
      <c r="BJ76" s="1195"/>
      <c r="BK76" s="4481"/>
      <c r="BL76" s="4481"/>
      <c r="BM76" s="4445"/>
      <c r="BN76" s="1134">
        <f>SUM(K76:K79)</f>
        <v>0</v>
      </c>
      <c r="BO76" s="1128">
        <f>IF(E76=0,"",(AF76+AP76+AZ76+BJ76))</f>
        <v>0</v>
      </c>
      <c r="BP76" s="1135" t="str">
        <f>IF(I76="Si",VLOOKUP($D$8,'Tablas Técnicas'!$E$4:$F$6,2,FALSE),"")</f>
        <v/>
      </c>
      <c r="BQ76" s="1136" t="str">
        <f>IF(L76="Si",VLOOKUP($D$8,'Tablas Técnicas'!$I$4:$J$6,2,FALSE),"")</f>
        <v/>
      </c>
      <c r="BR76" s="1134" t="str">
        <f>IF(O76="Si",VLOOKUP($D$8,'Tablas Técnicas'!$I$7:$J$9,2,FALSE),"")</f>
        <v/>
      </c>
      <c r="BS76" s="1151"/>
      <c r="BT76" s="4444" t="s">
        <v>5241</v>
      </c>
      <c r="BU76" s="4445"/>
      <c r="BV76" s="1128"/>
      <c r="BW76" s="1108"/>
      <c r="BX76" s="1108"/>
      <c r="BY76" s="1474"/>
      <c r="BZ76" s="1492"/>
      <c r="CA76" s="1096"/>
      <c r="DR76" s="1096"/>
      <c r="DT76" s="1514"/>
      <c r="DU76" s="1567"/>
      <c r="DV76" s="1567"/>
      <c r="DW76" s="1567"/>
      <c r="DX76" s="1567"/>
      <c r="DY76" s="1513"/>
      <c r="DZ76" s="1096"/>
      <c r="EA76" s="1660">
        <f t="shared" si="1"/>
        <v>1</v>
      </c>
    </row>
    <row r="77" spans="1:131" ht="12" x14ac:dyDescent="0.2">
      <c r="A77" s="1096"/>
      <c r="B77" s="1096"/>
      <c r="C77" s="1497"/>
      <c r="D77" s="1646" t="s">
        <v>5240</v>
      </c>
      <c r="E77" s="1140"/>
      <c r="F77" s="1163"/>
      <c r="G77" s="1163"/>
      <c r="H77" s="1161" t="str">
        <f>IF(D45=0,"",IF(E77=0,"",VLOOKUP(E77,'Tablas Técnicas'!$A$14:$V$771,4,FALSE)))</f>
        <v/>
      </c>
      <c r="I77" s="1163"/>
      <c r="J77" s="1163"/>
      <c r="K77" s="1196"/>
      <c r="L77" s="1163"/>
      <c r="M77" s="1163"/>
      <c r="N77" s="1196"/>
      <c r="O77" s="1163"/>
      <c r="P77" s="1163"/>
      <c r="Q77" s="1163"/>
      <c r="R77" s="1162" t="str">
        <f>IF(E77=0,"",VLOOKUP(E77,'Tablas Técnicas'!$A$14:$V$771,8,FALSE))</f>
        <v/>
      </c>
      <c r="S77" s="1188" t="str">
        <f>IF(R77=$D$8,$D$8,IF(R77=2,2,IF(R77=3,3,R77)))</f>
        <v/>
      </c>
      <c r="T77" s="1163" t="str">
        <f>IF(E77=0,"",VLOOKUP(E77,'Tablas Técnicas'!$A$14:$V$771,9,FALSE))</f>
        <v/>
      </c>
      <c r="U77" s="1190" t="str">
        <f>IF(E77=0,"",VLOOKUP(E77,'Tablas Técnicas'!$A$14:$V$771,10,FALSE))</f>
        <v/>
      </c>
      <c r="V77" s="1191"/>
      <c r="W77" s="1191"/>
      <c r="X77" s="1190"/>
      <c r="Y77" s="1190"/>
      <c r="Z77" s="1190"/>
      <c r="AA77" s="1190"/>
      <c r="AB77" s="1190"/>
      <c r="AC77" s="1190"/>
      <c r="AD77" s="1190"/>
      <c r="AE77" s="1190"/>
      <c r="AF77" s="1190"/>
      <c r="AG77" s="4478" t="str">
        <f>IF(OR(E77='Tablas Técnicas'!A$678,E77='Tablas Técnicas'!A$679,E78='Tablas Técnicas'!A$678,E78='Tablas Técnicas'!A$679,E79='Tablas Técnicas'!A$678,E79='Tablas Técnicas'!A$679),"Selecciona la atadura elemental:","")</f>
        <v/>
      </c>
      <c r="AH77" s="4479"/>
      <c r="AI77" s="4479"/>
      <c r="AJ77" s="4479"/>
      <c r="AK77" s="4479"/>
      <c r="AL77" s="4479"/>
      <c r="AM77" s="4479"/>
      <c r="AN77" s="4479"/>
      <c r="AO77" s="4479"/>
      <c r="AP77" s="4479"/>
      <c r="AQ77" s="4479"/>
      <c r="AR77" s="4479"/>
      <c r="AS77" s="4479"/>
      <c r="AT77" s="4479"/>
      <c r="AU77" s="4479"/>
      <c r="AV77" s="4479"/>
      <c r="AW77" s="4479"/>
      <c r="AX77" s="4479"/>
      <c r="AY77" s="4479"/>
      <c r="AZ77" s="4479"/>
      <c r="BA77" s="4479"/>
      <c r="BB77" s="4479"/>
      <c r="BC77" s="4479"/>
      <c r="BD77" s="4479"/>
      <c r="BE77" s="4479"/>
      <c r="BF77" s="4479"/>
      <c r="BG77" s="4479"/>
      <c r="BH77" s="4479"/>
      <c r="BI77" s="4479"/>
      <c r="BJ77" s="4479"/>
      <c r="BK77" s="4480"/>
      <c r="BL77" s="1631"/>
      <c r="BM77" s="1631"/>
      <c r="BN77" s="1163"/>
      <c r="BO77" s="1163"/>
      <c r="BP77" s="1196"/>
      <c r="BQ77" s="1163"/>
      <c r="BR77" s="1163"/>
      <c r="BS77" s="1163"/>
      <c r="BT77" s="4446">
        <f>D45</f>
        <v>1</v>
      </c>
      <c r="BU77" s="4447"/>
      <c r="BV77" s="1128">
        <f>IF(BV76=0,0,VLOOKUP(BV76,'Tablas Técnicas'!$M$4:$N$7,2,FALSE))</f>
        <v>0</v>
      </c>
      <c r="BW77" s="1108"/>
      <c r="BX77" s="1108"/>
      <c r="BY77" s="1474"/>
      <c r="BZ77" s="1492"/>
      <c r="CA77" s="1096"/>
      <c r="DR77" s="1096"/>
      <c r="DT77" s="1514"/>
      <c r="DU77" s="1567"/>
      <c r="DV77" s="1567"/>
      <c r="DW77" s="1567"/>
      <c r="DX77" s="1567"/>
      <c r="DY77" s="1513"/>
      <c r="DZ77" s="1096"/>
      <c r="EA77" s="1660">
        <f t="shared" si="1"/>
        <v>1</v>
      </c>
    </row>
    <row r="78" spans="1:131" x14ac:dyDescent="0.2">
      <c r="A78" s="1096"/>
      <c r="B78" s="1096"/>
      <c r="C78" s="1497"/>
      <c r="D78" s="1642" t="s">
        <v>5242</v>
      </c>
      <c r="E78" s="1197"/>
      <c r="F78" s="1595"/>
      <c r="G78" s="1596"/>
      <c r="H78" s="1153" t="str">
        <f>IF(VALUE(D45)&gt;1,IF(E78=0,"",VLOOKUP(E78,'Tablas Técnicas'!$A$14:$V$771,4,FALSE)),"")</f>
        <v/>
      </c>
      <c r="I78" s="1595"/>
      <c r="J78" s="1596"/>
      <c r="K78" s="1596"/>
      <c r="L78" s="1595"/>
      <c r="M78" s="1596"/>
      <c r="N78" s="1597"/>
      <c r="O78" s="1596"/>
      <c r="P78" s="1596"/>
      <c r="Q78" s="1596"/>
      <c r="R78" s="1157" t="str">
        <f>IF(E78=0,"",VLOOKUP(E78,'Tablas Técnicas'!$A$14:$V$771,8,FALSE))</f>
        <v/>
      </c>
      <c r="S78" s="1155" t="str">
        <f>IF(R78=$D$8,$D$8,IF(R78=2,2,IF(R78=3,3,R78)))</f>
        <v/>
      </c>
      <c r="T78" s="1158" t="str">
        <f>IF(E78=0,"",VLOOKUP(E78,'Tablas Técnicas'!$A$14:$V$771,9,FALSE))</f>
        <v/>
      </c>
      <c r="U78" s="1158" t="str">
        <f>IF(E78=0,"",VLOOKUP(E78,'Tablas Técnicas'!$A$14:$V$771,10,FALSE))</f>
        <v/>
      </c>
      <c r="V78" s="1595"/>
      <c r="W78" s="1595"/>
      <c r="X78" s="1596"/>
      <c r="Y78" s="1596"/>
      <c r="Z78" s="1596"/>
      <c r="AA78" s="1596"/>
      <c r="AB78" s="1596"/>
      <c r="AC78" s="1596"/>
      <c r="AD78" s="1596"/>
      <c r="AE78" s="1596"/>
      <c r="AF78" s="1596"/>
      <c r="AG78" s="1598"/>
      <c r="AH78" s="1599"/>
      <c r="AI78" s="1599"/>
      <c r="AJ78" s="1599"/>
      <c r="AK78" s="1599"/>
      <c r="AL78" s="1599"/>
      <c r="AM78" s="1599"/>
      <c r="AN78" s="1599"/>
      <c r="AO78" s="1599"/>
      <c r="AP78" s="1597"/>
      <c r="AQ78" s="1599"/>
      <c r="AR78" s="1599"/>
      <c r="AS78" s="1599"/>
      <c r="AT78" s="1599"/>
      <c r="AU78" s="1599"/>
      <c r="AV78" s="1599"/>
      <c r="AW78" s="1599"/>
      <c r="AX78" s="1599"/>
      <c r="AY78" s="1599"/>
      <c r="AZ78" s="1600"/>
      <c r="BA78" s="1596"/>
      <c r="BB78" s="1596"/>
      <c r="BC78" s="1596"/>
      <c r="BD78" s="1596"/>
      <c r="BE78" s="1596"/>
      <c r="BF78" s="1596"/>
      <c r="BG78" s="1596"/>
      <c r="BH78" s="1596"/>
      <c r="BI78" s="1596"/>
      <c r="BJ78" s="1597"/>
      <c r="BK78" s="1596"/>
      <c r="BL78" s="1632"/>
      <c r="BM78" s="1633"/>
      <c r="BN78" s="1596"/>
      <c r="BO78" s="1596"/>
      <c r="BP78" s="1597"/>
      <c r="BQ78" s="1596"/>
      <c r="BR78" s="1596"/>
      <c r="BS78" s="1596"/>
      <c r="BU78" s="2608"/>
      <c r="BV78" s="1128"/>
      <c r="BW78" s="1108"/>
      <c r="BX78" s="1108"/>
      <c r="BY78" s="1474"/>
      <c r="BZ78" s="1492"/>
      <c r="CA78" s="1096"/>
      <c r="DR78" s="1096"/>
      <c r="DT78" s="1514"/>
      <c r="DU78" s="1567"/>
      <c r="DV78" s="1567"/>
      <c r="DW78" s="1567"/>
      <c r="DX78" s="1567"/>
      <c r="DY78" s="1513"/>
      <c r="DZ78" s="1096"/>
      <c r="EA78" s="1660">
        <f t="shared" si="1"/>
        <v>1</v>
      </c>
    </row>
    <row r="79" spans="1:131" x14ac:dyDescent="0.2">
      <c r="A79" s="1096"/>
      <c r="B79" s="1096"/>
      <c r="C79" s="1497"/>
      <c r="D79" s="1647" t="s">
        <v>5243</v>
      </c>
      <c r="E79" s="1198"/>
      <c r="F79" s="2614"/>
      <c r="G79" s="1172"/>
      <c r="H79" s="1171" t="str">
        <f>IF(VALUE(D45)=3,IF(E79=0,"",VLOOKUP(E79,'Tablas Técnicas'!$A$14:$V$771,4,FALSE)),"")</f>
        <v/>
      </c>
      <c r="I79" s="1172"/>
      <c r="J79" s="1172"/>
      <c r="K79" s="1172"/>
      <c r="L79" s="2614"/>
      <c r="M79" s="1172"/>
      <c r="N79" s="1172"/>
      <c r="O79" s="2614"/>
      <c r="P79" s="1172"/>
      <c r="Q79" s="1172"/>
      <c r="R79" s="1193" t="str">
        <f>IF(E79=0,"",VLOOKUP(E79,'Tablas Técnicas'!$A$14:$V$771,8,FALSE))</f>
        <v/>
      </c>
      <c r="S79" s="1171" t="str">
        <f>IF(R79=$D$8,$D$8,IF(R79=2,2,IF(R79=3,3,R79)))</f>
        <v/>
      </c>
      <c r="T79" s="1172" t="str">
        <f>IF(E79=0,"",VLOOKUP(E79,'Tablas Técnicas'!$A$14:$V$771,9,FALSE))</f>
        <v/>
      </c>
      <c r="U79" s="1172" t="str">
        <f>IF(E79=0,"",VLOOKUP(E79,'Tablas Técnicas'!$A$14:$V$771,10,FALSE))</f>
        <v/>
      </c>
      <c r="V79" s="2614"/>
      <c r="W79" s="1486"/>
      <c r="X79" s="1486"/>
      <c r="Y79" s="1486"/>
      <c r="Z79" s="1486"/>
      <c r="AA79" s="1486"/>
      <c r="AB79" s="1486"/>
      <c r="AC79" s="1486"/>
      <c r="AD79" s="1486"/>
      <c r="AE79" s="1486"/>
      <c r="AF79" s="1487"/>
      <c r="AG79" s="2614"/>
      <c r="AH79" s="1172"/>
      <c r="AI79" s="1172"/>
      <c r="AJ79" s="1172"/>
      <c r="AK79" s="1172"/>
      <c r="AL79" s="1172"/>
      <c r="AM79" s="1172"/>
      <c r="AN79" s="1172"/>
      <c r="AO79" s="1172"/>
      <c r="AP79" s="2615"/>
      <c r="AQ79" s="1172"/>
      <c r="AR79" s="1172"/>
      <c r="AS79" s="1172"/>
      <c r="AT79" s="1172"/>
      <c r="AU79" s="1172"/>
      <c r="AV79" s="1172"/>
      <c r="AW79" s="1172"/>
      <c r="AX79" s="1172"/>
      <c r="AY79" s="1172"/>
      <c r="AZ79" s="2615"/>
      <c r="BA79" s="1172"/>
      <c r="BB79" s="1172"/>
      <c r="BC79" s="1172"/>
      <c r="BD79" s="1172"/>
      <c r="BE79" s="1172"/>
      <c r="BF79" s="1172"/>
      <c r="BG79" s="1172"/>
      <c r="BH79" s="1172"/>
      <c r="BI79" s="1172"/>
      <c r="BJ79" s="2615"/>
      <c r="BK79" s="1172"/>
      <c r="BL79" s="1629"/>
      <c r="BM79" s="1634"/>
      <c r="BN79" s="1172"/>
      <c r="BO79" s="1172"/>
      <c r="BP79" s="1172"/>
      <c r="BQ79" s="2614"/>
      <c r="BR79" s="1172"/>
      <c r="BS79" s="1172"/>
      <c r="BT79" s="2608"/>
      <c r="BU79" s="2608"/>
      <c r="BV79" s="1128">
        <f>IF(BV78=0,0,VLOOKUP(BV78,'Tablas Técnicas'!$M$4:$N$7,2,FALSE))</f>
        <v>0</v>
      </c>
      <c r="BW79" s="1108"/>
      <c r="BX79" s="1108"/>
      <c r="BY79" s="1474"/>
      <c r="BZ79" s="1492"/>
      <c r="CA79" s="1100"/>
      <c r="DR79" s="1100"/>
      <c r="DT79" s="1517"/>
      <c r="DU79" s="1623"/>
      <c r="DV79" s="1623"/>
      <c r="DW79" s="1623"/>
      <c r="DX79" s="1623"/>
      <c r="DY79" s="1518"/>
      <c r="DZ79" s="1100"/>
      <c r="EA79" s="1660">
        <f t="shared" si="1"/>
        <v>1</v>
      </c>
    </row>
    <row r="80" spans="1:131" x14ac:dyDescent="0.2">
      <c r="A80" s="1100"/>
      <c r="B80" s="1100"/>
      <c r="C80" s="1497"/>
      <c r="D80" s="1648"/>
      <c r="E80" s="1113"/>
      <c r="F80" s="1108"/>
      <c r="G80" s="1113"/>
      <c r="H80" s="1113"/>
      <c r="I80" s="1108"/>
      <c r="J80" s="1113"/>
      <c r="K80" s="1113"/>
      <c r="L80" s="1113"/>
      <c r="M80" s="1113"/>
      <c r="N80" s="1113"/>
      <c r="O80" s="1113"/>
      <c r="P80" s="1113"/>
      <c r="Q80" s="1113"/>
      <c r="R80" s="1113"/>
      <c r="S80" s="1113"/>
      <c r="T80" s="1113"/>
      <c r="U80" s="1113"/>
      <c r="V80" s="1113"/>
      <c r="W80" s="1113"/>
      <c r="X80" s="1113"/>
      <c r="Y80" s="1113"/>
      <c r="Z80" s="1113"/>
      <c r="AA80" s="1113"/>
      <c r="AB80" s="1113"/>
      <c r="AC80" s="1113"/>
      <c r="AD80" s="1113"/>
      <c r="AE80" s="1113"/>
      <c r="AF80" s="1113"/>
      <c r="AG80" s="1113"/>
      <c r="AH80" s="1113"/>
      <c r="AI80" s="1113"/>
      <c r="AJ80" s="1113"/>
      <c r="AK80" s="1113"/>
      <c r="AL80" s="1113"/>
      <c r="AM80" s="1113"/>
      <c r="AN80" s="1113"/>
      <c r="AO80" s="1113"/>
      <c r="AP80" s="1113"/>
      <c r="AQ80" s="1113"/>
      <c r="AR80" s="1113"/>
      <c r="AS80" s="1113"/>
      <c r="AT80" s="1113"/>
      <c r="AU80" s="1113"/>
      <c r="AV80" s="1113"/>
      <c r="AW80" s="1113"/>
      <c r="AX80" s="1113"/>
      <c r="AY80" s="1113"/>
      <c r="AZ80" s="1113"/>
      <c r="BA80" s="1113"/>
      <c r="BB80" s="1113"/>
      <c r="BC80" s="1113"/>
      <c r="BD80" s="1113"/>
      <c r="BE80" s="1113"/>
      <c r="BF80" s="1113"/>
      <c r="BG80" s="1113"/>
      <c r="BH80" s="1113"/>
      <c r="BI80" s="1113"/>
      <c r="BJ80" s="1113"/>
      <c r="BK80" s="1113"/>
      <c r="BL80" s="1592"/>
      <c r="BM80" s="1592"/>
      <c r="BN80" s="1101">
        <f>SUM(BN85:BN100)</f>
        <v>0</v>
      </c>
      <c r="BO80" s="1101">
        <f>SUM(BO85:BO100)</f>
        <v>0</v>
      </c>
      <c r="BP80" s="1101">
        <f>SUM(BP85:BP100)</f>
        <v>0</v>
      </c>
      <c r="BQ80" s="1101">
        <f>SUM(BQ85:BQ100)</f>
        <v>0</v>
      </c>
      <c r="BR80" s="1101">
        <f>SUM(BR85:BR100)</f>
        <v>0</v>
      </c>
      <c r="BS80" s="1199"/>
      <c r="BU80" s="1113"/>
      <c r="BW80" s="1108"/>
      <c r="BX80" s="1108"/>
      <c r="BY80" s="1117"/>
      <c r="BZ80" s="1492"/>
      <c r="CA80" s="1096"/>
      <c r="DR80" s="1096"/>
      <c r="DT80" s="1514"/>
      <c r="DU80" s="1567"/>
      <c r="DV80" s="1567"/>
      <c r="DW80" s="1567"/>
      <c r="DX80" s="1567"/>
      <c r="DY80" s="1513"/>
      <c r="DZ80" s="1096"/>
      <c r="EA80" s="1660">
        <f t="shared" si="1"/>
        <v>1</v>
      </c>
    </row>
    <row r="81" spans="1:132" x14ac:dyDescent="0.2">
      <c r="A81" s="1096"/>
      <c r="B81" s="1096"/>
      <c r="C81" s="1497"/>
      <c r="D81" s="1640" t="s">
        <v>8726</v>
      </c>
      <c r="E81" s="1114"/>
      <c r="F81" s="1114"/>
      <c r="G81" s="1114"/>
      <c r="H81" s="1114"/>
      <c r="I81" s="1114"/>
      <c r="J81" s="1115"/>
      <c r="K81" s="1114"/>
      <c r="L81" s="1114"/>
      <c r="M81" s="1115"/>
      <c r="N81" s="1114"/>
      <c r="O81" s="1114"/>
      <c r="P81" s="1115"/>
      <c r="Q81" s="1114"/>
      <c r="R81" s="1115"/>
      <c r="S81" s="1114"/>
      <c r="T81" s="1114"/>
      <c r="U81" s="1114"/>
      <c r="V81" s="1114"/>
      <c r="W81" s="1108"/>
      <c r="X81" s="1115"/>
      <c r="Y81" s="1115"/>
      <c r="Z81" s="1115"/>
      <c r="AA81" s="1115"/>
      <c r="AB81" s="1115"/>
      <c r="AC81" s="1115"/>
      <c r="AD81" s="1115"/>
      <c r="AE81" s="1115"/>
      <c r="AF81" s="1114"/>
      <c r="AG81" s="1108"/>
      <c r="AH81" s="1115"/>
      <c r="AI81" s="1115"/>
      <c r="AJ81" s="1115"/>
      <c r="AK81" s="1115"/>
      <c r="AL81" s="1115"/>
      <c r="AM81" s="1115"/>
      <c r="AN81" s="1115"/>
      <c r="AO81" s="1115"/>
      <c r="AP81" s="1108"/>
      <c r="AQ81" s="1108"/>
      <c r="AR81" s="1115"/>
      <c r="AS81" s="1115"/>
      <c r="AT81" s="1115"/>
      <c r="AU81" s="1115"/>
      <c r="AV81" s="1115"/>
      <c r="AW81" s="1115"/>
      <c r="AX81" s="1115"/>
      <c r="AY81" s="1115"/>
      <c r="AZ81" s="1108"/>
      <c r="BA81" s="1108"/>
      <c r="BB81" s="1115"/>
      <c r="BC81" s="1115"/>
      <c r="BD81" s="1115"/>
      <c r="BE81" s="1115"/>
      <c r="BF81" s="1115"/>
      <c r="BG81" s="1115"/>
      <c r="BH81" s="1115"/>
      <c r="BI81" s="1115"/>
      <c r="BJ81" s="1108"/>
      <c r="BK81" s="1108"/>
      <c r="BL81" s="1108"/>
      <c r="BM81" s="1108"/>
      <c r="BN81" s="1101">
        <f>SUM(BN83:BN116)</f>
        <v>0</v>
      </c>
      <c r="BO81" s="1101">
        <f>SUM(BO83:BO116)</f>
        <v>0</v>
      </c>
      <c r="BP81" s="1101">
        <f>MAX(BP83:BP116)</f>
        <v>0</v>
      </c>
      <c r="BQ81" s="1101">
        <f>MAX(BQ83:BQ116)</f>
        <v>0</v>
      </c>
      <c r="BR81" s="1101">
        <f>MAX(BR83:BR116)</f>
        <v>0</v>
      </c>
      <c r="BS81" s="1116"/>
      <c r="BU81" s="2608"/>
      <c r="BV81" s="1118"/>
      <c r="BW81" s="1108"/>
      <c r="BX81" s="1108"/>
      <c r="BY81" s="1474"/>
      <c r="BZ81" s="1492"/>
      <c r="CA81" s="1096"/>
      <c r="DR81" s="1096"/>
      <c r="DT81" s="1514"/>
      <c r="DU81" s="1567"/>
      <c r="DV81" s="1567"/>
      <c r="DW81" s="1567"/>
      <c r="DX81" s="1567"/>
      <c r="DY81" s="1513"/>
      <c r="DZ81" s="1096"/>
      <c r="EA81" s="1660">
        <f t="shared" si="1"/>
        <v>1</v>
      </c>
    </row>
    <row r="82" spans="1:132" ht="12" thickBot="1" x14ac:dyDescent="0.25">
      <c r="A82" s="1096"/>
      <c r="B82" s="1096"/>
      <c r="C82" s="1497"/>
      <c r="D82" s="1641">
        <v>1</v>
      </c>
      <c r="E82" s="1119" t="s">
        <v>9094</v>
      </c>
      <c r="F82" s="1120" t="s">
        <v>2333</v>
      </c>
      <c r="G82" s="1121" t="s">
        <v>2334</v>
      </c>
      <c r="H82" s="1121" t="s">
        <v>2356</v>
      </c>
      <c r="I82" s="1122" t="s">
        <v>4020</v>
      </c>
      <c r="J82" s="1123"/>
      <c r="K82" s="1124"/>
      <c r="L82" s="1122" t="s">
        <v>4021</v>
      </c>
      <c r="M82" s="1123"/>
      <c r="N82" s="1124"/>
      <c r="O82" s="1122" t="s">
        <v>4022</v>
      </c>
      <c r="P82" s="1123"/>
      <c r="Q82" s="1124"/>
      <c r="R82" s="1125" t="s">
        <v>5219</v>
      </c>
      <c r="S82" s="1121" t="s">
        <v>3990</v>
      </c>
      <c r="T82" s="2613" t="s">
        <v>2252</v>
      </c>
      <c r="U82" s="2613" t="s">
        <v>2223</v>
      </c>
      <c r="V82" s="2613" t="s">
        <v>4023</v>
      </c>
      <c r="W82" s="4473" t="s">
        <v>4024</v>
      </c>
      <c r="X82" s="4473"/>
      <c r="Y82" s="4473"/>
      <c r="Z82" s="4473"/>
      <c r="AA82" s="4473"/>
      <c r="AB82" s="4473"/>
      <c r="AC82" s="4473"/>
      <c r="AD82" s="4473"/>
      <c r="AE82" s="4473"/>
      <c r="AF82" s="4473"/>
      <c r="AG82" s="4473"/>
      <c r="AH82" s="4473"/>
      <c r="AI82" s="4473"/>
      <c r="AJ82" s="4473"/>
      <c r="AK82" s="4473"/>
      <c r="AL82" s="4473"/>
      <c r="AM82" s="4473"/>
      <c r="AN82" s="4473"/>
      <c r="AO82" s="4473"/>
      <c r="AP82" s="4473"/>
      <c r="AQ82" s="4473"/>
      <c r="AR82" s="4473"/>
      <c r="AS82" s="4473"/>
      <c r="AT82" s="4473"/>
      <c r="AU82" s="4473"/>
      <c r="AV82" s="4473"/>
      <c r="AW82" s="4473"/>
      <c r="AX82" s="4473"/>
      <c r="AY82" s="4473"/>
      <c r="AZ82" s="4473"/>
      <c r="BA82" s="4473"/>
      <c r="BB82" s="4473"/>
      <c r="BC82" s="4473"/>
      <c r="BD82" s="4473"/>
      <c r="BE82" s="4473"/>
      <c r="BF82" s="4473"/>
      <c r="BG82" s="4473"/>
      <c r="BH82" s="4473"/>
      <c r="BI82" s="4473"/>
      <c r="BJ82" s="4473"/>
      <c r="BK82" s="4473" t="s">
        <v>4025</v>
      </c>
      <c r="BL82" s="4473"/>
      <c r="BM82" s="4474"/>
      <c r="BN82" s="1126" t="s">
        <v>5220</v>
      </c>
      <c r="BO82" s="1126" t="s">
        <v>5221</v>
      </c>
      <c r="BP82" s="1126" t="s">
        <v>5222</v>
      </c>
      <c r="BQ82" s="1126" t="s">
        <v>5223</v>
      </c>
      <c r="BR82" s="1126" t="s">
        <v>5224</v>
      </c>
      <c r="BS82" s="1127" t="s">
        <v>5225</v>
      </c>
      <c r="BT82" s="4448" t="s">
        <v>5226</v>
      </c>
      <c r="BU82" s="4449"/>
      <c r="BV82" s="1128"/>
      <c r="BW82" s="1108"/>
      <c r="BX82" s="1108"/>
      <c r="BY82" s="1474"/>
      <c r="BZ82" s="1492"/>
      <c r="CA82" s="1096"/>
      <c r="DR82" s="1096"/>
      <c r="DT82" s="1514"/>
      <c r="DU82" s="1567"/>
      <c r="DV82" s="1567"/>
      <c r="DW82" s="1567"/>
      <c r="DX82" s="1567"/>
      <c r="DY82" s="1513"/>
      <c r="DZ82" s="1096"/>
      <c r="EB82" s="2558">
        <f>D82</f>
        <v>1</v>
      </c>
    </row>
    <row r="83" spans="1:132" x14ac:dyDescent="0.2">
      <c r="A83" s="1129"/>
      <c r="B83" s="159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98"/>
      <c r="D83" s="1642">
        <v>1</v>
      </c>
      <c r="E83" s="1423"/>
      <c r="F83" s="1130"/>
      <c r="G83" s="1131"/>
      <c r="H83" s="1131"/>
      <c r="I83" s="1131"/>
      <c r="J83" s="1132"/>
      <c r="K83" s="1131"/>
      <c r="L83" s="1131"/>
      <c r="M83" s="1132"/>
      <c r="N83" s="1131"/>
      <c r="O83" s="1131"/>
      <c r="P83" s="1132"/>
      <c r="Q83" s="1131"/>
      <c r="R83" s="1132"/>
      <c r="S83" s="1131"/>
      <c r="T83" s="1131"/>
      <c r="U83" s="1131"/>
      <c r="V83" s="1131"/>
      <c r="W83" s="1131"/>
      <c r="X83" s="1131"/>
      <c r="Y83" s="1131"/>
      <c r="Z83" s="1131"/>
      <c r="AA83" s="1131"/>
      <c r="AB83" s="1131"/>
      <c r="AC83" s="1131"/>
      <c r="AD83" s="1131"/>
      <c r="AE83" s="1131"/>
      <c r="AF83" s="1131"/>
      <c r="AG83" s="1131"/>
      <c r="AH83" s="1131"/>
      <c r="AI83" s="1131"/>
      <c r="AJ83" s="1131"/>
      <c r="AK83" s="1131"/>
      <c r="AL83" s="1131"/>
      <c r="AM83" s="1131"/>
      <c r="AN83" s="1131"/>
      <c r="AO83" s="1131"/>
      <c r="AP83" s="1131"/>
      <c r="AQ83" s="1131"/>
      <c r="AR83" s="1131"/>
      <c r="AS83" s="1131"/>
      <c r="AT83" s="1131"/>
      <c r="AU83" s="1131"/>
      <c r="AV83" s="1131"/>
      <c r="AW83" s="1131"/>
      <c r="AX83" s="1131"/>
      <c r="AY83" s="1131"/>
      <c r="AZ83" s="1131"/>
      <c r="BA83" s="1131"/>
      <c r="BB83" s="1131"/>
      <c r="BC83" s="1131"/>
      <c r="BD83" s="1131"/>
      <c r="BE83" s="1131"/>
      <c r="BF83" s="1131"/>
      <c r="BG83" s="1131"/>
      <c r="BH83" s="1131"/>
      <c r="BI83" s="1131"/>
      <c r="BJ83" s="1131"/>
      <c r="BK83" s="1131"/>
      <c r="BL83" s="1131"/>
      <c r="BM83" s="1133"/>
      <c r="BN83" s="1134">
        <f>SUM(K83:K86)</f>
        <v>0</v>
      </c>
      <c r="BO83" s="1128" t="str">
        <f>IF(E83=0,"",(AF83+AP83+AZ83+BJ83))</f>
        <v/>
      </c>
      <c r="BP83" s="1135" t="str">
        <f>IF(I83="Si",VLOOKUP($D$8,'Tablas Técnicas'!$E$4:$F$6,2,FALSE),"")</f>
        <v/>
      </c>
      <c r="BQ83" s="1136" t="str">
        <f>IF(L83="Si",VLOOKUP($D$8,'Tablas Técnicas'!$I$4:$J$6,2,FALSE),"")</f>
        <v/>
      </c>
      <c r="BR83" s="1134" t="str">
        <f>IF(O83="Si",VLOOKUP($D$8,'Tablas Técnicas'!$I$7:$J$9,2,FALSE),"")</f>
        <v/>
      </c>
      <c r="BS83" s="1137">
        <f>VLOOKUP(D82,'Tablas Técnicas'!$P$6:$R$8,3)</f>
        <v>50</v>
      </c>
      <c r="BT83" s="1138">
        <f>VLOOKUP(D82,'Tablas Técnicas'!$P$6:$R$8,3,FALSE)</f>
        <v>50</v>
      </c>
      <c r="BU83" s="1139">
        <f>VLOOKUP(D82,'Tablas Técnicas'!$P$6:$R$8,2,FALSE)</f>
        <v>20</v>
      </c>
      <c r="BV83" s="1128">
        <f>IF(D82=0,"",VLOOKUP(D82,'Tablas Técnicas'!$L$4:$N$7,2,FALSE))</f>
        <v>3</v>
      </c>
      <c r="BW83" s="1108"/>
      <c r="BX83" s="1108"/>
      <c r="BY83" s="1474"/>
      <c r="BZ83" s="1492"/>
      <c r="CA83" s="1096"/>
      <c r="DR83" s="1096"/>
      <c r="DT83" s="1514"/>
      <c r="DU83" s="1614" t="s">
        <v>2345</v>
      </c>
      <c r="DV83" s="1615" t="s">
        <v>4001</v>
      </c>
      <c r="DW83" s="1615" t="s">
        <v>3987</v>
      </c>
      <c r="DX83" s="1616" t="s">
        <v>8729</v>
      </c>
      <c r="DY83" s="1513"/>
      <c r="DZ83" s="1096"/>
      <c r="EA83" s="1660">
        <f>EB82</f>
        <v>1</v>
      </c>
    </row>
    <row r="84" spans="1:132" s="1170" customFormat="1" ht="11.25" customHeight="1" x14ac:dyDescent="0.2">
      <c r="A84" s="1096"/>
      <c r="B84" s="1096"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97"/>
      <c r="D84" s="1643" t="s">
        <v>2310</v>
      </c>
      <c r="E84" s="1140"/>
      <c r="F84" s="1141" t="str">
        <f>IF(E84=0,"",VLOOKUP(E84,'Tablas Técnicas'!$A$14:$V$771,2,FALSE))</f>
        <v/>
      </c>
      <c r="G84" s="1142"/>
      <c r="H84" s="1143" t="str">
        <f>IF($E84=0,"",VLOOKUP($E84,'Tablas Técnicas'!$A$14:$V$771,4,FALSE))</f>
        <v/>
      </c>
      <c r="I84" s="1144" t="s">
        <v>2234</v>
      </c>
      <c r="J84" s="1602" t="str">
        <f>IF(E84=0,"",VLOOKUP(E84,'Tablas Técnicas'!$A$14:$V$771,5,FALSE))</f>
        <v/>
      </c>
      <c r="K84" s="1146" t="str">
        <f>IF(I84="Si",IF(E84=0,"",VLOOKUP(E84,'Tablas Técnicas'!$A$14:$V$771,5,FALSE)),"")</f>
        <v/>
      </c>
      <c r="L84" s="1144" t="s">
        <v>2234</v>
      </c>
      <c r="M84" s="1602" t="str">
        <f>IF(E84=0,"",VLOOKUP(E84,'Tablas Técnicas'!$A$14:$V$771,6,FALSE))</f>
        <v/>
      </c>
      <c r="N84" s="1147" t="str">
        <f>IF(L84="Si",IF(E84=0,"",VLOOKUP(E84,'Tablas Técnicas'!$A$14:$V$771,6,FALSE)),"")</f>
        <v/>
      </c>
      <c r="O84" s="1144" t="s">
        <v>2234</v>
      </c>
      <c r="P84" s="1602" t="str">
        <f>IF(E84=0,"",VLOOKUP(E84,'Tablas Técnicas'!$A$14:$V$771,7,FALSE))</f>
        <v/>
      </c>
      <c r="Q84" s="1147" t="str">
        <f>IF(O84="Si",IF(E84=0,"",VLOOKUP(E84,'Tablas Técnicas'!$A$14:$V$771,7,FALSE)),"")</f>
        <v/>
      </c>
      <c r="R84" s="1145" t="str">
        <f>IF(E84=0,"",VLOOKUP(E84,'Tablas Técnicas'!$A$14:$V$771,8,FALSE))</f>
        <v/>
      </c>
      <c r="S84" s="1143" t="str">
        <f>IF(R84=$D$8,$D$8,IF(R84=2,2,IF(R84=3,3,R84)))</f>
        <v/>
      </c>
      <c r="T84" s="1146" t="str">
        <f>IF(E84=0,"",VLOOKUP(E84,'Tablas Técnicas'!$A$14:$V$771,9,FALSE))</f>
        <v/>
      </c>
      <c r="U84" s="1146" t="str">
        <f>IF(E84=0,"",VLOOKUP(E84,'Tablas Técnicas'!$A$14:$V$771,10,FALSE))</f>
        <v/>
      </c>
      <c r="V84" s="1141" t="str">
        <f>IF(E84=0,"",VLOOKUP(E84,'Tablas Técnicas'!$A$14:$V$771,11,FALSE))</f>
        <v/>
      </c>
      <c r="W84" s="1144"/>
      <c r="X84" s="1145" t="e">
        <f>VLOOKUP(E84,'Tablas Técnicas'!$A$14:$V$771,12,FALSE)</f>
        <v>#N/A</v>
      </c>
      <c r="Y84" s="1145" t="e">
        <f>IF(W84=X84,VLOOKUP(E84,'Tablas Técnicas'!$A$14:$V$771,13,FALSE),0)</f>
        <v>#N/A</v>
      </c>
      <c r="Z84" s="1145" t="e">
        <f>VLOOKUP(E84,'Tablas Técnicas'!$A$14:$V$771,14,FALSE)</f>
        <v>#N/A</v>
      </c>
      <c r="AA84" s="1145" t="e">
        <f>IF(W84=Z84,VLOOKUP(E84,'Tablas Técnicas'!$A$14:$V$616,15,FALSE),0)</f>
        <v>#N/A</v>
      </c>
      <c r="AB84" s="1145" t="e">
        <f>VLOOKUP(E84,'Tablas Técnicas'!$A$14:$V$771,16,FALSE)</f>
        <v>#N/A</v>
      </c>
      <c r="AC84" s="1145" t="e">
        <f>IF(W84=AB84,VLOOKUP(E84,'Tablas Técnicas'!$A$14:$V$616,17,FALSE),0)</f>
        <v>#N/A</v>
      </c>
      <c r="AD84" s="1145" t="e">
        <f>VLOOKUP(E84,'Tablas Técnicas'!$A$14:$V$771,18,FALSE)</f>
        <v>#N/A</v>
      </c>
      <c r="AE84" s="1145" t="e">
        <f>IF(W84=AD84,VLOOKUP(E84,'Tablas Técnicas'!$A$14:$V$771,19,FALSE),0)</f>
        <v>#N/A</v>
      </c>
      <c r="AF84" s="1147" t="str">
        <f>IF(E84=0,"",(Y84+AA84+AC84+AE84))</f>
        <v/>
      </c>
      <c r="AG84" s="1144"/>
      <c r="AH84" s="1145" t="e">
        <f>VLOOKUP(E84,'Tablas Técnicas'!$A$14:$V$771,12,FALSE)</f>
        <v>#N/A</v>
      </c>
      <c r="AI84" s="1145" t="e">
        <f>IF(AG84=AH84,VLOOKUP(E84,'Tablas Técnicas'!$A$14:$V$771,13,FALSE),0)</f>
        <v>#N/A</v>
      </c>
      <c r="AJ84" s="1145" t="e">
        <f>VLOOKUP(E84,'Tablas Técnicas'!$A$14:$V$771,14,FALSE)</f>
        <v>#N/A</v>
      </c>
      <c r="AK84" s="1145" t="e">
        <f>IF(AG84=AJ84,VLOOKUP(E84,'Tablas Técnicas'!$A$14:$V$771,15,FALSE),0)</f>
        <v>#N/A</v>
      </c>
      <c r="AL84" s="1145" t="e">
        <f>VLOOKUP(E84,'Tablas Técnicas'!$A$14:$V$771,16,FALSE)</f>
        <v>#N/A</v>
      </c>
      <c r="AM84" s="1145" t="e">
        <f>IF(AG84=AL84,VLOOKUP(E84,'Tablas Técnicas'!$A$14:$V$771,17,FALSE),0)</f>
        <v>#N/A</v>
      </c>
      <c r="AN84" s="1145" t="e">
        <f>VLOOKUP(E84,'Tablas Técnicas'!$A$14:$V$771,18,FALSE)</f>
        <v>#N/A</v>
      </c>
      <c r="AO84" s="1145" t="e">
        <f>IF(AG84=AN84,VLOOKUP(E84,'Tablas Técnicas'!$A$14:$V$771,19,FALSE),0)</f>
        <v>#N/A</v>
      </c>
      <c r="AP84" s="1147" t="str">
        <f>IF(E84=0,"",(AI84+AK84+AM84+AO84))</f>
        <v/>
      </c>
      <c r="AQ84" s="1144"/>
      <c r="AR84" s="1145" t="e">
        <f>VLOOKUP(E84,'Tablas Técnicas'!$A$14:$V$771,12,FALSE)</f>
        <v>#N/A</v>
      </c>
      <c r="AS84" s="1145" t="e">
        <f>IF(AQ84=AR84,VLOOKUP(E84,'Tablas Técnicas'!$A$14:$V$771,13,FALSE),0)</f>
        <v>#N/A</v>
      </c>
      <c r="AT84" s="1145" t="e">
        <f>VLOOKUP(E84,'Tablas Técnicas'!$A$14:$V$771,14,FALSE)</f>
        <v>#N/A</v>
      </c>
      <c r="AU84" s="1145" t="e">
        <f>IF(AQ84=AT84,VLOOKUP(E84,'Tablas Técnicas'!$A$14:$V$771,15,FALSE),0)</f>
        <v>#N/A</v>
      </c>
      <c r="AV84" s="1145" t="e">
        <f>VLOOKUP(E84,'Tablas Técnicas'!$A$14:$V$771,16,FALSE)</f>
        <v>#N/A</v>
      </c>
      <c r="AW84" s="1145" t="e">
        <f>IF(AQ84=AV84,VLOOKUP(E84,'Tablas Técnicas'!$A$14:$V$771,17,FALSE),0)</f>
        <v>#N/A</v>
      </c>
      <c r="AX84" s="1145" t="e">
        <f>VLOOKUP(E84,'Tablas Técnicas'!$A$14:$V$771,18,FALSE)</f>
        <v>#N/A</v>
      </c>
      <c r="AY84" s="1145" t="e">
        <f>IF(AQ84=AX84,VLOOKUP(E84,'Tablas Técnicas'!$A$14:$V$771,19,FALSE),0)</f>
        <v>#N/A</v>
      </c>
      <c r="AZ84" s="1146" t="str">
        <f>IF(E84=0,"",(AS84+AU84+AW84+AY84))</f>
        <v/>
      </c>
      <c r="BA84" s="1144"/>
      <c r="BB84" s="1145" t="e">
        <f>VLOOKUP(E84,'Tablas Técnicas'!$A$14:$V$771,12,FALSE)</f>
        <v>#N/A</v>
      </c>
      <c r="BC84" s="1145" t="e">
        <f>IF(BA84=BB84,VLOOKUP(E84,'Tablas Técnicas'!$A$14:$V$771,13,FALSE),0)</f>
        <v>#N/A</v>
      </c>
      <c r="BD84" s="1145" t="e">
        <f>VLOOKUP(E84,'Tablas Técnicas'!$A$14:$V$771,14,FALSE)</f>
        <v>#N/A</v>
      </c>
      <c r="BE84" s="1145" t="e">
        <f>IF(BA84=BD84,VLOOKUP(E84,'Tablas Técnicas'!$A$14:$V$771,15,FALSE),0)</f>
        <v>#N/A</v>
      </c>
      <c r="BF84" s="1145" t="e">
        <f>VLOOKUP(E84,'Tablas Técnicas'!$A$14:$V$771,16,FALSE)</f>
        <v>#N/A</v>
      </c>
      <c r="BG84" s="1145" t="e">
        <f>IF(BA84=BF84,VLOOKUP(E84,'Tablas Técnicas'!$A$14:$V$771,17,FALSE),0)</f>
        <v>#N/A</v>
      </c>
      <c r="BH84" s="1145" t="e">
        <f>VLOOKUP(E84,'Tablas Técnicas'!$A$14:$V$771,18,FALSE)</f>
        <v>#N/A</v>
      </c>
      <c r="BI84" s="1145" t="e">
        <f>IF(BA84=BH84,VLOOKUP(E84,'Tablas Técnicas'!$A$14:$V$771,19,FALSE),0)</f>
        <v>#N/A</v>
      </c>
      <c r="BJ84" s="1147" t="str">
        <f>IF(E84=0,"",(BC84+BE84+BG84+BI84))</f>
        <v/>
      </c>
      <c r="BK84" s="1146" t="str">
        <f>IF(E84=0,"",VLOOKUP(E84,'Tablas Técnicas'!$A$14:$V$771,20,FALSE))</f>
        <v/>
      </c>
      <c r="BL84" s="1146" t="str">
        <f>IF(E84=0,"",VLOOKUP(E84,'Tablas Técnicas'!$A$14:$V$771,21,FALSE))</f>
        <v/>
      </c>
      <c r="BM84" s="1148" t="str">
        <f>IF(E84=0,"",VLOOKUP(E84,'Tablas Técnicas'!$A$14:$V$771,22,FALSE))</f>
        <v/>
      </c>
      <c r="BN84" s="1149"/>
      <c r="BO84" s="1150"/>
      <c r="BP84" s="1135" t="str">
        <f>IF(I84="Si",VLOOKUP($D$8,'Tablas Técnicas'!$E$4:$F$6,2,FALSE),"")</f>
        <v/>
      </c>
      <c r="BQ84" s="1136" t="str">
        <f>IF(L84="Si",VLOOKUP($D$8,'Tablas Técnicas'!$I$4:$J$6,2,FALSE),"")</f>
        <v/>
      </c>
      <c r="BR84" s="1134" t="str">
        <f>IF(O84="Si",VLOOKUP($D$8,'Tablas Técnicas'!$I$7:$J$9,2,FALSE),"")</f>
        <v/>
      </c>
      <c r="BS84" s="1151"/>
      <c r="BT84" s="4448" t="s">
        <v>5227</v>
      </c>
      <c r="BU84" s="4449"/>
      <c r="BV84" s="1128"/>
      <c r="BW84" s="1108"/>
      <c r="BX84" s="1108"/>
      <c r="BY84" s="1474"/>
      <c r="BZ84" s="1492"/>
      <c r="CA84" s="1096"/>
      <c r="DR84" s="1096"/>
      <c r="DS84" s="1509"/>
      <c r="DT84" s="1514"/>
      <c r="DU84" s="1565" t="str">
        <f>IF(BW97="N/A","",BT96&amp;" "&amp;BW97&amp;IF(BY97="N/A"," "," ("&amp;BY97&amp;") "))</f>
        <v/>
      </c>
      <c r="DV84" s="1566" t="str">
        <f>IF(E84="","",E84)&amp;IF(I84="No",""," (Mant.)")&amp;IF(L84="No",""," (Sme)")&amp;IF(O84="No",""," (SMa)")</f>
        <v/>
      </c>
      <c r="DW84" s="1567" t="str">
        <f>IF(E114="","",E114)</f>
        <v/>
      </c>
      <c r="DX84" s="445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13"/>
      <c r="DZ84" s="1096"/>
      <c r="EA84" s="1660">
        <f t="shared" si="1"/>
        <v>1</v>
      </c>
    </row>
    <row r="85" spans="1:132" ht="11.25" customHeight="1" x14ac:dyDescent="0.2">
      <c r="A85" s="1096"/>
      <c r="B85" s="1096"/>
      <c r="C85" s="1497"/>
      <c r="D85" s="1642" t="s">
        <v>2310</v>
      </c>
      <c r="E85" s="1152"/>
      <c r="F85" s="1153" t="str">
        <f>IF(E85=0,"",VLOOKUP(E85,'Tablas Técnicas'!$A$14:$V$771,2,FALSE))</f>
        <v/>
      </c>
      <c r="G85" s="1154"/>
      <c r="H85" s="1155" t="str">
        <f>IF($E85=0,"",VLOOKUP($E85,'Tablas Técnicas'!$A$14:$V$771,4,FALSE))</f>
        <v/>
      </c>
      <c r="I85" s="1156" t="s">
        <v>2234</v>
      </c>
      <c r="J85" s="1605" t="str">
        <f>IF(E85=0,"",VLOOKUP(E85,'Tablas Técnicas'!$A$14:$V$771,5,FALSE))</f>
        <v/>
      </c>
      <c r="K85" s="1158" t="str">
        <f>IF(I85="Si",IF(E85=0,"",VLOOKUP(E85,'Tablas Técnicas'!$A$14:$V$771,5,FALSE)),"")</f>
        <v/>
      </c>
      <c r="L85" s="1156" t="s">
        <v>2234</v>
      </c>
      <c r="M85" s="1605" t="str">
        <f>IF(E85=0,"",VLOOKUP(E85,'Tablas Técnicas'!$A$14:$V$771,6,FALSE))</f>
        <v/>
      </c>
      <c r="N85" s="1159" t="str">
        <f>IF(L85="Si",IF(E85=0,"",VLOOKUP(E85,'Tablas Técnicas'!$A$14:$V$771,6,FALSE)),"")</f>
        <v/>
      </c>
      <c r="O85" s="1156" t="s">
        <v>2234</v>
      </c>
      <c r="P85" s="1605" t="str">
        <f>IF(E85=0,"",VLOOKUP(E85,'Tablas Técnicas'!$A$14:$V$771,7,FALSE))</f>
        <v/>
      </c>
      <c r="Q85" s="1159" t="str">
        <f>IF(O85="Si",IF(E85=0,"",VLOOKUP(E85,'Tablas Técnicas'!$A$14:$V$771,7,FALSE)),"")</f>
        <v/>
      </c>
      <c r="R85" s="1157" t="str">
        <f>IF(E85=0,"",VLOOKUP(E85,'Tablas Técnicas'!$A$14:$V$771,8,FALSE))</f>
        <v/>
      </c>
      <c r="S85" s="1155" t="str">
        <f>IF(R85=$D$8,$D$8,IF(R85=2,2,IF(R85=3,3,R85)))</f>
        <v/>
      </c>
      <c r="T85" s="4475" t="s">
        <v>5228</v>
      </c>
      <c r="U85" s="4476"/>
      <c r="V85" s="4476"/>
      <c r="W85" s="4476"/>
      <c r="X85" s="4476"/>
      <c r="Y85" s="4476"/>
      <c r="Z85" s="4476"/>
      <c r="AA85" s="4476"/>
      <c r="AB85" s="4476"/>
      <c r="AC85" s="4476"/>
      <c r="AD85" s="4476"/>
      <c r="AE85" s="4476"/>
      <c r="AF85" s="4476"/>
      <c r="AG85" s="4476"/>
      <c r="AH85" s="4476"/>
      <c r="AI85" s="4476"/>
      <c r="AJ85" s="4476"/>
      <c r="AK85" s="4476"/>
      <c r="AL85" s="4476"/>
      <c r="AM85" s="4476"/>
      <c r="AN85" s="4476"/>
      <c r="AO85" s="4476"/>
      <c r="AP85" s="4476"/>
      <c r="AQ85" s="4476"/>
      <c r="AR85" s="4476"/>
      <c r="AS85" s="4476"/>
      <c r="AT85" s="4476"/>
      <c r="AU85" s="4476"/>
      <c r="AV85" s="4476"/>
      <c r="AW85" s="4476"/>
      <c r="AX85" s="4476"/>
      <c r="AY85" s="4476"/>
      <c r="AZ85" s="4476"/>
      <c r="BA85" s="4476"/>
      <c r="BB85" s="4476"/>
      <c r="BC85" s="4476"/>
      <c r="BD85" s="4476"/>
      <c r="BE85" s="4476"/>
      <c r="BF85" s="4476"/>
      <c r="BG85" s="4476"/>
      <c r="BH85" s="4476"/>
      <c r="BI85" s="4476"/>
      <c r="BJ85" s="4476"/>
      <c r="BK85" s="4477"/>
      <c r="BL85" s="1627"/>
      <c r="BM85" s="1628"/>
      <c r="BN85" s="1149"/>
      <c r="BO85" s="1150"/>
      <c r="BP85" s="1135" t="str">
        <f>IF(I85="Si",VLOOKUP($D$8,'Tablas Técnicas'!$E$4:$F$6,2,FALSE),"")</f>
        <v/>
      </c>
      <c r="BQ85" s="1136" t="str">
        <f>IF(L85="Si",VLOOKUP($D$8,'Tablas Técnicas'!$I$4:$J$6,2,FALSE),"")</f>
        <v/>
      </c>
      <c r="BR85" s="1134" t="str">
        <f>IF(O85="Si",VLOOKUP($D$8,'Tablas Técnicas'!$I$7:$J$9,2,FALSE),"")</f>
        <v/>
      </c>
      <c r="BS85" s="1151"/>
      <c r="BT85" s="445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51"/>
      <c r="BV85" s="1128"/>
      <c r="BW85" s="1108"/>
      <c r="BX85" s="1108"/>
      <c r="BY85" s="1474"/>
      <c r="BZ85" s="1492"/>
      <c r="CA85" s="1096"/>
      <c r="DR85" s="1096"/>
      <c r="DT85" s="1514"/>
      <c r="DU85" s="1565" t="str">
        <f>IF(BW99="N/A","",BT98&amp;" "&amp;BW99&amp;IF(BY99="N/A"," "," ("&amp;BY99&amp;") "))</f>
        <v/>
      </c>
      <c r="DV85" s="1566" t="str">
        <f>IF(E85="",""," "&amp;E85)&amp;IF(I85="No",""," (Mant.)")&amp;IF(L85="No",""," (Sme)")&amp;IF(O85="No",""," (SMa)")</f>
        <v/>
      </c>
      <c r="DW85" s="1567" t="str">
        <f>IF(E115="","",", "&amp;E115)</f>
        <v/>
      </c>
      <c r="DX85" s="4454"/>
      <c r="DY85" s="1513"/>
      <c r="DZ85" s="1096"/>
      <c r="EA85" s="1660">
        <f t="shared" si="1"/>
        <v>1</v>
      </c>
    </row>
    <row r="86" spans="1:132" x14ac:dyDescent="0.2">
      <c r="A86" s="1096"/>
      <c r="B86" s="1096"/>
      <c r="C86" s="1497"/>
      <c r="D86" s="1643" t="s">
        <v>2310</v>
      </c>
      <c r="E86" s="1160"/>
      <c r="F86" s="2619" t="str">
        <f>IF(E86=0,"",VLOOKUP(E86,'Tablas Técnicas'!$A$14:$V$771,2,FALSE))</f>
        <v/>
      </c>
      <c r="G86" s="1142"/>
      <c r="H86" s="1161" t="str">
        <f>IF($E86=0,"",VLOOKUP($E86,'Tablas Técnicas'!$A$14:$V$771,4,FALSE))</f>
        <v/>
      </c>
      <c r="I86" s="1144" t="s">
        <v>2234</v>
      </c>
      <c r="J86" s="1601" t="str">
        <f>IF(E86=0,"",VLOOKUP(E86,'Tablas Técnicas'!$A$14:$V$771,5,FALSE))</f>
        <v/>
      </c>
      <c r="K86" s="1163" t="str">
        <f>IF(I86="Si",IF(E86=0,"",VLOOKUP(E86,'Tablas Técnicas'!$A$14:$V$771,5,FALSE)),"")</f>
        <v/>
      </c>
      <c r="L86" s="1144" t="s">
        <v>2234</v>
      </c>
      <c r="M86" s="1601" t="str">
        <f>IF(E86=0,"",VLOOKUP(E86,'Tablas Técnicas'!$A$14:$V$771,6,FALSE))</f>
        <v/>
      </c>
      <c r="N86" s="1147" t="str">
        <f>IF(L86="Si",IF(E86=0,"",VLOOKUP(E86,'Tablas Técnicas'!$A$14:$V$771,6,FALSE)),"")</f>
        <v/>
      </c>
      <c r="O86" s="1144" t="s">
        <v>2234</v>
      </c>
      <c r="P86" s="1601" t="str">
        <f>IF(E86=0,"",VLOOKUP(E86,'Tablas Técnicas'!$A$14:$V$771,7,FALSE))</f>
        <v/>
      </c>
      <c r="Q86" s="1147" t="str">
        <f>IF(O86="Si",IF(E86=0,"",VLOOKUP(E86,'Tablas Técnicas'!$A$14:$V$771,7,FALSE)),"")</f>
        <v/>
      </c>
      <c r="R86" s="1162" t="str">
        <f>IF(E86=0,"",VLOOKUP(E86,'Tablas Técnicas'!$A$14:$V$771,8,FALSE))</f>
        <v/>
      </c>
      <c r="S86" s="2619" t="str">
        <f>IF(R86=$D$8,$D$8,IF(R86=2,2,IF(R86=3,3,R86)))</f>
        <v/>
      </c>
      <c r="T86" s="4487"/>
      <c r="U86" s="4488"/>
      <c r="V86" s="2617" t="str">
        <f>IF(OR(V84=0,V84=""),"N/A",V84)</f>
        <v>N/A</v>
      </c>
      <c r="W86" s="4487" t="str">
        <f xml:space="preserve"> IF(OR(AF84=0,AF84=""),"N/A",W84)</f>
        <v>N/A</v>
      </c>
      <c r="X86" s="4489"/>
      <c r="Y86" s="4489"/>
      <c r="Z86" s="4489"/>
      <c r="AA86" s="4489"/>
      <c r="AB86" s="4489"/>
      <c r="AC86" s="4489"/>
      <c r="AD86" s="4489"/>
      <c r="AE86" s="4489"/>
      <c r="AF86" s="4488"/>
      <c r="AG86" s="4487" t="str">
        <f xml:space="preserve"> IF(OR(AP84="",AP84=0),"N/A",AG84)</f>
        <v>N/A</v>
      </c>
      <c r="AH86" s="4489"/>
      <c r="AI86" s="4489"/>
      <c r="AJ86" s="4489"/>
      <c r="AK86" s="4489"/>
      <c r="AL86" s="4489"/>
      <c r="AM86" s="4489"/>
      <c r="AN86" s="4489"/>
      <c r="AO86" s="4489"/>
      <c r="AP86" s="4488"/>
      <c r="AQ86" s="4487" t="str">
        <f xml:space="preserve"> IF(OR(AZ84="",AZ84=0),"N/A",AQ84)</f>
        <v>N/A</v>
      </c>
      <c r="AR86" s="4489"/>
      <c r="AS86" s="4489"/>
      <c r="AT86" s="4489"/>
      <c r="AU86" s="4489"/>
      <c r="AV86" s="4489"/>
      <c r="AW86" s="4489"/>
      <c r="AX86" s="4489"/>
      <c r="AY86" s="4489"/>
      <c r="AZ86" s="4488"/>
      <c r="BA86" s="4487" t="str">
        <f xml:space="preserve"> IF(OR(BJ84="",BJ84=0),"N/A",BA84)</f>
        <v>N/A</v>
      </c>
      <c r="BB86" s="4489"/>
      <c r="BC86" s="4489"/>
      <c r="BD86" s="4489"/>
      <c r="BE86" s="4489"/>
      <c r="BF86" s="4489"/>
      <c r="BG86" s="4489"/>
      <c r="BH86" s="4489"/>
      <c r="BI86" s="4489"/>
      <c r="BJ86" s="4488"/>
      <c r="BK86" s="1164" t="s">
        <v>5229</v>
      </c>
      <c r="BL86" s="1146"/>
      <c r="BM86" s="1181"/>
      <c r="BN86" s="1165"/>
      <c r="BO86" s="1166"/>
      <c r="BP86" s="1167" t="str">
        <f>IF(I86="Si",VLOOKUP($D$8,'Tablas Técnicas'!$E$4:$F$6,2,FALSE),"")</f>
        <v/>
      </c>
      <c r="BQ86" s="1137" t="str">
        <f>IF(L86="Si",VLOOKUP($D$8,'Tablas Técnicas'!$I$4:$J$6,2,FALSE),"")</f>
        <v/>
      </c>
      <c r="BR86" s="1168" t="str">
        <f>IF(O86="Si",VLOOKUP($D$8,'Tablas Técnicas'!$I$7:$J$9,2,FALSE),"")</f>
        <v/>
      </c>
      <c r="BS86" s="1169"/>
      <c r="BU86" s="2608"/>
      <c r="BV86" s="1128"/>
      <c r="BW86" s="1108"/>
      <c r="BX86" s="1108"/>
      <c r="BY86" s="1474"/>
      <c r="BZ86" s="1492"/>
      <c r="CA86" s="1096"/>
      <c r="DR86" s="1096"/>
      <c r="DT86" s="1514"/>
      <c r="DU86" s="1565" t="str">
        <f>IF(BW101="N/A","",BT100&amp;" "&amp;BW101&amp;IF(BY101="N/A"," "," ("&amp;BY101&amp;") "))</f>
        <v/>
      </c>
      <c r="DV86" s="1566" t="str">
        <f>IF(E86="","",E86)&amp;IF(I86="No",""," (Mant.)")&amp;IF(L86="No",""," (Sme)")&amp;IF(O86="No",""," (SMa)")</f>
        <v/>
      </c>
      <c r="DW86" s="1567" t="str">
        <f>IF(E116="","",", "&amp;E116)</f>
        <v/>
      </c>
      <c r="DX86" s="4454"/>
      <c r="DY86" s="1513"/>
      <c r="DZ86" s="1096"/>
      <c r="EA86" s="1660">
        <f t="shared" si="1"/>
        <v>1</v>
      </c>
    </row>
    <row r="87" spans="1:132" x14ac:dyDescent="0.2">
      <c r="A87" s="1096"/>
      <c r="B87" s="1096"/>
      <c r="C87" s="1497"/>
      <c r="D87" s="1642" t="s">
        <v>2310</v>
      </c>
      <c r="E87" s="1152"/>
      <c r="F87" s="1153" t="str">
        <f>IF(E87=0,"",VLOOKUP(E87,'Tablas Técnicas'!$A$14:$V$771,2,FALSE))</f>
        <v/>
      </c>
      <c r="G87" s="1154"/>
      <c r="H87" s="1155" t="str">
        <f>IF($E87=0,"",VLOOKUP($E87,'Tablas Técnicas'!$A$14:$V$771,4,FALSE))</f>
        <v/>
      </c>
      <c r="I87" s="1156" t="s">
        <v>2234</v>
      </c>
      <c r="J87" s="1605" t="str">
        <f>IF(E87=0,"",VLOOKUP(E87,'Tablas Técnicas'!$A$14:$V$771,5,FALSE))</f>
        <v/>
      </c>
      <c r="K87" s="1158" t="str">
        <f>IF(I87="Si",IF(E87=0,"",VLOOKUP(E87,'Tablas Técnicas'!$A$14:$V$771,5,FALSE)),"")</f>
        <v/>
      </c>
      <c r="L87" s="1156" t="s">
        <v>2234</v>
      </c>
      <c r="M87" s="1605" t="str">
        <f>IF(E87=0,"",VLOOKUP(E87,'Tablas Técnicas'!$A$14:$V$771,6,FALSE))</f>
        <v/>
      </c>
      <c r="N87" s="1159" t="str">
        <f>IF(L87="Si",IF(E87=0,"",VLOOKUP(E87,'Tablas Técnicas'!$A$14:$V$771,6,FALSE)),"")</f>
        <v/>
      </c>
      <c r="O87" s="1156" t="s">
        <v>2234</v>
      </c>
      <c r="P87" s="1605" t="str">
        <f>IF(E87=0,"",VLOOKUP(E87,'Tablas Técnicas'!$A$14:$V$771,7,FALSE))</f>
        <v/>
      </c>
      <c r="Q87" s="1159" t="str">
        <f>IF(O87="Si",IF(E87=0,"",VLOOKUP(E87,'Tablas Técnicas'!$A$14:$V$771,7,FALSE)),"")</f>
        <v/>
      </c>
      <c r="R87" s="1157" t="str">
        <f>IF(E87=0,"",VLOOKUP(E87,'Tablas Técnicas'!$A$14:$V$771,8,FALSE))</f>
        <v/>
      </c>
      <c r="S87" s="1155" t="str">
        <f>IF(R87=$D$8,$D$8,IF(R87=2,2,IF(R87=3,3,R87)))</f>
        <v/>
      </c>
      <c r="T87" s="4490" t="s">
        <v>5230</v>
      </c>
      <c r="U87" s="4491"/>
      <c r="V87" s="2618"/>
      <c r="W87" s="4492"/>
      <c r="X87" s="4493"/>
      <c r="Y87" s="4493"/>
      <c r="Z87" s="4493"/>
      <c r="AA87" s="4493"/>
      <c r="AB87" s="4493"/>
      <c r="AC87" s="4493"/>
      <c r="AD87" s="4493"/>
      <c r="AE87" s="4493"/>
      <c r="AF87" s="4494"/>
      <c r="AG87" s="4492"/>
      <c r="AH87" s="4493"/>
      <c r="AI87" s="4493"/>
      <c r="AJ87" s="4493"/>
      <c r="AK87" s="4493"/>
      <c r="AL87" s="4493"/>
      <c r="AM87" s="4493"/>
      <c r="AN87" s="4493"/>
      <c r="AO87" s="4493"/>
      <c r="AP87" s="4494"/>
      <c r="AQ87" s="4492"/>
      <c r="AR87" s="4493"/>
      <c r="AS87" s="4493"/>
      <c r="AT87" s="4493"/>
      <c r="AU87" s="4493"/>
      <c r="AV87" s="4493"/>
      <c r="AW87" s="4493"/>
      <c r="AX87" s="4493"/>
      <c r="AY87" s="4493"/>
      <c r="AZ87" s="4494"/>
      <c r="BA87" s="4492"/>
      <c r="BB87" s="4493"/>
      <c r="BC87" s="4493"/>
      <c r="BD87" s="4493"/>
      <c r="BE87" s="4493"/>
      <c r="BF87" s="4493"/>
      <c r="BG87" s="4493"/>
      <c r="BH87" s="4493"/>
      <c r="BI87" s="4493"/>
      <c r="BJ87" s="4494"/>
      <c r="BK87" s="1155">
        <f>(SUM(F84:F88)+IF(AF84="",0,AF84)+IF(AP84="",0,AP84)+IF(AZ84="",0,AZ84)+IF(BJ84="",0,BJ84)+SUM(K84:K88)+SUM(N84:N88)+SUM(Q84:Q88))- SUM(V87:BA87)</f>
        <v>0</v>
      </c>
      <c r="BL87" s="1627"/>
      <c r="BM87" s="1628"/>
      <c r="BN87" s="1149"/>
      <c r="BO87" s="1150"/>
      <c r="BP87" s="1135" t="str">
        <f>IF(I87="Si",VLOOKUP($D$8,'Tablas Técnicas'!$E$4:$F$6,2,FALSE),"")</f>
        <v/>
      </c>
      <c r="BQ87" s="1136" t="str">
        <f>IF(L87="Si",VLOOKUP($D$8,'Tablas Técnicas'!$I$4:$J$6,2,FALSE),"")</f>
        <v/>
      </c>
      <c r="BR87" s="1134" t="str">
        <f>IF(O87="Si",VLOOKUP($D$8,'Tablas Técnicas'!$I$7:$J$9,2,FALSE),"")</f>
        <v/>
      </c>
      <c r="BS87" s="1151"/>
      <c r="BT87" s="4448" t="s">
        <v>5231</v>
      </c>
      <c r="BU87" s="4449"/>
      <c r="BV87" s="1128"/>
      <c r="BW87" s="1108"/>
      <c r="BX87" s="1108"/>
      <c r="BY87" s="1474"/>
      <c r="BZ87" s="1492"/>
      <c r="CA87" s="1096"/>
      <c r="DR87" s="1096"/>
      <c r="DT87" s="1514"/>
      <c r="DU87" s="1565" t="str">
        <f>IF(BW103="N/A","",BT102&amp;" "&amp;BW103&amp;IF(BY103="N/A"," "," ("&amp;BY103&amp;") "))</f>
        <v/>
      </c>
      <c r="DV87" s="1566" t="str">
        <f>IF(E87="","",E87)&amp;IF(I87="No",""," (Mant.)")&amp;IF(L87="No",""," (Sme)")&amp;IF(O87="No",""," (SMa)")</f>
        <v/>
      </c>
      <c r="DW87" s="1567"/>
      <c r="DX87" s="4454"/>
      <c r="DY87" s="1513"/>
      <c r="DZ87" s="1096"/>
      <c r="EA87" s="1660">
        <f t="shared" si="1"/>
        <v>1</v>
      </c>
    </row>
    <row r="88" spans="1:132" x14ac:dyDescent="0.2">
      <c r="A88" s="1096"/>
      <c r="B88" s="1096"/>
      <c r="C88" s="1497"/>
      <c r="D88" s="1643" t="s">
        <v>2310</v>
      </c>
      <c r="E88" s="1160"/>
      <c r="F88" s="2619" t="str">
        <f>IF(E88=0,"",VLOOKUP(E88,'Tablas Técnicas'!$A$14:$V$771,2,FALSE))</f>
        <v/>
      </c>
      <c r="G88" s="1142"/>
      <c r="H88" s="1161" t="str">
        <f>IF($E88=0,"",VLOOKUP($E88,'Tablas Técnicas'!$A$14:$V$771,4,FALSE))</f>
        <v/>
      </c>
      <c r="I88" s="1144" t="s">
        <v>2234</v>
      </c>
      <c r="J88" s="1601" t="str">
        <f>IF(E88=0,"",VLOOKUP(E88,'Tablas Técnicas'!$A$14:$V$771,5,FALSE))</f>
        <v/>
      </c>
      <c r="K88" s="1163" t="str">
        <f>IF(I88="Si",IF(E88=0,"",VLOOKUP(E88,'Tablas Técnicas'!$A$14:$V$771,5,FALSE)),"")</f>
        <v/>
      </c>
      <c r="L88" s="1144" t="s">
        <v>2234</v>
      </c>
      <c r="M88" s="1601" t="str">
        <f>IF(E88=0,"",VLOOKUP(E88,'Tablas Técnicas'!$A$14:$V$771,6,FALSE))</f>
        <v/>
      </c>
      <c r="N88" s="1147" t="str">
        <f>IF(L88="Si",IF(E88=0,"",VLOOKUP(E88,'Tablas Técnicas'!$A$14:$V$771,6,FALSE)),"")</f>
        <v/>
      </c>
      <c r="O88" s="1144" t="s">
        <v>2234</v>
      </c>
      <c r="P88" s="1601" t="str">
        <f>IF(E88=0,"",VLOOKUP(E88,'Tablas Técnicas'!$A$14:$V$771,7,FALSE))</f>
        <v/>
      </c>
      <c r="Q88" s="1147" t="str">
        <f>IF(O88="Si",IF(E88=0,"",VLOOKUP(E88,'Tablas Técnicas'!$A$14:$V$771,7,FALSE)),"")</f>
        <v/>
      </c>
      <c r="R88" s="1162" t="str">
        <f>IF(E88=0,"",VLOOKUP(E88,'Tablas Técnicas'!$A$14:$V$771,8,FALSE))</f>
        <v/>
      </c>
      <c r="S88" s="1161" t="str">
        <f>IF(R88=$D$8,$D$8,IF(R88=2,2,IF(R88=3,3,R88)))</f>
        <v/>
      </c>
      <c r="T88" s="4482" t="s">
        <v>5232</v>
      </c>
      <c r="U88" s="4483"/>
      <c r="V88" s="2616"/>
      <c r="W88" s="4484"/>
      <c r="X88" s="4485"/>
      <c r="Y88" s="4485"/>
      <c r="Z88" s="4485"/>
      <c r="AA88" s="4485"/>
      <c r="AB88" s="4485"/>
      <c r="AC88" s="4485"/>
      <c r="AD88" s="4485"/>
      <c r="AE88" s="4485"/>
      <c r="AF88" s="4486"/>
      <c r="AG88" s="4484"/>
      <c r="AH88" s="4485"/>
      <c r="AI88" s="4485"/>
      <c r="AJ88" s="4485"/>
      <c r="AK88" s="4485"/>
      <c r="AL88" s="4485"/>
      <c r="AM88" s="4485"/>
      <c r="AN88" s="4485"/>
      <c r="AO88" s="4485"/>
      <c r="AP88" s="4486"/>
      <c r="AQ88" s="4484"/>
      <c r="AR88" s="4485"/>
      <c r="AS88" s="4485"/>
      <c r="AT88" s="4485"/>
      <c r="AU88" s="4485"/>
      <c r="AV88" s="4485"/>
      <c r="AW88" s="4485"/>
      <c r="AX88" s="4485"/>
      <c r="AY88" s="4485"/>
      <c r="AZ88" s="4486"/>
      <c r="BA88" s="4484"/>
      <c r="BB88" s="4485"/>
      <c r="BC88" s="4485"/>
      <c r="BD88" s="4485"/>
      <c r="BE88" s="4485"/>
      <c r="BF88" s="4485"/>
      <c r="BG88" s="4485"/>
      <c r="BH88" s="4485"/>
      <c r="BI88" s="4485"/>
      <c r="BJ88" s="4486"/>
      <c r="BK88" s="1171">
        <f>SUM(K84:K88)-SUM(V88:BA88)</f>
        <v>0</v>
      </c>
      <c r="BL88" s="1629"/>
      <c r="BM88" s="1630"/>
      <c r="BN88" s="1165"/>
      <c r="BO88" s="1166"/>
      <c r="BP88" s="1167" t="str">
        <f>IF(I88="Si",VLOOKUP($D$8,'Tablas Técnicas'!$E$4:$F$6,2,FALSE),"")</f>
        <v/>
      </c>
      <c r="BQ88" s="1137" t="str">
        <f>IF(L88="Si",VLOOKUP($D$8,'Tablas Técnicas'!$I$4:$J$6,2,FALSE),"")</f>
        <v/>
      </c>
      <c r="BR88" s="1168" t="str">
        <f>IF(O88="Si",VLOOKUP($D$8,'Tablas Técnicas'!$I$7:$J$9,2,FALSE),"")</f>
        <v/>
      </c>
      <c r="BS88" s="1169"/>
      <c r="BT88" s="4452" t="s">
        <v>2234</v>
      </c>
      <c r="BU88" s="4453"/>
      <c r="BV88" s="1128"/>
      <c r="BW88" s="1108"/>
      <c r="BX88" s="1108"/>
      <c r="BY88" s="1474"/>
      <c r="BZ88" s="1492"/>
      <c r="CA88" s="1096"/>
      <c r="DR88" s="1096"/>
      <c r="DT88" s="1514"/>
      <c r="DU88" s="1565" t="str">
        <f>IF(BW105="N/A","",BT104&amp;" "&amp;BW105&amp;IF(BY105="N/A"," "," ("&amp;BY105&amp;") "))</f>
        <v/>
      </c>
      <c r="DV88" s="1566" t="str">
        <f>IF(E88="","",E88)&amp;IF(I88="No",""," (Mant.)")&amp;IF(L88="No",""," (Sme)")&amp;IF(O88="No",""," (SMa)")</f>
        <v/>
      </c>
      <c r="DW88" s="1567"/>
      <c r="DX88" s="4454"/>
      <c r="DY88" s="1513"/>
      <c r="DZ88" s="1096"/>
      <c r="EA88" s="1660">
        <f t="shared" si="1"/>
        <v>1</v>
      </c>
    </row>
    <row r="89" spans="1:132" s="1170" customFormat="1" x14ac:dyDescent="0.2">
      <c r="A89" s="1096"/>
      <c r="B89" s="159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97"/>
      <c r="D89" s="1644">
        <v>2</v>
      </c>
      <c r="E89" s="1423"/>
      <c r="F89" s="1173"/>
      <c r="G89" s="1174"/>
      <c r="H89" s="2559">
        <f>IF(AND(OR(ISNUMBER(SEARCH("Afinidad Elemental ("&amp;BK84&amp;")",Principal!$AF$30)),ISNUMBER(SEARCH("Afinidad Elemental ("&amp;BL84&amp;")",Principal!$AF$30)),ISNUMBER(SEARCH("Afinidad Elemental ("&amp;BM84&amp;")",Principal!$AF$30))),SUM(H84:H88)&gt;=5),-5,0)</f>
        <v>0</v>
      </c>
      <c r="I89" s="1603"/>
      <c r="J89" s="1606"/>
      <c r="K89" s="1174"/>
      <c r="L89" s="1603"/>
      <c r="M89" s="1606"/>
      <c r="N89" s="1174"/>
      <c r="O89" s="1603"/>
      <c r="P89" s="1606"/>
      <c r="Q89" s="1174"/>
      <c r="R89" s="1175"/>
      <c r="S89" s="1174"/>
      <c r="T89" s="1174"/>
      <c r="U89" s="1131"/>
      <c r="V89" s="1131"/>
      <c r="W89" s="1131"/>
      <c r="X89" s="1131"/>
      <c r="Y89" s="1131"/>
      <c r="Z89" s="1131"/>
      <c r="AA89" s="1131"/>
      <c r="AB89" s="1131"/>
      <c r="AC89" s="1131"/>
      <c r="AD89" s="1131"/>
      <c r="AE89" s="1131"/>
      <c r="AF89" s="1131"/>
      <c r="AG89" s="1131"/>
      <c r="AH89" s="1131"/>
      <c r="AI89" s="1131"/>
      <c r="AJ89" s="1131"/>
      <c r="AK89" s="1131"/>
      <c r="AL89" s="1131"/>
      <c r="AM89" s="1131"/>
      <c r="AN89" s="1131"/>
      <c r="AO89" s="1131"/>
      <c r="AP89" s="1131"/>
      <c r="AQ89" s="1131"/>
      <c r="AR89" s="1131"/>
      <c r="AS89" s="1131"/>
      <c r="AT89" s="1131"/>
      <c r="AU89" s="1131"/>
      <c r="AV89" s="1131"/>
      <c r="AW89" s="1131"/>
      <c r="AX89" s="1131"/>
      <c r="AY89" s="1131"/>
      <c r="AZ89" s="1131"/>
      <c r="BA89" s="1131"/>
      <c r="BB89" s="1131"/>
      <c r="BC89" s="1131"/>
      <c r="BD89" s="1131"/>
      <c r="BE89" s="1131"/>
      <c r="BF89" s="1131"/>
      <c r="BG89" s="1131"/>
      <c r="BH89" s="1131"/>
      <c r="BI89" s="1131"/>
      <c r="BJ89" s="1131"/>
      <c r="BK89" s="1131"/>
      <c r="BL89" s="1131"/>
      <c r="BM89" s="1133"/>
      <c r="BN89" s="1134">
        <f>SUM(K89:K92)</f>
        <v>0</v>
      </c>
      <c r="BO89" s="1128" t="str">
        <f>IF(E89=0,"",(AF89+AP89+AZ89+BJ89))</f>
        <v/>
      </c>
      <c r="BP89" s="1135" t="str">
        <f>IF(I89="Si",VLOOKUP($D$8,'Tablas Técnicas'!$E$4:$F$6,2,FALSE),"")</f>
        <v/>
      </c>
      <c r="BQ89" s="1136" t="str">
        <f>IF(L89="Si",VLOOKUP($D$8,'Tablas Técnicas'!$I$4:$J$6,2,FALSE),"")</f>
        <v/>
      </c>
      <c r="BR89" s="1134" t="str">
        <f>IF(O89="Si",VLOOKUP($D$8,'Tablas Técnicas'!$I$7:$J$9,2,FALSE),"")</f>
        <v/>
      </c>
      <c r="BS89" s="1151"/>
      <c r="BT89" s="4448" t="s">
        <v>5233</v>
      </c>
      <c r="BU89" s="4449"/>
      <c r="BV89" s="1128"/>
      <c r="BW89" s="1108"/>
      <c r="BX89" s="1108"/>
      <c r="BY89" s="1474"/>
      <c r="BZ89" s="1492"/>
      <c r="CA89" s="1096"/>
      <c r="DR89" s="1096"/>
      <c r="DS89" s="1509"/>
      <c r="DT89" s="1514"/>
      <c r="DU89" s="1565" t="str">
        <f>IF(BW107="N/A","",BT106&amp;" "&amp;BW107&amp;IF(BY107="N/A"," "," ("&amp;BY107&amp;") "))</f>
        <v/>
      </c>
      <c r="DV89" s="1570"/>
      <c r="DW89" s="1567"/>
      <c r="DX89" s="1617" t="s">
        <v>2373</v>
      </c>
      <c r="DY89" s="1513"/>
      <c r="DZ89" s="1096"/>
      <c r="EA89" s="1660">
        <f t="shared" si="1"/>
        <v>1</v>
      </c>
    </row>
    <row r="90" spans="1:132" x14ac:dyDescent="0.2">
      <c r="A90" s="1096"/>
      <c r="B90" s="1096"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97"/>
      <c r="D90" s="1643" t="s">
        <v>2310</v>
      </c>
      <c r="E90" s="1140"/>
      <c r="F90" s="1176"/>
      <c r="G90" s="1146" t="str">
        <f>IF(E90=0,"",VLOOKUP(E90,'Tablas Técnicas'!$A$14:$V$771,3,FALSE))</f>
        <v/>
      </c>
      <c r="H90" s="1178" t="str">
        <f>IF($E90=0,"",VLOOKUP($E90,'Tablas Técnicas'!$A$14:$V$771,4,FALSE))</f>
        <v/>
      </c>
      <c r="I90" s="1144" t="s">
        <v>2234</v>
      </c>
      <c r="J90" s="1604" t="str">
        <f>IF(E90=0,"",VLOOKUP(E90,'Tablas Técnicas'!$A$14:$V$771,5,FALSE))</f>
        <v/>
      </c>
      <c r="K90" s="1177" t="str">
        <f>IF(I90="Si",IF(E90=0,"",VLOOKUP(E90,'Tablas Técnicas'!$A$14:$V$771,5,FALSE)),"")</f>
        <v/>
      </c>
      <c r="L90" s="1144" t="s">
        <v>2234</v>
      </c>
      <c r="M90" s="1604" t="str">
        <f>IF(E90=0,"",VLOOKUP(E90,'Tablas Técnicas'!$A$14:$V$771,6,FALSE))</f>
        <v/>
      </c>
      <c r="N90" s="1147" t="str">
        <f>IF(L90="Si",IF(E90=0,"",VLOOKUP(E90,'Tablas Técnicas'!$A$14:$V$771,6,FALSE)),"")</f>
        <v/>
      </c>
      <c r="O90" s="1144" t="s">
        <v>2234</v>
      </c>
      <c r="P90" s="1604" t="str">
        <f>IF(E90=0,"",VLOOKUP(E90,'Tablas Técnicas'!$A$14:$V$771,7,FALSE))</f>
        <v/>
      </c>
      <c r="Q90" s="1147" t="str">
        <f>IF(O90="Si",IF(E90=0,"",VLOOKUP(E90,'Tablas Técnicas'!$A$14:$V$771,7,FALSE)),"")</f>
        <v/>
      </c>
      <c r="R90" s="1179" t="str">
        <f>IF(E90=0,"",VLOOKUP(E90,'Tablas Técnicas'!$A$14:$V$771,8,FALSE))</f>
        <v/>
      </c>
      <c r="S90" s="1178" t="str">
        <f>IF(R90=$D$8,$D$8,IF(R90=2,2,IF(R90=3,3,R90)))</f>
        <v/>
      </c>
      <c r="T90" s="1146" t="str">
        <f>IF(E90=0,"",VLOOKUP(E90,'Tablas Técnicas'!$A$14:$V$771,9,FALSE))</f>
        <v/>
      </c>
      <c r="U90" s="1146" t="str">
        <f>IF(E90=0,"",VLOOKUP(E90,'Tablas Técnicas'!$A$14:$V$771,10,FALSE))</f>
        <v/>
      </c>
      <c r="V90" s="1141" t="str">
        <f>IF(E90=0,"",VLOOKUP(E90,'Tablas Técnicas'!$A$14:$V$771,11,FALSE))</f>
        <v/>
      </c>
      <c r="W90" s="1144"/>
      <c r="X90" s="1145" t="e">
        <f>VLOOKUP(E90,'Tablas Técnicas'!$A$14:$V$771,12,FALSE)</f>
        <v>#N/A</v>
      </c>
      <c r="Y90" s="1145" t="e">
        <f>IF(W90=X90,VLOOKUP(E90,'Tablas Técnicas'!$A$14:$V$771,13,FALSE),0)</f>
        <v>#N/A</v>
      </c>
      <c r="Z90" s="1145" t="e">
        <f>VLOOKUP(E90,'Tablas Técnicas'!$A$14:$V$771,14,FALSE)</f>
        <v>#N/A</v>
      </c>
      <c r="AA90" s="1145" t="e">
        <f>IF(W90=Z90,VLOOKUP(E90,'Tablas Técnicas'!$A$14:$V$616,15,FALSE),0)</f>
        <v>#N/A</v>
      </c>
      <c r="AB90" s="1145" t="e">
        <f>VLOOKUP(E90,'Tablas Técnicas'!$A$14:$V$771,16,FALSE)</f>
        <v>#N/A</v>
      </c>
      <c r="AC90" s="1145" t="e">
        <f>IF(W90=AB90,VLOOKUP(E90,'Tablas Técnicas'!$A$14:$V$616,17,FALSE),0)</f>
        <v>#N/A</v>
      </c>
      <c r="AD90" s="1145" t="e">
        <f>VLOOKUP(E90,'Tablas Técnicas'!$A$14:$V$771,18,FALSE)</f>
        <v>#N/A</v>
      </c>
      <c r="AE90" s="1145" t="e">
        <f>IF(W90=AD90,VLOOKUP(E90,'Tablas Técnicas'!$A$14:$V$771,19,FALSE),0)</f>
        <v>#N/A</v>
      </c>
      <c r="AF90" s="1146" t="str">
        <f>IF(E90=0,"",(Y90+AA90+AC90+AE90))</f>
        <v/>
      </c>
      <c r="AG90" s="1144"/>
      <c r="AH90" s="1179" t="e">
        <f>VLOOKUP(E90,'Tablas Técnicas'!$A$14:$V$771,12,FALSE)</f>
        <v>#N/A</v>
      </c>
      <c r="AI90" s="1179" t="e">
        <f>IF(AG90=AH90,VLOOKUP(E90,'Tablas Técnicas'!$A$14:$V$771,13,FALSE),0)</f>
        <v>#N/A</v>
      </c>
      <c r="AJ90" s="1179" t="e">
        <f>VLOOKUP(E90,'Tablas Técnicas'!$A$14:$V$771,14,FALSE)</f>
        <v>#N/A</v>
      </c>
      <c r="AK90" s="1179" t="e">
        <f>IF(AG90=AJ90,VLOOKUP(E90,'Tablas Técnicas'!$A$14:$V$771,15,FALSE),0)</f>
        <v>#N/A</v>
      </c>
      <c r="AL90" s="1179" t="e">
        <f>VLOOKUP(E90,'Tablas Técnicas'!$A$14:$V$771,16,FALSE)</f>
        <v>#N/A</v>
      </c>
      <c r="AM90" s="1179" t="e">
        <f>IF(AG90=AL90,VLOOKUP(E90,'Tablas Técnicas'!$A$14:$V$771,17,FALSE),0)</f>
        <v>#N/A</v>
      </c>
      <c r="AN90" s="1179" t="e">
        <f>VLOOKUP(E90,'Tablas Técnicas'!$A$14:$V$771,18,FALSE)</f>
        <v>#N/A</v>
      </c>
      <c r="AO90" s="1179" t="e">
        <f>IF(AG90=AN90,VLOOKUP(E90,'Tablas Técnicas'!$A$14:$V$771,19,FALSE),0)</f>
        <v>#N/A</v>
      </c>
      <c r="AP90" s="1180" t="str">
        <f>IF(E90=0,"",(AI90+AK90+AM90+AO90))</f>
        <v/>
      </c>
      <c r="AQ90" s="1144"/>
      <c r="AR90" s="1145" t="e">
        <f>VLOOKUP(E90,'Tablas Técnicas'!$A$14:$V$771,12,FALSE)</f>
        <v>#N/A</v>
      </c>
      <c r="AS90" s="1145" t="e">
        <f>IF(AQ90=AR90,VLOOKUP(E90,'Tablas Técnicas'!$A$14:$V$771,13,FALSE),0)</f>
        <v>#N/A</v>
      </c>
      <c r="AT90" s="1145" t="e">
        <f>VLOOKUP(E90,'Tablas Técnicas'!$A$14:$V$771,14,FALSE)</f>
        <v>#N/A</v>
      </c>
      <c r="AU90" s="1145" t="e">
        <f>IF(AQ90=AT90,VLOOKUP(E90,'Tablas Técnicas'!$A$14:$V$771,15,FALSE),0)</f>
        <v>#N/A</v>
      </c>
      <c r="AV90" s="1145" t="e">
        <f>VLOOKUP(E90,'Tablas Técnicas'!$A$14:$V$771,16,FALSE)</f>
        <v>#N/A</v>
      </c>
      <c r="AW90" s="1145" t="e">
        <f>IF(AQ90=AV90,VLOOKUP(E90,'Tablas Técnicas'!$A$14:$V$771,17,FALSE),0)</f>
        <v>#N/A</v>
      </c>
      <c r="AX90" s="1145" t="e">
        <f>VLOOKUP(E90,'Tablas Técnicas'!$A$14:$V$771,18,FALSE)</f>
        <v>#N/A</v>
      </c>
      <c r="AY90" s="1145" t="e">
        <f>IF(AQ90=AX90,VLOOKUP(E90,'Tablas Técnicas'!$A$14:$V$771,19,FALSE),0)</f>
        <v>#N/A</v>
      </c>
      <c r="AZ90" s="1146" t="str">
        <f>IF(E90=0,"",(AS90+AU90+AW90+AY90))</f>
        <v/>
      </c>
      <c r="BA90" s="1144"/>
      <c r="BB90" s="1145" t="e">
        <f>VLOOKUP(E90,'Tablas Técnicas'!$A$14:$V$771,12,FALSE)</f>
        <v>#N/A</v>
      </c>
      <c r="BC90" s="1145" t="e">
        <f>IF(BA90=BB90,VLOOKUP(E90,'Tablas Técnicas'!$A$14:$V$771,13,FALSE),0)</f>
        <v>#N/A</v>
      </c>
      <c r="BD90" s="1145" t="e">
        <f>VLOOKUP(E90,'Tablas Técnicas'!$A$14:$V$771,14,FALSE)</f>
        <v>#N/A</v>
      </c>
      <c r="BE90" s="1145" t="e">
        <f>IF(BA90=BD90,VLOOKUP(E90,'Tablas Técnicas'!$A$14:$V$771,15,FALSE),0)</f>
        <v>#N/A</v>
      </c>
      <c r="BF90" s="1145" t="e">
        <f>VLOOKUP(E90,'Tablas Técnicas'!$A$14:$V$771,16,FALSE)</f>
        <v>#N/A</v>
      </c>
      <c r="BG90" s="1145" t="e">
        <f>IF(BA90=BF90,VLOOKUP(E90,'Tablas Técnicas'!$A$14:$V$771,17,FALSE),0)</f>
        <v>#N/A</v>
      </c>
      <c r="BH90" s="1145" t="e">
        <f>VLOOKUP(E90,'Tablas Técnicas'!$A$14:$V$771,18,FALSE)</f>
        <v>#N/A</v>
      </c>
      <c r="BI90" s="1145" t="e">
        <f>IF(BA90=BH90,VLOOKUP(E90,'Tablas Técnicas'!$A$14:$V$771,19,FALSE),0)</f>
        <v>#N/A</v>
      </c>
      <c r="BJ90" s="1147" t="str">
        <f>IF(E90=0,"",(BC90+BE90+BG90+BI90))</f>
        <v/>
      </c>
      <c r="BK90" s="1146" t="str">
        <f>IF(E90=0,"",VLOOKUP(E90,'Tablas Técnicas'!$A$14:$V$771,20,FALSE))</f>
        <v/>
      </c>
      <c r="BL90" s="1146" t="str">
        <f>IF(E90=0,"",VLOOKUP(E90,'Tablas Técnicas'!$A$14:$V$771,21,FALSE))</f>
        <v/>
      </c>
      <c r="BM90" s="1181" t="str">
        <f>IF(E90=0,"",VLOOKUP(E90,'Tablas Técnicas'!$A$14:$V$771,22,FALSE))</f>
        <v/>
      </c>
      <c r="BN90" s="1149"/>
      <c r="BO90" s="1150"/>
      <c r="BP90" s="1135" t="str">
        <f>IF(I90="Si",VLOOKUP($D$8,'Tablas Técnicas'!$E$4:$F$6,2,FALSE),"")</f>
        <v/>
      </c>
      <c r="BQ90" s="1136" t="str">
        <f>IF(L90="Si",VLOOKUP($D$8,'Tablas Técnicas'!$I$4:$J$6,2,FALSE),"")</f>
        <v/>
      </c>
      <c r="BR90" s="1134" t="str">
        <f>IF(O90="Si",VLOOKUP($D$8,'Tablas Técnicas'!$I$7:$J$9,2,FALSE),"")</f>
        <v/>
      </c>
      <c r="BS90" s="1151"/>
      <c r="BT90" s="4452" t="s">
        <v>5213</v>
      </c>
      <c r="BU90" s="4453"/>
      <c r="BV90" s="1128"/>
      <c r="BW90" s="1108"/>
      <c r="BX90" s="1108"/>
      <c r="BY90" s="1474"/>
      <c r="BZ90" s="1492"/>
      <c r="CA90" s="1096"/>
      <c r="DR90" s="1096"/>
      <c r="DT90" s="1515"/>
      <c r="DU90" s="1569"/>
      <c r="DV90" s="1566" t="str">
        <f>IF(E90="","",", "&amp;E90)&amp;IF(I90="No",""," (Mant.)")&amp;IF(L90="No",""," (Sme)")&amp;IF(O90="No",""," (SMa)")</f>
        <v/>
      </c>
      <c r="DW90" s="1567"/>
      <c r="DX90" s="1568" t="str">
        <f>IF(ISNUMBER(FIND('Tablas Técnicas'!A$678,DW108)),BL114&amp;BM114,IF(ISNUMBER(FIND('Tablas Técnicas'!A$679,DW108)),BL114&amp;" "&amp;BM114,""))</f>
        <v/>
      </c>
      <c r="DY90" s="1516"/>
      <c r="DZ90" s="1096"/>
      <c r="EA90" s="1660">
        <f t="shared" si="1"/>
        <v>1</v>
      </c>
    </row>
    <row r="91" spans="1:132" ht="11.25" customHeight="1" x14ac:dyDescent="0.2">
      <c r="A91" s="1096"/>
      <c r="B91" s="1096"/>
      <c r="C91" s="1497"/>
      <c r="D91" s="1642" t="s">
        <v>2310</v>
      </c>
      <c r="E91" s="1152"/>
      <c r="F91" s="1182"/>
      <c r="G91" s="1627" t="str">
        <f>IF(E91=0,"",VLOOKUP(E91,'Tablas Técnicas'!$A$14:$V$771,3,FALSE))</f>
        <v/>
      </c>
      <c r="H91" s="1155" t="str">
        <f>IF($E91=0,"",VLOOKUP($E91,'Tablas Técnicas'!$A$14:$V$771,4,FALSE))</f>
        <v/>
      </c>
      <c r="I91" s="1156" t="s">
        <v>2234</v>
      </c>
      <c r="J91" s="1605" t="str">
        <f>IF(E91=0,"",VLOOKUP(E91,'Tablas Técnicas'!$A$14:$V$771,5,FALSE))</f>
        <v/>
      </c>
      <c r="K91" s="1158" t="str">
        <f>IF(I91="Si",IF(E91=0,"",VLOOKUP(E91,'Tablas Técnicas'!$A$14:$V$771,5,FALSE)),"")</f>
        <v/>
      </c>
      <c r="L91" s="1156" t="s">
        <v>2234</v>
      </c>
      <c r="M91" s="1605" t="str">
        <f>IF(E91=0,"",VLOOKUP(E91,'Tablas Técnicas'!$A$14:$V$771,6,FALSE))</f>
        <v/>
      </c>
      <c r="N91" s="1159" t="str">
        <f>IF(L91="Si",IF(E91=0,"",VLOOKUP(E91,'Tablas Técnicas'!$A$14:$V$771,6,FALSE)),"")</f>
        <v/>
      </c>
      <c r="O91" s="1156" t="s">
        <v>2234</v>
      </c>
      <c r="P91" s="1605" t="str">
        <f>IF(E91=0,"",VLOOKUP(E91,'Tablas Técnicas'!$A$14:$V$771,7,FALSE))</f>
        <v/>
      </c>
      <c r="Q91" s="1159" t="str">
        <f>IF(O91="Si",IF(E91=0,"",VLOOKUP(E91,'Tablas Técnicas'!$A$14:$V$771,7,FALSE)),"")</f>
        <v/>
      </c>
      <c r="R91" s="1157" t="str">
        <f>IF(E91=0,"",VLOOKUP(E91,'Tablas Técnicas'!$A$14:$V$771,8,FALSE))</f>
        <v/>
      </c>
      <c r="S91" s="1155" t="str">
        <f>IF(R91=$D$8,$D$8,IF(R91=2,2,IF(R91=3,3,R91)))</f>
        <v/>
      </c>
      <c r="T91" s="4475" t="s">
        <v>5228</v>
      </c>
      <c r="U91" s="4476"/>
      <c r="V91" s="4476"/>
      <c r="W91" s="4476"/>
      <c r="X91" s="4476"/>
      <c r="Y91" s="4476"/>
      <c r="Z91" s="4476"/>
      <c r="AA91" s="4476"/>
      <c r="AB91" s="4476"/>
      <c r="AC91" s="4476"/>
      <c r="AD91" s="4476"/>
      <c r="AE91" s="4476"/>
      <c r="AF91" s="4476"/>
      <c r="AG91" s="4476"/>
      <c r="AH91" s="4476"/>
      <c r="AI91" s="4476"/>
      <c r="AJ91" s="4476"/>
      <c r="AK91" s="4476"/>
      <c r="AL91" s="4476"/>
      <c r="AM91" s="4476"/>
      <c r="AN91" s="4476"/>
      <c r="AO91" s="4476"/>
      <c r="AP91" s="4476"/>
      <c r="AQ91" s="4476"/>
      <c r="AR91" s="4476"/>
      <c r="AS91" s="4476"/>
      <c r="AT91" s="4476"/>
      <c r="AU91" s="4476"/>
      <c r="AV91" s="4476"/>
      <c r="AW91" s="4476"/>
      <c r="AX91" s="4476"/>
      <c r="AY91" s="4476"/>
      <c r="AZ91" s="4476"/>
      <c r="BA91" s="4476"/>
      <c r="BB91" s="4476"/>
      <c r="BC91" s="4476"/>
      <c r="BD91" s="4476"/>
      <c r="BE91" s="4476"/>
      <c r="BF91" s="4476"/>
      <c r="BG91" s="4476"/>
      <c r="BH91" s="4476"/>
      <c r="BI91" s="4476"/>
      <c r="BJ91" s="4476"/>
      <c r="BK91" s="4477"/>
      <c r="BL91" s="1627"/>
      <c r="BM91" s="1628"/>
      <c r="BN91" s="1149"/>
      <c r="BO91" s="1150"/>
      <c r="BP91" s="1135" t="str">
        <f>IF(I91="Si",VLOOKUP($D$8,'Tablas Técnicas'!$E$4:$F$6,2,FALSE),"")</f>
        <v/>
      </c>
      <c r="BQ91" s="1136" t="str">
        <f>IF(L91="Si",VLOOKUP($D$8,'Tablas Técnicas'!$I$4:$J$6,2,FALSE),"")</f>
        <v/>
      </c>
      <c r="BR91" s="1134" t="str">
        <f>IF(O91="Si",VLOOKUP($D$8,'Tablas Técnicas'!$I$7:$J$9,2,FALSE),"")</f>
        <v/>
      </c>
      <c r="BS91" s="1151"/>
      <c r="BT91" s="4448" t="s">
        <v>5234</v>
      </c>
      <c r="BU91" s="4449"/>
      <c r="BV91" s="1128"/>
      <c r="BW91" s="1108"/>
      <c r="BX91" s="1108"/>
      <c r="BY91" s="1474"/>
      <c r="BZ91" s="1492"/>
      <c r="CA91" s="1096"/>
      <c r="DR91" s="1096"/>
      <c r="DT91" s="1514"/>
      <c r="DU91" s="1565"/>
      <c r="DV91" s="1566" t="str">
        <f>IF(E91="",""," "&amp;E91)&amp;IF(I91="No",""," (Mant.)")&amp;IF(L91="No",""," (Sme)")&amp;IF(O91="No",""," (SMa)")</f>
        <v/>
      </c>
      <c r="DW91" s="1567"/>
      <c r="DX91" s="1568"/>
      <c r="DY91" s="1513"/>
      <c r="DZ91" s="1096"/>
      <c r="EA91" s="1660">
        <f t="shared" si="1"/>
        <v>1</v>
      </c>
    </row>
    <row r="92" spans="1:132" ht="11.25" customHeight="1" x14ac:dyDescent="0.2">
      <c r="A92" s="1096"/>
      <c r="B92" s="1096"/>
      <c r="C92" s="1497"/>
      <c r="D92" s="1643" t="s">
        <v>2310</v>
      </c>
      <c r="E92" s="1160"/>
      <c r="F92" s="1176"/>
      <c r="G92" s="1146" t="str">
        <f>IF(E92=0,"",VLOOKUP(E92,'Tablas Técnicas'!$A$14:$V$771,3,FALSE))</f>
        <v/>
      </c>
      <c r="H92" s="2619" t="str">
        <f>IF($E92=0,"",VLOOKUP($E92,'Tablas Técnicas'!$A$14:$V$771,4,FALSE))</f>
        <v/>
      </c>
      <c r="I92" s="1144" t="s">
        <v>2234</v>
      </c>
      <c r="J92" s="1601" t="str">
        <f>IF(E92=0,"",VLOOKUP(E92,'Tablas Técnicas'!$A$14:$V$771,5,FALSE))</f>
        <v/>
      </c>
      <c r="K92" s="1163" t="str">
        <f>IF(I92="Si",IF(E92=0,"",VLOOKUP(E92,'Tablas Técnicas'!$A$14:$V$771,5,FALSE)),"")</f>
        <v/>
      </c>
      <c r="L92" s="1144" t="s">
        <v>2234</v>
      </c>
      <c r="M92" s="1601" t="str">
        <f>IF(E92=0,"",VLOOKUP(E92,'Tablas Técnicas'!$A$14:$V$771,6,FALSE))</f>
        <v/>
      </c>
      <c r="N92" s="1147" t="str">
        <f>IF(L92="Si",IF(E92=0,"",VLOOKUP(E92,'Tablas Técnicas'!$A$14:$V$771,6,FALSE)),"")</f>
        <v/>
      </c>
      <c r="O92" s="1144" t="s">
        <v>2234</v>
      </c>
      <c r="P92" s="1601" t="str">
        <f>IF(E92=0,"",VLOOKUP(E92,'Tablas Técnicas'!$A$14:$V$771,7,FALSE))</f>
        <v/>
      </c>
      <c r="Q92" s="1147" t="str">
        <f>IF(O92="Si",IF(E92=0,"",VLOOKUP(E92,'Tablas Técnicas'!$A$14:$V$771,7,FALSE)),"")</f>
        <v/>
      </c>
      <c r="R92" s="1162" t="str">
        <f>IF(E92=0,"",VLOOKUP(E92,'Tablas Técnicas'!$A$14:$V$771,8,FALSE))</f>
        <v/>
      </c>
      <c r="S92" s="2619" t="str">
        <f>IF(R92=$D$8,$D$8,IF(R92=2,2,IF(R92=3,3,R92)))</f>
        <v/>
      </c>
      <c r="T92" s="4487"/>
      <c r="U92" s="4488"/>
      <c r="V92" s="2617" t="str">
        <f>IF(OR(V90=0,V90=""),"N/A",V90)</f>
        <v>N/A</v>
      </c>
      <c r="W92" s="4487" t="str">
        <f xml:space="preserve"> IF(OR(AF90=0,AF90=""),"N/A",W90)</f>
        <v>N/A</v>
      </c>
      <c r="X92" s="4489"/>
      <c r="Y92" s="4489"/>
      <c r="Z92" s="4489"/>
      <c r="AA92" s="4489"/>
      <c r="AB92" s="4489"/>
      <c r="AC92" s="4489"/>
      <c r="AD92" s="4489"/>
      <c r="AE92" s="4489"/>
      <c r="AF92" s="4488"/>
      <c r="AG92" s="4487" t="str">
        <f xml:space="preserve"> IF(OR(AP90="",AP90=0),"N/A",AG90)</f>
        <v>N/A</v>
      </c>
      <c r="AH92" s="4489"/>
      <c r="AI92" s="4489"/>
      <c r="AJ92" s="4489"/>
      <c r="AK92" s="4489"/>
      <c r="AL92" s="4489"/>
      <c r="AM92" s="4489"/>
      <c r="AN92" s="4489"/>
      <c r="AO92" s="4489"/>
      <c r="AP92" s="4488"/>
      <c r="AQ92" s="4487" t="str">
        <f xml:space="preserve"> IF(OR(AZ90="",AZ90=0),"N/A",AQ90)</f>
        <v>N/A</v>
      </c>
      <c r="AR92" s="4489"/>
      <c r="AS92" s="4489"/>
      <c r="AT92" s="4489"/>
      <c r="AU92" s="4489"/>
      <c r="AV92" s="4489"/>
      <c r="AW92" s="4489"/>
      <c r="AX92" s="4489"/>
      <c r="AY92" s="4489"/>
      <c r="AZ92" s="4488"/>
      <c r="BA92" s="4487" t="str">
        <f xml:space="preserve"> IF(OR(BJ90="",BJ90=0),"N/A",BA90)</f>
        <v>N/A</v>
      </c>
      <c r="BB92" s="4489"/>
      <c r="BC92" s="4489"/>
      <c r="BD92" s="4489"/>
      <c r="BE92" s="4489"/>
      <c r="BF92" s="4489"/>
      <c r="BG92" s="4489"/>
      <c r="BH92" s="4489"/>
      <c r="BI92" s="4489"/>
      <c r="BJ92" s="4488"/>
      <c r="BK92" s="1164" t="s">
        <v>5229</v>
      </c>
      <c r="BL92" s="1146"/>
      <c r="BM92" s="1181"/>
      <c r="BN92" s="1149"/>
      <c r="BO92" s="1166"/>
      <c r="BP92" s="1135" t="str">
        <f>IF(I92="Si",VLOOKUP($D$8,'Tablas Técnicas'!$E$4:$F$6,2,FALSE),"")</f>
        <v/>
      </c>
      <c r="BQ92" s="1136" t="str">
        <f>IF(L92="Si",VLOOKUP($D$8,'Tablas Técnicas'!$I$4:$J$6,2,FALSE),"")</f>
        <v/>
      </c>
      <c r="BR92" s="1134" t="str">
        <f>IF(O92="Si",VLOOKUP($D$8,'Tablas Técnicas'!$I$7:$J$9,2,FALSE),"")</f>
        <v/>
      </c>
      <c r="BS92" s="1151"/>
      <c r="BT92" s="4452" t="s">
        <v>5207</v>
      </c>
      <c r="BU92" s="4453"/>
      <c r="BV92" s="1128"/>
      <c r="BW92" s="1108"/>
      <c r="BX92" s="1108"/>
      <c r="BY92" s="1474"/>
      <c r="BZ92" s="1492"/>
      <c r="CA92" s="1096"/>
      <c r="DR92" s="1096"/>
      <c r="DT92" s="1514"/>
      <c r="DU92" s="1569"/>
      <c r="DV92" s="1566" t="str">
        <f>IF(E92="","",E92)&amp;IF(I92="No",""," (Mant.)")&amp;IF(L92="No",""," (Sme)")&amp;IF(O92="No",""," (SMa)")</f>
        <v/>
      </c>
      <c r="DW92" s="1567"/>
      <c r="DX92" s="1568"/>
      <c r="DY92" s="1513"/>
      <c r="DZ92" s="1096"/>
      <c r="EA92" s="1660">
        <f t="shared" si="1"/>
        <v>1</v>
      </c>
    </row>
    <row r="93" spans="1:132" x14ac:dyDescent="0.2">
      <c r="A93" s="1096"/>
      <c r="B93" s="1096"/>
      <c r="C93" s="1497"/>
      <c r="D93" s="1642" t="s">
        <v>2310</v>
      </c>
      <c r="E93" s="1152"/>
      <c r="F93" s="1182"/>
      <c r="G93" s="1627" t="str">
        <f>IF(E93=0,"",VLOOKUP(E93,'Tablas Técnicas'!$A$14:$V$771,3,FALSE))</f>
        <v/>
      </c>
      <c r="H93" s="1155" t="str">
        <f>IF($E93=0,"",VLOOKUP($E93,'Tablas Técnicas'!$A$14:$V$771,4,FALSE))</f>
        <v/>
      </c>
      <c r="I93" s="1156" t="s">
        <v>2234</v>
      </c>
      <c r="J93" s="1605" t="str">
        <f>IF(E93=0,"",VLOOKUP(E93,'Tablas Técnicas'!$A$14:$V$771,5,FALSE))</f>
        <v/>
      </c>
      <c r="K93" s="1158" t="str">
        <f>IF(I93="Si",IF(E93=0,"",VLOOKUP(E93,'Tablas Técnicas'!$A$14:$V$771,5,FALSE)),"")</f>
        <v/>
      </c>
      <c r="L93" s="1156" t="s">
        <v>2234</v>
      </c>
      <c r="M93" s="1605" t="str">
        <f>IF(E93=0,"",VLOOKUP(E93,'Tablas Técnicas'!$A$14:$V$771,6,FALSE))</f>
        <v/>
      </c>
      <c r="N93" s="1159" t="str">
        <f>IF(L93="Si",IF(E93=0,"",VLOOKUP(E93,'Tablas Técnicas'!$A$14:$V$771,6,FALSE)),"")</f>
        <v/>
      </c>
      <c r="O93" s="1156" t="s">
        <v>2234</v>
      </c>
      <c r="P93" s="1605" t="str">
        <f>IF(E93=0,"",VLOOKUP(E93,'Tablas Técnicas'!$A$14:$V$771,7,FALSE))</f>
        <v/>
      </c>
      <c r="Q93" s="1159" t="str">
        <f>IF(O93="Si",IF(E93=0,"",VLOOKUP(E93,'Tablas Técnicas'!$A$14:$V$771,7,FALSE)),"")</f>
        <v/>
      </c>
      <c r="R93" s="1157" t="str">
        <f>IF(E93=0,"",VLOOKUP(E93,'Tablas Técnicas'!$A$14:$V$771,8,FALSE))</f>
        <v/>
      </c>
      <c r="S93" s="1155" t="str">
        <f>IF(R93=$D$8,$D$8,IF(R93=2,2,IF(R93=3,3,R93)))</f>
        <v/>
      </c>
      <c r="T93" s="4490" t="s">
        <v>5230</v>
      </c>
      <c r="U93" s="4491"/>
      <c r="V93" s="2618"/>
      <c r="W93" s="4492"/>
      <c r="X93" s="4493"/>
      <c r="Y93" s="4493"/>
      <c r="Z93" s="4493"/>
      <c r="AA93" s="4493"/>
      <c r="AB93" s="4493"/>
      <c r="AC93" s="4493"/>
      <c r="AD93" s="4493"/>
      <c r="AE93" s="4493"/>
      <c r="AF93" s="4494"/>
      <c r="AG93" s="4492"/>
      <c r="AH93" s="4493"/>
      <c r="AI93" s="4493"/>
      <c r="AJ93" s="4493"/>
      <c r="AK93" s="4493"/>
      <c r="AL93" s="4493"/>
      <c r="AM93" s="4493"/>
      <c r="AN93" s="4493"/>
      <c r="AO93" s="4493"/>
      <c r="AP93" s="4494"/>
      <c r="AQ93" s="4492"/>
      <c r="AR93" s="4493"/>
      <c r="AS93" s="4493"/>
      <c r="AT93" s="4493"/>
      <c r="AU93" s="4493"/>
      <c r="AV93" s="4493"/>
      <c r="AW93" s="4493"/>
      <c r="AX93" s="4493"/>
      <c r="AY93" s="4493"/>
      <c r="AZ93" s="4494"/>
      <c r="BA93" s="4492"/>
      <c r="BB93" s="4493"/>
      <c r="BC93" s="4493"/>
      <c r="BD93" s="4493"/>
      <c r="BE93" s="4493"/>
      <c r="BF93" s="4493"/>
      <c r="BG93" s="4493"/>
      <c r="BH93" s="4493"/>
      <c r="BI93" s="4493"/>
      <c r="BJ93" s="4494"/>
      <c r="BK93" s="1155">
        <f>(SUM(G90:G94)+IF(AF90="",0,AF90)+IF(AP90="",0,AP90)+IF(AZ90="",0,AZ90)+IF(BJ90="",0,BJ90)+SUM(K90:K94)+SUM(N90:N94)+SUM(Q90:Q94))- SUM(V93:BA93)</f>
        <v>0</v>
      </c>
      <c r="BL93" s="1627"/>
      <c r="BM93" s="1628"/>
      <c r="BN93" s="1149"/>
      <c r="BO93" s="1150"/>
      <c r="BP93" s="1135" t="str">
        <f>IF(I93="Si",VLOOKUP($D$8,'Tablas Técnicas'!$E$4:$F$6,2,FALSE),"")</f>
        <v/>
      </c>
      <c r="BQ93" s="1136" t="str">
        <f>IF(L93="Si",VLOOKUP($D$8,'Tablas Técnicas'!$I$4:$J$6,2,FALSE),"")</f>
        <v/>
      </c>
      <c r="BR93" s="1134" t="str">
        <f>IF(O93="Si",VLOOKUP($D$8,'Tablas Técnicas'!$I$7:$J$9,2,FALSE),"")</f>
        <v/>
      </c>
      <c r="BS93" s="1151"/>
      <c r="BT93" s="4444" t="s">
        <v>5235</v>
      </c>
      <c r="BU93" s="4445"/>
      <c r="BV93" s="1128"/>
      <c r="BW93" s="1108"/>
      <c r="BX93" s="1108"/>
      <c r="BY93" s="1474"/>
      <c r="BZ93" s="1492"/>
      <c r="CA93" s="1096"/>
      <c r="DR93" s="1096"/>
      <c r="DT93" s="1514"/>
      <c r="DU93" s="1565"/>
      <c r="DV93" s="1566" t="str">
        <f>IF(E93="","",E93)&amp;IF(I93="No",""," (Mant.)")&amp;IF(L93="No",""," (Sme)")&amp;IF(O93="No",""," (SMa)")</f>
        <v/>
      </c>
      <c r="DW93" s="1567"/>
      <c r="DX93" s="1568"/>
      <c r="DY93" s="1513"/>
      <c r="DZ93" s="1096"/>
      <c r="EA93" s="1660">
        <f t="shared" si="1"/>
        <v>1</v>
      </c>
    </row>
    <row r="94" spans="1:132" x14ac:dyDescent="0.2">
      <c r="A94" s="1096"/>
      <c r="B94" s="1096"/>
      <c r="C94" s="1497"/>
      <c r="D94" s="1643" t="s">
        <v>2310</v>
      </c>
      <c r="E94" s="1160"/>
      <c r="F94" s="1176"/>
      <c r="G94" s="1146" t="str">
        <f>IF(E94=0,"",VLOOKUP(E94,'Tablas Técnicas'!$A$14:$V$771,3,FALSE))</f>
        <v/>
      </c>
      <c r="H94" s="1161" t="str">
        <f>IF($E94=0,"",VLOOKUP($E94,'Tablas Técnicas'!$A$14:$V$771,4,FALSE))</f>
        <v/>
      </c>
      <c r="I94" s="1144" t="s">
        <v>2234</v>
      </c>
      <c r="J94" s="1601" t="str">
        <f>IF(E94=0,"",VLOOKUP(E94,'Tablas Técnicas'!$A$14:$V$771,5,FALSE))</f>
        <v/>
      </c>
      <c r="K94" s="1163" t="str">
        <f>IF(I94="Si",IF(E94=0,"",VLOOKUP(E94,'Tablas Técnicas'!$A$14:$V$771,5,FALSE)),"")</f>
        <v/>
      </c>
      <c r="L94" s="1144" t="s">
        <v>2234</v>
      </c>
      <c r="M94" s="1601" t="str">
        <f>IF(E94=0,"",VLOOKUP(E94,'Tablas Técnicas'!$A$14:$V$771,6,FALSE))</f>
        <v/>
      </c>
      <c r="N94" s="1147" t="str">
        <f>IF(L94="Si",IF(E94=0,"",VLOOKUP(E94,'Tablas Técnicas'!$A$14:$V$771,6,FALSE)),"")</f>
        <v/>
      </c>
      <c r="O94" s="1144" t="s">
        <v>2234</v>
      </c>
      <c r="P94" s="1601" t="str">
        <f>IF(E94=0,"",VLOOKUP(E94,'Tablas Técnicas'!$A$14:$V$771,7,FALSE))</f>
        <v/>
      </c>
      <c r="Q94" s="1147" t="str">
        <f>IF(O94="Si",IF(E94=0,"",VLOOKUP(E94,'Tablas Técnicas'!$A$14:$V$771,7,FALSE)),"")</f>
        <v/>
      </c>
      <c r="R94" s="1162" t="str">
        <f>IF(E94=0,"",VLOOKUP(E94,'Tablas Técnicas'!$A$14:$V$771,8,FALSE))</f>
        <v/>
      </c>
      <c r="S94" s="1161" t="str">
        <f>IF(R94=$D$8,$D$8,IF(R94=2,2,IF(R94=3,3,R94)))</f>
        <v/>
      </c>
      <c r="T94" s="4482" t="s">
        <v>5232</v>
      </c>
      <c r="U94" s="4483"/>
      <c r="V94" s="2616"/>
      <c r="W94" s="4484"/>
      <c r="X94" s="4485"/>
      <c r="Y94" s="4485"/>
      <c r="Z94" s="4485"/>
      <c r="AA94" s="4485"/>
      <c r="AB94" s="4485"/>
      <c r="AC94" s="4485"/>
      <c r="AD94" s="4485"/>
      <c r="AE94" s="4485"/>
      <c r="AF94" s="4486"/>
      <c r="AG94" s="4484"/>
      <c r="AH94" s="4485"/>
      <c r="AI94" s="4485"/>
      <c r="AJ94" s="4485"/>
      <c r="AK94" s="4485"/>
      <c r="AL94" s="4485"/>
      <c r="AM94" s="4485"/>
      <c r="AN94" s="4485"/>
      <c r="AO94" s="4485"/>
      <c r="AP94" s="4486"/>
      <c r="AQ94" s="4484"/>
      <c r="AR94" s="4485"/>
      <c r="AS94" s="4485"/>
      <c r="AT94" s="4485"/>
      <c r="AU94" s="4485"/>
      <c r="AV94" s="4485"/>
      <c r="AW94" s="4485"/>
      <c r="AX94" s="4485"/>
      <c r="AY94" s="4485"/>
      <c r="AZ94" s="4486"/>
      <c r="BA94" s="4484"/>
      <c r="BB94" s="4485"/>
      <c r="BC94" s="4485"/>
      <c r="BD94" s="4485"/>
      <c r="BE94" s="4485"/>
      <c r="BF94" s="4485"/>
      <c r="BG94" s="4485"/>
      <c r="BH94" s="4485"/>
      <c r="BI94" s="4485"/>
      <c r="BJ94" s="4486"/>
      <c r="BK94" s="1171">
        <f>SUM(K90:K94)-SUM(V94:BA94)</f>
        <v>0</v>
      </c>
      <c r="BL94" s="1629"/>
      <c r="BM94" s="1630"/>
      <c r="BN94" s="1149"/>
      <c r="BO94" s="1166"/>
      <c r="BP94" s="1135" t="str">
        <f>IF(I94="Si",VLOOKUP($D$8,'Tablas Técnicas'!$E$4:$F$6,2,FALSE),"")</f>
        <v/>
      </c>
      <c r="BQ94" s="1136" t="str">
        <f>IF(L94="Si",VLOOKUP($D$8,'Tablas Técnicas'!$I$4:$J$6,2,FALSE),"")</f>
        <v/>
      </c>
      <c r="BR94" s="1134" t="str">
        <f>IF(O94="Si",VLOOKUP($D$8,'Tablas Técnicas'!$I$7:$J$9,2,FALSE),"")</f>
        <v/>
      </c>
      <c r="BS94" s="1151"/>
      <c r="BT94" s="1183">
        <f>IF(BT88="No",0,IF(D82=0,0,VLOOKUP(D82,'Tablas Técnicas'!$L$4:$N$7,2,FALSE)))+IF(BT90="Bajar coste de CM",0,IF(BT90="-5 CM",2,IF(BT90="-10 CM",4,IF(BT90="-15 CM",6,IF(BT90="-20 CM",8,0)))))+IF(BT92="Bajar coste de Ki",0,IF(BT92="-1 Ki",-1,IF(BT92="-2 Ki",-2,IF(BT92="-3 Ki",-3,IF(BT92="-4 Ki",-4,IF(BT92="-5 Ki",-5,0))))))-BU97-BU99-BU101-BU103-BU105-BU107</f>
        <v>0</v>
      </c>
      <c r="BU94" s="2612">
        <f>IF(BT88="No",0,IF(D82=0,0,VLOOKUP(D82,'Tablas Técnicas'!$L$4:$N$7,2,FALSE)))+IF(BT90="Bajar coste de CM",0,IF(BT90="-5 CM",2,IF(BT90="-10 CM",4,IF(BT90="-15 CM",6,IF(BT90="-20 CM",8,0)))))+IF(BT92="Bajar coste de Ki",0,IF(BT92="-1 Ki",-1,IF(BT92="-2 Ki",-2,IF(BT92="-3 Ki",-3,IF(BT92="-4 Ki",-4,IF(BT92="-5 Ki",-5,0))))))</f>
        <v>0</v>
      </c>
      <c r="BV94" s="1128"/>
      <c r="BW94" s="1108"/>
      <c r="BX94" s="1108"/>
      <c r="BY94" s="1474"/>
      <c r="BZ94" s="1492"/>
      <c r="CA94" s="1096"/>
      <c r="DR94" s="1096"/>
      <c r="DT94" s="1514"/>
      <c r="DU94" s="1569"/>
      <c r="DV94" s="1566" t="str">
        <f>IF(E94="","",E94)&amp;IF(I94="No",""," (Mant.)")&amp;IF(L94="No",""," (Sme)")&amp;IF(O94="No",""," (SMa)")</f>
        <v/>
      </c>
      <c r="DW94" s="1567"/>
      <c r="DX94" s="1568"/>
      <c r="DY94" s="1513"/>
      <c r="DZ94" s="1096"/>
      <c r="EA94" s="1660">
        <f t="shared" si="1"/>
        <v>1</v>
      </c>
    </row>
    <row r="95" spans="1:132" x14ac:dyDescent="0.2">
      <c r="A95" s="1096"/>
      <c r="B95" s="159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97"/>
      <c r="D95" s="1644">
        <v>3</v>
      </c>
      <c r="E95" s="1423"/>
      <c r="F95" s="1173"/>
      <c r="G95" s="1174"/>
      <c r="H95" s="2559">
        <f>IF(AND(OR(ISNUMBER(SEARCH("Afinidad Elemental ("&amp;BK90&amp;")",Principal!$AF$30)),ISNUMBER(SEARCH("Afinidad Elemental ("&amp;BL90&amp;")",Principal!$AF$30)),ISNUMBER(SEARCH("Afinidad Elemental ("&amp;BM90&amp;")",Principal!$AF$30))),SUM(H90:H94)&gt;=5),-5,0)</f>
        <v>0</v>
      </c>
      <c r="I95" s="1603"/>
      <c r="J95" s="1606"/>
      <c r="K95" s="1174"/>
      <c r="L95" s="1603"/>
      <c r="M95" s="1606"/>
      <c r="N95" s="1174"/>
      <c r="O95" s="1603"/>
      <c r="P95" s="1606"/>
      <c r="Q95" s="1174"/>
      <c r="R95" s="1175"/>
      <c r="S95" s="1174"/>
      <c r="T95" s="1174"/>
      <c r="U95" s="1174"/>
      <c r="V95" s="1174"/>
      <c r="W95" s="1174"/>
      <c r="X95" s="1174"/>
      <c r="Y95" s="1174"/>
      <c r="Z95" s="1174"/>
      <c r="AA95" s="1174"/>
      <c r="AB95" s="1174"/>
      <c r="AC95" s="1174"/>
      <c r="AD95" s="1174"/>
      <c r="AE95" s="1174"/>
      <c r="AF95" s="1174"/>
      <c r="AG95" s="1174"/>
      <c r="AH95" s="1174"/>
      <c r="AI95" s="1174"/>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c r="BD95" s="1174"/>
      <c r="BE95" s="1174"/>
      <c r="BF95" s="1174"/>
      <c r="BG95" s="1174"/>
      <c r="BH95" s="1174"/>
      <c r="BI95" s="1174"/>
      <c r="BJ95" s="1174"/>
      <c r="BK95" s="1174"/>
      <c r="BL95" s="1174"/>
      <c r="BM95" s="1184"/>
      <c r="BN95" s="1185">
        <f>SUM(K95:K98)</f>
        <v>0</v>
      </c>
      <c r="BO95" s="1128" t="str">
        <f>IF(E95=0,"",(AF95+AP95+AZ95+BJ95))</f>
        <v/>
      </c>
      <c r="BP95" s="1186" t="str">
        <f>IF(I95="Si",VLOOKUP($D$8,'Tablas Técnicas'!$E$4:$F$6,2,FALSE),"")</f>
        <v/>
      </c>
      <c r="BQ95" s="1187" t="str">
        <f>IF(L95="Si",VLOOKUP($D$8,'Tablas Técnicas'!$I$4:$J$6,2,FALSE),"")</f>
        <v/>
      </c>
      <c r="BR95" s="1185" t="str">
        <f>IF(O95="Si",VLOOKUP($D$8,'Tablas Técnicas'!$I$7:$J$9,2,FALSE),"")</f>
        <v/>
      </c>
      <c r="BS95" s="1151"/>
      <c r="BU95" s="2608"/>
      <c r="BV95" s="1128"/>
      <c r="BW95" s="1108"/>
      <c r="BX95" s="1108"/>
      <c r="BY95" s="1474"/>
      <c r="BZ95" s="1492"/>
      <c r="CA95" s="1096"/>
      <c r="DR95" s="1096"/>
      <c r="DT95" s="1514"/>
      <c r="DU95" s="1569"/>
      <c r="DV95" s="1570"/>
      <c r="DW95" s="1567"/>
      <c r="DX95" s="1568"/>
      <c r="DY95" s="1513"/>
      <c r="DZ95" s="1096"/>
      <c r="EA95" s="1660">
        <f t="shared" si="1"/>
        <v>1</v>
      </c>
    </row>
    <row r="96" spans="1:132" x14ac:dyDescent="0.2">
      <c r="A96" s="1096"/>
      <c r="B96" s="1096"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97"/>
      <c r="D96" s="1643" t="s">
        <v>2310</v>
      </c>
      <c r="E96" s="1140"/>
      <c r="F96" s="1176"/>
      <c r="G96" s="1146" t="str">
        <f>IF(E96=0,"",VLOOKUP(E96,'Tablas Técnicas'!$A$14:$V$771,3,FALSE))</f>
        <v/>
      </c>
      <c r="H96" s="1188" t="str">
        <f>IF($E96=0,"",VLOOKUP($E96,'Tablas Técnicas'!$A$14:$V$771,4,FALSE))</f>
        <v/>
      </c>
      <c r="I96" s="1144" t="s">
        <v>2234</v>
      </c>
      <c r="J96" s="1607" t="str">
        <f>IF(E96=0,"",VLOOKUP(E96,'Tablas Técnicas'!$A$14:$V$771,5,FALSE))</f>
        <v/>
      </c>
      <c r="K96" s="1190" t="str">
        <f>IF(I96="Si",IF(E96=0,"",VLOOKUP(E96,'Tablas Técnicas'!$A$14:$V$771,5,FALSE)),"")</f>
        <v/>
      </c>
      <c r="L96" s="1144" t="s">
        <v>2234</v>
      </c>
      <c r="M96" s="1607" t="str">
        <f>IF(E96=0,"",VLOOKUP(E96,'Tablas Técnicas'!$A$14:$V$771,6,FALSE))</f>
        <v/>
      </c>
      <c r="N96" s="1147" t="str">
        <f>IF(L96="Si",IF(E96=0,"",VLOOKUP(E96,'Tablas Técnicas'!$A$14:$V$771,6,FALSE)),"")</f>
        <v/>
      </c>
      <c r="O96" s="1144" t="s">
        <v>2234</v>
      </c>
      <c r="P96" s="1607" t="str">
        <f>IF(E96=0,"",VLOOKUP(E96,'Tablas Técnicas'!$A$14:$V$771,7,FALSE))</f>
        <v/>
      </c>
      <c r="Q96" s="1147" t="str">
        <f>IF(O96="Si",IF(E96=0,"",VLOOKUP(E96,'Tablas Técnicas'!$A$14:$V$771,7,FALSE)),"")</f>
        <v/>
      </c>
      <c r="R96" s="1189" t="str">
        <f>IF(E96=0,"",VLOOKUP(E96,'Tablas Técnicas'!$A$14:$V$771,8,FALSE))</f>
        <v/>
      </c>
      <c r="S96" s="1161" t="str">
        <f>IF(R96=$D$8,$D$8,IF(R96=2,2,IF(R96=3,3,R96)))</f>
        <v/>
      </c>
      <c r="T96" s="1190" t="str">
        <f>IF(E96=0,"",VLOOKUP(E96,'Tablas Técnicas'!$A$14:$V$771,9,FALSE))</f>
        <v/>
      </c>
      <c r="U96" s="1190" t="str">
        <f>IF(E96=0,"",VLOOKUP(E96,'Tablas Técnicas'!$A$14:$V$771,10,FALSE))</f>
        <v/>
      </c>
      <c r="V96" s="1191" t="str">
        <f>IF(E96=0,"",VLOOKUP(E96,'Tablas Técnicas'!$A$14:$V$771,11,FALSE))</f>
        <v/>
      </c>
      <c r="W96" s="1144"/>
      <c r="X96" s="1145" t="e">
        <f>VLOOKUP(E96,'Tablas Técnicas'!$A$14:$V$771,12,FALSE)</f>
        <v>#N/A</v>
      </c>
      <c r="Y96" s="1145" t="e">
        <f>IF(W96=X96,VLOOKUP(E96,'Tablas Técnicas'!$A$14:$V$771,13,FALSE),0)</f>
        <v>#N/A</v>
      </c>
      <c r="Z96" s="1145" t="e">
        <f>VLOOKUP(E96,'Tablas Técnicas'!$A$14:$V$771,14,FALSE)</f>
        <v>#N/A</v>
      </c>
      <c r="AA96" s="1145" t="e">
        <f>IF(W96=Z96,VLOOKUP(E96,'Tablas Técnicas'!$A$14:$V$616,15,FALSE),0)</f>
        <v>#N/A</v>
      </c>
      <c r="AB96" s="1145" t="e">
        <f>VLOOKUP(E96,'Tablas Técnicas'!$A$14:$V$771,16,FALSE)</f>
        <v>#N/A</v>
      </c>
      <c r="AC96" s="1145" t="e">
        <f>IF(W96=AB96,VLOOKUP(E96,'Tablas Técnicas'!$A$14:$V$616,17,FALSE),0)</f>
        <v>#N/A</v>
      </c>
      <c r="AD96" s="1145" t="e">
        <f>VLOOKUP(E96,'Tablas Técnicas'!$A$14:$V$771,18,FALSE)</f>
        <v>#N/A</v>
      </c>
      <c r="AE96" s="1145" t="e">
        <f>IF(W96=AD96,VLOOKUP(E96,'Tablas Técnicas'!$A$14:$V$771,19,FALSE),0)</f>
        <v>#N/A</v>
      </c>
      <c r="AF96" s="1163" t="str">
        <f>IF(E96=0,"",(Y96+AA96+AC96+AE96))</f>
        <v/>
      </c>
      <c r="AG96" s="1144"/>
      <c r="AH96" s="1162" t="e">
        <f>VLOOKUP(E96,'Tablas Técnicas'!$A$14:$V$771,12,FALSE)</f>
        <v>#N/A</v>
      </c>
      <c r="AI96" s="1162" t="e">
        <f>IF(AG96=AH96,VLOOKUP(E96,'Tablas Técnicas'!$A$14:$V$771,13,FALSE),0)</f>
        <v>#N/A</v>
      </c>
      <c r="AJ96" s="1162" t="e">
        <f>VLOOKUP(E96,'Tablas Técnicas'!$A$14:$V$771,14,FALSE)</f>
        <v>#N/A</v>
      </c>
      <c r="AK96" s="1162" t="e">
        <f>IF(AG96=AJ96,VLOOKUP(E96,'Tablas Técnicas'!$A$14:$V$771,15,FALSE),0)</f>
        <v>#N/A</v>
      </c>
      <c r="AL96" s="1162" t="e">
        <f>VLOOKUP(E96,'Tablas Técnicas'!$A$14:$V$771,16,FALSE)</f>
        <v>#N/A</v>
      </c>
      <c r="AM96" s="1162" t="e">
        <f>IF(AG96=AL96,VLOOKUP(E96,'Tablas Técnicas'!$A$14:$V$771,17,FALSE),0)</f>
        <v>#N/A</v>
      </c>
      <c r="AN96" s="1162" t="e">
        <f>VLOOKUP(E96,'Tablas Técnicas'!$A$14:$V$771,18,FALSE)</f>
        <v>#N/A</v>
      </c>
      <c r="AO96" s="1162" t="e">
        <f>IF(AG96=AN96,VLOOKUP(E96,'Tablas Técnicas'!$A$14:$V$771,19,FALSE),0)</f>
        <v>#N/A</v>
      </c>
      <c r="AP96" s="2620" t="str">
        <f>IF(E96=0,"",(AI96+AK96+AM96+AO96))</f>
        <v/>
      </c>
      <c r="AQ96" s="1144"/>
      <c r="AR96" s="1162" t="e">
        <f>VLOOKUP(E96,'Tablas Técnicas'!$A$14:$V$771,12,FALSE)</f>
        <v>#N/A</v>
      </c>
      <c r="AS96" s="1162" t="e">
        <f>IF(AQ96=AR96,VLOOKUP(E96,'Tablas Técnicas'!$A$14:$V$771,13,FALSE),0)</f>
        <v>#N/A</v>
      </c>
      <c r="AT96" s="1162" t="e">
        <f>VLOOKUP(E96,'Tablas Técnicas'!$A$14:$V$771,14,FALSE)</f>
        <v>#N/A</v>
      </c>
      <c r="AU96" s="1162" t="e">
        <f>IF(AQ96=AT96,VLOOKUP(E96,'Tablas Técnicas'!$A$14:$V$771,15,FALSE),0)</f>
        <v>#N/A</v>
      </c>
      <c r="AV96" s="1162" t="e">
        <f>VLOOKUP(E96,'Tablas Técnicas'!$A$14:$V$771,16,FALSE)</f>
        <v>#N/A</v>
      </c>
      <c r="AW96" s="1162" t="e">
        <f>IF(AQ96=AV96,VLOOKUP(E96,'Tablas Técnicas'!$A$14:$V$771,17,FALSE),0)</f>
        <v>#N/A</v>
      </c>
      <c r="AX96" s="1162" t="e">
        <f>VLOOKUP(E96,'Tablas Técnicas'!$A$14:$V$771,18,FALSE)</f>
        <v>#N/A</v>
      </c>
      <c r="AY96" s="1162" t="e">
        <f>IF(AQ96=AX96,VLOOKUP(E96,'Tablas Técnicas'!$A$14:$V$771,19,FALSE),0)</f>
        <v>#N/A</v>
      </c>
      <c r="AZ96" s="1163" t="str">
        <f>IF(E96=0,"",(AS96+AU96+AW96+AY96))</f>
        <v/>
      </c>
      <c r="BA96" s="1144"/>
      <c r="BB96" s="1162" t="e">
        <f>VLOOKUP(E96,'Tablas Técnicas'!$A$14:$V$771,12,FALSE)</f>
        <v>#N/A</v>
      </c>
      <c r="BC96" s="1162" t="e">
        <f>IF(BA96=BB96,VLOOKUP(E96,'Tablas Técnicas'!$A$14:$V$771,13,FALSE),0)</f>
        <v>#N/A</v>
      </c>
      <c r="BD96" s="1162" t="e">
        <f>VLOOKUP(E96,'Tablas Técnicas'!$A$14:$V$771,14,FALSE)</f>
        <v>#N/A</v>
      </c>
      <c r="BE96" s="1162" t="e">
        <f>IF(BA96=BD96,VLOOKUP(E96,'Tablas Técnicas'!$A$14:$V$771,15,FALSE),0)</f>
        <v>#N/A</v>
      </c>
      <c r="BF96" s="1162" t="e">
        <f>VLOOKUP(E96,'Tablas Técnicas'!$A$14:$V$771,16,FALSE)</f>
        <v>#N/A</v>
      </c>
      <c r="BG96" s="1162" t="e">
        <f>IF(BA96=BF96,VLOOKUP(E96,'Tablas Técnicas'!$A$14:$V$771,17,FALSE),0)</f>
        <v>#N/A</v>
      </c>
      <c r="BH96" s="1162" t="e">
        <f>VLOOKUP(E96,'Tablas Técnicas'!$A$14:$V$771,18,FALSE)</f>
        <v>#N/A</v>
      </c>
      <c r="BI96" s="1162" t="e">
        <f>IF(BA96=BH96,VLOOKUP(E96,'Tablas Técnicas'!$A$14:$V$771,19,FALSE),0)</f>
        <v>#N/A</v>
      </c>
      <c r="BJ96" s="2620" t="str">
        <f>IF(E96=0,"",(BC96+BE96+BG96+BI96))</f>
        <v/>
      </c>
      <c r="BK96" s="1190" t="str">
        <f>IF(E96=0,"",VLOOKUP(E96,'Tablas Técnicas'!$A$14:$V$771,20,FALSE))</f>
        <v/>
      </c>
      <c r="BL96" s="1177" t="str">
        <f>IF(E96=0,"",VLOOKUP(E96,'Tablas Técnicas'!$A$14:$V$771,21,FALSE))</f>
        <v/>
      </c>
      <c r="BM96" s="1148" t="str">
        <f>IF(E96=0,"",VLOOKUP(E96,'Tablas Técnicas'!$A$14:$V$771,22,FALSE))</f>
        <v/>
      </c>
      <c r="BN96" s="1149"/>
      <c r="BO96" s="1150"/>
      <c r="BP96" s="1135" t="str">
        <f>IF(I96="Si",VLOOKUP($D$8,'Tablas Técnicas'!$E$4:$F$6,2,FALSE),"")</f>
        <v/>
      </c>
      <c r="BQ96" s="1136" t="str">
        <f>IF(L96="Si",VLOOKUP($D$8,'Tablas Técnicas'!$I$4:$J$6,2,FALSE),"")</f>
        <v/>
      </c>
      <c r="BR96" s="1134" t="str">
        <f>IF(O96="Si",VLOOKUP($D$8,'Tablas Técnicas'!$I$7:$J$9,2,FALSE),"")</f>
        <v/>
      </c>
      <c r="BS96" s="1151"/>
      <c r="BT96" s="2609" t="s">
        <v>2226</v>
      </c>
      <c r="BU96" s="2610" t="s">
        <v>5236</v>
      </c>
      <c r="BV96" s="1128"/>
      <c r="BW96" s="2610" t="s">
        <v>5237</v>
      </c>
      <c r="BX96" s="2609" t="s">
        <v>5238</v>
      </c>
      <c r="BY96" s="1488" t="s">
        <v>5238</v>
      </c>
      <c r="BZ96" s="1492"/>
      <c r="CA96" s="1096"/>
      <c r="DR96" s="1096"/>
      <c r="DT96" s="1514"/>
      <c r="DU96" s="1569"/>
      <c r="DV96" s="1566" t="str">
        <f>IF(E96="","",", "&amp;E96)&amp;IF(I96="No",""," (Mant.)")&amp;IF(L96="No",""," (Sme)")&amp;IF(O96="No",""," (SMa)")</f>
        <v/>
      </c>
      <c r="DW96" s="1567"/>
      <c r="DX96" s="1568"/>
      <c r="DY96" s="1513"/>
      <c r="DZ96" s="1096"/>
      <c r="EA96" s="1660">
        <f t="shared" si="1"/>
        <v>1</v>
      </c>
    </row>
    <row r="97" spans="1:131" x14ac:dyDescent="0.2">
      <c r="A97" s="1096"/>
      <c r="B97" s="1096"/>
      <c r="C97" s="1497"/>
      <c r="D97" s="1642" t="s">
        <v>2310</v>
      </c>
      <c r="E97" s="1152"/>
      <c r="F97" s="1182"/>
      <c r="G97" s="1627" t="str">
        <f>IF(E97=0,"",VLOOKUP(E97,'Tablas Técnicas'!$A$14:$V$771,3,FALSE))</f>
        <v/>
      </c>
      <c r="H97" s="1155" t="str">
        <f>IF($E97=0,"",VLOOKUP($E97,'Tablas Técnicas'!$A$14:$V$771,4,FALSE))</f>
        <v/>
      </c>
      <c r="I97" s="1156" t="s">
        <v>2234</v>
      </c>
      <c r="J97" s="1605" t="str">
        <f>IF(E97=0,"",VLOOKUP(E97,'Tablas Técnicas'!$A$14:$V$771,5,FALSE))</f>
        <v/>
      </c>
      <c r="K97" s="1158" t="str">
        <f>IF(I97="Si",IF(E97=0,"",VLOOKUP(E97,'Tablas Técnicas'!$A$14:$V$771,5,FALSE)),"")</f>
        <v/>
      </c>
      <c r="L97" s="1156" t="s">
        <v>2234</v>
      </c>
      <c r="M97" s="1605" t="str">
        <f>IF(E97=0,"",VLOOKUP(E97,'Tablas Técnicas'!$A$14:$V$771,6,FALSE))</f>
        <v/>
      </c>
      <c r="N97" s="1159" t="str">
        <f>IF(L97="Si",IF(E97=0,"",VLOOKUP(E97,'Tablas Técnicas'!$A$14:$V$771,6,FALSE)),"")</f>
        <v/>
      </c>
      <c r="O97" s="1156" t="s">
        <v>2234</v>
      </c>
      <c r="P97" s="1605" t="str">
        <f>IF(E97=0,"",VLOOKUP(E97,'Tablas Técnicas'!$A$14:$V$771,7,FALSE))</f>
        <v/>
      </c>
      <c r="Q97" s="1159" t="str">
        <f>IF(O97="Si",IF(E97=0,"",VLOOKUP(E97,'Tablas Técnicas'!$A$14:$V$771,7,FALSE)),"")</f>
        <v/>
      </c>
      <c r="R97" s="1157" t="str">
        <f>IF(E97=0,"",VLOOKUP(E97,'Tablas Técnicas'!$A$14:$V$771,8,FALSE))</f>
        <v/>
      </c>
      <c r="S97" s="1155" t="str">
        <f>IF(R97=$D$8,$D$8,IF(R97=2,2,IF(R97=3,3,R97)))</f>
        <v/>
      </c>
      <c r="T97" s="4475" t="s">
        <v>5228</v>
      </c>
      <c r="U97" s="4476"/>
      <c r="V97" s="4476"/>
      <c r="W97" s="4476"/>
      <c r="X97" s="4476"/>
      <c r="Y97" s="4476"/>
      <c r="Z97" s="4476"/>
      <c r="AA97" s="4476"/>
      <c r="AB97" s="4476"/>
      <c r="AC97" s="4476"/>
      <c r="AD97" s="4476"/>
      <c r="AE97" s="4476"/>
      <c r="AF97" s="4476"/>
      <c r="AG97" s="4476"/>
      <c r="AH97" s="4476"/>
      <c r="AI97" s="4476"/>
      <c r="AJ97" s="4476"/>
      <c r="AK97" s="4476"/>
      <c r="AL97" s="4476"/>
      <c r="AM97" s="4476"/>
      <c r="AN97" s="4476"/>
      <c r="AO97" s="4476"/>
      <c r="AP97" s="4476"/>
      <c r="AQ97" s="4476"/>
      <c r="AR97" s="4476"/>
      <c r="AS97" s="4476"/>
      <c r="AT97" s="4476"/>
      <c r="AU97" s="4476"/>
      <c r="AV97" s="4476"/>
      <c r="AW97" s="4476"/>
      <c r="AX97" s="4476"/>
      <c r="AY97" s="4476"/>
      <c r="AZ97" s="4476"/>
      <c r="BA97" s="4476"/>
      <c r="BB97" s="4476"/>
      <c r="BC97" s="4476"/>
      <c r="BD97" s="4476"/>
      <c r="BE97" s="4476"/>
      <c r="BF97" s="4476"/>
      <c r="BG97" s="4476"/>
      <c r="BH97" s="4476"/>
      <c r="BI97" s="4476"/>
      <c r="BJ97" s="4476"/>
      <c r="BK97" s="4477"/>
      <c r="BL97" s="1627"/>
      <c r="BM97" s="1628"/>
      <c r="BN97" s="1149"/>
      <c r="BO97" s="1150"/>
      <c r="BP97" s="1135" t="str">
        <f>IF(I97="Si",VLOOKUP($D$8,'Tablas Técnicas'!$E$4:$F$6,2,FALSE),"")</f>
        <v/>
      </c>
      <c r="BQ97" s="1136" t="str">
        <f>IF(L97="Si",VLOOKUP($D$8,'Tablas Técnicas'!$I$4:$J$6,2,FALSE),"")</f>
        <v/>
      </c>
      <c r="BR97" s="1134" t="str">
        <f>IF(O97="Si",VLOOKUP($D$8,'Tablas Técnicas'!$I$7:$J$9,2,FALSE),"")</f>
        <v/>
      </c>
      <c r="BS97" s="1151"/>
      <c r="BT97" s="261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92"/>
      <c r="BV97" s="1128"/>
      <c r="BW97" s="1183" t="str">
        <f>IF(SUM(BT97:BU97)=0,"N/A",SUM(BT97:BU97))</f>
        <v>N/A</v>
      </c>
      <c r="BX97" s="261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83" t="str">
        <f>IF(BX97=0,"N/A",BX97)</f>
        <v>N/A</v>
      </c>
      <c r="BZ97" s="1492"/>
      <c r="CA97" s="1096"/>
      <c r="DR97" s="1096"/>
      <c r="DT97" s="1514"/>
      <c r="DU97" s="1569"/>
      <c r="DV97" s="1566" t="str">
        <f>IF(E97="",""," "&amp;E97)&amp;IF(I97="No",""," (Mant.)")&amp;IF(L97="No",""," (Sme)")&amp;IF(O97="No",""," (SMa)")</f>
        <v/>
      </c>
      <c r="DW97" s="1567"/>
      <c r="DX97" s="1568"/>
      <c r="DY97" s="1513"/>
      <c r="DZ97" s="1096"/>
      <c r="EA97" s="1660">
        <f t="shared" si="1"/>
        <v>1</v>
      </c>
    </row>
    <row r="98" spans="1:131" x14ac:dyDescent="0.2">
      <c r="A98" s="1096"/>
      <c r="B98" s="1096"/>
      <c r="C98" s="1497"/>
      <c r="D98" s="1643" t="s">
        <v>2310</v>
      </c>
      <c r="E98" s="1160"/>
      <c r="F98" s="1176"/>
      <c r="G98" s="1146" t="str">
        <f>IF(E98=0,"",VLOOKUP(E98,'Tablas Técnicas'!$A$14:$V$771,3,FALSE))</f>
        <v/>
      </c>
      <c r="H98" s="2619" t="str">
        <f>IF($E98=0,"",VLOOKUP($E98,'Tablas Técnicas'!$A$14:$V$771,4,FALSE))</f>
        <v/>
      </c>
      <c r="I98" s="1144" t="s">
        <v>2234</v>
      </c>
      <c r="J98" s="1601" t="str">
        <f>IF(E98=0,"",VLOOKUP(E98,'Tablas Técnicas'!$A$14:$V$771,5,FALSE))</f>
        <v/>
      </c>
      <c r="K98" s="1163" t="str">
        <f>IF(I98="Si",IF(E98=0,"",VLOOKUP(E98,'Tablas Técnicas'!$A$14:$V$771,5,FALSE)),"")</f>
        <v/>
      </c>
      <c r="L98" s="1144" t="s">
        <v>2234</v>
      </c>
      <c r="M98" s="1601" t="str">
        <f>IF(E98=0,"",VLOOKUP(E98,'Tablas Técnicas'!$A$14:$V$771,6,FALSE))</f>
        <v/>
      </c>
      <c r="N98" s="1147" t="str">
        <f>IF(L98="Si",IF(E98=0,"",VLOOKUP(E98,'Tablas Técnicas'!$A$14:$V$771,6,FALSE)),"")</f>
        <v/>
      </c>
      <c r="O98" s="1144" t="s">
        <v>2234</v>
      </c>
      <c r="P98" s="1601" t="str">
        <f>IF(E98=0,"",VLOOKUP(E98,'Tablas Técnicas'!$A$14:$V$771,7,FALSE))</f>
        <v/>
      </c>
      <c r="Q98" s="1147" t="str">
        <f>IF(O98="Si",IF(E98=0,"",VLOOKUP(E98,'Tablas Técnicas'!$A$14:$V$771,7,FALSE)),"")</f>
        <v/>
      </c>
      <c r="R98" s="1162" t="str">
        <f>IF(E98=0,"",VLOOKUP(E98,'Tablas Técnicas'!$A$14:$V$771,8,FALSE))</f>
        <v/>
      </c>
      <c r="S98" s="2619" t="str">
        <f>IF(R98=$D$8,$D$8,IF(R98=2,2,IF(R98=3,3,R98)))</f>
        <v/>
      </c>
      <c r="T98" s="4487"/>
      <c r="U98" s="4488"/>
      <c r="V98" s="2617" t="str">
        <f>IF(OR(V96=0,V96=""),"N/A",V96)</f>
        <v>N/A</v>
      </c>
      <c r="W98" s="4487" t="str">
        <f xml:space="preserve"> IF(OR(AF96=0,AF96=""),"N/A",W96)</f>
        <v>N/A</v>
      </c>
      <c r="X98" s="4489"/>
      <c r="Y98" s="4489"/>
      <c r="Z98" s="4489"/>
      <c r="AA98" s="4489"/>
      <c r="AB98" s="4489"/>
      <c r="AC98" s="4489"/>
      <c r="AD98" s="4489"/>
      <c r="AE98" s="4489"/>
      <c r="AF98" s="4488"/>
      <c r="AG98" s="4487" t="str">
        <f xml:space="preserve"> IF(OR(AP96="",AP96=0),"N/A",AG96)</f>
        <v>N/A</v>
      </c>
      <c r="AH98" s="4489"/>
      <c r="AI98" s="4489"/>
      <c r="AJ98" s="4489"/>
      <c r="AK98" s="4489"/>
      <c r="AL98" s="4489"/>
      <c r="AM98" s="4489"/>
      <c r="AN98" s="4489"/>
      <c r="AO98" s="4489"/>
      <c r="AP98" s="4488"/>
      <c r="AQ98" s="4487" t="str">
        <f xml:space="preserve"> IF(OR(AZ96="",AZ96=0),"N/A",AQ96)</f>
        <v>N/A</v>
      </c>
      <c r="AR98" s="4489"/>
      <c r="AS98" s="4489"/>
      <c r="AT98" s="4489"/>
      <c r="AU98" s="4489"/>
      <c r="AV98" s="4489"/>
      <c r="AW98" s="4489"/>
      <c r="AX98" s="4489"/>
      <c r="AY98" s="4489"/>
      <c r="AZ98" s="4488"/>
      <c r="BA98" s="4487" t="str">
        <f xml:space="preserve"> IF(OR(BJ96="",BJ96=0),"N/A",BA96)</f>
        <v>N/A</v>
      </c>
      <c r="BB98" s="4489"/>
      <c r="BC98" s="4489"/>
      <c r="BD98" s="4489"/>
      <c r="BE98" s="4489"/>
      <c r="BF98" s="4489"/>
      <c r="BG98" s="4489"/>
      <c r="BH98" s="4489"/>
      <c r="BI98" s="4489"/>
      <c r="BJ98" s="4488"/>
      <c r="BK98" s="1164" t="s">
        <v>5229</v>
      </c>
      <c r="BL98" s="1146"/>
      <c r="BM98" s="1181"/>
      <c r="BN98" s="1165"/>
      <c r="BO98" s="1166"/>
      <c r="BP98" s="1167" t="str">
        <f>IF(I98="Si",VLOOKUP($D$8,'Tablas Técnicas'!$E$4:$F$6,2,FALSE),"")</f>
        <v/>
      </c>
      <c r="BQ98" s="1137" t="str">
        <f>IF(L98="Si",VLOOKUP($D$8,'Tablas Técnicas'!$I$4:$J$6,2,FALSE),"")</f>
        <v/>
      </c>
      <c r="BR98" s="1168" t="str">
        <f>IF(O98="Si",VLOOKUP($D$8,'Tablas Técnicas'!$I$7:$J$9,2,FALSE),"")</f>
        <v/>
      </c>
      <c r="BS98" s="1151"/>
      <c r="BT98" s="2609" t="s">
        <v>2354</v>
      </c>
      <c r="BU98" s="2610" t="s">
        <v>5236</v>
      </c>
      <c r="BV98" s="1128"/>
      <c r="BW98" s="2610" t="s">
        <v>5237</v>
      </c>
      <c r="BX98" s="2609" t="s">
        <v>5238</v>
      </c>
      <c r="BY98" s="1489" t="s">
        <v>5238</v>
      </c>
      <c r="BZ98" s="1492"/>
      <c r="CA98" s="1096"/>
      <c r="DR98" s="1096"/>
      <c r="DT98" s="1514"/>
      <c r="DU98" s="1569"/>
      <c r="DV98" s="1566" t="str">
        <f>IF(E98="","",E98)&amp;IF(I98="No",""," (Mant.)")&amp;IF(L98="No",""," (Sme)")&amp;IF(O98="No",""," (SMa)")</f>
        <v/>
      </c>
      <c r="DW98" s="1566"/>
      <c r="DX98" s="1568"/>
      <c r="DY98" s="1513"/>
      <c r="DZ98" s="1096"/>
      <c r="EA98" s="1660">
        <f t="shared" si="1"/>
        <v>1</v>
      </c>
    </row>
    <row r="99" spans="1:131" x14ac:dyDescent="0.2">
      <c r="A99" s="1096"/>
      <c r="B99" s="1096"/>
      <c r="C99" s="1497"/>
      <c r="D99" s="1642" t="s">
        <v>2310</v>
      </c>
      <c r="E99" s="1152"/>
      <c r="F99" s="1182"/>
      <c r="G99" s="1627" t="str">
        <f>IF(E99=0,"",VLOOKUP(E99,'Tablas Técnicas'!$A$14:$V$771,3,FALSE))</f>
        <v/>
      </c>
      <c r="H99" s="1155" t="str">
        <f>IF($E99=0,"",VLOOKUP($E99,'Tablas Técnicas'!$A$14:$V$771,4,FALSE))</f>
        <v/>
      </c>
      <c r="I99" s="1156" t="s">
        <v>2234</v>
      </c>
      <c r="J99" s="1605" t="str">
        <f>IF(E99=0,"",VLOOKUP(E99,'Tablas Técnicas'!$A$14:$V$771,5,FALSE))</f>
        <v/>
      </c>
      <c r="K99" s="1158" t="str">
        <f>IF(I99="Si",IF(E99=0,"",VLOOKUP(E99,'Tablas Técnicas'!$A$14:$V$771,5,FALSE)),"")</f>
        <v/>
      </c>
      <c r="L99" s="1156" t="s">
        <v>2234</v>
      </c>
      <c r="M99" s="1605" t="str">
        <f>IF(E99=0,"",VLOOKUP(E99,'Tablas Técnicas'!$A$14:$V$771,6,FALSE))</f>
        <v/>
      </c>
      <c r="N99" s="1159" t="str">
        <f>IF(L99="Si",IF(E99=0,"",VLOOKUP(E99,'Tablas Técnicas'!$A$14:$V$771,6,FALSE)),"")</f>
        <v/>
      </c>
      <c r="O99" s="1156" t="s">
        <v>2234</v>
      </c>
      <c r="P99" s="1605" t="str">
        <f>IF(E99=0,"",VLOOKUP(E99,'Tablas Técnicas'!$A$14:$V$771,7,FALSE))</f>
        <v/>
      </c>
      <c r="Q99" s="1159" t="str">
        <f>IF(O99="Si",IF(E99=0,"",VLOOKUP(E99,'Tablas Técnicas'!$A$14:$V$771,7,FALSE)),"")</f>
        <v/>
      </c>
      <c r="R99" s="1157" t="str">
        <f>IF(E99=0,"",VLOOKUP(E99,'Tablas Técnicas'!$A$14:$V$771,8,FALSE))</f>
        <v/>
      </c>
      <c r="S99" s="1155" t="str">
        <f>IF(R99=$D$8,$D$8,IF(R99=2,2,IF(R99=3,3,R99)))</f>
        <v/>
      </c>
      <c r="T99" s="4490" t="s">
        <v>5230</v>
      </c>
      <c r="U99" s="4491"/>
      <c r="V99" s="2618"/>
      <c r="W99" s="4492"/>
      <c r="X99" s="4493"/>
      <c r="Y99" s="4493"/>
      <c r="Z99" s="4493"/>
      <c r="AA99" s="4493"/>
      <c r="AB99" s="4493"/>
      <c r="AC99" s="4493"/>
      <c r="AD99" s="4493"/>
      <c r="AE99" s="4493"/>
      <c r="AF99" s="4494"/>
      <c r="AG99" s="4492"/>
      <c r="AH99" s="4493"/>
      <c r="AI99" s="4493"/>
      <c r="AJ99" s="4493"/>
      <c r="AK99" s="4493"/>
      <c r="AL99" s="4493"/>
      <c r="AM99" s="4493"/>
      <c r="AN99" s="4493"/>
      <c r="AO99" s="4493"/>
      <c r="AP99" s="4494"/>
      <c r="AQ99" s="4492"/>
      <c r="AR99" s="4493"/>
      <c r="AS99" s="4493"/>
      <c r="AT99" s="4493"/>
      <c r="AU99" s="4493"/>
      <c r="AV99" s="4493"/>
      <c r="AW99" s="4493"/>
      <c r="AX99" s="4493"/>
      <c r="AY99" s="4493"/>
      <c r="AZ99" s="4494"/>
      <c r="BA99" s="4492"/>
      <c r="BB99" s="4493"/>
      <c r="BC99" s="4493"/>
      <c r="BD99" s="4493"/>
      <c r="BE99" s="4493"/>
      <c r="BF99" s="4493"/>
      <c r="BG99" s="4493"/>
      <c r="BH99" s="4493"/>
      <c r="BI99" s="4493"/>
      <c r="BJ99" s="4494"/>
      <c r="BK99" s="1155">
        <f>(SUM(G96:G100)+IF(AF96="",0,AF96)+IF(AP96="",0,AP96)+IF(AZ96="",0,AZ96)+IF(BJ96="",0,BJ96)+SUM(K96:K100)+SUM(N96:N100)+SUM(Q96:Q100))- SUM(V99:BA99)</f>
        <v>0</v>
      </c>
      <c r="BL99" s="1627"/>
      <c r="BM99" s="1628"/>
      <c r="BN99" s="1149"/>
      <c r="BO99" s="1150"/>
      <c r="BP99" s="1135" t="str">
        <f>IF(I99="Si",VLOOKUP($D$8,'Tablas Técnicas'!$E$4:$F$6,2,FALSE),"")</f>
        <v/>
      </c>
      <c r="BQ99" s="1136" t="str">
        <f>IF(L99="Si",VLOOKUP($D$8,'Tablas Técnicas'!$I$4:$J$6,2,FALSE),"")</f>
        <v/>
      </c>
      <c r="BR99" s="1134" t="str">
        <f>IF(O99="Si",VLOOKUP($D$8,'Tablas Técnicas'!$I$7:$J$9,2,FALSE),"")</f>
        <v/>
      </c>
      <c r="BS99" s="1151"/>
      <c r="BT99" s="261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92"/>
      <c r="BV99" s="1128"/>
      <c r="BW99" s="1183" t="str">
        <f>IF(SUM(BT99:BU99)=0,"N/A",SUM(BT99:BU99))</f>
        <v>N/A</v>
      </c>
      <c r="BX99" s="261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83" t="str">
        <f>IF(BX99=0,"N/A",BX99)</f>
        <v>N/A</v>
      </c>
      <c r="BZ99" s="1492"/>
      <c r="CA99" s="1100"/>
      <c r="DR99" s="1100"/>
      <c r="DT99" s="1515"/>
      <c r="DU99" s="1565"/>
      <c r="DV99" s="1566" t="str">
        <f>IF(E99="","",E99)&amp;IF(I99="No",""," (Mant.)")&amp;IF(L99="No",""," (Sme)")&amp;IF(O99="No",""," (SMa)")</f>
        <v/>
      </c>
      <c r="DW99" s="1566"/>
      <c r="DX99" s="1571"/>
      <c r="DY99" s="1516"/>
      <c r="DZ99" s="1100"/>
      <c r="EA99" s="1660">
        <f t="shared" si="1"/>
        <v>1</v>
      </c>
    </row>
    <row r="100" spans="1:131" x14ac:dyDescent="0.2">
      <c r="A100" s="1096"/>
      <c r="B100" s="1096"/>
      <c r="C100" s="1497"/>
      <c r="D100" s="1643" t="s">
        <v>2310</v>
      </c>
      <c r="E100" s="1160"/>
      <c r="F100" s="1176"/>
      <c r="G100" s="1146" t="str">
        <f>IF(E100=0,"",VLOOKUP(E100,'Tablas Técnicas'!$A$14:$V$771,3,FALSE))</f>
        <v/>
      </c>
      <c r="H100" s="1171" t="str">
        <f>IF($E100=0,"",VLOOKUP($E100,'Tablas Técnicas'!$A$14:$V$771,4,FALSE))</f>
        <v/>
      </c>
      <c r="I100" s="1144" t="s">
        <v>2234</v>
      </c>
      <c r="J100" s="1608" t="str">
        <f>IF(E100=0,"",VLOOKUP(E100,'Tablas Técnicas'!$A$14:$V$771,5,FALSE))</f>
        <v/>
      </c>
      <c r="K100" s="1172" t="str">
        <f>IF(I100="Si",IF(E100=0,"",VLOOKUP(E100,'Tablas Técnicas'!$A$14:$V$771,5,FALSE)),"")</f>
        <v/>
      </c>
      <c r="L100" s="1144" t="s">
        <v>2234</v>
      </c>
      <c r="M100" s="1608" t="str">
        <f>IF(E100=0,"",VLOOKUP(E100,'Tablas Técnicas'!$A$14:$V$771,6,FALSE))</f>
        <v/>
      </c>
      <c r="N100" s="1147" t="str">
        <f>IF(L100="Si",IF(E100=0,"",VLOOKUP(E100,'Tablas Técnicas'!$A$14:$V$771,6,FALSE)),"")</f>
        <v/>
      </c>
      <c r="O100" s="1144" t="s">
        <v>2234</v>
      </c>
      <c r="P100" s="1608" t="str">
        <f>IF(E100=0,"",VLOOKUP(E100,'Tablas Técnicas'!$A$14:$V$771,7,FALSE))</f>
        <v/>
      </c>
      <c r="Q100" s="1147" t="str">
        <f>IF(O100="Si",IF(E100=0,"",VLOOKUP(E100,'Tablas Técnicas'!$A$14:$V$771,7,FALSE)),"")</f>
        <v/>
      </c>
      <c r="R100" s="1193" t="str">
        <f>IF(E100=0,"",VLOOKUP(E100,'Tablas Técnicas'!$A$14:$V$771,8,FALSE))</f>
        <v/>
      </c>
      <c r="S100" s="1161" t="str">
        <f>IF(R100=$D$8,$D$8,IF(R100=2,2,IF(R100=3,3,R100)))</f>
        <v/>
      </c>
      <c r="T100" s="4482" t="s">
        <v>5232</v>
      </c>
      <c r="U100" s="4483"/>
      <c r="V100" s="2616"/>
      <c r="W100" s="4484"/>
      <c r="X100" s="4485"/>
      <c r="Y100" s="4485"/>
      <c r="Z100" s="4485"/>
      <c r="AA100" s="4485"/>
      <c r="AB100" s="4485"/>
      <c r="AC100" s="4485"/>
      <c r="AD100" s="4485"/>
      <c r="AE100" s="4485"/>
      <c r="AF100" s="4486"/>
      <c r="AG100" s="4484"/>
      <c r="AH100" s="4485"/>
      <c r="AI100" s="4485"/>
      <c r="AJ100" s="4485"/>
      <c r="AK100" s="4485"/>
      <c r="AL100" s="4485"/>
      <c r="AM100" s="4485"/>
      <c r="AN100" s="4485"/>
      <c r="AO100" s="4485"/>
      <c r="AP100" s="4486"/>
      <c r="AQ100" s="4484"/>
      <c r="AR100" s="4485"/>
      <c r="AS100" s="4485"/>
      <c r="AT100" s="4485"/>
      <c r="AU100" s="4485"/>
      <c r="AV100" s="4485"/>
      <c r="AW100" s="4485"/>
      <c r="AX100" s="4485"/>
      <c r="AY100" s="4485"/>
      <c r="AZ100" s="4486"/>
      <c r="BA100" s="4484"/>
      <c r="BB100" s="4485"/>
      <c r="BC100" s="4485"/>
      <c r="BD100" s="4485"/>
      <c r="BE100" s="4485"/>
      <c r="BF100" s="4485"/>
      <c r="BG100" s="4485"/>
      <c r="BH100" s="4485"/>
      <c r="BI100" s="4485"/>
      <c r="BJ100" s="4486"/>
      <c r="BK100" s="1171">
        <f>SUM(K96:K100)-SUM(V100:BA100)</f>
        <v>0</v>
      </c>
      <c r="BL100" s="1629"/>
      <c r="BM100" s="1630"/>
      <c r="BN100" s="1165"/>
      <c r="BO100" s="1166"/>
      <c r="BP100" s="1167" t="str">
        <f>IF(I100="Si",VLOOKUP($D$8,'Tablas Técnicas'!$E$4:$F$6,2,FALSE),"")</f>
        <v/>
      </c>
      <c r="BQ100" s="1137" t="str">
        <f>IF(L100="Si",VLOOKUP($D$8,'Tablas Técnicas'!$I$4:$J$6,2,FALSE),"")</f>
        <v/>
      </c>
      <c r="BR100" s="1168" t="str">
        <f>IF(O100="Si",VLOOKUP($D$8,'Tablas Técnicas'!$I$7:$J$9,2,FALSE),"")</f>
        <v/>
      </c>
      <c r="BS100" s="1151"/>
      <c r="BT100" s="2609" t="s">
        <v>2231</v>
      </c>
      <c r="BU100" s="2610" t="s">
        <v>5236</v>
      </c>
      <c r="BV100" s="1128"/>
      <c r="BW100" s="2610" t="s">
        <v>5237</v>
      </c>
      <c r="BX100" s="2609" t="s">
        <v>5238</v>
      </c>
      <c r="BY100" s="1489" t="s">
        <v>5238</v>
      </c>
      <c r="BZ100" s="1492"/>
      <c r="CA100" s="1096"/>
      <c r="DR100" s="1096"/>
      <c r="DT100" s="1514"/>
      <c r="DU100" s="1569"/>
      <c r="DV100" s="1566" t="str">
        <f>IF(E100="","",E100)&amp;IF(I100="No",""," (Mant.)")&amp;IF(L100="No",""," (Sme)")&amp;IF(O100="No",""," (SMa)")</f>
        <v/>
      </c>
      <c r="DW100" s="1566"/>
      <c r="DX100" s="1568"/>
      <c r="DY100" s="1513"/>
      <c r="DZ100" s="1096"/>
      <c r="EA100" s="1660">
        <f t="shared" si="1"/>
        <v>1</v>
      </c>
    </row>
    <row r="101" spans="1:131" x14ac:dyDescent="0.2">
      <c r="A101" s="1096"/>
      <c r="B101" s="159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97"/>
      <c r="D101" s="1644">
        <v>4</v>
      </c>
      <c r="E101" s="1423"/>
      <c r="F101" s="1173"/>
      <c r="G101" s="1174"/>
      <c r="H101" s="2559">
        <f>IF(AND(OR(ISNUMBER(SEARCH("Afinidad Elemental ("&amp;BK96&amp;")",Principal!$AF$30)),ISNUMBER(SEARCH("Afinidad Elemental ("&amp;BL96&amp;")",Principal!$AF$30)),ISNUMBER(SEARCH("Afinidad Elemental ("&amp;BM96&amp;")",Principal!$AF$30))),SUM(H96:H100)&gt;=5),-5,0)</f>
        <v>0</v>
      </c>
      <c r="I101" s="1603"/>
      <c r="J101" s="1606"/>
      <c r="K101" s="1174"/>
      <c r="L101" s="1603"/>
      <c r="M101" s="1606"/>
      <c r="N101" s="1174"/>
      <c r="O101" s="1603"/>
      <c r="P101" s="1606"/>
      <c r="Q101" s="1174"/>
      <c r="R101" s="1175"/>
      <c r="S101" s="1174"/>
      <c r="T101" s="1174"/>
      <c r="U101" s="1174"/>
      <c r="V101" s="1174"/>
      <c r="W101" s="1174"/>
      <c r="X101" s="1174"/>
      <c r="Y101" s="1174"/>
      <c r="Z101" s="1174"/>
      <c r="AA101" s="1174"/>
      <c r="AB101" s="1174"/>
      <c r="AC101" s="1174"/>
      <c r="AD101" s="1174"/>
      <c r="AE101" s="1174"/>
      <c r="AF101" s="1174"/>
      <c r="AG101" s="1174"/>
      <c r="AH101" s="1174"/>
      <c r="AI101" s="1174"/>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c r="BD101" s="1174"/>
      <c r="BE101" s="1174"/>
      <c r="BF101" s="1174"/>
      <c r="BG101" s="1174"/>
      <c r="BH101" s="1174"/>
      <c r="BI101" s="1174"/>
      <c r="BJ101" s="1174"/>
      <c r="BK101" s="1174"/>
      <c r="BL101" s="1174"/>
      <c r="BM101" s="1184"/>
      <c r="BN101" s="1185">
        <f>SUM(K101:K104)</f>
        <v>0</v>
      </c>
      <c r="BO101" s="1128" t="str">
        <f>IF(E101=0,"",(AF101+AP101+AZ101+BJ101))</f>
        <v/>
      </c>
      <c r="BP101" s="1186" t="str">
        <f>IF(I101="Si",VLOOKUP($D$8,'Tablas Técnicas'!$E$4:$F$6,2,FALSE),"")</f>
        <v/>
      </c>
      <c r="BQ101" s="1187" t="str">
        <f>IF(L101="Si",VLOOKUP($D$8,'Tablas Técnicas'!$I$4:$J$6,2,FALSE),"")</f>
        <v/>
      </c>
      <c r="BR101" s="1185" t="str">
        <f>IF(O101="Si",VLOOKUP($D$8,'Tablas Técnicas'!$I$7:$J$9,2,FALSE),"")</f>
        <v/>
      </c>
      <c r="BS101" s="1151"/>
      <c r="BT101" s="261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92"/>
      <c r="BV101" s="1128"/>
      <c r="BW101" s="1183" t="str">
        <f>IF(SUM(BT101:BU101)=0,"N/A",SUM(BT101:BU101))</f>
        <v>N/A</v>
      </c>
      <c r="BX101" s="261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83" t="str">
        <f>IF(BX101=0,"N/A",BX101)</f>
        <v>N/A</v>
      </c>
      <c r="BZ101" s="1492"/>
      <c r="CA101" s="1096"/>
      <c r="DR101" s="1096"/>
      <c r="DT101" s="1514"/>
      <c r="DU101" s="1569"/>
      <c r="DV101" s="1570"/>
      <c r="DW101" s="1566"/>
      <c r="DX101" s="1568"/>
      <c r="DY101" s="1513"/>
      <c r="DZ101" s="1096"/>
      <c r="EA101" s="1660">
        <f t="shared" si="1"/>
        <v>1</v>
      </c>
    </row>
    <row r="102" spans="1:131" ht="11.25" customHeight="1" x14ac:dyDescent="0.2">
      <c r="A102" s="1096"/>
      <c r="B102" s="1096"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97"/>
      <c r="D102" s="1643" t="s">
        <v>2310</v>
      </c>
      <c r="E102" s="1140"/>
      <c r="F102" s="1176"/>
      <c r="G102" s="1146" t="str">
        <f>IF(E102=0,"",VLOOKUP(E102,'Tablas Técnicas'!$A$14:$V$771,3,FALSE))</f>
        <v/>
      </c>
      <c r="H102" s="1188" t="str">
        <f>IF($E102=0,"",VLOOKUP($E102,'Tablas Técnicas'!$A$14:$V$771,4,FALSE))</f>
        <v/>
      </c>
      <c r="I102" s="1144" t="s">
        <v>2234</v>
      </c>
      <c r="J102" s="1607" t="str">
        <f>IF(E102=0,"",VLOOKUP(E102,'Tablas Técnicas'!$A$14:$V$771,5,FALSE))</f>
        <v/>
      </c>
      <c r="K102" s="1190" t="str">
        <f>IF(I102="Si",IF(E102=0,"",VLOOKUP(E102,'Tablas Técnicas'!$A$14:$V$771,5,FALSE)),"")</f>
        <v/>
      </c>
      <c r="L102" s="1144" t="s">
        <v>2234</v>
      </c>
      <c r="M102" s="1607" t="str">
        <f>IF(E102=0,"",VLOOKUP(E102,'Tablas Técnicas'!$A$14:$V$771,6,FALSE))</f>
        <v/>
      </c>
      <c r="N102" s="1147" t="str">
        <f>IF(L102="Si",IF(E102=0,"",VLOOKUP(E102,'Tablas Técnicas'!$A$14:$V$771,6,FALSE)),"")</f>
        <v/>
      </c>
      <c r="O102" s="1144" t="s">
        <v>2234</v>
      </c>
      <c r="P102" s="1607" t="str">
        <f>IF(E102=0,"",VLOOKUP(E102,'Tablas Técnicas'!$A$14:$V$771,7,FALSE))</f>
        <v/>
      </c>
      <c r="Q102" s="1147" t="str">
        <f>IF(O102="Si",IF(E102=0,"",VLOOKUP(E102,'Tablas Técnicas'!$A$14:$V$771,7,FALSE)),"")</f>
        <v/>
      </c>
      <c r="R102" s="1189" t="str">
        <f>IF(E102=0,"",VLOOKUP(E102,'Tablas Técnicas'!$A$14:$V$771,8,FALSE))</f>
        <v/>
      </c>
      <c r="S102" s="1161" t="str">
        <f>IF(R102=$D$8,$D$8,IF(R102=2,2,IF(R102=3,3,R102)))</f>
        <v/>
      </c>
      <c r="T102" s="1190" t="str">
        <f>IF(E102=0,"",VLOOKUP(E102,'Tablas Técnicas'!$A$14:$V$771,9,FALSE))</f>
        <v/>
      </c>
      <c r="U102" s="1190" t="str">
        <f>IF(E102=0,"",VLOOKUP(E102,'Tablas Técnicas'!$A$14:$V$771,10,FALSE))</f>
        <v/>
      </c>
      <c r="V102" s="1191" t="str">
        <f>IF(E102=0,"",VLOOKUP(E102,'Tablas Técnicas'!$A$14:$V$771,11,FALSE))</f>
        <v/>
      </c>
      <c r="W102" s="1144"/>
      <c r="X102" s="1145" t="e">
        <f>VLOOKUP(E102,'Tablas Técnicas'!$A$14:$V$771,12,FALSE)</f>
        <v>#N/A</v>
      </c>
      <c r="Y102" s="1145" t="e">
        <f>IF(W102=X102,VLOOKUP(E102,'Tablas Técnicas'!$A$14:$V$771,13,FALSE),0)</f>
        <v>#N/A</v>
      </c>
      <c r="Z102" s="1145" t="e">
        <f>VLOOKUP(E102,'Tablas Técnicas'!$A$14:$V$771,14,FALSE)</f>
        <v>#N/A</v>
      </c>
      <c r="AA102" s="1145" t="e">
        <f>IF(W102=Z102,VLOOKUP(E102,'Tablas Técnicas'!$A$14:$V$616,15,FALSE),0)</f>
        <v>#N/A</v>
      </c>
      <c r="AB102" s="1145" t="e">
        <f>VLOOKUP(E102,'Tablas Técnicas'!$A$14:$V$771,16,FALSE)</f>
        <v>#N/A</v>
      </c>
      <c r="AC102" s="1145" t="e">
        <f>IF(W102=AB102,VLOOKUP(E102,'Tablas Técnicas'!$A$14:$V$616,17,FALSE),0)</f>
        <v>#N/A</v>
      </c>
      <c r="AD102" s="1145" t="e">
        <f>VLOOKUP(E102,'Tablas Técnicas'!$A$14:$V$771,18,FALSE)</f>
        <v>#N/A</v>
      </c>
      <c r="AE102" s="1145" t="e">
        <f>IF(W102=AD102,VLOOKUP(E102,'Tablas Técnicas'!$A$14:$V$771,19,FALSE),0)</f>
        <v>#N/A</v>
      </c>
      <c r="AF102" s="1163" t="str">
        <f>IF(E102=0,"",(Y102+AA102+AC102+AE102))</f>
        <v/>
      </c>
      <c r="AG102" s="1144"/>
      <c r="AH102" s="1162" t="e">
        <f>VLOOKUP(E102,'Tablas Técnicas'!$A$14:$V$771,12,FALSE)</f>
        <v>#N/A</v>
      </c>
      <c r="AI102" s="1162" t="e">
        <f>IF(AG102=AH102,VLOOKUP(E102,'Tablas Técnicas'!$A$14:$V$771,13,FALSE),0)</f>
        <v>#N/A</v>
      </c>
      <c r="AJ102" s="1162" t="e">
        <f>VLOOKUP(E102,'Tablas Técnicas'!$A$14:$V$771,14,FALSE)</f>
        <v>#N/A</v>
      </c>
      <c r="AK102" s="1162" t="e">
        <f>IF(AG102=AJ102,VLOOKUP(E102,'Tablas Técnicas'!$A$14:$V$771,15,FALSE),0)</f>
        <v>#N/A</v>
      </c>
      <c r="AL102" s="1162" t="e">
        <f>VLOOKUP(E102,'Tablas Técnicas'!$A$14:$V$771,16,FALSE)</f>
        <v>#N/A</v>
      </c>
      <c r="AM102" s="1162" t="e">
        <f>IF(AG102=AL102,VLOOKUP(E102,'Tablas Técnicas'!$A$14:$V$771,17,FALSE),0)</f>
        <v>#N/A</v>
      </c>
      <c r="AN102" s="1162" t="e">
        <f>VLOOKUP(E102,'Tablas Técnicas'!$A$14:$V$771,18,FALSE)</f>
        <v>#N/A</v>
      </c>
      <c r="AO102" s="1162" t="e">
        <f>IF(AG102=AN102,VLOOKUP(E102,'Tablas Técnicas'!$A$14:$V$771,19,FALSE),0)</f>
        <v>#N/A</v>
      </c>
      <c r="AP102" s="2620" t="str">
        <f>IF(E102=0,"",(AI102+AK102+AM102+AO102))</f>
        <v/>
      </c>
      <c r="AQ102" s="1144"/>
      <c r="AR102" s="1162" t="e">
        <f>VLOOKUP(E102,'Tablas Técnicas'!$A$14:$V$771,12,FALSE)</f>
        <v>#N/A</v>
      </c>
      <c r="AS102" s="1162" t="e">
        <f>IF(AQ102=AR102,VLOOKUP(E102,'Tablas Técnicas'!$A$14:$V$771,13,FALSE),0)</f>
        <v>#N/A</v>
      </c>
      <c r="AT102" s="1162" t="e">
        <f>VLOOKUP(E102,'Tablas Técnicas'!$A$14:$V$771,14,FALSE)</f>
        <v>#N/A</v>
      </c>
      <c r="AU102" s="1162" t="e">
        <f>IF(AQ102=AT102,VLOOKUP(E102,'Tablas Técnicas'!$A$14:$V$771,15,FALSE),0)</f>
        <v>#N/A</v>
      </c>
      <c r="AV102" s="1162" t="e">
        <f>VLOOKUP(E102,'Tablas Técnicas'!$A$14:$V$771,16,FALSE)</f>
        <v>#N/A</v>
      </c>
      <c r="AW102" s="1162" t="e">
        <f>IF(AQ102=AV102,VLOOKUP(E102,'Tablas Técnicas'!$A$14:$V$771,17,FALSE),0)</f>
        <v>#N/A</v>
      </c>
      <c r="AX102" s="1162" t="e">
        <f>VLOOKUP(E102,'Tablas Técnicas'!$A$14:$V$771,18,FALSE)</f>
        <v>#N/A</v>
      </c>
      <c r="AY102" s="1162" t="e">
        <f>IF(AQ102=AX102,VLOOKUP(E102,'Tablas Técnicas'!$A$14:$V$771,19,FALSE),0)</f>
        <v>#N/A</v>
      </c>
      <c r="AZ102" s="1163" t="str">
        <f>IF(E102=0,"",(AS102+AU102+AW102+AY102))</f>
        <v/>
      </c>
      <c r="BA102" s="1144"/>
      <c r="BB102" s="1162" t="e">
        <f>VLOOKUP(E102,'Tablas Técnicas'!$A$14:$V$771,12,FALSE)</f>
        <v>#N/A</v>
      </c>
      <c r="BC102" s="1162" t="e">
        <f>IF(BA102=BB102,VLOOKUP(E102,'Tablas Técnicas'!$A$14:$V$771,13,FALSE),0)</f>
        <v>#N/A</v>
      </c>
      <c r="BD102" s="1162" t="e">
        <f>VLOOKUP(E102,'Tablas Técnicas'!$A$14:$V$771,14,FALSE)</f>
        <v>#N/A</v>
      </c>
      <c r="BE102" s="1162" t="e">
        <f>IF(BA102=BD102,VLOOKUP(E102,'Tablas Técnicas'!$A$14:$V$771,15,FALSE),0)</f>
        <v>#N/A</v>
      </c>
      <c r="BF102" s="1162" t="e">
        <f>VLOOKUP(E102,'Tablas Técnicas'!$A$14:$V$771,16,FALSE)</f>
        <v>#N/A</v>
      </c>
      <c r="BG102" s="1162" t="e">
        <f>IF(BA102=BF102,VLOOKUP(E102,'Tablas Técnicas'!$A$14:$V$771,17,FALSE),0)</f>
        <v>#N/A</v>
      </c>
      <c r="BH102" s="1162" t="e">
        <f>VLOOKUP(E102,'Tablas Técnicas'!$A$14:$V$771,18,FALSE)</f>
        <v>#N/A</v>
      </c>
      <c r="BI102" s="1162" t="e">
        <f>IF(BA102=BH102,VLOOKUP(E102,'Tablas Técnicas'!$A$14:$V$771,19,FALSE),0)</f>
        <v>#N/A</v>
      </c>
      <c r="BJ102" s="2620" t="str">
        <f>IF(E102=0,"",(BC102+BE102+BG102+BI102))</f>
        <v/>
      </c>
      <c r="BK102" s="1190" t="str">
        <f>IF(E102=0,"",VLOOKUP(E102,'Tablas Técnicas'!$A$14:$V$771,20,FALSE))</f>
        <v/>
      </c>
      <c r="BL102" s="1177" t="str">
        <f>IF(E102=0,"",VLOOKUP(E102,'Tablas Técnicas'!$A$14:$V$771,21,FALSE))</f>
        <v/>
      </c>
      <c r="BM102" s="1148" t="str">
        <f>IF(E102=0,"",VLOOKUP(E102,'Tablas Técnicas'!$A$14:$V$771,22,FALSE))</f>
        <v/>
      </c>
      <c r="BN102" s="1149"/>
      <c r="BO102" s="1150"/>
      <c r="BP102" s="1135" t="str">
        <f>IF(I102="Si",VLOOKUP($D$8,'Tablas Técnicas'!$E$4:$F$6,2,FALSE),"")</f>
        <v/>
      </c>
      <c r="BQ102" s="1136" t="str">
        <f>IF(L102="Si",VLOOKUP($D$8,'Tablas Técnicas'!$I$4:$J$6,2,FALSE),"")</f>
        <v/>
      </c>
      <c r="BR102" s="1134" t="str">
        <f>IF(O102="Si",VLOOKUP($D$8,'Tablas Técnicas'!$I$7:$J$9,2,FALSE),"")</f>
        <v/>
      </c>
      <c r="BS102" s="1151"/>
      <c r="BT102" s="2609" t="s">
        <v>2236</v>
      </c>
      <c r="BU102" s="2610" t="s">
        <v>5236</v>
      </c>
      <c r="BV102" s="1128"/>
      <c r="BW102" s="2610" t="s">
        <v>5237</v>
      </c>
      <c r="BX102" s="2609" t="s">
        <v>5238</v>
      </c>
      <c r="BY102" s="1489" t="s">
        <v>5238</v>
      </c>
      <c r="BZ102" s="1492"/>
      <c r="CA102" s="1096"/>
      <c r="DR102" s="1096"/>
      <c r="DT102" s="1514"/>
      <c r="DU102" s="1569"/>
      <c r="DV102" s="1566" t="str">
        <f>IF(E102="","",", "&amp;E102)&amp;IF(I102="No",""," (Mant.)")&amp;IF(L102="No",""," (Sme)")&amp;IF(O102="No",""," (SMa)")</f>
        <v/>
      </c>
      <c r="DW102" s="1566"/>
      <c r="DX102" s="1568"/>
      <c r="DY102" s="1513"/>
      <c r="DZ102" s="1096"/>
      <c r="EA102" s="1660">
        <f t="shared" si="1"/>
        <v>1</v>
      </c>
    </row>
    <row r="103" spans="1:131" ht="11.25" customHeight="1" x14ac:dyDescent="0.2">
      <c r="A103" s="1096"/>
      <c r="B103" s="1096"/>
      <c r="C103" s="1497"/>
      <c r="D103" s="1642" t="s">
        <v>2310</v>
      </c>
      <c r="E103" s="1152"/>
      <c r="F103" s="1182"/>
      <c r="G103" s="1627" t="str">
        <f>IF(E103=0,"",VLOOKUP(E103,'Tablas Técnicas'!$A$14:$V$771,3,FALSE))</f>
        <v/>
      </c>
      <c r="H103" s="1155" t="str">
        <f>IF($E103=0,"",VLOOKUP($E103,'Tablas Técnicas'!$A$14:$V$771,4,FALSE))</f>
        <v/>
      </c>
      <c r="I103" s="1156" t="s">
        <v>2234</v>
      </c>
      <c r="J103" s="1605" t="str">
        <f>IF(E103=0,"",VLOOKUP(E103,'Tablas Técnicas'!$A$14:$V$771,5,FALSE))</f>
        <v/>
      </c>
      <c r="K103" s="1158" t="str">
        <f>IF(I103="Si",IF(E103=0,"",VLOOKUP(E103,'Tablas Técnicas'!$A$14:$V$771,5,FALSE)),"")</f>
        <v/>
      </c>
      <c r="L103" s="1156" t="s">
        <v>2234</v>
      </c>
      <c r="M103" s="1605" t="str">
        <f>IF(E103=0,"",VLOOKUP(E103,'Tablas Técnicas'!$A$14:$V$771,6,FALSE))</f>
        <v/>
      </c>
      <c r="N103" s="1159" t="str">
        <f>IF(L103="Si",IF(E103=0,"",VLOOKUP(E103,'Tablas Técnicas'!$A$14:$V$771,6,FALSE)),"")</f>
        <v/>
      </c>
      <c r="O103" s="1156" t="s">
        <v>2234</v>
      </c>
      <c r="P103" s="1605" t="str">
        <f>IF(E103=0,"",VLOOKUP(E103,'Tablas Técnicas'!$A$14:$V$771,7,FALSE))</f>
        <v/>
      </c>
      <c r="Q103" s="1159" t="str">
        <f>IF(O103="Si",IF(E103=0,"",VLOOKUP(E103,'Tablas Técnicas'!$A$14:$V$771,7,FALSE)),"")</f>
        <v/>
      </c>
      <c r="R103" s="1157" t="str">
        <f>IF(E103=0,"",VLOOKUP(E103,'Tablas Técnicas'!$A$14:$V$771,8,FALSE))</f>
        <v/>
      </c>
      <c r="S103" s="1155" t="str">
        <f>IF(R103=$D$8,$D$8,IF(R103=2,2,IF(R103=3,3,R103)))</f>
        <v/>
      </c>
      <c r="T103" s="4475" t="s">
        <v>5228</v>
      </c>
      <c r="U103" s="4476"/>
      <c r="V103" s="4476"/>
      <c r="W103" s="4476"/>
      <c r="X103" s="4476"/>
      <c r="Y103" s="4476"/>
      <c r="Z103" s="4476"/>
      <c r="AA103" s="4476"/>
      <c r="AB103" s="4476"/>
      <c r="AC103" s="4476"/>
      <c r="AD103" s="4476"/>
      <c r="AE103" s="4476"/>
      <c r="AF103" s="4476"/>
      <c r="AG103" s="4476"/>
      <c r="AH103" s="4476"/>
      <c r="AI103" s="4476"/>
      <c r="AJ103" s="4476"/>
      <c r="AK103" s="4476"/>
      <c r="AL103" s="4476"/>
      <c r="AM103" s="4476"/>
      <c r="AN103" s="4476"/>
      <c r="AO103" s="4476"/>
      <c r="AP103" s="4476"/>
      <c r="AQ103" s="4476"/>
      <c r="AR103" s="4476"/>
      <c r="AS103" s="4476"/>
      <c r="AT103" s="4476"/>
      <c r="AU103" s="4476"/>
      <c r="AV103" s="4476"/>
      <c r="AW103" s="4476"/>
      <c r="AX103" s="4476"/>
      <c r="AY103" s="4476"/>
      <c r="AZ103" s="4476"/>
      <c r="BA103" s="4476"/>
      <c r="BB103" s="4476"/>
      <c r="BC103" s="4476"/>
      <c r="BD103" s="4476"/>
      <c r="BE103" s="4476"/>
      <c r="BF103" s="4476"/>
      <c r="BG103" s="4476"/>
      <c r="BH103" s="4476"/>
      <c r="BI103" s="4476"/>
      <c r="BJ103" s="4476"/>
      <c r="BK103" s="4477"/>
      <c r="BL103" s="1627"/>
      <c r="BM103" s="1628"/>
      <c r="BN103" s="1149"/>
      <c r="BO103" s="1150"/>
      <c r="BP103" s="1135" t="str">
        <f>IF(I103="Si",VLOOKUP($D$8,'Tablas Técnicas'!$E$4:$F$6,2,FALSE),"")</f>
        <v/>
      </c>
      <c r="BQ103" s="1136" t="str">
        <f>IF(L103="Si",VLOOKUP($D$8,'Tablas Técnicas'!$I$4:$J$6,2,FALSE),"")</f>
        <v/>
      </c>
      <c r="BR103" s="1134" t="str">
        <f>IF(O103="Si",VLOOKUP($D$8,'Tablas Técnicas'!$I$7:$J$9,2,FALSE),"")</f>
        <v/>
      </c>
      <c r="BS103" s="1151"/>
      <c r="BT103" s="261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92"/>
      <c r="BV103" s="1128"/>
      <c r="BW103" s="1183" t="str">
        <f>IF(SUM(BT103:BU103)=0,"N/A",SUM(BT103:BU103))</f>
        <v>N/A</v>
      </c>
      <c r="BX103" s="261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83" t="str">
        <f>IF(BX103=0,"N/A",BX103)</f>
        <v>N/A</v>
      </c>
      <c r="BZ103" s="1492"/>
      <c r="CA103" s="1096"/>
      <c r="DR103" s="1096"/>
      <c r="DT103" s="1514"/>
      <c r="DU103" s="1569"/>
      <c r="DV103" s="1566" t="str">
        <f>IF(E103="",""," "&amp;E103)&amp;IF(I103="No",""," (Mant.)")&amp;IF(L103="No",""," (Sme)")&amp;IF(O103="No",""," (SMa)")</f>
        <v/>
      </c>
      <c r="DW103" s="1566"/>
      <c r="DX103" s="1568"/>
      <c r="DY103" s="1513"/>
      <c r="DZ103" s="1096"/>
      <c r="EA103" s="1660">
        <f t="shared" si="1"/>
        <v>1</v>
      </c>
    </row>
    <row r="104" spans="1:131" x14ac:dyDescent="0.2">
      <c r="A104" s="1096"/>
      <c r="B104" s="1096"/>
      <c r="C104" s="1497"/>
      <c r="D104" s="1643" t="s">
        <v>2310</v>
      </c>
      <c r="E104" s="1160"/>
      <c r="F104" s="1176"/>
      <c r="G104" s="1146" t="str">
        <f>IF(E104=0,"",VLOOKUP(E104,'Tablas Técnicas'!$A$14:$V$771,3,FALSE))</f>
        <v/>
      </c>
      <c r="H104" s="2619" t="str">
        <f>IF($E104=0,"",VLOOKUP($E104,'Tablas Técnicas'!$A$14:$V$771,4,FALSE))</f>
        <v/>
      </c>
      <c r="I104" s="1144" t="s">
        <v>2234</v>
      </c>
      <c r="J104" s="1601" t="str">
        <f>IF(E104=0,"",VLOOKUP(E104,'Tablas Técnicas'!$A$14:$V$771,5,FALSE))</f>
        <v/>
      </c>
      <c r="K104" s="1163" t="str">
        <f>IF(I104="Si",IF(E104=0,"",VLOOKUP(E104,'Tablas Técnicas'!$A$14:$V$771,5,FALSE)),"")</f>
        <v/>
      </c>
      <c r="L104" s="1144" t="s">
        <v>2234</v>
      </c>
      <c r="M104" s="1601" t="str">
        <f>IF(E104=0,"",VLOOKUP(E104,'Tablas Técnicas'!$A$14:$V$771,6,FALSE))</f>
        <v/>
      </c>
      <c r="N104" s="1147" t="str">
        <f>IF(L104="Si",IF(E104=0,"",VLOOKUP(E104,'Tablas Técnicas'!$A$14:$V$771,6,FALSE)),"")</f>
        <v/>
      </c>
      <c r="O104" s="1144" t="s">
        <v>2234</v>
      </c>
      <c r="P104" s="1601" t="str">
        <f>IF(E104=0,"",VLOOKUP(E104,'Tablas Técnicas'!$A$14:$V$771,7,FALSE))</f>
        <v/>
      </c>
      <c r="Q104" s="1147" t="str">
        <f>IF(O104="Si",IF(E104=0,"",VLOOKUP(E104,'Tablas Técnicas'!$A$14:$V$771,7,FALSE)),"")</f>
        <v/>
      </c>
      <c r="R104" s="1162" t="str">
        <f>IF(E104=0,"",VLOOKUP(E104,'Tablas Técnicas'!$A$14:$V$771,8,FALSE))</f>
        <v/>
      </c>
      <c r="S104" s="2619" t="str">
        <f>IF(R104=$D$8,$D$8,IF(R104=2,2,IF(R104=3,3,R104)))</f>
        <v/>
      </c>
      <c r="T104" s="4487"/>
      <c r="U104" s="4488"/>
      <c r="V104" s="2617" t="str">
        <f>IF(OR(V102=0,V102=""),"N/A",V102)</f>
        <v>N/A</v>
      </c>
      <c r="W104" s="4487" t="str">
        <f xml:space="preserve"> IF(OR(AF102=0,AF102=""),"N/A",W102)</f>
        <v>N/A</v>
      </c>
      <c r="X104" s="4489"/>
      <c r="Y104" s="4489"/>
      <c r="Z104" s="4489"/>
      <c r="AA104" s="4489"/>
      <c r="AB104" s="4489"/>
      <c r="AC104" s="4489"/>
      <c r="AD104" s="4489"/>
      <c r="AE104" s="4489"/>
      <c r="AF104" s="4488"/>
      <c r="AG104" s="4487" t="str">
        <f xml:space="preserve"> IF(OR(AP102="",AP102=0),"N/A",AG102)</f>
        <v>N/A</v>
      </c>
      <c r="AH104" s="4489"/>
      <c r="AI104" s="4489"/>
      <c r="AJ104" s="4489"/>
      <c r="AK104" s="4489"/>
      <c r="AL104" s="4489"/>
      <c r="AM104" s="4489"/>
      <c r="AN104" s="4489"/>
      <c r="AO104" s="4489"/>
      <c r="AP104" s="4488"/>
      <c r="AQ104" s="4487" t="str">
        <f xml:space="preserve"> IF(OR(AZ102="",AZ102=0),"N/A",AQ102)</f>
        <v>N/A</v>
      </c>
      <c r="AR104" s="4489"/>
      <c r="AS104" s="4489"/>
      <c r="AT104" s="4489"/>
      <c r="AU104" s="4489"/>
      <c r="AV104" s="4489"/>
      <c r="AW104" s="4489"/>
      <c r="AX104" s="4489"/>
      <c r="AY104" s="4489"/>
      <c r="AZ104" s="4488"/>
      <c r="BA104" s="4487" t="str">
        <f xml:space="preserve"> IF(OR(BJ102="",BJ102=0),"N/A",BA102)</f>
        <v>N/A</v>
      </c>
      <c r="BB104" s="4489"/>
      <c r="BC104" s="4489"/>
      <c r="BD104" s="4489"/>
      <c r="BE104" s="4489"/>
      <c r="BF104" s="4489"/>
      <c r="BG104" s="4489"/>
      <c r="BH104" s="4489"/>
      <c r="BI104" s="4489"/>
      <c r="BJ104" s="4488"/>
      <c r="BK104" s="1164" t="s">
        <v>5229</v>
      </c>
      <c r="BL104" s="1146"/>
      <c r="BM104" s="1181"/>
      <c r="BN104" s="1165"/>
      <c r="BO104" s="1166"/>
      <c r="BP104" s="1167" t="str">
        <f>IF(I104="Si",VLOOKUP($D$8,'Tablas Técnicas'!$E$4:$F$6,2,FALSE),"")</f>
        <v/>
      </c>
      <c r="BQ104" s="1137" t="str">
        <f>IF(L104="Si",VLOOKUP($D$8,'Tablas Técnicas'!$I$4:$J$6,2,FALSE),"")</f>
        <v/>
      </c>
      <c r="BR104" s="1168" t="str">
        <f>IF(O104="Si",VLOOKUP($D$8,'Tablas Técnicas'!$I$7:$J$9,2,FALSE),"")</f>
        <v/>
      </c>
      <c r="BS104" s="1151"/>
      <c r="BT104" s="2609" t="s">
        <v>2244</v>
      </c>
      <c r="BU104" s="2610" t="s">
        <v>5236</v>
      </c>
      <c r="BV104" s="1128"/>
      <c r="BW104" s="2610" t="s">
        <v>5237</v>
      </c>
      <c r="BX104" s="2609" t="s">
        <v>5238</v>
      </c>
      <c r="BY104" s="1489" t="s">
        <v>5238</v>
      </c>
      <c r="BZ104" s="1492"/>
      <c r="CA104" s="1096"/>
      <c r="DR104" s="1096"/>
      <c r="DT104" s="1514"/>
      <c r="DU104" s="1569"/>
      <c r="DV104" s="1566" t="str">
        <f>IF(E104="","",E104)&amp;IF(I104="No",""," (Mant.)")&amp;IF(L104="No",""," (Sme)")&amp;IF(O104="No",""," (SMa)")</f>
        <v/>
      </c>
      <c r="DW104" s="1567"/>
      <c r="DX104" s="1568"/>
      <c r="DY104" s="1513"/>
      <c r="DZ104" s="1096"/>
      <c r="EA104" s="1660">
        <f t="shared" si="1"/>
        <v>1</v>
      </c>
    </row>
    <row r="105" spans="1:131" x14ac:dyDescent="0.2">
      <c r="A105" s="1096"/>
      <c r="B105" s="1096"/>
      <c r="C105" s="1497"/>
      <c r="D105" s="1642" t="s">
        <v>2310</v>
      </c>
      <c r="E105" s="1152"/>
      <c r="F105" s="1182"/>
      <c r="G105" s="1627" t="str">
        <f>IF(E105=0,"",VLOOKUP(E105,'Tablas Técnicas'!$A$14:$V$771,3,FALSE))</f>
        <v/>
      </c>
      <c r="H105" s="1155" t="str">
        <f>IF($E105=0,"",VLOOKUP($E105,'Tablas Técnicas'!$A$14:$V$771,4,FALSE))</f>
        <v/>
      </c>
      <c r="I105" s="1156" t="s">
        <v>2234</v>
      </c>
      <c r="J105" s="1605" t="str">
        <f>IF(E105=0,"",VLOOKUP(E105,'Tablas Técnicas'!$A$14:$V$771,5,FALSE))</f>
        <v/>
      </c>
      <c r="K105" s="1158" t="str">
        <f>IF(I105="Si",IF(E105=0,"",VLOOKUP(E105,'Tablas Técnicas'!$A$14:$V$771,5,FALSE)),"")</f>
        <v/>
      </c>
      <c r="L105" s="1156" t="s">
        <v>2234</v>
      </c>
      <c r="M105" s="1605" t="str">
        <f>IF(E105=0,"",VLOOKUP(E105,'Tablas Técnicas'!$A$14:$V$771,6,FALSE))</f>
        <v/>
      </c>
      <c r="N105" s="1159" t="str">
        <f>IF(L105="Si",IF(E105=0,"",VLOOKUP(E105,'Tablas Técnicas'!$A$14:$V$771,6,FALSE)),"")</f>
        <v/>
      </c>
      <c r="O105" s="1156" t="s">
        <v>2234</v>
      </c>
      <c r="P105" s="1605" t="str">
        <f>IF(E105=0,"",VLOOKUP(E105,'Tablas Técnicas'!$A$14:$V$771,7,FALSE))</f>
        <v/>
      </c>
      <c r="Q105" s="1159" t="str">
        <f>IF(O105="Si",IF(E105=0,"",VLOOKUP(E105,'Tablas Técnicas'!$A$14:$V$771,7,FALSE)),"")</f>
        <v/>
      </c>
      <c r="R105" s="1157" t="str">
        <f>IF(E105=0,"",VLOOKUP(E105,'Tablas Técnicas'!$A$14:$V$771,8,FALSE))</f>
        <v/>
      </c>
      <c r="S105" s="1155" t="str">
        <f>IF(R105=$D$8,$D$8,IF(R105=2,2,IF(R105=3,3,R105)))</f>
        <v/>
      </c>
      <c r="T105" s="4490" t="s">
        <v>5230</v>
      </c>
      <c r="U105" s="4491"/>
      <c r="V105" s="2618"/>
      <c r="W105" s="4492"/>
      <c r="X105" s="4493"/>
      <c r="Y105" s="4493"/>
      <c r="Z105" s="4493"/>
      <c r="AA105" s="4493"/>
      <c r="AB105" s="4493"/>
      <c r="AC105" s="4493"/>
      <c r="AD105" s="4493"/>
      <c r="AE105" s="4493"/>
      <c r="AF105" s="4494"/>
      <c r="AG105" s="4492"/>
      <c r="AH105" s="4493"/>
      <c r="AI105" s="4493"/>
      <c r="AJ105" s="4493"/>
      <c r="AK105" s="4493"/>
      <c r="AL105" s="4493"/>
      <c r="AM105" s="4493"/>
      <c r="AN105" s="4493"/>
      <c r="AO105" s="4493"/>
      <c r="AP105" s="4494"/>
      <c r="AQ105" s="4492"/>
      <c r="AR105" s="4493"/>
      <c r="AS105" s="4493"/>
      <c r="AT105" s="4493"/>
      <c r="AU105" s="4493"/>
      <c r="AV105" s="4493"/>
      <c r="AW105" s="4493"/>
      <c r="AX105" s="4493"/>
      <c r="AY105" s="4493"/>
      <c r="AZ105" s="4494"/>
      <c r="BA105" s="4492"/>
      <c r="BB105" s="4493"/>
      <c r="BC105" s="4493"/>
      <c r="BD105" s="4493"/>
      <c r="BE105" s="4493"/>
      <c r="BF105" s="4493"/>
      <c r="BG105" s="4493"/>
      <c r="BH105" s="4493"/>
      <c r="BI105" s="4493"/>
      <c r="BJ105" s="4494"/>
      <c r="BK105" s="1155">
        <f>(SUM(G102:G106)+IF(AF102="",0,AF102)+IF(AP102="",0,AP102)+IF(AZ102="",0,AZ102)+IF(BJ102="",0,BJ102)+SUM(K102:K106)+SUM(N102:N106)+SUM(Q102:Q106))- SUM(V105:BA105)</f>
        <v>0</v>
      </c>
      <c r="BL105" s="1627"/>
      <c r="BM105" s="1628"/>
      <c r="BN105" s="1149"/>
      <c r="BO105" s="1150"/>
      <c r="BP105" s="1135" t="str">
        <f>IF(I105="Si",VLOOKUP($D$8,'Tablas Técnicas'!$E$4:$F$6,2,FALSE),"")</f>
        <v/>
      </c>
      <c r="BQ105" s="1136" t="str">
        <f>IF(L105="Si",VLOOKUP($D$8,'Tablas Técnicas'!$I$4:$J$6,2,FALSE),"")</f>
        <v/>
      </c>
      <c r="BR105" s="1134" t="str">
        <f>IF(O105="Si",VLOOKUP($D$8,'Tablas Técnicas'!$I$7:$J$9,2,FALSE),"")</f>
        <v/>
      </c>
      <c r="BS105" s="1151"/>
      <c r="BT105" s="261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92"/>
      <c r="BV105" s="1128"/>
      <c r="BW105" s="1183" t="str">
        <f>IF(SUM(BT105:BU105)=0,"N/A",SUM(BT105:BU105))</f>
        <v>N/A</v>
      </c>
      <c r="BX105" s="261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83" t="str">
        <f>IF(BX105=0,"N/A",BX105)</f>
        <v>N/A</v>
      </c>
      <c r="BZ105" s="1492"/>
      <c r="CA105" s="1096"/>
      <c r="DR105" s="1096"/>
      <c r="DT105" s="1514"/>
      <c r="DU105" s="1569"/>
      <c r="DV105" s="1566" t="str">
        <f>IF(E105="","",E105)&amp;IF(I105="No",""," (Mant.)")&amp;IF(L105="No",""," (Sme)")&amp;IF(O105="No",""," (SMa)")</f>
        <v/>
      </c>
      <c r="DW105" s="1567"/>
      <c r="DX105" s="1568"/>
      <c r="DY105" s="1513"/>
      <c r="DZ105" s="1096"/>
      <c r="EA105" s="1660">
        <f t="shared" si="1"/>
        <v>1</v>
      </c>
    </row>
    <row r="106" spans="1:131" s="1170" customFormat="1" x14ac:dyDescent="0.2">
      <c r="A106" s="1096"/>
      <c r="B106" s="1096"/>
      <c r="C106" s="1497"/>
      <c r="D106" s="1643" t="s">
        <v>2310</v>
      </c>
      <c r="E106" s="1160"/>
      <c r="F106" s="1176"/>
      <c r="G106" s="1146" t="str">
        <f>IF(E106=0,"",VLOOKUP(E106,'Tablas Técnicas'!$A$14:$V$771,3,FALSE))</f>
        <v/>
      </c>
      <c r="H106" s="1171" t="str">
        <f>IF($E106=0,"",VLOOKUP($E106,'Tablas Técnicas'!$A$14:$V$771,4,FALSE))</f>
        <v/>
      </c>
      <c r="I106" s="1144" t="s">
        <v>2234</v>
      </c>
      <c r="J106" s="1608" t="str">
        <f>IF(E106=0,"",VLOOKUP(E106,'Tablas Técnicas'!$A$14:$V$771,5,FALSE))</f>
        <v/>
      </c>
      <c r="K106" s="1172" t="str">
        <f>IF(I106="Si",IF(E106=0,"",VLOOKUP(E106,'Tablas Técnicas'!$A$14:$V$771,5,FALSE)),"")</f>
        <v/>
      </c>
      <c r="L106" s="1144" t="s">
        <v>2234</v>
      </c>
      <c r="M106" s="1608" t="str">
        <f>IF(E106=0,"",VLOOKUP(E106,'Tablas Técnicas'!$A$14:$V$771,6,FALSE))</f>
        <v/>
      </c>
      <c r="N106" s="1147" t="str">
        <f>IF(L106="Si",IF(E106=0,"",VLOOKUP(E106,'Tablas Técnicas'!$A$14:$V$771,6,FALSE)),"")</f>
        <v/>
      </c>
      <c r="O106" s="1144" t="s">
        <v>2234</v>
      </c>
      <c r="P106" s="1608" t="str">
        <f>IF(E106=0,"",VLOOKUP(E106,'Tablas Técnicas'!$A$14:$V$771,7,FALSE))</f>
        <v/>
      </c>
      <c r="Q106" s="1147" t="str">
        <f>IF(O106="Si",IF(E106=0,"",VLOOKUP(E106,'Tablas Técnicas'!$A$14:$V$771,7,FALSE)),"")</f>
        <v/>
      </c>
      <c r="R106" s="1193" t="str">
        <f>IF(E106=0,"",VLOOKUP(E106,'Tablas Técnicas'!$A$14:$V$771,8,FALSE))</f>
        <v/>
      </c>
      <c r="S106" s="1161" t="str">
        <f>IF(R106=$D$8,$D$8,IF(R106=2,2,IF(R106=3,3,R106)))</f>
        <v/>
      </c>
      <c r="T106" s="4482" t="s">
        <v>5232</v>
      </c>
      <c r="U106" s="4483"/>
      <c r="V106" s="2616"/>
      <c r="W106" s="4484"/>
      <c r="X106" s="4485"/>
      <c r="Y106" s="4485"/>
      <c r="Z106" s="4485"/>
      <c r="AA106" s="4485"/>
      <c r="AB106" s="4485"/>
      <c r="AC106" s="4485"/>
      <c r="AD106" s="4485"/>
      <c r="AE106" s="4485"/>
      <c r="AF106" s="4486"/>
      <c r="AG106" s="4484"/>
      <c r="AH106" s="4485"/>
      <c r="AI106" s="4485"/>
      <c r="AJ106" s="4485"/>
      <c r="AK106" s="4485"/>
      <c r="AL106" s="4485"/>
      <c r="AM106" s="4485"/>
      <c r="AN106" s="4485"/>
      <c r="AO106" s="4485"/>
      <c r="AP106" s="4486"/>
      <c r="AQ106" s="4484"/>
      <c r="AR106" s="4485"/>
      <c r="AS106" s="4485"/>
      <c r="AT106" s="4485"/>
      <c r="AU106" s="4485"/>
      <c r="AV106" s="4485"/>
      <c r="AW106" s="4485"/>
      <c r="AX106" s="4485"/>
      <c r="AY106" s="4485"/>
      <c r="AZ106" s="4486"/>
      <c r="BA106" s="4484"/>
      <c r="BB106" s="4485"/>
      <c r="BC106" s="4485"/>
      <c r="BD106" s="4485"/>
      <c r="BE106" s="4485"/>
      <c r="BF106" s="4485"/>
      <c r="BG106" s="4485"/>
      <c r="BH106" s="4485"/>
      <c r="BI106" s="4485"/>
      <c r="BJ106" s="4486"/>
      <c r="BK106" s="1171">
        <f>SUM(K102:K106)-SUM(V106:BA106)</f>
        <v>0</v>
      </c>
      <c r="BL106" s="1629"/>
      <c r="BM106" s="1630"/>
      <c r="BN106" s="1165"/>
      <c r="BO106" s="1166"/>
      <c r="BP106" s="1167" t="str">
        <f>IF(I106="Si",VLOOKUP($D$8,'Tablas Técnicas'!$E$4:$F$6,2,FALSE),"")</f>
        <v/>
      </c>
      <c r="BQ106" s="1137" t="str">
        <f>IF(L106="Si",VLOOKUP($D$8,'Tablas Técnicas'!$I$4:$J$6,2,FALSE),"")</f>
        <v/>
      </c>
      <c r="BR106" s="1168" t="str">
        <f>IF(O106="Si",VLOOKUP($D$8,'Tablas Técnicas'!$I$7:$J$9,2,FALSE),"")</f>
        <v/>
      </c>
      <c r="BS106" s="1151"/>
      <c r="BT106" s="2609" t="s">
        <v>2245</v>
      </c>
      <c r="BU106" s="2610" t="s">
        <v>5236</v>
      </c>
      <c r="BV106" s="1128"/>
      <c r="BW106" s="2610" t="s">
        <v>5237</v>
      </c>
      <c r="BX106" s="2609" t="s">
        <v>5238</v>
      </c>
      <c r="BY106" s="1489" t="s">
        <v>5238</v>
      </c>
      <c r="BZ106" s="1492"/>
      <c r="CA106" s="1096"/>
      <c r="DR106" s="1096"/>
      <c r="DS106" s="1509"/>
      <c r="DT106" s="1514"/>
      <c r="DU106" s="1569"/>
      <c r="DV106" s="1566" t="str">
        <f>IF(E106="","",E106)&amp;IF(I106="No",""," (Mant.)")&amp;IF(L106="No",""," (Sme)")&amp;IF(O106="No",""," (SMa)")</f>
        <v/>
      </c>
      <c r="DW106" s="1567"/>
      <c r="DX106" s="1568"/>
      <c r="DY106" s="1513"/>
      <c r="DZ106" s="1096"/>
      <c r="EA106" s="1660">
        <f t="shared" si="1"/>
        <v>1</v>
      </c>
    </row>
    <row r="107" spans="1:131" s="1170" customFormat="1" x14ac:dyDescent="0.2">
      <c r="A107" s="1096"/>
      <c r="B107" s="159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97"/>
      <c r="D107" s="1644">
        <v>5</v>
      </c>
      <c r="E107" s="1423"/>
      <c r="F107" s="1173"/>
      <c r="G107" s="1174"/>
      <c r="H107" s="2559">
        <f>IF(AND(OR(ISNUMBER(SEARCH("Afinidad Elemental ("&amp;BK102&amp;")",Principal!$AF$30)),ISNUMBER(SEARCH("Afinidad Elemental ("&amp;BL102&amp;")",Principal!$AF$30)),ISNUMBER(SEARCH("Afinidad Elemental ("&amp;BM102&amp;")",Principal!$AF$30))),SUM(H102:H106)&gt;=5),-5,0)</f>
        <v>0</v>
      </c>
      <c r="I107" s="1603"/>
      <c r="J107" s="1606"/>
      <c r="K107" s="1174"/>
      <c r="L107" s="1603"/>
      <c r="M107" s="1606"/>
      <c r="N107" s="1174"/>
      <c r="O107" s="1603"/>
      <c r="P107" s="1606"/>
      <c r="Q107" s="1174"/>
      <c r="R107" s="1175"/>
      <c r="S107" s="1174"/>
      <c r="T107" s="1174"/>
      <c r="U107" s="1174"/>
      <c r="V107" s="1174"/>
      <c r="W107" s="1174"/>
      <c r="X107" s="1174"/>
      <c r="Y107" s="1174"/>
      <c r="Z107" s="1174"/>
      <c r="AA107" s="1174"/>
      <c r="AB107" s="1174"/>
      <c r="AC107" s="1174"/>
      <c r="AD107" s="1174"/>
      <c r="AE107" s="1174"/>
      <c r="AF107" s="1174"/>
      <c r="AG107" s="1174"/>
      <c r="AH107" s="1174"/>
      <c r="AI107" s="1174"/>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c r="BD107" s="1174"/>
      <c r="BE107" s="1174"/>
      <c r="BF107" s="1174"/>
      <c r="BG107" s="1174"/>
      <c r="BH107" s="1174"/>
      <c r="BI107" s="1174"/>
      <c r="BJ107" s="1174"/>
      <c r="BK107" s="1174"/>
      <c r="BL107" s="1174"/>
      <c r="BM107" s="1184"/>
      <c r="BN107" s="1185">
        <f>SUM(K107:K110)</f>
        <v>0</v>
      </c>
      <c r="BO107" s="1128" t="str">
        <f>IF(E107=0,"",(AF107+AP107+AZ107+BJ107))</f>
        <v/>
      </c>
      <c r="BP107" s="1186" t="str">
        <f>IF(I107="Si",VLOOKUP($D$8,'Tablas Técnicas'!$E$4:$F$6,2,FALSE),"")</f>
        <v/>
      </c>
      <c r="BQ107" s="1187" t="str">
        <f>IF(L107="Si",VLOOKUP($D$8,'Tablas Técnicas'!$I$4:$J$6,2,FALSE),"")</f>
        <v/>
      </c>
      <c r="BR107" s="1185" t="str">
        <f>IF(O107="Si",VLOOKUP($D$8,'Tablas Técnicas'!$I$7:$J$9,2,FALSE),"")</f>
        <v/>
      </c>
      <c r="BS107" s="1151"/>
      <c r="BT107" s="261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92"/>
      <c r="BV107" s="1128"/>
      <c r="BW107" s="1183" t="str">
        <f>IF(SUM(BT107:BU107)=0,"N/A",SUM(BT107:BU107))</f>
        <v>N/A</v>
      </c>
      <c r="BX107" s="261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83" t="str">
        <f>IF(BX107=0,"N/A",BX107)</f>
        <v>N/A</v>
      </c>
      <c r="BZ107" s="1492"/>
      <c r="CA107" s="1096"/>
      <c r="DR107" s="1096"/>
      <c r="DS107" s="1509"/>
      <c r="DT107" s="1514"/>
      <c r="DU107" s="1569"/>
      <c r="DV107" s="1570"/>
      <c r="DW107" s="1567"/>
      <c r="DX107" s="1568"/>
      <c r="DY107" s="1513"/>
      <c r="DZ107" s="1096"/>
      <c r="EA107" s="1660">
        <f t="shared" si="1"/>
        <v>1</v>
      </c>
    </row>
    <row r="108" spans="1:131" ht="12" thickBot="1" x14ac:dyDescent="0.25">
      <c r="A108" s="1096"/>
      <c r="B108" s="1096"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97"/>
      <c r="D108" s="1643" t="s">
        <v>2310</v>
      </c>
      <c r="E108" s="1140"/>
      <c r="F108" s="1176"/>
      <c r="G108" s="1146" t="str">
        <f>IF(E108=0,"",VLOOKUP(E108,'Tablas Técnicas'!$A$14:$V$771,3,FALSE))</f>
        <v/>
      </c>
      <c r="H108" s="1188" t="str">
        <f>IF($E108=0,"",VLOOKUP($E108,'Tablas Técnicas'!$A$14:$V$771,4,FALSE))</f>
        <v/>
      </c>
      <c r="I108" s="1144" t="s">
        <v>2234</v>
      </c>
      <c r="J108" s="1607" t="str">
        <f>IF(E108=0,"",VLOOKUP(E108,'Tablas Técnicas'!$A$14:$V$771,5,FALSE))</f>
        <v/>
      </c>
      <c r="K108" s="1190" t="str">
        <f>IF(I108="Si",IF(E108=0,"",VLOOKUP(E108,'Tablas Técnicas'!$A$14:$V$771,5,FALSE)),"")</f>
        <v/>
      </c>
      <c r="L108" s="1144" t="s">
        <v>2234</v>
      </c>
      <c r="M108" s="1607" t="str">
        <f>IF(E108=0,"",VLOOKUP(E108,'Tablas Técnicas'!$A$14:$V$771,6,FALSE))</f>
        <v/>
      </c>
      <c r="N108" s="1147" t="str">
        <f>IF(L108="Si",IF(E108=0,"",VLOOKUP(E108,'Tablas Técnicas'!$A$14:$V$771,6,FALSE)),"")</f>
        <v/>
      </c>
      <c r="O108" s="1144" t="s">
        <v>2234</v>
      </c>
      <c r="P108" s="1607" t="str">
        <f>IF(E108=0,"",VLOOKUP(E108,'Tablas Técnicas'!$A$14:$V$771,7,FALSE))</f>
        <v/>
      </c>
      <c r="Q108" s="1147" t="str">
        <f>IF(O108="Si",IF(E108=0,"",VLOOKUP(E108,'Tablas Técnicas'!$A$14:$V$771,7,FALSE)),"")</f>
        <v/>
      </c>
      <c r="R108" s="1189" t="str">
        <f>IF(E108=0,"",VLOOKUP(E108,'Tablas Técnicas'!$A$14:$V$771,8,FALSE))</f>
        <v/>
      </c>
      <c r="S108" s="1161" t="str">
        <f>IF(R108=$D$8,$D$8,IF(R108=2,2,IF(R108=3,3,R108)))</f>
        <v/>
      </c>
      <c r="T108" s="1190" t="str">
        <f>IF(E108=0,"",VLOOKUP(E108,'Tablas Técnicas'!$A$14:$V$771,9,FALSE))</f>
        <v/>
      </c>
      <c r="U108" s="1190" t="str">
        <f>IF(E108=0,"",VLOOKUP(E108,'Tablas Técnicas'!$A$14:$V$771,10,FALSE))</f>
        <v/>
      </c>
      <c r="V108" s="1191" t="str">
        <f>IF(E108=0,"",VLOOKUP(E108,'Tablas Técnicas'!$A$14:$V$771,11,FALSE))</f>
        <v/>
      </c>
      <c r="W108" s="1144"/>
      <c r="X108" s="1145" t="e">
        <f>VLOOKUP(E108,'Tablas Técnicas'!$A$14:$V$771,12,FALSE)</f>
        <v>#N/A</v>
      </c>
      <c r="Y108" s="1145" t="e">
        <f>IF(W108=X108,VLOOKUP(E108,'Tablas Técnicas'!$A$14:$V$771,13,FALSE),0)</f>
        <v>#N/A</v>
      </c>
      <c r="Z108" s="1145" t="e">
        <f>VLOOKUP(E108,'Tablas Técnicas'!$A$14:$V$771,14,FALSE)</f>
        <v>#N/A</v>
      </c>
      <c r="AA108" s="1145" t="e">
        <f>IF(W108=Z108,VLOOKUP(E108,'Tablas Técnicas'!$A$14:$V$616,15,FALSE),0)</f>
        <v>#N/A</v>
      </c>
      <c r="AB108" s="1145" t="e">
        <f>VLOOKUP(E108,'Tablas Técnicas'!$A$14:$V$771,16,FALSE)</f>
        <v>#N/A</v>
      </c>
      <c r="AC108" s="1145" t="e">
        <f>IF(W108=AB108,VLOOKUP(E108,'Tablas Técnicas'!$A$14:$V$616,17,FALSE),0)</f>
        <v>#N/A</v>
      </c>
      <c r="AD108" s="1145" t="e">
        <f>VLOOKUP(E108,'Tablas Técnicas'!$A$14:$V$771,18,FALSE)</f>
        <v>#N/A</v>
      </c>
      <c r="AE108" s="1145" t="e">
        <f>IF(W108=AD108,VLOOKUP(E108,'Tablas Técnicas'!$A$14:$V$771,19,FALSE),0)</f>
        <v>#N/A</v>
      </c>
      <c r="AF108" s="1163" t="str">
        <f>IF(E108=0,"",(Y108+AA108+AC108+AE108))</f>
        <v/>
      </c>
      <c r="AG108" s="1144"/>
      <c r="AH108" s="1162" t="e">
        <f>VLOOKUP(E108,'Tablas Técnicas'!$A$14:$V$771,12,FALSE)</f>
        <v>#N/A</v>
      </c>
      <c r="AI108" s="1162" t="e">
        <f>IF(AG108=AH108,VLOOKUP(E108,'Tablas Técnicas'!$A$14:$V$771,13,FALSE),0)</f>
        <v>#N/A</v>
      </c>
      <c r="AJ108" s="1162" t="e">
        <f>VLOOKUP(E108,'Tablas Técnicas'!$A$14:$V$771,14,FALSE)</f>
        <v>#N/A</v>
      </c>
      <c r="AK108" s="1162" t="e">
        <f>IF(AG108=AJ108,VLOOKUP(E108,'Tablas Técnicas'!$A$14:$V$771,15,FALSE),0)</f>
        <v>#N/A</v>
      </c>
      <c r="AL108" s="1162" t="e">
        <f>VLOOKUP(E108,'Tablas Técnicas'!$A$14:$V$771,16,FALSE)</f>
        <v>#N/A</v>
      </c>
      <c r="AM108" s="1162" t="e">
        <f>IF(AG108=AL108,VLOOKUP(E108,'Tablas Técnicas'!$A$14:$V$771,17,FALSE),0)</f>
        <v>#N/A</v>
      </c>
      <c r="AN108" s="1162" t="e">
        <f>VLOOKUP(E108,'Tablas Técnicas'!$A$14:$V$771,18,FALSE)</f>
        <v>#N/A</v>
      </c>
      <c r="AO108" s="1162" t="e">
        <f>IF(AG108=AN108,VLOOKUP(E108,'Tablas Técnicas'!$A$14:$V$771,19,FALSE),0)</f>
        <v>#N/A</v>
      </c>
      <c r="AP108" s="2620" t="str">
        <f>IF(E108=0,"",(AI108+AK108+AM108+AO108))</f>
        <v/>
      </c>
      <c r="AQ108" s="1144"/>
      <c r="AR108" s="1162" t="e">
        <f>VLOOKUP(E108,'Tablas Técnicas'!$A$14:$V$771,12,FALSE)</f>
        <v>#N/A</v>
      </c>
      <c r="AS108" s="1162" t="e">
        <f>IF(AQ108=AR108,VLOOKUP(E108,'Tablas Técnicas'!$A$14:$V$771,13,FALSE),0)</f>
        <v>#N/A</v>
      </c>
      <c r="AT108" s="1162" t="e">
        <f>VLOOKUP(E108,'Tablas Técnicas'!$A$14:$V$771,14,FALSE)</f>
        <v>#N/A</v>
      </c>
      <c r="AU108" s="1162" t="e">
        <f>IF(AQ108=AT108,VLOOKUP(E108,'Tablas Técnicas'!$A$14:$V$771,15,FALSE),0)</f>
        <v>#N/A</v>
      </c>
      <c r="AV108" s="1162" t="e">
        <f>VLOOKUP(E108,'Tablas Técnicas'!$A$14:$V$771,16,FALSE)</f>
        <v>#N/A</v>
      </c>
      <c r="AW108" s="1162" t="e">
        <f>IF(AQ108=AV108,VLOOKUP(E108,'Tablas Técnicas'!$A$14:$V$771,17,FALSE),0)</f>
        <v>#N/A</v>
      </c>
      <c r="AX108" s="1162" t="e">
        <f>VLOOKUP(E108,'Tablas Técnicas'!$A$14:$V$771,18,FALSE)</f>
        <v>#N/A</v>
      </c>
      <c r="AY108" s="1162" t="e">
        <f>IF(AQ108=AX108,VLOOKUP(E108,'Tablas Técnicas'!$A$14:$V$771,19,FALSE),0)</f>
        <v>#N/A</v>
      </c>
      <c r="AZ108" s="1163" t="str">
        <f>IF(E108=0,"",(AS108+AU108+AW108+AY108))</f>
        <v/>
      </c>
      <c r="BA108" s="1144"/>
      <c r="BB108" s="1162" t="e">
        <f>VLOOKUP(E108,'Tablas Técnicas'!$A$14:$V$771,12,FALSE)</f>
        <v>#N/A</v>
      </c>
      <c r="BC108" s="1162" t="e">
        <f>IF(BA108=BB108,VLOOKUP(E108,'Tablas Técnicas'!$A$14:$V$771,13,FALSE),0)</f>
        <v>#N/A</v>
      </c>
      <c r="BD108" s="1162" t="e">
        <f>VLOOKUP(E108,'Tablas Técnicas'!$A$14:$V$771,14,FALSE)</f>
        <v>#N/A</v>
      </c>
      <c r="BE108" s="1162" t="e">
        <f>IF(BA108=BD108,VLOOKUP(E108,'Tablas Técnicas'!$A$14:$V$771,15,FALSE),0)</f>
        <v>#N/A</v>
      </c>
      <c r="BF108" s="1162" t="e">
        <f>VLOOKUP(E108,'Tablas Técnicas'!$A$14:$V$771,16,FALSE)</f>
        <v>#N/A</v>
      </c>
      <c r="BG108" s="1162" t="e">
        <f>IF(BA108=BF108,VLOOKUP(E108,'Tablas Técnicas'!$A$14:$V$771,17,FALSE),0)</f>
        <v>#N/A</v>
      </c>
      <c r="BH108" s="1162" t="e">
        <f>VLOOKUP(E108,'Tablas Técnicas'!$A$14:$V$771,18,FALSE)</f>
        <v>#N/A</v>
      </c>
      <c r="BI108" s="1162" t="e">
        <f>IF(BA108=BH108,VLOOKUP(E108,'Tablas Técnicas'!$A$14:$V$771,19,FALSE),0)</f>
        <v>#N/A</v>
      </c>
      <c r="BJ108" s="2620" t="str">
        <f>IF(E108=0,"",(BC108+BE108+BG108+BI108))</f>
        <v/>
      </c>
      <c r="BK108" s="1190" t="str">
        <f>IF(E108=0,"",VLOOKUP(E108,'Tablas Técnicas'!$A$14:$V$771,20,FALSE))</f>
        <v/>
      </c>
      <c r="BL108" s="1177" t="str">
        <f>IF(E108=0,"",VLOOKUP(E108,'Tablas Técnicas'!$A$14:$V$771,21,FALSE))</f>
        <v/>
      </c>
      <c r="BM108" s="1148" t="str">
        <f>IF(E108=0,"",VLOOKUP(E108,'Tablas Técnicas'!$A$14:$V$771,22,FALSE))</f>
        <v/>
      </c>
      <c r="BN108" s="1149"/>
      <c r="BO108" s="1150"/>
      <c r="BP108" s="1135" t="str">
        <f>IF(I108="Si",VLOOKUP($D$8,'Tablas Técnicas'!$E$4:$F$6,2,FALSE),"")</f>
        <v/>
      </c>
      <c r="BQ108" s="1136" t="str">
        <f>IF(L108="Si",VLOOKUP($D$8,'Tablas Técnicas'!$I$4:$J$6,2,FALSE),"")</f>
        <v/>
      </c>
      <c r="BR108" s="1134" t="str">
        <f>IF(O108="Si",VLOOKUP($D$8,'Tablas Técnicas'!$I$7:$J$9,2,FALSE),"")</f>
        <v/>
      </c>
      <c r="BS108" s="1151"/>
      <c r="BU108" s="4442"/>
      <c r="BV108" s="4442"/>
      <c r="BW108" s="4442"/>
      <c r="BX108" s="1108"/>
      <c r="BY108" s="1475"/>
      <c r="BZ108" s="1492"/>
      <c r="CA108" s="1096"/>
      <c r="DR108" s="1096"/>
      <c r="DT108" s="1515"/>
      <c r="DU108" s="1618" t="str">
        <f>DU84&amp;DU85&amp;DU86&amp;DU87&amp;DU88&amp;DU89</f>
        <v/>
      </c>
      <c r="DV108" s="1619" t="str">
        <f>DV84&amp;DV85&amp;DV86&amp;DV87&amp;DV88&amp;DV90&amp;DV91&amp;DV92&amp;DV93&amp;DV94&amp;DV96&amp;DV97&amp;DV98&amp;DV99&amp;DV100&amp;DV102&amp;DV103&amp;DV104&amp;DV105&amp;DV106</f>
        <v/>
      </c>
      <c r="DW108" s="1620" t="str">
        <f>DW84&amp;DW85&amp;DW86</f>
        <v/>
      </c>
      <c r="DX108" s="1621" t="str">
        <f>IF(DX90="",DX84,DX90)</f>
        <v/>
      </c>
      <c r="DY108" s="1516"/>
      <c r="DZ108" s="1096"/>
      <c r="EA108" s="1660">
        <f t="shared" si="1"/>
        <v>1</v>
      </c>
    </row>
    <row r="109" spans="1:131" ht="11.25" customHeight="1" x14ac:dyDescent="0.2">
      <c r="A109" s="1096"/>
      <c r="B109" s="1096"/>
      <c r="C109" s="1497"/>
      <c r="D109" s="1642" t="s">
        <v>2310</v>
      </c>
      <c r="E109" s="1152"/>
      <c r="F109" s="1182"/>
      <c r="G109" s="1627" t="str">
        <f>IF(E109=0,"",VLOOKUP(E109,'Tablas Técnicas'!$A$14:$V$771,3,FALSE))</f>
        <v/>
      </c>
      <c r="H109" s="1155" t="str">
        <f>IF($E109=0,"",VLOOKUP($E109,'Tablas Técnicas'!$A$14:$V$771,4,FALSE))</f>
        <v/>
      </c>
      <c r="I109" s="1156" t="s">
        <v>2234</v>
      </c>
      <c r="J109" s="1605" t="str">
        <f>IF(E109=0,"",VLOOKUP(E109,'Tablas Técnicas'!$A$14:$V$771,5,FALSE))</f>
        <v/>
      </c>
      <c r="K109" s="1158" t="str">
        <f>IF(I109="Si",IF(E109=0,"",VLOOKUP(E109,'Tablas Técnicas'!$A$14:$V$771,5,FALSE)),"")</f>
        <v/>
      </c>
      <c r="L109" s="1156" t="s">
        <v>2234</v>
      </c>
      <c r="M109" s="1605" t="str">
        <f>IF(E109=0,"",VLOOKUP(E109,'Tablas Técnicas'!$A$14:$V$771,6,FALSE))</f>
        <v/>
      </c>
      <c r="N109" s="1159" t="str">
        <f>IF(L109="Si",IF(E109=0,"",VLOOKUP(E109,'Tablas Técnicas'!$A$14:$V$771,6,FALSE)),"")</f>
        <v/>
      </c>
      <c r="O109" s="1156" t="s">
        <v>2234</v>
      </c>
      <c r="P109" s="1605" t="str">
        <f>IF(E109=0,"",VLOOKUP(E109,'Tablas Técnicas'!$A$14:$V$771,7,FALSE))</f>
        <v/>
      </c>
      <c r="Q109" s="1159" t="str">
        <f>IF(O109="Si",IF(E109=0,"",VLOOKUP(E109,'Tablas Técnicas'!$A$14:$V$771,7,FALSE)),"")</f>
        <v/>
      </c>
      <c r="R109" s="1157" t="str">
        <f>IF(E109=0,"",VLOOKUP(E109,'Tablas Técnicas'!$A$14:$V$771,8,FALSE))</f>
        <v/>
      </c>
      <c r="S109" s="1155" t="str">
        <f>IF(R109=$D$8,$D$8,IF(R109=2,2,IF(R109=3,3,R109)))</f>
        <v/>
      </c>
      <c r="T109" s="4475" t="s">
        <v>5228</v>
      </c>
      <c r="U109" s="4476"/>
      <c r="V109" s="4476"/>
      <c r="W109" s="4476"/>
      <c r="X109" s="4476"/>
      <c r="Y109" s="4476"/>
      <c r="Z109" s="4476"/>
      <c r="AA109" s="4476"/>
      <c r="AB109" s="4476"/>
      <c r="AC109" s="4476"/>
      <c r="AD109" s="4476"/>
      <c r="AE109" s="4476"/>
      <c r="AF109" s="4476"/>
      <c r="AG109" s="4476"/>
      <c r="AH109" s="4476"/>
      <c r="AI109" s="4476"/>
      <c r="AJ109" s="4476"/>
      <c r="AK109" s="4476"/>
      <c r="AL109" s="4476"/>
      <c r="AM109" s="4476"/>
      <c r="AN109" s="4476"/>
      <c r="AO109" s="4476"/>
      <c r="AP109" s="4476"/>
      <c r="AQ109" s="4476"/>
      <c r="AR109" s="4476"/>
      <c r="AS109" s="4476"/>
      <c r="AT109" s="4476"/>
      <c r="AU109" s="4476"/>
      <c r="AV109" s="4476"/>
      <c r="AW109" s="4476"/>
      <c r="AX109" s="4476"/>
      <c r="AY109" s="4476"/>
      <c r="AZ109" s="4476"/>
      <c r="BA109" s="4476"/>
      <c r="BB109" s="4476"/>
      <c r="BC109" s="4476"/>
      <c r="BD109" s="4476"/>
      <c r="BE109" s="4476"/>
      <c r="BF109" s="4476"/>
      <c r="BG109" s="4476"/>
      <c r="BH109" s="4476"/>
      <c r="BI109" s="4476"/>
      <c r="BJ109" s="4476"/>
      <c r="BK109" s="4477"/>
      <c r="BL109" s="1627"/>
      <c r="BM109" s="1628"/>
      <c r="BN109" s="1149"/>
      <c r="BO109" s="1150"/>
      <c r="BP109" s="1135" t="str">
        <f>IF(I109="Si",VLOOKUP($D$8,'Tablas Técnicas'!$E$4:$F$6,2,FALSE),"")</f>
        <v/>
      </c>
      <c r="BQ109" s="1136" t="str">
        <f>IF(L109="Si",VLOOKUP($D$8,'Tablas Técnicas'!$I$4:$J$6,2,FALSE),"")</f>
        <v/>
      </c>
      <c r="BR109" s="1134" t="str">
        <f>IF(O109="Si",VLOOKUP($D$8,'Tablas Técnicas'!$I$7:$J$9,2,FALSE),"")</f>
        <v/>
      </c>
      <c r="BS109" s="1151"/>
      <c r="BT109" s="1194"/>
      <c r="BU109" s="1232"/>
      <c r="BV109" s="1232"/>
      <c r="BW109" s="1232"/>
      <c r="BX109" s="1108"/>
      <c r="BY109" s="1474"/>
      <c r="BZ109" s="1492"/>
      <c r="CA109" s="1096"/>
      <c r="DR109" s="1096"/>
      <c r="DT109" s="1514"/>
      <c r="DU109" s="1567"/>
      <c r="DV109" s="1566" t="str">
        <f>IF(E109="","",E109)&amp;IF(I109="No",""," (Mant.)")&amp;IF(L109="No",""," (Sme)")&amp;IF(O109="No",""," (SMa)")</f>
        <v/>
      </c>
      <c r="DW109" s="1567"/>
      <c r="DX109" s="1567"/>
      <c r="DY109" s="1513"/>
      <c r="DZ109" s="1096"/>
      <c r="EA109" s="1660">
        <f t="shared" si="1"/>
        <v>1</v>
      </c>
    </row>
    <row r="110" spans="1:131" ht="11.25" customHeight="1" x14ac:dyDescent="0.2">
      <c r="A110" s="1096"/>
      <c r="B110" s="1096"/>
      <c r="C110" s="1497"/>
      <c r="D110" s="1643" t="s">
        <v>2310</v>
      </c>
      <c r="E110" s="1160"/>
      <c r="F110" s="1176"/>
      <c r="G110" s="1146" t="str">
        <f>IF(E110=0,"",VLOOKUP(E110,'Tablas Técnicas'!$A$14:$V$771,3,FALSE))</f>
        <v/>
      </c>
      <c r="H110" s="2619" t="str">
        <f>IF($E110=0,"",VLOOKUP($E110,'Tablas Técnicas'!$A$14:$V$771,4,FALSE))</f>
        <v/>
      </c>
      <c r="I110" s="1144" t="s">
        <v>2234</v>
      </c>
      <c r="J110" s="1601" t="str">
        <f>IF(E110=0,"",VLOOKUP(E110,'Tablas Técnicas'!$A$14:$V$771,5,FALSE))</f>
        <v/>
      </c>
      <c r="K110" s="1163" t="str">
        <f>IF(I110="Si",IF(E110=0,"",VLOOKUP(E110,'Tablas Técnicas'!$A$14:$V$771,5,FALSE)),"")</f>
        <v/>
      </c>
      <c r="L110" s="1144" t="s">
        <v>2234</v>
      </c>
      <c r="M110" s="1601" t="str">
        <f>IF(E110=0,"",VLOOKUP(E110,'Tablas Técnicas'!$A$14:$V$771,6,FALSE))</f>
        <v/>
      </c>
      <c r="N110" s="1147" t="str">
        <f>IF(L110="Si",IF(E110=0,"",VLOOKUP(E110,'Tablas Técnicas'!$A$14:$V$771,6,FALSE)),"")</f>
        <v/>
      </c>
      <c r="O110" s="1144" t="s">
        <v>2234</v>
      </c>
      <c r="P110" s="1601" t="str">
        <f>IF(E110=0,"",VLOOKUP(E110,'Tablas Técnicas'!$A$14:$V$771,7,FALSE))</f>
        <v/>
      </c>
      <c r="Q110" s="1147" t="str">
        <f>IF(O110="Si",IF(E110=0,"",VLOOKUP(E110,'Tablas Técnicas'!$A$14:$V$771,7,FALSE)),"")</f>
        <v/>
      </c>
      <c r="R110" s="1162" t="str">
        <f>IF(E110=0,"",VLOOKUP(E110,'Tablas Técnicas'!$A$14:$V$771,8,FALSE))</f>
        <v/>
      </c>
      <c r="S110" s="2619" t="str">
        <f>IF(R110=$D$8,$D$8,IF(R110=2,2,IF(R110=3,3,R110)))</f>
        <v/>
      </c>
      <c r="T110" s="4487"/>
      <c r="U110" s="4488"/>
      <c r="V110" s="2617" t="str">
        <f>IF(OR(V108=0,V108=""),"N/A",V108)</f>
        <v>N/A</v>
      </c>
      <c r="W110" s="4487" t="str">
        <f xml:space="preserve"> IF(OR(AF108=0,AF108=""),"N/A",W108)</f>
        <v>N/A</v>
      </c>
      <c r="X110" s="4489"/>
      <c r="Y110" s="4489"/>
      <c r="Z110" s="4489"/>
      <c r="AA110" s="4489"/>
      <c r="AB110" s="4489"/>
      <c r="AC110" s="4489"/>
      <c r="AD110" s="4489"/>
      <c r="AE110" s="4489"/>
      <c r="AF110" s="4488"/>
      <c r="AG110" s="4487" t="str">
        <f xml:space="preserve"> IF(OR(AP108="",AP108=0),"N/A",AG108)</f>
        <v>N/A</v>
      </c>
      <c r="AH110" s="4489"/>
      <c r="AI110" s="4489"/>
      <c r="AJ110" s="4489"/>
      <c r="AK110" s="4489"/>
      <c r="AL110" s="4489"/>
      <c r="AM110" s="4489"/>
      <c r="AN110" s="4489"/>
      <c r="AO110" s="4489"/>
      <c r="AP110" s="4488"/>
      <c r="AQ110" s="4487" t="str">
        <f xml:space="preserve"> IF(OR(AZ108="",AZ108=0),"N/A",AQ108)</f>
        <v>N/A</v>
      </c>
      <c r="AR110" s="4489"/>
      <c r="AS110" s="4489"/>
      <c r="AT110" s="4489"/>
      <c r="AU110" s="4489"/>
      <c r="AV110" s="4489"/>
      <c r="AW110" s="4489"/>
      <c r="AX110" s="4489"/>
      <c r="AY110" s="4489"/>
      <c r="AZ110" s="4488"/>
      <c r="BA110" s="4487" t="str">
        <f xml:space="preserve"> IF(OR(BJ108="",BJ108=0),"N/A",BA108)</f>
        <v>N/A</v>
      </c>
      <c r="BB110" s="4489"/>
      <c r="BC110" s="4489"/>
      <c r="BD110" s="4489"/>
      <c r="BE110" s="4489"/>
      <c r="BF110" s="4489"/>
      <c r="BG110" s="4489"/>
      <c r="BH110" s="4489"/>
      <c r="BI110" s="4489"/>
      <c r="BJ110" s="4488"/>
      <c r="BK110" s="1164" t="s">
        <v>5229</v>
      </c>
      <c r="BL110" s="1146"/>
      <c r="BM110" s="1181"/>
      <c r="BN110" s="1165"/>
      <c r="BO110" s="1166"/>
      <c r="BP110" s="1167" t="str">
        <f>IF(I110="Si",VLOOKUP($D$8,'Tablas Técnicas'!$E$4:$F$6,2,FALSE),"")</f>
        <v/>
      </c>
      <c r="BQ110" s="1137" t="str">
        <f>IF(L110="Si",VLOOKUP($D$8,'Tablas Técnicas'!$I$4:$J$6,2,FALSE),"")</f>
        <v/>
      </c>
      <c r="BR110" s="1168" t="str">
        <f>IF(O110="Si",VLOOKUP($D$8,'Tablas Técnicas'!$I$7:$J$9,2,FALSE),"")</f>
        <v/>
      </c>
      <c r="BS110" s="1151"/>
      <c r="BU110" s="4443"/>
      <c r="BV110" s="4443"/>
      <c r="BW110" s="4443"/>
      <c r="BX110" s="1108"/>
      <c r="BY110" s="1474"/>
      <c r="BZ110" s="1492"/>
      <c r="CA110" s="1096"/>
      <c r="DR110" s="1096"/>
      <c r="DT110" s="1514"/>
      <c r="DU110" s="1567"/>
      <c r="DV110" s="1566" t="str">
        <f>IF(E110="","",E110)&amp;IF(I110="No",""," (Mant.)")&amp;IF(L110="No",""," (Sme)")&amp;IF(O110="No",""," (SMa)")</f>
        <v/>
      </c>
      <c r="DW110" s="1567"/>
      <c r="DX110" s="1567"/>
      <c r="DY110" s="1513"/>
      <c r="DZ110" s="1096"/>
      <c r="EA110" s="1660">
        <f t="shared" si="1"/>
        <v>1</v>
      </c>
    </row>
    <row r="111" spans="1:131" x14ac:dyDescent="0.2">
      <c r="A111" s="1096"/>
      <c r="B111" s="1096"/>
      <c r="C111" s="1497"/>
      <c r="D111" s="1642" t="s">
        <v>2310</v>
      </c>
      <c r="E111" s="1152"/>
      <c r="F111" s="1182"/>
      <c r="G111" s="1627" t="str">
        <f>IF(E111=0,"",VLOOKUP(E111,'Tablas Técnicas'!$A$14:$V$771,3,FALSE))</f>
        <v/>
      </c>
      <c r="H111" s="1155" t="str">
        <f>IF($E111=0,"",VLOOKUP($E111,'Tablas Técnicas'!$A$14:$V$771,4,FALSE))</f>
        <v/>
      </c>
      <c r="I111" s="1156" t="s">
        <v>2234</v>
      </c>
      <c r="J111" s="1605" t="str">
        <f>IF(E111=0,"",VLOOKUP(E111,'Tablas Técnicas'!$A$14:$V$771,5,FALSE))</f>
        <v/>
      </c>
      <c r="K111" s="1158" t="str">
        <f>IF(I111="Si",IF(E111=0,"",VLOOKUP(E111,'Tablas Técnicas'!$A$14:$V$771,5,FALSE)),"")</f>
        <v/>
      </c>
      <c r="L111" s="1156" t="s">
        <v>2234</v>
      </c>
      <c r="M111" s="1605" t="str">
        <f>IF(E111=0,"",VLOOKUP(E111,'Tablas Técnicas'!$A$14:$V$771,6,FALSE))</f>
        <v/>
      </c>
      <c r="N111" s="1159" t="str">
        <f>IF(L111="Si",IF(E111=0,"",VLOOKUP(E111,'Tablas Técnicas'!$A$14:$V$771,6,FALSE)),"")</f>
        <v/>
      </c>
      <c r="O111" s="1156" t="s">
        <v>2234</v>
      </c>
      <c r="P111" s="1605" t="str">
        <f>IF(E111=0,"",VLOOKUP(E111,'Tablas Técnicas'!$A$14:$V$771,7,FALSE))</f>
        <v/>
      </c>
      <c r="Q111" s="1159" t="str">
        <f>IF(O111="Si",IF(E111=0,"",VLOOKUP(E111,'Tablas Técnicas'!$A$14:$V$771,7,FALSE)),"")</f>
        <v/>
      </c>
      <c r="R111" s="1157" t="str">
        <f>IF(E111=0,"",VLOOKUP(E111,'Tablas Técnicas'!$A$14:$V$771,8,FALSE))</f>
        <v/>
      </c>
      <c r="S111" s="1155" t="str">
        <f>IF(R111=$D$8,$D$8,IF(R111=2,2,IF(R111=3,3,R111)))</f>
        <v/>
      </c>
      <c r="T111" s="4490" t="s">
        <v>5230</v>
      </c>
      <c r="U111" s="4491"/>
      <c r="V111" s="2618"/>
      <c r="W111" s="4492"/>
      <c r="X111" s="4493"/>
      <c r="Y111" s="4493"/>
      <c r="Z111" s="4493"/>
      <c r="AA111" s="4493"/>
      <c r="AB111" s="4493"/>
      <c r="AC111" s="4493"/>
      <c r="AD111" s="4493"/>
      <c r="AE111" s="4493"/>
      <c r="AF111" s="4494"/>
      <c r="AG111" s="4492"/>
      <c r="AH111" s="4493"/>
      <c r="AI111" s="4493"/>
      <c r="AJ111" s="4493"/>
      <c r="AK111" s="4493"/>
      <c r="AL111" s="4493"/>
      <c r="AM111" s="4493"/>
      <c r="AN111" s="4493"/>
      <c r="AO111" s="4493"/>
      <c r="AP111" s="4494"/>
      <c r="AQ111" s="4492"/>
      <c r="AR111" s="4493"/>
      <c r="AS111" s="4493"/>
      <c r="AT111" s="4493"/>
      <c r="AU111" s="4493"/>
      <c r="AV111" s="4493"/>
      <c r="AW111" s="4493"/>
      <c r="AX111" s="4493"/>
      <c r="AY111" s="4493"/>
      <c r="AZ111" s="4494"/>
      <c r="BA111" s="4492"/>
      <c r="BB111" s="4493"/>
      <c r="BC111" s="4493"/>
      <c r="BD111" s="4493"/>
      <c r="BE111" s="4493"/>
      <c r="BF111" s="4493"/>
      <c r="BG111" s="4493"/>
      <c r="BH111" s="4493"/>
      <c r="BI111" s="4493"/>
      <c r="BJ111" s="4494"/>
      <c r="BK111" s="1155">
        <f>(SUM(G108:G112)+IF(AF108="",0,AF108)+IF(AP108="",0,AP108)+IF(AZ108="",0,AZ108)+IF(BJ108="",0,BJ108)+SUM(K108:K112)+SUM(N108:N112)+SUM(Q108:Q112))- SUM(V111:BA111)</f>
        <v>0</v>
      </c>
      <c r="BL111" s="1627"/>
      <c r="BM111" s="1628"/>
      <c r="BN111" s="1149"/>
      <c r="BO111" s="1150"/>
      <c r="BP111" s="1135" t="str">
        <f>IF(I111="Si",VLOOKUP($D$8,'Tablas Técnicas'!$E$4:$F$6,2,FALSE),"")</f>
        <v/>
      </c>
      <c r="BQ111" s="1136" t="str">
        <f>IF(L111="Si",VLOOKUP($D$8,'Tablas Técnicas'!$I$4:$J$6,2,FALSE),"")</f>
        <v/>
      </c>
      <c r="BR111" s="1134" t="str">
        <f>IF(O111="Si",VLOOKUP($D$8,'Tablas Técnicas'!$I$7:$J$9,2,FALSE),"")</f>
        <v/>
      </c>
      <c r="BS111" s="1151"/>
      <c r="BU111" s="1232"/>
      <c r="BV111" s="1232"/>
      <c r="BW111" s="1232"/>
      <c r="BX111" s="1108"/>
      <c r="BY111" s="1474"/>
      <c r="BZ111" s="1492"/>
      <c r="CA111" s="1100"/>
      <c r="DR111" s="1100"/>
      <c r="DT111" s="1514"/>
      <c r="DU111" s="1622"/>
      <c r="DV111" s="1566" t="str">
        <f>IF(E111="","",E111)&amp;IF(I111="No",""," (Mant.)")&amp;IF(L111="No",""," (Sme)")&amp;IF(O111="No",""," (SMa)")</f>
        <v/>
      </c>
      <c r="DW111" s="1622"/>
      <c r="DX111" s="1622"/>
      <c r="DY111" s="1513"/>
      <c r="DZ111" s="1100"/>
      <c r="EA111" s="1660">
        <f t="shared" si="1"/>
        <v>1</v>
      </c>
    </row>
    <row r="112" spans="1:131" x14ac:dyDescent="0.2">
      <c r="A112" s="1096"/>
      <c r="B112" s="1096"/>
      <c r="C112" s="1497"/>
      <c r="D112" s="1643" t="s">
        <v>2310</v>
      </c>
      <c r="E112" s="1160"/>
      <c r="F112" s="1176"/>
      <c r="G112" s="1146" t="str">
        <f>IF(E112=0,"",VLOOKUP(E112,'Tablas Técnicas'!$A$14:$V$771,3,FALSE))</f>
        <v/>
      </c>
      <c r="H112" s="1161" t="str">
        <f>IF($E112=0,"",VLOOKUP($E112,'Tablas Técnicas'!$A$14:$V$771,4,FALSE))</f>
        <v/>
      </c>
      <c r="I112" s="1144" t="s">
        <v>2234</v>
      </c>
      <c r="J112" s="1601" t="str">
        <f>IF(E112=0,"",VLOOKUP(E112,'Tablas Técnicas'!$A$14:$V$771,5,FALSE))</f>
        <v/>
      </c>
      <c r="K112" s="1163" t="str">
        <f>IF(I112="Si",IF(E112=0,"",VLOOKUP(E112,'Tablas Técnicas'!$A$14:$V$771,5,FALSE)),"")</f>
        <v/>
      </c>
      <c r="L112" s="1144" t="s">
        <v>2234</v>
      </c>
      <c r="M112" s="1601" t="str">
        <f>IF(E112=0,"",VLOOKUP(E112,'Tablas Técnicas'!$A$14:$V$771,6,FALSE))</f>
        <v/>
      </c>
      <c r="N112" s="1147" t="str">
        <f>IF(L112="Si",IF(E112=0,"",VLOOKUP(E112,'Tablas Técnicas'!$A$14:$V$771,6,FALSE)),"")</f>
        <v/>
      </c>
      <c r="O112" s="1144" t="s">
        <v>2234</v>
      </c>
      <c r="P112" s="1601" t="str">
        <f>IF(E112=0,"",VLOOKUP(E112,'Tablas Técnicas'!$A$14:$V$771,7,FALSE))</f>
        <v/>
      </c>
      <c r="Q112" s="1147" t="str">
        <f>IF(O112="Si",IF(E112=0,"",VLOOKUP(E112,'Tablas Técnicas'!$A$14:$V$771,7,FALSE)),"")</f>
        <v/>
      </c>
      <c r="R112" s="1162" t="str">
        <f>IF(E112=0,"",VLOOKUP(E112,'Tablas Técnicas'!$A$14:$V$771,8,FALSE))</f>
        <v/>
      </c>
      <c r="S112" s="1161" t="str">
        <f>IF(R112=$D$8,$D$8,IF(R112=2,2,IF(R112=3,3,R112)))</f>
        <v/>
      </c>
      <c r="T112" s="4495" t="s">
        <v>5232</v>
      </c>
      <c r="U112" s="4496"/>
      <c r="V112" s="2621"/>
      <c r="W112" s="4497"/>
      <c r="X112" s="4498"/>
      <c r="Y112" s="4498"/>
      <c r="Z112" s="4498"/>
      <c r="AA112" s="4498"/>
      <c r="AB112" s="4498"/>
      <c r="AC112" s="4498"/>
      <c r="AD112" s="4498"/>
      <c r="AE112" s="4498"/>
      <c r="AF112" s="4499"/>
      <c r="AG112" s="4497"/>
      <c r="AH112" s="4498"/>
      <c r="AI112" s="4498"/>
      <c r="AJ112" s="4498"/>
      <c r="AK112" s="4498"/>
      <c r="AL112" s="4498"/>
      <c r="AM112" s="4498"/>
      <c r="AN112" s="4498"/>
      <c r="AO112" s="4498"/>
      <c r="AP112" s="4499"/>
      <c r="AQ112" s="4497"/>
      <c r="AR112" s="4498"/>
      <c r="AS112" s="4498"/>
      <c r="AT112" s="4498"/>
      <c r="AU112" s="4498"/>
      <c r="AV112" s="4498"/>
      <c r="AW112" s="4498"/>
      <c r="AX112" s="4498"/>
      <c r="AY112" s="4498"/>
      <c r="AZ112" s="4499"/>
      <c r="BA112" s="4497"/>
      <c r="BB112" s="4498"/>
      <c r="BC112" s="4498"/>
      <c r="BD112" s="4498"/>
      <c r="BE112" s="4498"/>
      <c r="BF112" s="4498"/>
      <c r="BG112" s="4498"/>
      <c r="BH112" s="4498"/>
      <c r="BI112" s="4498"/>
      <c r="BJ112" s="4499"/>
      <c r="BK112" s="1161">
        <f>SUM(K108:K112)-SUM(V112:BA112)</f>
        <v>0</v>
      </c>
      <c r="BL112" s="1146"/>
      <c r="BM112" s="1181"/>
      <c r="BN112" s="1165"/>
      <c r="BO112" s="1166"/>
      <c r="BP112" s="1167" t="str">
        <f>IF(I112="Si",VLOOKUP($D$8,'Tablas Técnicas'!$E$4:$F$6,2,FALSE),"")</f>
        <v/>
      </c>
      <c r="BQ112" s="1137" t="str">
        <f>IF(L112="Si",VLOOKUP($D$8,'Tablas Técnicas'!$I$4:$J$6,2,FALSE),"")</f>
        <v/>
      </c>
      <c r="BR112" s="1168" t="str">
        <f>IF(O112="Si",VLOOKUP($D$8,'Tablas Técnicas'!$I$7:$J$9,2,FALSE),"")</f>
        <v/>
      </c>
      <c r="BS112" s="1151"/>
      <c r="BU112" s="1232"/>
      <c r="BV112" s="1232"/>
      <c r="BW112" s="1232"/>
      <c r="BX112" s="1108"/>
      <c r="BY112" s="1474"/>
      <c r="BZ112" s="1492"/>
      <c r="CA112" s="1096"/>
      <c r="DR112" s="1096"/>
      <c r="DT112" s="1514"/>
      <c r="DU112" s="1567"/>
      <c r="DV112" s="1566" t="str">
        <f>IF(E112="","",E112)&amp;IF(I112="No",""," (Mant.)")&amp;IF(L112="No",""," (Sme)")&amp;IF(O112="No",""," (SMa)")</f>
        <v/>
      </c>
      <c r="DW112" s="1567"/>
      <c r="DX112" s="1567"/>
      <c r="DY112" s="1513"/>
      <c r="DZ112" s="1096"/>
      <c r="EA112" s="1660">
        <f t="shared" si="1"/>
        <v>1</v>
      </c>
    </row>
    <row r="113" spans="1:132" x14ac:dyDescent="0.2">
      <c r="A113" s="1096"/>
      <c r="B113" s="1096"/>
      <c r="C113" s="1497"/>
      <c r="D113" s="1645"/>
      <c r="E113" s="1594" t="s">
        <v>5239</v>
      </c>
      <c r="F113" s="1173"/>
      <c r="G113" s="1174"/>
      <c r="H113" s="2559">
        <f>IF(AND(OR(ISNUMBER(SEARCH("Afinidad Elemental ("&amp;BK108&amp;")",Principal!$AF$30)),ISNUMBER(SEARCH("Afinidad Elemental ("&amp;BL108&amp;")",Principal!$AF$30)),ISNUMBER(SEARCH("Afinidad Elemental ("&amp;BM108&amp;")",Principal!$AF$30))),SUM(H108:H112)&gt;=5),-5,0)</f>
        <v>0</v>
      </c>
      <c r="I113" s="1174"/>
      <c r="J113" s="1175"/>
      <c r="K113" s="1174"/>
      <c r="L113" s="1174"/>
      <c r="M113" s="1175"/>
      <c r="N113" s="1174"/>
      <c r="O113" s="1174"/>
      <c r="P113" s="1175"/>
      <c r="Q113" s="1174"/>
      <c r="R113" s="1175"/>
      <c r="S113" s="1174"/>
      <c r="T113" s="1174"/>
      <c r="U113" s="1195"/>
      <c r="V113" s="1195"/>
      <c r="W113" s="1195"/>
      <c r="X113" s="1195"/>
      <c r="Y113" s="1195"/>
      <c r="Z113" s="1195"/>
      <c r="AA113" s="1195"/>
      <c r="AB113" s="1195"/>
      <c r="AC113" s="1195"/>
      <c r="AD113" s="1195"/>
      <c r="AE113" s="1195"/>
      <c r="AF113" s="1195"/>
      <c r="AG113" s="1195"/>
      <c r="AH113" s="1195"/>
      <c r="AI113" s="1195"/>
      <c r="AJ113" s="1195"/>
      <c r="AK113" s="1195"/>
      <c r="AL113" s="1195"/>
      <c r="AM113" s="1195"/>
      <c r="AN113" s="1195"/>
      <c r="AO113" s="1195"/>
      <c r="AP113" s="1195"/>
      <c r="AQ113" s="1195"/>
      <c r="AR113" s="1195"/>
      <c r="AS113" s="1195"/>
      <c r="AT113" s="1195"/>
      <c r="AU113" s="1195"/>
      <c r="AV113" s="1195"/>
      <c r="AW113" s="1195"/>
      <c r="AX113" s="1195"/>
      <c r="AY113" s="1195"/>
      <c r="AZ113" s="1195"/>
      <c r="BA113" s="1195"/>
      <c r="BB113" s="1195"/>
      <c r="BC113" s="1195"/>
      <c r="BD113" s="1195"/>
      <c r="BE113" s="1195"/>
      <c r="BF113" s="1195"/>
      <c r="BG113" s="1195"/>
      <c r="BH113" s="1195"/>
      <c r="BI113" s="1195"/>
      <c r="BJ113" s="1195"/>
      <c r="BK113" s="4481"/>
      <c r="BL113" s="4481"/>
      <c r="BM113" s="4445"/>
      <c r="BN113" s="1134">
        <f>SUM(K113:K116)</f>
        <v>0</v>
      </c>
      <c r="BO113" s="1128">
        <f>IF(E113=0,"",(AF113+AP113+AZ113+BJ113))</f>
        <v>0</v>
      </c>
      <c r="BP113" s="1135" t="str">
        <f>IF(I113="Si",VLOOKUP($D$8,'Tablas Técnicas'!$E$4:$F$6,2,FALSE),"")</f>
        <v/>
      </c>
      <c r="BQ113" s="1136" t="str">
        <f>IF(L113="Si",VLOOKUP($D$8,'Tablas Técnicas'!$I$4:$J$6,2,FALSE),"")</f>
        <v/>
      </c>
      <c r="BR113" s="1134" t="str">
        <f>IF(O113="Si",VLOOKUP($D$8,'Tablas Técnicas'!$I$7:$J$9,2,FALSE),"")</f>
        <v/>
      </c>
      <c r="BS113" s="1151"/>
      <c r="BT113" s="4444" t="s">
        <v>5241</v>
      </c>
      <c r="BU113" s="4445"/>
      <c r="BV113" s="1128"/>
      <c r="BW113" s="1108"/>
      <c r="BX113" s="1108"/>
      <c r="BY113" s="1474"/>
      <c r="BZ113" s="1492"/>
      <c r="CA113" s="1096"/>
      <c r="DR113" s="1096"/>
      <c r="DT113" s="1514"/>
      <c r="DU113" s="1567"/>
      <c r="DV113" s="1567"/>
      <c r="DW113" s="1567"/>
      <c r="DX113" s="1567"/>
      <c r="DY113" s="1513"/>
      <c r="DZ113" s="1096"/>
      <c r="EA113" s="1660">
        <f t="shared" si="1"/>
        <v>1</v>
      </c>
    </row>
    <row r="114" spans="1:132" ht="12" x14ac:dyDescent="0.2">
      <c r="A114" s="1096"/>
      <c r="B114" s="1096"/>
      <c r="C114" s="1497"/>
      <c r="D114" s="1646" t="s">
        <v>5240</v>
      </c>
      <c r="E114" s="1140"/>
      <c r="F114" s="1163"/>
      <c r="G114" s="1163"/>
      <c r="H114" s="1161" t="str">
        <f>IF(D82=0,"",IF(E114=0,"",VLOOKUP(E114,'Tablas Técnicas'!$A$14:$V$771,4,FALSE)))</f>
        <v/>
      </c>
      <c r="I114" s="1163"/>
      <c r="J114" s="1163"/>
      <c r="K114" s="1196"/>
      <c r="L114" s="1163"/>
      <c r="M114" s="1163"/>
      <c r="N114" s="1196"/>
      <c r="O114" s="1163"/>
      <c r="P114" s="1163"/>
      <c r="Q114" s="1163"/>
      <c r="R114" s="1162" t="str">
        <f>IF(E114=0,"",VLOOKUP(E114,'Tablas Técnicas'!$A$14:$V$771,8,FALSE))</f>
        <v/>
      </c>
      <c r="S114" s="1188" t="str">
        <f>IF(R114=$D$8,$D$8,IF(R114=2,2,IF(R114=3,3,R114)))</f>
        <v/>
      </c>
      <c r="T114" s="1163" t="str">
        <f>IF(E114=0,"",VLOOKUP(E114,'Tablas Técnicas'!$A$14:$V$771,9,FALSE))</f>
        <v/>
      </c>
      <c r="U114" s="1190" t="str">
        <f>IF(E114=0,"",VLOOKUP(E114,'Tablas Técnicas'!$A$14:$V$771,10,FALSE))</f>
        <v/>
      </c>
      <c r="V114" s="1191"/>
      <c r="W114" s="1191"/>
      <c r="X114" s="1190"/>
      <c r="Y114" s="1190"/>
      <c r="Z114" s="1190"/>
      <c r="AA114" s="1190"/>
      <c r="AB114" s="1190"/>
      <c r="AC114" s="1190"/>
      <c r="AD114" s="1190"/>
      <c r="AE114" s="1190"/>
      <c r="AF114" s="1190"/>
      <c r="AG114" s="4478" t="str">
        <f>IF(OR(E114='Tablas Técnicas'!A$678,E114='Tablas Técnicas'!A$679,E115='Tablas Técnicas'!A$678,E115='Tablas Técnicas'!A$679,E116='Tablas Técnicas'!A$678,E116='Tablas Técnicas'!A$679),"Selecciona la atadura elemental:","")</f>
        <v/>
      </c>
      <c r="AH114" s="4479"/>
      <c r="AI114" s="4479"/>
      <c r="AJ114" s="4479"/>
      <c r="AK114" s="4479"/>
      <c r="AL114" s="4479"/>
      <c r="AM114" s="4479"/>
      <c r="AN114" s="4479"/>
      <c r="AO114" s="4479"/>
      <c r="AP114" s="4479"/>
      <c r="AQ114" s="4479"/>
      <c r="AR114" s="4479"/>
      <c r="AS114" s="4479"/>
      <c r="AT114" s="4479"/>
      <c r="AU114" s="4479"/>
      <c r="AV114" s="4479"/>
      <c r="AW114" s="4479"/>
      <c r="AX114" s="4479"/>
      <c r="AY114" s="4479"/>
      <c r="AZ114" s="4479"/>
      <c r="BA114" s="4479"/>
      <c r="BB114" s="4479"/>
      <c r="BC114" s="4479"/>
      <c r="BD114" s="4479"/>
      <c r="BE114" s="4479"/>
      <c r="BF114" s="4479"/>
      <c r="BG114" s="4479"/>
      <c r="BH114" s="4479"/>
      <c r="BI114" s="4479"/>
      <c r="BJ114" s="4479"/>
      <c r="BK114" s="4480"/>
      <c r="BL114" s="1631"/>
      <c r="BM114" s="1631"/>
      <c r="BN114" s="1163"/>
      <c r="BO114" s="1163"/>
      <c r="BP114" s="1196"/>
      <c r="BQ114" s="1163"/>
      <c r="BR114" s="1163"/>
      <c r="BS114" s="1163"/>
      <c r="BT114" s="4446">
        <f>D82</f>
        <v>1</v>
      </c>
      <c r="BU114" s="4447"/>
      <c r="BV114" s="1128">
        <f>IF(BV113=0,0,VLOOKUP(BV113,'Tablas Técnicas'!$M$4:$N$7,2,FALSE))</f>
        <v>0</v>
      </c>
      <c r="BW114" s="1108"/>
      <c r="BX114" s="1108"/>
      <c r="BY114" s="1474"/>
      <c r="BZ114" s="1492"/>
      <c r="CA114" s="1096"/>
      <c r="DR114" s="1096"/>
      <c r="DT114" s="1514"/>
      <c r="DU114" s="1567"/>
      <c r="DV114" s="1567"/>
      <c r="DW114" s="1567"/>
      <c r="DX114" s="1567"/>
      <c r="DY114" s="1513"/>
      <c r="DZ114" s="1096"/>
      <c r="EA114" s="1660">
        <f t="shared" si="1"/>
        <v>1</v>
      </c>
    </row>
    <row r="115" spans="1:132" x14ac:dyDescent="0.2">
      <c r="A115" s="1096"/>
      <c r="B115" s="1096"/>
      <c r="C115" s="1497"/>
      <c r="D115" s="1642" t="s">
        <v>5242</v>
      </c>
      <c r="E115" s="1197"/>
      <c r="F115" s="1595"/>
      <c r="G115" s="1596"/>
      <c r="H115" s="1153" t="str">
        <f>IF(VALUE(D82)&gt;1,IF(E115=0,"",VLOOKUP(E115,'Tablas Técnicas'!$A$14:$V$771,4,FALSE)),"")</f>
        <v/>
      </c>
      <c r="I115" s="1595"/>
      <c r="J115" s="1596"/>
      <c r="K115" s="1596"/>
      <c r="L115" s="1595"/>
      <c r="M115" s="1596"/>
      <c r="N115" s="1597"/>
      <c r="O115" s="1596"/>
      <c r="P115" s="1596"/>
      <c r="Q115" s="1596"/>
      <c r="R115" s="1157" t="str">
        <f>IF(E115=0,"",VLOOKUP(E115,'Tablas Técnicas'!$A$14:$V$771,8,FALSE))</f>
        <v/>
      </c>
      <c r="S115" s="1155" t="str">
        <f>IF(R115=$D$8,$D$8,IF(R115=2,2,IF(R115=3,3,R115)))</f>
        <v/>
      </c>
      <c r="T115" s="1158" t="str">
        <f>IF(E115=0,"",VLOOKUP(E115,'Tablas Técnicas'!$A$14:$V$771,9,FALSE))</f>
        <v/>
      </c>
      <c r="U115" s="1158" t="str">
        <f>IF(E115=0,"",VLOOKUP(E115,'Tablas Técnicas'!$A$14:$V$771,10,FALSE))</f>
        <v/>
      </c>
      <c r="V115" s="1595"/>
      <c r="W115" s="1595"/>
      <c r="X115" s="1596"/>
      <c r="Y115" s="1596"/>
      <c r="Z115" s="1596"/>
      <c r="AA115" s="1596"/>
      <c r="AB115" s="1596"/>
      <c r="AC115" s="1596"/>
      <c r="AD115" s="1596"/>
      <c r="AE115" s="1596"/>
      <c r="AF115" s="1596"/>
      <c r="AG115" s="1598"/>
      <c r="AH115" s="1599"/>
      <c r="AI115" s="1599"/>
      <c r="AJ115" s="1599"/>
      <c r="AK115" s="1599"/>
      <c r="AL115" s="1599"/>
      <c r="AM115" s="1599"/>
      <c r="AN115" s="1599"/>
      <c r="AO115" s="1599"/>
      <c r="AP115" s="1597"/>
      <c r="AQ115" s="1599"/>
      <c r="AR115" s="1599"/>
      <c r="AS115" s="1599"/>
      <c r="AT115" s="1599"/>
      <c r="AU115" s="1599"/>
      <c r="AV115" s="1599"/>
      <c r="AW115" s="1599"/>
      <c r="AX115" s="1599"/>
      <c r="AY115" s="1599"/>
      <c r="AZ115" s="1600"/>
      <c r="BA115" s="1596"/>
      <c r="BB115" s="1596"/>
      <c r="BC115" s="1596"/>
      <c r="BD115" s="1596"/>
      <c r="BE115" s="1596"/>
      <c r="BF115" s="1596"/>
      <c r="BG115" s="1596"/>
      <c r="BH115" s="1596"/>
      <c r="BI115" s="1596"/>
      <c r="BJ115" s="1597"/>
      <c r="BK115" s="1596"/>
      <c r="BL115" s="1632"/>
      <c r="BM115" s="1633"/>
      <c r="BN115" s="1596"/>
      <c r="BO115" s="1596"/>
      <c r="BP115" s="1597"/>
      <c r="BQ115" s="1596"/>
      <c r="BR115" s="1596"/>
      <c r="BS115" s="1596"/>
      <c r="BU115" s="2608"/>
      <c r="BV115" s="1128"/>
      <c r="BW115" s="1108"/>
      <c r="BX115" s="1108"/>
      <c r="BY115" s="1474"/>
      <c r="BZ115" s="1492"/>
      <c r="CA115" s="1096"/>
      <c r="DR115" s="1096"/>
      <c r="DT115" s="1514"/>
      <c r="DU115" s="1567"/>
      <c r="DV115" s="1567"/>
      <c r="DW115" s="1567"/>
      <c r="DX115" s="1567"/>
      <c r="DY115" s="1513"/>
      <c r="DZ115" s="1096"/>
      <c r="EA115" s="1660">
        <f t="shared" si="1"/>
        <v>1</v>
      </c>
    </row>
    <row r="116" spans="1:132" x14ac:dyDescent="0.2">
      <c r="A116" s="1096"/>
      <c r="B116" s="1096"/>
      <c r="C116" s="1497"/>
      <c r="D116" s="1647" t="s">
        <v>5243</v>
      </c>
      <c r="E116" s="1198"/>
      <c r="F116" s="2614"/>
      <c r="G116" s="1172"/>
      <c r="H116" s="1171" t="str">
        <f>IF(VALUE(D82)=3,IF(E116=0,"",VLOOKUP(E116,'Tablas Técnicas'!$A$14:$V$771,4,FALSE)),"")</f>
        <v/>
      </c>
      <c r="I116" s="1172"/>
      <c r="J116" s="1172"/>
      <c r="K116" s="1172"/>
      <c r="L116" s="2614"/>
      <c r="M116" s="1172"/>
      <c r="N116" s="1172"/>
      <c r="O116" s="2614"/>
      <c r="P116" s="1172"/>
      <c r="Q116" s="1172"/>
      <c r="R116" s="1193" t="str">
        <f>IF(E116=0,"",VLOOKUP(E116,'Tablas Técnicas'!$A$14:$V$771,8,FALSE))</f>
        <v/>
      </c>
      <c r="S116" s="1171" t="str">
        <f>IF(R116=$D$8,$D$8,IF(R116=2,2,IF(R116=3,3,R116)))</f>
        <v/>
      </c>
      <c r="T116" s="1172" t="str">
        <f>IF(E116=0,"",VLOOKUP(E116,'Tablas Técnicas'!$A$14:$V$771,9,FALSE))</f>
        <v/>
      </c>
      <c r="U116" s="1172" t="str">
        <f>IF(E116=0,"",VLOOKUP(E116,'Tablas Técnicas'!$A$14:$V$771,10,FALSE))</f>
        <v/>
      </c>
      <c r="V116" s="2614"/>
      <c r="W116" s="1486"/>
      <c r="X116" s="1486"/>
      <c r="Y116" s="1486"/>
      <c r="Z116" s="1486"/>
      <c r="AA116" s="1486"/>
      <c r="AB116" s="1486"/>
      <c r="AC116" s="1486"/>
      <c r="AD116" s="1486"/>
      <c r="AE116" s="1486"/>
      <c r="AF116" s="1487"/>
      <c r="AG116" s="2614"/>
      <c r="AH116" s="1172"/>
      <c r="AI116" s="1172"/>
      <c r="AJ116" s="1172"/>
      <c r="AK116" s="1172"/>
      <c r="AL116" s="1172"/>
      <c r="AM116" s="1172"/>
      <c r="AN116" s="1172"/>
      <c r="AO116" s="1172"/>
      <c r="AP116" s="2615"/>
      <c r="AQ116" s="1172"/>
      <c r="AR116" s="1172"/>
      <c r="AS116" s="1172"/>
      <c r="AT116" s="1172"/>
      <c r="AU116" s="1172"/>
      <c r="AV116" s="1172"/>
      <c r="AW116" s="1172"/>
      <c r="AX116" s="1172"/>
      <c r="AY116" s="1172"/>
      <c r="AZ116" s="2615"/>
      <c r="BA116" s="1172"/>
      <c r="BB116" s="1172"/>
      <c r="BC116" s="1172"/>
      <c r="BD116" s="1172"/>
      <c r="BE116" s="1172"/>
      <c r="BF116" s="1172"/>
      <c r="BG116" s="1172"/>
      <c r="BH116" s="1172"/>
      <c r="BI116" s="1172"/>
      <c r="BJ116" s="2615"/>
      <c r="BK116" s="1172"/>
      <c r="BL116" s="1629"/>
      <c r="BM116" s="1634"/>
      <c r="BN116" s="1172"/>
      <c r="BO116" s="1172"/>
      <c r="BP116" s="1172"/>
      <c r="BQ116" s="2614"/>
      <c r="BR116" s="1172"/>
      <c r="BS116" s="1172"/>
      <c r="BT116" s="2608"/>
      <c r="BU116" s="2608"/>
      <c r="BV116" s="1128">
        <f>IF(BV115=0,0,VLOOKUP(BV115,'Tablas Técnicas'!$M$4:$N$7,2,FALSE))</f>
        <v>0</v>
      </c>
      <c r="BW116" s="1108"/>
      <c r="BX116" s="1108"/>
      <c r="BY116" s="1474"/>
      <c r="BZ116" s="1492"/>
      <c r="CA116" s="1100"/>
      <c r="DR116" s="1100"/>
      <c r="DT116" s="1517"/>
      <c r="DU116" s="1623"/>
      <c r="DV116" s="1623"/>
      <c r="DW116" s="1623"/>
      <c r="DX116" s="1623"/>
      <c r="DY116" s="1518"/>
      <c r="DZ116" s="1100"/>
      <c r="EA116" s="1660">
        <f t="shared" si="1"/>
        <v>1</v>
      </c>
    </row>
    <row r="117" spans="1:132" x14ac:dyDescent="0.2">
      <c r="A117" s="1100"/>
      <c r="B117" s="1100"/>
      <c r="C117" s="1497"/>
      <c r="D117" s="1648"/>
      <c r="E117" s="2350"/>
      <c r="F117" s="1108"/>
      <c r="G117" s="2350"/>
      <c r="H117" s="2350"/>
      <c r="I117" s="1108"/>
      <c r="J117" s="2350"/>
      <c r="K117" s="2350"/>
      <c r="L117" s="2350"/>
      <c r="M117" s="2350"/>
      <c r="N117" s="2350"/>
      <c r="O117" s="2350"/>
      <c r="P117" s="2350"/>
      <c r="Q117" s="2350"/>
      <c r="R117" s="2350"/>
      <c r="S117" s="2350"/>
      <c r="T117" s="2350"/>
      <c r="U117" s="2350"/>
      <c r="V117" s="2350"/>
      <c r="W117" s="2350"/>
      <c r="X117" s="2350"/>
      <c r="Y117" s="2350"/>
      <c r="Z117" s="2350"/>
      <c r="AA117" s="2350"/>
      <c r="AB117" s="2350"/>
      <c r="AC117" s="2350"/>
      <c r="AD117" s="2350"/>
      <c r="AE117" s="2350"/>
      <c r="AF117" s="2350"/>
      <c r="AG117" s="2350"/>
      <c r="AH117" s="2350"/>
      <c r="AI117" s="2350"/>
      <c r="AJ117" s="2350"/>
      <c r="AK117" s="2350"/>
      <c r="AL117" s="2350"/>
      <c r="AM117" s="2350"/>
      <c r="AN117" s="2350"/>
      <c r="AO117" s="2350"/>
      <c r="AP117" s="2350"/>
      <c r="AQ117" s="2350"/>
      <c r="AR117" s="2350"/>
      <c r="AS117" s="2350"/>
      <c r="AT117" s="2350"/>
      <c r="AU117" s="2350"/>
      <c r="AV117" s="2350"/>
      <c r="AW117" s="2350"/>
      <c r="AX117" s="2350"/>
      <c r="AY117" s="2350"/>
      <c r="AZ117" s="2350"/>
      <c r="BA117" s="2350"/>
      <c r="BB117" s="2350"/>
      <c r="BC117" s="2350"/>
      <c r="BD117" s="2350"/>
      <c r="BE117" s="2350"/>
      <c r="BF117" s="2350"/>
      <c r="BG117" s="2350"/>
      <c r="BH117" s="2350"/>
      <c r="BI117" s="2350"/>
      <c r="BJ117" s="2350"/>
      <c r="BK117" s="2350"/>
      <c r="BL117" s="2350"/>
      <c r="BM117" s="2350"/>
      <c r="BN117" s="1101">
        <f>SUM(BN122:BN137)</f>
        <v>0</v>
      </c>
      <c r="BO117" s="1101">
        <f>SUM(BO122:BO137)</f>
        <v>0</v>
      </c>
      <c r="BP117" s="1101">
        <f>SUM(BP122:BP137)</f>
        <v>0</v>
      </c>
      <c r="BQ117" s="1101">
        <f>SUM(BQ122:BQ137)</f>
        <v>0</v>
      </c>
      <c r="BR117" s="1101">
        <f>SUM(BR122:BR137)</f>
        <v>0</v>
      </c>
      <c r="BS117" s="1199"/>
      <c r="BU117" s="2350"/>
      <c r="BW117" s="1108"/>
      <c r="BX117" s="1108"/>
      <c r="BY117" s="1117"/>
      <c r="BZ117" s="1492"/>
      <c r="CA117" s="1096"/>
      <c r="DR117" s="1096"/>
      <c r="DT117" s="1514"/>
      <c r="DU117" s="1567"/>
      <c r="DV117" s="1567"/>
      <c r="DW117" s="1567"/>
      <c r="DX117" s="1567"/>
      <c r="DY117" s="1513"/>
      <c r="DZ117" s="1096"/>
      <c r="EA117" s="1660">
        <f t="shared" si="1"/>
        <v>1</v>
      </c>
    </row>
    <row r="118" spans="1:132" x14ac:dyDescent="0.2">
      <c r="A118" s="1096"/>
      <c r="B118" s="1096"/>
      <c r="C118" s="1497"/>
      <c r="D118" s="1640" t="s">
        <v>8726</v>
      </c>
      <c r="E118" s="1114"/>
      <c r="F118" s="1114"/>
      <c r="G118" s="1114"/>
      <c r="H118" s="1114"/>
      <c r="I118" s="1114"/>
      <c r="J118" s="1115"/>
      <c r="K118" s="1114"/>
      <c r="L118" s="1114"/>
      <c r="M118" s="1115"/>
      <c r="N118" s="1114"/>
      <c r="O118" s="1114"/>
      <c r="P118" s="1115"/>
      <c r="Q118" s="1114"/>
      <c r="R118" s="1115"/>
      <c r="S118" s="1114"/>
      <c r="T118" s="1114"/>
      <c r="U118" s="1114"/>
      <c r="V118" s="1114"/>
      <c r="W118" s="1108"/>
      <c r="X118" s="1115"/>
      <c r="Y118" s="1115"/>
      <c r="Z118" s="1115"/>
      <c r="AA118" s="1115"/>
      <c r="AB118" s="1115"/>
      <c r="AC118" s="1115"/>
      <c r="AD118" s="1115"/>
      <c r="AE118" s="1115"/>
      <c r="AF118" s="1114"/>
      <c r="AG118" s="1108"/>
      <c r="AH118" s="1115"/>
      <c r="AI118" s="1115"/>
      <c r="AJ118" s="1115"/>
      <c r="AK118" s="1115"/>
      <c r="AL118" s="1115"/>
      <c r="AM118" s="1115"/>
      <c r="AN118" s="1115"/>
      <c r="AO118" s="1115"/>
      <c r="AP118" s="1108"/>
      <c r="AQ118" s="1108"/>
      <c r="AR118" s="1115"/>
      <c r="AS118" s="1115"/>
      <c r="AT118" s="1115"/>
      <c r="AU118" s="1115"/>
      <c r="AV118" s="1115"/>
      <c r="AW118" s="1115"/>
      <c r="AX118" s="1115"/>
      <c r="AY118" s="1115"/>
      <c r="AZ118" s="1108"/>
      <c r="BA118" s="1108"/>
      <c r="BB118" s="1115"/>
      <c r="BC118" s="1115"/>
      <c r="BD118" s="1115"/>
      <c r="BE118" s="1115"/>
      <c r="BF118" s="1115"/>
      <c r="BG118" s="1115"/>
      <c r="BH118" s="1115"/>
      <c r="BI118" s="1115"/>
      <c r="BJ118" s="1108"/>
      <c r="BK118" s="1108"/>
      <c r="BL118" s="1108"/>
      <c r="BM118" s="1108"/>
      <c r="BN118" s="1101">
        <f>SUM(BN120:BN153)</f>
        <v>0</v>
      </c>
      <c r="BO118" s="1101">
        <f>SUM(BO120:BO153)</f>
        <v>0</v>
      </c>
      <c r="BP118" s="1101">
        <f>MAX(BP120:BP153)</f>
        <v>0</v>
      </c>
      <c r="BQ118" s="1101">
        <f>MAX(BQ120:BQ153)</f>
        <v>0</v>
      </c>
      <c r="BR118" s="1101">
        <f>MAX(BR120:BR153)</f>
        <v>0</v>
      </c>
      <c r="BS118" s="1116"/>
      <c r="BU118" s="2608"/>
      <c r="BV118" s="1118"/>
      <c r="BW118" s="1108"/>
      <c r="BX118" s="1108"/>
      <c r="BY118" s="1474"/>
      <c r="BZ118" s="1492"/>
      <c r="CA118" s="1096"/>
      <c r="DR118" s="1096"/>
      <c r="DT118" s="1514"/>
      <c r="DU118" s="1567"/>
      <c r="DV118" s="1567"/>
      <c r="DW118" s="1567"/>
      <c r="DX118" s="1567"/>
      <c r="DY118" s="1513"/>
      <c r="DZ118" s="1096"/>
      <c r="EA118" s="1660">
        <f t="shared" si="1"/>
        <v>1</v>
      </c>
    </row>
    <row r="119" spans="1:132" ht="12" thickBot="1" x14ac:dyDescent="0.25">
      <c r="A119" s="1096"/>
      <c r="B119" s="1096"/>
      <c r="C119" s="1497"/>
      <c r="D119" s="1641">
        <v>1</v>
      </c>
      <c r="E119" s="1119" t="s">
        <v>9094</v>
      </c>
      <c r="F119" s="1120" t="s">
        <v>2333</v>
      </c>
      <c r="G119" s="1121" t="s">
        <v>2334</v>
      </c>
      <c r="H119" s="1121" t="s">
        <v>2356</v>
      </c>
      <c r="I119" s="1122" t="s">
        <v>4020</v>
      </c>
      <c r="J119" s="1123"/>
      <c r="K119" s="1124"/>
      <c r="L119" s="1122" t="s">
        <v>4021</v>
      </c>
      <c r="M119" s="1123"/>
      <c r="N119" s="1124"/>
      <c r="O119" s="1122" t="s">
        <v>4022</v>
      </c>
      <c r="P119" s="1123"/>
      <c r="Q119" s="1124"/>
      <c r="R119" s="1125" t="s">
        <v>5219</v>
      </c>
      <c r="S119" s="1121" t="s">
        <v>3990</v>
      </c>
      <c r="T119" s="2613" t="s">
        <v>2252</v>
      </c>
      <c r="U119" s="2613" t="s">
        <v>2223</v>
      </c>
      <c r="V119" s="2613" t="s">
        <v>4023</v>
      </c>
      <c r="W119" s="4473" t="s">
        <v>4024</v>
      </c>
      <c r="X119" s="4473"/>
      <c r="Y119" s="4473"/>
      <c r="Z119" s="4473"/>
      <c r="AA119" s="4473"/>
      <c r="AB119" s="4473"/>
      <c r="AC119" s="4473"/>
      <c r="AD119" s="4473"/>
      <c r="AE119" s="4473"/>
      <c r="AF119" s="4473"/>
      <c r="AG119" s="4473"/>
      <c r="AH119" s="4473"/>
      <c r="AI119" s="4473"/>
      <c r="AJ119" s="4473"/>
      <c r="AK119" s="4473"/>
      <c r="AL119" s="4473"/>
      <c r="AM119" s="4473"/>
      <c r="AN119" s="4473"/>
      <c r="AO119" s="4473"/>
      <c r="AP119" s="4473"/>
      <c r="AQ119" s="4473"/>
      <c r="AR119" s="4473"/>
      <c r="AS119" s="4473"/>
      <c r="AT119" s="4473"/>
      <c r="AU119" s="4473"/>
      <c r="AV119" s="4473"/>
      <c r="AW119" s="4473"/>
      <c r="AX119" s="4473"/>
      <c r="AY119" s="4473"/>
      <c r="AZ119" s="4473"/>
      <c r="BA119" s="4473"/>
      <c r="BB119" s="4473"/>
      <c r="BC119" s="4473"/>
      <c r="BD119" s="4473"/>
      <c r="BE119" s="4473"/>
      <c r="BF119" s="4473"/>
      <c r="BG119" s="4473"/>
      <c r="BH119" s="4473"/>
      <c r="BI119" s="4473"/>
      <c r="BJ119" s="4473"/>
      <c r="BK119" s="4473" t="s">
        <v>4025</v>
      </c>
      <c r="BL119" s="4473"/>
      <c r="BM119" s="4474"/>
      <c r="BN119" s="1126" t="s">
        <v>5220</v>
      </c>
      <c r="BO119" s="1126" t="s">
        <v>5221</v>
      </c>
      <c r="BP119" s="1126" t="s">
        <v>5222</v>
      </c>
      <c r="BQ119" s="1126" t="s">
        <v>5223</v>
      </c>
      <c r="BR119" s="1126" t="s">
        <v>5224</v>
      </c>
      <c r="BS119" s="1127" t="s">
        <v>5225</v>
      </c>
      <c r="BT119" s="4448" t="s">
        <v>5226</v>
      </c>
      <c r="BU119" s="4449"/>
      <c r="BV119" s="1128"/>
      <c r="BW119" s="1108"/>
      <c r="BX119" s="1108"/>
      <c r="BY119" s="1474"/>
      <c r="BZ119" s="1492"/>
      <c r="CA119" s="1096"/>
      <c r="DR119" s="1096"/>
      <c r="DT119" s="1514"/>
      <c r="DU119" s="1567"/>
      <c r="DV119" s="1567"/>
      <c r="DW119" s="1567"/>
      <c r="DX119" s="1567"/>
      <c r="DY119" s="1513"/>
      <c r="DZ119" s="1096"/>
      <c r="EB119" s="2558">
        <f>D119</f>
        <v>1</v>
      </c>
    </row>
    <row r="120" spans="1:132" ht="11.25" customHeight="1" x14ac:dyDescent="0.2">
      <c r="A120" s="1129"/>
      <c r="B120" s="159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98"/>
      <c r="D120" s="1642">
        <v>1</v>
      </c>
      <c r="E120" s="1423"/>
      <c r="F120" s="1130"/>
      <c r="G120" s="1131"/>
      <c r="H120" s="1131"/>
      <c r="I120" s="1131"/>
      <c r="J120" s="1132"/>
      <c r="K120" s="1131"/>
      <c r="L120" s="1131"/>
      <c r="M120" s="1132"/>
      <c r="N120" s="1131"/>
      <c r="O120" s="1131"/>
      <c r="P120" s="1132"/>
      <c r="Q120" s="1131"/>
      <c r="R120" s="1132"/>
      <c r="S120" s="1131"/>
      <c r="T120" s="1131"/>
      <c r="U120" s="1131"/>
      <c r="V120" s="1131"/>
      <c r="W120" s="1131"/>
      <c r="X120" s="1131"/>
      <c r="Y120" s="1131"/>
      <c r="Z120" s="1131"/>
      <c r="AA120" s="1131"/>
      <c r="AB120" s="1131"/>
      <c r="AC120" s="1131"/>
      <c r="AD120" s="1131"/>
      <c r="AE120" s="1131"/>
      <c r="AF120" s="1131"/>
      <c r="AG120" s="1131"/>
      <c r="AH120" s="1131"/>
      <c r="AI120" s="1131"/>
      <c r="AJ120" s="1131"/>
      <c r="AK120" s="1131"/>
      <c r="AL120" s="1131"/>
      <c r="AM120" s="1131"/>
      <c r="AN120" s="1131"/>
      <c r="AO120" s="1131"/>
      <c r="AP120" s="1131"/>
      <c r="AQ120" s="1131"/>
      <c r="AR120" s="1131"/>
      <c r="AS120" s="1131"/>
      <c r="AT120" s="1131"/>
      <c r="AU120" s="1131"/>
      <c r="AV120" s="1131"/>
      <c r="AW120" s="1131"/>
      <c r="AX120" s="1131"/>
      <c r="AY120" s="1131"/>
      <c r="AZ120" s="1131"/>
      <c r="BA120" s="1131"/>
      <c r="BB120" s="1131"/>
      <c r="BC120" s="1131"/>
      <c r="BD120" s="1131"/>
      <c r="BE120" s="1131"/>
      <c r="BF120" s="1131"/>
      <c r="BG120" s="1131"/>
      <c r="BH120" s="1131"/>
      <c r="BI120" s="1131"/>
      <c r="BJ120" s="1131"/>
      <c r="BK120" s="1131"/>
      <c r="BL120" s="1131"/>
      <c r="BM120" s="1133"/>
      <c r="BN120" s="1134">
        <f>SUM(K120:K123)</f>
        <v>0</v>
      </c>
      <c r="BO120" s="1128" t="str">
        <f>IF(E120=0,"",(AF120+AP120+AZ120+BJ120))</f>
        <v/>
      </c>
      <c r="BP120" s="1135" t="str">
        <f>IF(I120="Si",VLOOKUP($D$8,'Tablas Técnicas'!$E$4:$F$6,2,FALSE),"")</f>
        <v/>
      </c>
      <c r="BQ120" s="1136" t="str">
        <f>IF(L120="Si",VLOOKUP($D$8,'Tablas Técnicas'!$I$4:$J$6,2,FALSE),"")</f>
        <v/>
      </c>
      <c r="BR120" s="1134" t="str">
        <f>IF(O120="Si",VLOOKUP($D$8,'Tablas Técnicas'!$I$7:$J$9,2,FALSE),"")</f>
        <v/>
      </c>
      <c r="BS120" s="1137">
        <f>VLOOKUP(D119,'Tablas Técnicas'!$P$6:$R$8,3)</f>
        <v>50</v>
      </c>
      <c r="BT120" s="1138">
        <f>VLOOKUP(D119,'Tablas Técnicas'!$P$6:$R$8,3,FALSE)</f>
        <v>50</v>
      </c>
      <c r="BU120" s="1139">
        <f>VLOOKUP(D119,'Tablas Técnicas'!$P$6:$R$8,2,FALSE)</f>
        <v>20</v>
      </c>
      <c r="BV120" s="1128">
        <f>IF(D119=0,"",VLOOKUP(D119,'Tablas Técnicas'!$L$4:$N$7,2,FALSE))</f>
        <v>3</v>
      </c>
      <c r="BW120" s="1108"/>
      <c r="BX120" s="1108"/>
      <c r="BY120" s="1474"/>
      <c r="BZ120" s="1492"/>
      <c r="CA120" s="1096"/>
      <c r="DR120" s="1096"/>
      <c r="DT120" s="1514"/>
      <c r="DU120" s="1614" t="s">
        <v>2345</v>
      </c>
      <c r="DV120" s="1615" t="s">
        <v>4001</v>
      </c>
      <c r="DW120" s="1615" t="s">
        <v>3987</v>
      </c>
      <c r="DX120" s="1616" t="s">
        <v>8729</v>
      </c>
      <c r="DY120" s="1513"/>
      <c r="DZ120" s="1096"/>
      <c r="EA120" s="1660">
        <f>EB119</f>
        <v>1</v>
      </c>
    </row>
    <row r="121" spans="1:132" ht="11.25" customHeight="1" x14ac:dyDescent="0.2">
      <c r="A121" s="1096"/>
      <c r="B121" s="1096"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97"/>
      <c r="D121" s="1643" t="s">
        <v>2310</v>
      </c>
      <c r="E121" s="1140"/>
      <c r="F121" s="1141" t="str">
        <f>IF(E121=0,"",VLOOKUP(E121,'Tablas Técnicas'!$A$14:$V$771,2,FALSE))</f>
        <v/>
      </c>
      <c r="G121" s="1142"/>
      <c r="H121" s="1143" t="str">
        <f>IF($E121=0,"",VLOOKUP($E121,'Tablas Técnicas'!$A$14:$V$771,4,FALSE))</f>
        <v/>
      </c>
      <c r="I121" s="1144" t="s">
        <v>2234</v>
      </c>
      <c r="J121" s="1602" t="str">
        <f>IF(E121=0,"",VLOOKUP(E121,'Tablas Técnicas'!$A$14:$V$771,5,FALSE))</f>
        <v/>
      </c>
      <c r="K121" s="1146" t="str">
        <f>IF(I121="Si",IF(E121=0,"",VLOOKUP(E121,'Tablas Técnicas'!$A$14:$V$771,5,FALSE)),"")</f>
        <v/>
      </c>
      <c r="L121" s="1144" t="s">
        <v>2234</v>
      </c>
      <c r="M121" s="1602" t="str">
        <f>IF(E121=0,"",VLOOKUP(E121,'Tablas Técnicas'!$A$14:$V$771,6,FALSE))</f>
        <v/>
      </c>
      <c r="N121" s="1147" t="str">
        <f>IF(L121="Si",IF(E121=0,"",VLOOKUP(E121,'Tablas Técnicas'!$A$14:$V$771,6,FALSE)),"")</f>
        <v/>
      </c>
      <c r="O121" s="1144" t="s">
        <v>2234</v>
      </c>
      <c r="P121" s="1602" t="str">
        <f>IF(E121=0,"",VLOOKUP(E121,'Tablas Técnicas'!$A$14:$V$771,7,FALSE))</f>
        <v/>
      </c>
      <c r="Q121" s="1147" t="str">
        <f>IF(O121="Si",IF(E121=0,"",VLOOKUP(E121,'Tablas Técnicas'!$A$14:$V$771,7,FALSE)),"")</f>
        <v/>
      </c>
      <c r="R121" s="1145" t="str">
        <f>IF(E121=0,"",VLOOKUP(E121,'Tablas Técnicas'!$A$14:$V$771,8,FALSE))</f>
        <v/>
      </c>
      <c r="S121" s="1143" t="str">
        <f>IF(R121=$D$8,$D$8,IF(R121=2,2,IF(R121=3,3,R121)))</f>
        <v/>
      </c>
      <c r="T121" s="1146" t="str">
        <f>IF(E121=0,"",VLOOKUP(E121,'Tablas Técnicas'!$A$14:$V$771,9,FALSE))</f>
        <v/>
      </c>
      <c r="U121" s="1146" t="str">
        <f>IF(E121=0,"",VLOOKUP(E121,'Tablas Técnicas'!$A$14:$V$771,10,FALSE))</f>
        <v/>
      </c>
      <c r="V121" s="1141" t="str">
        <f>IF(E121=0,"",VLOOKUP(E121,'Tablas Técnicas'!$A$14:$V$771,11,FALSE))</f>
        <v/>
      </c>
      <c r="W121" s="1144"/>
      <c r="X121" s="1145" t="e">
        <f>VLOOKUP(E121,'Tablas Técnicas'!$A$14:$V$771,12,FALSE)</f>
        <v>#N/A</v>
      </c>
      <c r="Y121" s="1145" t="e">
        <f>IF(W121=X121,VLOOKUP(E121,'Tablas Técnicas'!$A$14:$V$771,13,FALSE),0)</f>
        <v>#N/A</v>
      </c>
      <c r="Z121" s="1145" t="e">
        <f>VLOOKUP(E121,'Tablas Técnicas'!$A$14:$V$771,14,FALSE)</f>
        <v>#N/A</v>
      </c>
      <c r="AA121" s="1145" t="e">
        <f>IF(W121=Z121,VLOOKUP(E121,'Tablas Técnicas'!$A$14:$V$616,15,FALSE),0)</f>
        <v>#N/A</v>
      </c>
      <c r="AB121" s="1145" t="e">
        <f>VLOOKUP(E121,'Tablas Técnicas'!$A$14:$V$771,16,FALSE)</f>
        <v>#N/A</v>
      </c>
      <c r="AC121" s="1145" t="e">
        <f>IF(W121=AB121,VLOOKUP(E121,'Tablas Técnicas'!$A$14:$V$616,17,FALSE),0)</f>
        <v>#N/A</v>
      </c>
      <c r="AD121" s="1145" t="e">
        <f>VLOOKUP(E121,'Tablas Técnicas'!$A$14:$V$771,18,FALSE)</f>
        <v>#N/A</v>
      </c>
      <c r="AE121" s="1145" t="e">
        <f>IF(W121=AD121,VLOOKUP(E121,'Tablas Técnicas'!$A$14:$V$771,19,FALSE),0)</f>
        <v>#N/A</v>
      </c>
      <c r="AF121" s="1147" t="str">
        <f>IF(E121=0,"",(Y121+AA121+AC121+AE121))</f>
        <v/>
      </c>
      <c r="AG121" s="1144"/>
      <c r="AH121" s="1145" t="e">
        <f>VLOOKUP(E121,'Tablas Técnicas'!$A$14:$V$771,12,FALSE)</f>
        <v>#N/A</v>
      </c>
      <c r="AI121" s="1145" t="e">
        <f>IF(AG121=AH121,VLOOKUP(E121,'Tablas Técnicas'!$A$14:$V$771,13,FALSE),0)</f>
        <v>#N/A</v>
      </c>
      <c r="AJ121" s="1145" t="e">
        <f>VLOOKUP(E121,'Tablas Técnicas'!$A$14:$V$771,14,FALSE)</f>
        <v>#N/A</v>
      </c>
      <c r="AK121" s="1145" t="e">
        <f>IF(AG121=AJ121,VLOOKUP(E121,'Tablas Técnicas'!$A$14:$V$771,15,FALSE),0)</f>
        <v>#N/A</v>
      </c>
      <c r="AL121" s="1145" t="e">
        <f>VLOOKUP(E121,'Tablas Técnicas'!$A$14:$V$771,16,FALSE)</f>
        <v>#N/A</v>
      </c>
      <c r="AM121" s="1145" t="e">
        <f>IF(AG121=AL121,VLOOKUP(E121,'Tablas Técnicas'!$A$14:$V$771,17,FALSE),0)</f>
        <v>#N/A</v>
      </c>
      <c r="AN121" s="1145" t="e">
        <f>VLOOKUP(E121,'Tablas Técnicas'!$A$14:$V$771,18,FALSE)</f>
        <v>#N/A</v>
      </c>
      <c r="AO121" s="1145" t="e">
        <f>IF(AG121=AN121,VLOOKUP(E121,'Tablas Técnicas'!$A$14:$V$771,19,FALSE),0)</f>
        <v>#N/A</v>
      </c>
      <c r="AP121" s="1147" t="str">
        <f>IF(E121=0,"",(AI121+AK121+AM121+AO121))</f>
        <v/>
      </c>
      <c r="AQ121" s="1144"/>
      <c r="AR121" s="1145" t="e">
        <f>VLOOKUP(E121,'Tablas Técnicas'!$A$14:$V$771,12,FALSE)</f>
        <v>#N/A</v>
      </c>
      <c r="AS121" s="1145" t="e">
        <f>IF(AQ121=AR121,VLOOKUP(E121,'Tablas Técnicas'!$A$14:$V$771,13,FALSE),0)</f>
        <v>#N/A</v>
      </c>
      <c r="AT121" s="1145" t="e">
        <f>VLOOKUP(E121,'Tablas Técnicas'!$A$14:$V$771,14,FALSE)</f>
        <v>#N/A</v>
      </c>
      <c r="AU121" s="1145" t="e">
        <f>IF(AQ121=AT121,VLOOKUP(E121,'Tablas Técnicas'!$A$14:$V$771,15,FALSE),0)</f>
        <v>#N/A</v>
      </c>
      <c r="AV121" s="1145" t="e">
        <f>VLOOKUP(E121,'Tablas Técnicas'!$A$14:$V$771,16,FALSE)</f>
        <v>#N/A</v>
      </c>
      <c r="AW121" s="1145" t="e">
        <f>IF(AQ121=AV121,VLOOKUP(E121,'Tablas Técnicas'!$A$14:$V$771,17,FALSE),0)</f>
        <v>#N/A</v>
      </c>
      <c r="AX121" s="1145" t="e">
        <f>VLOOKUP(E121,'Tablas Técnicas'!$A$14:$V$771,18,FALSE)</f>
        <v>#N/A</v>
      </c>
      <c r="AY121" s="1145" t="e">
        <f>IF(AQ121=AX121,VLOOKUP(E121,'Tablas Técnicas'!$A$14:$V$771,19,FALSE),0)</f>
        <v>#N/A</v>
      </c>
      <c r="AZ121" s="1146" t="str">
        <f>IF(E121=0,"",(AS121+AU121+AW121+AY121))</f>
        <v/>
      </c>
      <c r="BA121" s="1144"/>
      <c r="BB121" s="1145" t="e">
        <f>VLOOKUP(E121,'Tablas Técnicas'!$A$14:$V$771,12,FALSE)</f>
        <v>#N/A</v>
      </c>
      <c r="BC121" s="1145" t="e">
        <f>IF(BA121=BB121,VLOOKUP(E121,'Tablas Técnicas'!$A$14:$V$771,13,FALSE),0)</f>
        <v>#N/A</v>
      </c>
      <c r="BD121" s="1145" t="e">
        <f>VLOOKUP(E121,'Tablas Técnicas'!$A$14:$V$771,14,FALSE)</f>
        <v>#N/A</v>
      </c>
      <c r="BE121" s="1145" t="e">
        <f>IF(BA121=BD121,VLOOKUP(E121,'Tablas Técnicas'!$A$14:$V$771,15,FALSE),0)</f>
        <v>#N/A</v>
      </c>
      <c r="BF121" s="1145" t="e">
        <f>VLOOKUP(E121,'Tablas Técnicas'!$A$14:$V$771,16,FALSE)</f>
        <v>#N/A</v>
      </c>
      <c r="BG121" s="1145" t="e">
        <f>IF(BA121=BF121,VLOOKUP(E121,'Tablas Técnicas'!$A$14:$V$771,17,FALSE),0)</f>
        <v>#N/A</v>
      </c>
      <c r="BH121" s="1145" t="e">
        <f>VLOOKUP(E121,'Tablas Técnicas'!$A$14:$V$771,18,FALSE)</f>
        <v>#N/A</v>
      </c>
      <c r="BI121" s="1145" t="e">
        <f>IF(BA121=BH121,VLOOKUP(E121,'Tablas Técnicas'!$A$14:$V$771,19,FALSE),0)</f>
        <v>#N/A</v>
      </c>
      <c r="BJ121" s="1147" t="str">
        <f>IF(E121=0,"",(BC121+BE121+BG121+BI121))</f>
        <v/>
      </c>
      <c r="BK121" s="1146" t="str">
        <f>IF(E121=0,"",VLOOKUP(E121,'Tablas Técnicas'!$A$14:$V$771,20,FALSE))</f>
        <v/>
      </c>
      <c r="BL121" s="1146" t="str">
        <f>IF(E121=0,"",VLOOKUP(E121,'Tablas Técnicas'!$A$14:$V$771,21,FALSE))</f>
        <v/>
      </c>
      <c r="BM121" s="1148" t="str">
        <f>IF(E121=0,"",VLOOKUP(E121,'Tablas Técnicas'!$A$14:$V$771,22,FALSE))</f>
        <v/>
      </c>
      <c r="BN121" s="1149"/>
      <c r="BO121" s="1150"/>
      <c r="BP121" s="1135" t="str">
        <f>IF(I121="Si",VLOOKUP($D$8,'Tablas Técnicas'!$E$4:$F$6,2,FALSE),"")</f>
        <v/>
      </c>
      <c r="BQ121" s="1136" t="str">
        <f>IF(L121="Si",VLOOKUP($D$8,'Tablas Técnicas'!$I$4:$J$6,2,FALSE),"")</f>
        <v/>
      </c>
      <c r="BR121" s="1134" t="str">
        <f>IF(O121="Si",VLOOKUP($D$8,'Tablas Técnicas'!$I$7:$J$9,2,FALSE),"")</f>
        <v/>
      </c>
      <c r="BS121" s="1151"/>
      <c r="BT121" s="4448" t="s">
        <v>5227</v>
      </c>
      <c r="BU121" s="4449"/>
      <c r="BV121" s="1128"/>
      <c r="BW121" s="1108"/>
      <c r="BX121" s="1108"/>
      <c r="BY121" s="1474"/>
      <c r="BZ121" s="1492"/>
      <c r="CA121" s="1096"/>
      <c r="DR121" s="1096"/>
      <c r="DT121" s="1514"/>
      <c r="DU121" s="1565" t="str">
        <f>IF(BW134="N/A","",BT133&amp;" "&amp;BW134&amp;IF(BY134="N/A"," "," ("&amp;BY134&amp;") "))</f>
        <v/>
      </c>
      <c r="DV121" s="1566" t="str">
        <f>IF(E121="","",E121)&amp;IF(I121="No",""," (Mant.)")&amp;IF(L121="No",""," (Sme)")&amp;IF(O121="No",""," (SMa)")</f>
        <v/>
      </c>
      <c r="DW121" s="1567" t="str">
        <f>IF(E151="","",E151)</f>
        <v/>
      </c>
      <c r="DX121" s="445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13"/>
      <c r="DZ121" s="1096"/>
      <c r="EA121" s="1660">
        <f t="shared" si="1"/>
        <v>1</v>
      </c>
    </row>
    <row r="122" spans="1:132" ht="11.25" customHeight="1" x14ac:dyDescent="0.2">
      <c r="A122" s="1096"/>
      <c r="B122" s="1096"/>
      <c r="C122" s="1497"/>
      <c r="D122" s="1642" t="s">
        <v>2310</v>
      </c>
      <c r="E122" s="1152"/>
      <c r="F122" s="1153" t="str">
        <f>IF(E122=0,"",VLOOKUP(E122,'Tablas Técnicas'!$A$14:$V$771,2,FALSE))</f>
        <v/>
      </c>
      <c r="G122" s="1154"/>
      <c r="H122" s="1155" t="str">
        <f>IF($E122=0,"",VLOOKUP($E122,'Tablas Técnicas'!$A$14:$V$771,4,FALSE))</f>
        <v/>
      </c>
      <c r="I122" s="1156" t="s">
        <v>2234</v>
      </c>
      <c r="J122" s="1605" t="str">
        <f>IF(E122=0,"",VLOOKUP(E122,'Tablas Técnicas'!$A$14:$V$771,5,FALSE))</f>
        <v/>
      </c>
      <c r="K122" s="1158" t="str">
        <f>IF(I122="Si",IF(E122=0,"",VLOOKUP(E122,'Tablas Técnicas'!$A$14:$V$771,5,FALSE)),"")</f>
        <v/>
      </c>
      <c r="L122" s="1156" t="s">
        <v>2234</v>
      </c>
      <c r="M122" s="1605" t="str">
        <f>IF(E122=0,"",VLOOKUP(E122,'Tablas Técnicas'!$A$14:$V$771,6,FALSE))</f>
        <v/>
      </c>
      <c r="N122" s="1159" t="str">
        <f>IF(L122="Si",IF(E122=0,"",VLOOKUP(E122,'Tablas Técnicas'!$A$14:$V$771,6,FALSE)),"")</f>
        <v/>
      </c>
      <c r="O122" s="1156" t="s">
        <v>2234</v>
      </c>
      <c r="P122" s="1605" t="str">
        <f>IF(E122=0,"",VLOOKUP(E122,'Tablas Técnicas'!$A$14:$V$771,7,FALSE))</f>
        <v/>
      </c>
      <c r="Q122" s="1159" t="str">
        <f>IF(O122="Si",IF(E122=0,"",VLOOKUP(E122,'Tablas Técnicas'!$A$14:$V$771,7,FALSE)),"")</f>
        <v/>
      </c>
      <c r="R122" s="1157" t="str">
        <f>IF(E122=0,"",VLOOKUP(E122,'Tablas Técnicas'!$A$14:$V$771,8,FALSE))</f>
        <v/>
      </c>
      <c r="S122" s="1155" t="str">
        <f>IF(R122=$D$8,$D$8,IF(R122=2,2,IF(R122=3,3,R122)))</f>
        <v/>
      </c>
      <c r="T122" s="4475" t="s">
        <v>5228</v>
      </c>
      <c r="U122" s="4476"/>
      <c r="V122" s="4476"/>
      <c r="W122" s="4476"/>
      <c r="X122" s="4476"/>
      <c r="Y122" s="4476"/>
      <c r="Z122" s="4476"/>
      <c r="AA122" s="4476"/>
      <c r="AB122" s="4476"/>
      <c r="AC122" s="4476"/>
      <c r="AD122" s="4476"/>
      <c r="AE122" s="4476"/>
      <c r="AF122" s="4476"/>
      <c r="AG122" s="4476"/>
      <c r="AH122" s="4476"/>
      <c r="AI122" s="4476"/>
      <c r="AJ122" s="4476"/>
      <c r="AK122" s="4476"/>
      <c r="AL122" s="4476"/>
      <c r="AM122" s="4476"/>
      <c r="AN122" s="4476"/>
      <c r="AO122" s="4476"/>
      <c r="AP122" s="4476"/>
      <c r="AQ122" s="4476"/>
      <c r="AR122" s="4476"/>
      <c r="AS122" s="4476"/>
      <c r="AT122" s="4476"/>
      <c r="AU122" s="4476"/>
      <c r="AV122" s="4476"/>
      <c r="AW122" s="4476"/>
      <c r="AX122" s="4476"/>
      <c r="AY122" s="4476"/>
      <c r="AZ122" s="4476"/>
      <c r="BA122" s="4476"/>
      <c r="BB122" s="4476"/>
      <c r="BC122" s="4476"/>
      <c r="BD122" s="4476"/>
      <c r="BE122" s="4476"/>
      <c r="BF122" s="4476"/>
      <c r="BG122" s="4476"/>
      <c r="BH122" s="4476"/>
      <c r="BI122" s="4476"/>
      <c r="BJ122" s="4476"/>
      <c r="BK122" s="4477"/>
      <c r="BL122" s="1627"/>
      <c r="BM122" s="1628"/>
      <c r="BN122" s="1149"/>
      <c r="BO122" s="1150"/>
      <c r="BP122" s="1135" t="str">
        <f>IF(I122="Si",VLOOKUP($D$8,'Tablas Técnicas'!$E$4:$F$6,2,FALSE),"")</f>
        <v/>
      </c>
      <c r="BQ122" s="1136" t="str">
        <f>IF(L122="Si",VLOOKUP($D$8,'Tablas Técnicas'!$I$4:$J$6,2,FALSE),"")</f>
        <v/>
      </c>
      <c r="BR122" s="1134" t="str">
        <f>IF(O122="Si",VLOOKUP($D$8,'Tablas Técnicas'!$I$7:$J$9,2,FALSE),"")</f>
        <v/>
      </c>
      <c r="BS122" s="1151"/>
      <c r="BT122" s="445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51"/>
      <c r="BV122" s="1128"/>
      <c r="BW122" s="1108"/>
      <c r="BX122" s="1108"/>
      <c r="BY122" s="1474"/>
      <c r="BZ122" s="1492"/>
      <c r="CA122" s="1096"/>
      <c r="DR122" s="1096"/>
      <c r="DT122" s="1514"/>
      <c r="DU122" s="1565" t="str">
        <f>IF(BW136="N/A","",BT135&amp;" "&amp;BW136&amp;IF(BY136="N/A"," "," ("&amp;BY136&amp;") "))</f>
        <v/>
      </c>
      <c r="DV122" s="1566" t="str">
        <f>IF(E122="",""," "&amp;E122)&amp;IF(I122="No",""," (Mant.)")&amp;IF(L122="No",""," (Sme)")&amp;IF(O122="No",""," (SMa)")</f>
        <v/>
      </c>
      <c r="DW122" s="1567" t="str">
        <f>IF(E152="","",", "&amp;E152)</f>
        <v/>
      </c>
      <c r="DX122" s="4454"/>
      <c r="DY122" s="1513"/>
      <c r="DZ122" s="1096"/>
      <c r="EA122" s="1660">
        <f t="shared" si="1"/>
        <v>1</v>
      </c>
    </row>
    <row r="123" spans="1:132" x14ac:dyDescent="0.2">
      <c r="A123" s="1096"/>
      <c r="B123" s="1096"/>
      <c r="C123" s="1497"/>
      <c r="D123" s="1643" t="s">
        <v>2310</v>
      </c>
      <c r="E123" s="1160"/>
      <c r="F123" s="2619" t="str">
        <f>IF(E123=0,"",VLOOKUP(E123,'Tablas Técnicas'!$A$14:$V$771,2,FALSE))</f>
        <v/>
      </c>
      <c r="G123" s="1142"/>
      <c r="H123" s="1161" t="str">
        <f>IF($E123=0,"",VLOOKUP($E123,'Tablas Técnicas'!$A$14:$V$771,4,FALSE))</f>
        <v/>
      </c>
      <c r="I123" s="1144" t="s">
        <v>2234</v>
      </c>
      <c r="J123" s="1601" t="str">
        <f>IF(E123=0,"",VLOOKUP(E123,'Tablas Técnicas'!$A$14:$V$771,5,FALSE))</f>
        <v/>
      </c>
      <c r="K123" s="1163" t="str">
        <f>IF(I123="Si",IF(E123=0,"",VLOOKUP(E123,'Tablas Técnicas'!$A$14:$V$771,5,FALSE)),"")</f>
        <v/>
      </c>
      <c r="L123" s="1144" t="s">
        <v>2234</v>
      </c>
      <c r="M123" s="1601" t="str">
        <f>IF(E123=0,"",VLOOKUP(E123,'Tablas Técnicas'!$A$14:$V$771,6,FALSE))</f>
        <v/>
      </c>
      <c r="N123" s="1147" t="str">
        <f>IF(L123="Si",IF(E123=0,"",VLOOKUP(E123,'Tablas Técnicas'!$A$14:$V$771,6,FALSE)),"")</f>
        <v/>
      </c>
      <c r="O123" s="1144" t="s">
        <v>2234</v>
      </c>
      <c r="P123" s="1601" t="str">
        <f>IF(E123=0,"",VLOOKUP(E123,'Tablas Técnicas'!$A$14:$V$771,7,FALSE))</f>
        <v/>
      </c>
      <c r="Q123" s="1147" t="str">
        <f>IF(O123="Si",IF(E123=0,"",VLOOKUP(E123,'Tablas Técnicas'!$A$14:$V$771,7,FALSE)),"")</f>
        <v/>
      </c>
      <c r="R123" s="1162" t="str">
        <f>IF(E123=0,"",VLOOKUP(E123,'Tablas Técnicas'!$A$14:$V$771,8,FALSE))</f>
        <v/>
      </c>
      <c r="S123" s="2619" t="str">
        <f>IF(R123=$D$8,$D$8,IF(R123=2,2,IF(R123=3,3,R123)))</f>
        <v/>
      </c>
      <c r="T123" s="4487"/>
      <c r="U123" s="4488"/>
      <c r="V123" s="2617" t="str">
        <f>IF(OR(V121=0,V121=""),"N/A",V121)</f>
        <v>N/A</v>
      </c>
      <c r="W123" s="4487" t="str">
        <f xml:space="preserve"> IF(OR(AF121=0,AF121=""),"N/A",W121)</f>
        <v>N/A</v>
      </c>
      <c r="X123" s="4489"/>
      <c r="Y123" s="4489"/>
      <c r="Z123" s="4489"/>
      <c r="AA123" s="4489"/>
      <c r="AB123" s="4489"/>
      <c r="AC123" s="4489"/>
      <c r="AD123" s="4489"/>
      <c r="AE123" s="4489"/>
      <c r="AF123" s="4488"/>
      <c r="AG123" s="4487" t="str">
        <f xml:space="preserve"> IF(OR(AP121="",AP121=0),"N/A",AG121)</f>
        <v>N/A</v>
      </c>
      <c r="AH123" s="4489"/>
      <c r="AI123" s="4489"/>
      <c r="AJ123" s="4489"/>
      <c r="AK123" s="4489"/>
      <c r="AL123" s="4489"/>
      <c r="AM123" s="4489"/>
      <c r="AN123" s="4489"/>
      <c r="AO123" s="4489"/>
      <c r="AP123" s="4488"/>
      <c r="AQ123" s="4487" t="str">
        <f xml:space="preserve"> IF(OR(AZ121="",AZ121=0),"N/A",AQ121)</f>
        <v>N/A</v>
      </c>
      <c r="AR123" s="4489"/>
      <c r="AS123" s="4489"/>
      <c r="AT123" s="4489"/>
      <c r="AU123" s="4489"/>
      <c r="AV123" s="4489"/>
      <c r="AW123" s="4489"/>
      <c r="AX123" s="4489"/>
      <c r="AY123" s="4489"/>
      <c r="AZ123" s="4488"/>
      <c r="BA123" s="4487" t="str">
        <f xml:space="preserve"> IF(OR(BJ121="",BJ121=0),"N/A",BA121)</f>
        <v>N/A</v>
      </c>
      <c r="BB123" s="4489"/>
      <c r="BC123" s="4489"/>
      <c r="BD123" s="4489"/>
      <c r="BE123" s="4489"/>
      <c r="BF123" s="4489"/>
      <c r="BG123" s="4489"/>
      <c r="BH123" s="4489"/>
      <c r="BI123" s="4489"/>
      <c r="BJ123" s="4488"/>
      <c r="BK123" s="1164" t="s">
        <v>5229</v>
      </c>
      <c r="BL123" s="1146"/>
      <c r="BM123" s="1181"/>
      <c r="BN123" s="1165"/>
      <c r="BO123" s="1166"/>
      <c r="BP123" s="1167" t="str">
        <f>IF(I123="Si",VLOOKUP($D$8,'Tablas Técnicas'!$E$4:$F$6,2,FALSE),"")</f>
        <v/>
      </c>
      <c r="BQ123" s="1137" t="str">
        <f>IF(L123="Si",VLOOKUP($D$8,'Tablas Técnicas'!$I$4:$J$6,2,FALSE),"")</f>
        <v/>
      </c>
      <c r="BR123" s="1168" t="str">
        <f>IF(O123="Si",VLOOKUP($D$8,'Tablas Técnicas'!$I$7:$J$9,2,FALSE),"")</f>
        <v/>
      </c>
      <c r="BS123" s="1169"/>
      <c r="BU123" s="2608"/>
      <c r="BV123" s="1128"/>
      <c r="BW123" s="1108"/>
      <c r="BX123" s="1108"/>
      <c r="BY123" s="1474"/>
      <c r="BZ123" s="1492"/>
      <c r="CA123" s="1096"/>
      <c r="DR123" s="1096"/>
      <c r="DT123" s="1514"/>
      <c r="DU123" s="1565" t="str">
        <f>IF(BW138="N/A","",BT137&amp;" "&amp;BW138&amp;IF(BY138="N/A"," "," ("&amp;BY138&amp;") "))</f>
        <v/>
      </c>
      <c r="DV123" s="1566" t="str">
        <f>IF(E123="","",E123)&amp;IF(I123="No",""," (Mant.)")&amp;IF(L123="No",""," (Sme)")&amp;IF(O123="No",""," (SMa)")</f>
        <v/>
      </c>
      <c r="DW123" s="1567" t="str">
        <f>IF(E153="","",", "&amp;E153)</f>
        <v/>
      </c>
      <c r="DX123" s="4454"/>
      <c r="DY123" s="1513"/>
      <c r="DZ123" s="1096"/>
      <c r="EA123" s="1660">
        <f t="shared" si="1"/>
        <v>1</v>
      </c>
    </row>
    <row r="124" spans="1:132" x14ac:dyDescent="0.2">
      <c r="A124" s="1096"/>
      <c r="B124" s="1096"/>
      <c r="C124" s="1497"/>
      <c r="D124" s="1642" t="s">
        <v>2310</v>
      </c>
      <c r="E124" s="1152"/>
      <c r="F124" s="1153" t="str">
        <f>IF(E124=0,"",VLOOKUP(E124,'Tablas Técnicas'!$A$14:$V$771,2,FALSE))</f>
        <v/>
      </c>
      <c r="G124" s="1154"/>
      <c r="H124" s="1155" t="str">
        <f>IF($E124=0,"",VLOOKUP($E124,'Tablas Técnicas'!$A$14:$V$771,4,FALSE))</f>
        <v/>
      </c>
      <c r="I124" s="1156" t="s">
        <v>2234</v>
      </c>
      <c r="J124" s="1605" t="str">
        <f>IF(E124=0,"",VLOOKUP(E124,'Tablas Técnicas'!$A$14:$V$771,5,FALSE))</f>
        <v/>
      </c>
      <c r="K124" s="1158" t="str">
        <f>IF(I124="Si",IF(E124=0,"",VLOOKUP(E124,'Tablas Técnicas'!$A$14:$V$771,5,FALSE)),"")</f>
        <v/>
      </c>
      <c r="L124" s="1156" t="s">
        <v>2234</v>
      </c>
      <c r="M124" s="1605" t="str">
        <f>IF(E124=0,"",VLOOKUP(E124,'Tablas Técnicas'!$A$14:$V$771,6,FALSE))</f>
        <v/>
      </c>
      <c r="N124" s="1159" t="str">
        <f>IF(L124="Si",IF(E124=0,"",VLOOKUP(E124,'Tablas Técnicas'!$A$14:$V$771,6,FALSE)),"")</f>
        <v/>
      </c>
      <c r="O124" s="1156" t="s">
        <v>2234</v>
      </c>
      <c r="P124" s="1605" t="str">
        <f>IF(E124=0,"",VLOOKUP(E124,'Tablas Técnicas'!$A$14:$V$771,7,FALSE))</f>
        <v/>
      </c>
      <c r="Q124" s="1159" t="str">
        <f>IF(O124="Si",IF(E124=0,"",VLOOKUP(E124,'Tablas Técnicas'!$A$14:$V$771,7,FALSE)),"")</f>
        <v/>
      </c>
      <c r="R124" s="1157" t="str">
        <f>IF(E124=0,"",VLOOKUP(E124,'Tablas Técnicas'!$A$14:$V$771,8,FALSE))</f>
        <v/>
      </c>
      <c r="S124" s="1155" t="str">
        <f>IF(R124=$D$8,$D$8,IF(R124=2,2,IF(R124=3,3,R124)))</f>
        <v/>
      </c>
      <c r="T124" s="4490" t="s">
        <v>5230</v>
      </c>
      <c r="U124" s="4491"/>
      <c r="V124" s="2618"/>
      <c r="W124" s="4492"/>
      <c r="X124" s="4493"/>
      <c r="Y124" s="4493"/>
      <c r="Z124" s="4493"/>
      <c r="AA124" s="4493"/>
      <c r="AB124" s="4493"/>
      <c r="AC124" s="4493"/>
      <c r="AD124" s="4493"/>
      <c r="AE124" s="4493"/>
      <c r="AF124" s="4494"/>
      <c r="AG124" s="4492"/>
      <c r="AH124" s="4493"/>
      <c r="AI124" s="4493"/>
      <c r="AJ124" s="4493"/>
      <c r="AK124" s="4493"/>
      <c r="AL124" s="4493"/>
      <c r="AM124" s="4493"/>
      <c r="AN124" s="4493"/>
      <c r="AO124" s="4493"/>
      <c r="AP124" s="4494"/>
      <c r="AQ124" s="4492"/>
      <c r="AR124" s="4493"/>
      <c r="AS124" s="4493"/>
      <c r="AT124" s="4493"/>
      <c r="AU124" s="4493"/>
      <c r="AV124" s="4493"/>
      <c r="AW124" s="4493"/>
      <c r="AX124" s="4493"/>
      <c r="AY124" s="4493"/>
      <c r="AZ124" s="4494"/>
      <c r="BA124" s="4492"/>
      <c r="BB124" s="4493"/>
      <c r="BC124" s="4493"/>
      <c r="BD124" s="4493"/>
      <c r="BE124" s="4493"/>
      <c r="BF124" s="4493"/>
      <c r="BG124" s="4493"/>
      <c r="BH124" s="4493"/>
      <c r="BI124" s="4493"/>
      <c r="BJ124" s="4494"/>
      <c r="BK124" s="1155">
        <f>(SUM(F121:F125)+IF(AF121="",0,AF121)+IF(AP121="",0,AP121)+IF(AZ121="",0,AZ121)+IF(BJ121="",0,BJ121)+SUM(K121:K125)+SUM(N121:N125)+SUM(Q121:Q125))- SUM(V124:BA124)</f>
        <v>0</v>
      </c>
      <c r="BL124" s="1627"/>
      <c r="BM124" s="1628"/>
      <c r="BN124" s="1149"/>
      <c r="BO124" s="1150"/>
      <c r="BP124" s="1135" t="str">
        <f>IF(I124="Si",VLOOKUP($D$8,'Tablas Técnicas'!$E$4:$F$6,2,FALSE),"")</f>
        <v/>
      </c>
      <c r="BQ124" s="1136" t="str">
        <f>IF(L124="Si",VLOOKUP($D$8,'Tablas Técnicas'!$I$4:$J$6,2,FALSE),"")</f>
        <v/>
      </c>
      <c r="BR124" s="1134" t="str">
        <f>IF(O124="Si",VLOOKUP($D$8,'Tablas Técnicas'!$I$7:$J$9,2,FALSE),"")</f>
        <v/>
      </c>
      <c r="BS124" s="1151"/>
      <c r="BT124" s="4448" t="s">
        <v>5231</v>
      </c>
      <c r="BU124" s="4449"/>
      <c r="BV124" s="1128"/>
      <c r="BW124" s="1108"/>
      <c r="BX124" s="1108"/>
      <c r="BY124" s="1474"/>
      <c r="BZ124" s="1492"/>
      <c r="CA124" s="1096"/>
      <c r="DR124" s="1096"/>
      <c r="DT124" s="1514"/>
      <c r="DU124" s="1565" t="str">
        <f>IF(BW140="N/A","",BT139&amp;" "&amp;BW140&amp;IF(BY140="N/A"," "," ("&amp;BY140&amp;") "))</f>
        <v/>
      </c>
      <c r="DV124" s="1566" t="str">
        <f>IF(E124="","",E124)&amp;IF(I124="No",""," (Mant.)")&amp;IF(L124="No",""," (Sme)")&amp;IF(O124="No",""," (SMa)")</f>
        <v/>
      </c>
      <c r="DW124" s="1567"/>
      <c r="DX124" s="4454"/>
      <c r="DY124" s="1513"/>
      <c r="DZ124" s="1096"/>
      <c r="EA124" s="1660">
        <f t="shared" si="1"/>
        <v>1</v>
      </c>
    </row>
    <row r="125" spans="1:132" s="1170" customFormat="1" x14ac:dyDescent="0.2">
      <c r="A125" s="1096"/>
      <c r="B125" s="1096"/>
      <c r="C125" s="1497"/>
      <c r="D125" s="1643" t="s">
        <v>2310</v>
      </c>
      <c r="E125" s="1160"/>
      <c r="F125" s="2619" t="str">
        <f>IF(E125=0,"",VLOOKUP(E125,'Tablas Técnicas'!$A$14:$V$771,2,FALSE))</f>
        <v/>
      </c>
      <c r="G125" s="1142"/>
      <c r="H125" s="1161" t="str">
        <f>IF($E125=0,"",VLOOKUP($E125,'Tablas Técnicas'!$A$14:$V$771,4,FALSE))</f>
        <v/>
      </c>
      <c r="I125" s="1144" t="s">
        <v>2234</v>
      </c>
      <c r="J125" s="1601" t="str">
        <f>IF(E125=0,"",VLOOKUP(E125,'Tablas Técnicas'!$A$14:$V$771,5,FALSE))</f>
        <v/>
      </c>
      <c r="K125" s="1163" t="str">
        <f>IF(I125="Si",IF(E125=0,"",VLOOKUP(E125,'Tablas Técnicas'!$A$14:$V$771,5,FALSE)),"")</f>
        <v/>
      </c>
      <c r="L125" s="1144" t="s">
        <v>2234</v>
      </c>
      <c r="M125" s="1601" t="str">
        <f>IF(E125=0,"",VLOOKUP(E125,'Tablas Técnicas'!$A$14:$V$771,6,FALSE))</f>
        <v/>
      </c>
      <c r="N125" s="1147" t="str">
        <f>IF(L125="Si",IF(E125=0,"",VLOOKUP(E125,'Tablas Técnicas'!$A$14:$V$771,6,FALSE)),"")</f>
        <v/>
      </c>
      <c r="O125" s="1144" t="s">
        <v>2234</v>
      </c>
      <c r="P125" s="1601" t="str">
        <f>IF(E125=0,"",VLOOKUP(E125,'Tablas Técnicas'!$A$14:$V$771,7,FALSE))</f>
        <v/>
      </c>
      <c r="Q125" s="1147" t="str">
        <f>IF(O125="Si",IF(E125=0,"",VLOOKUP(E125,'Tablas Técnicas'!$A$14:$V$771,7,FALSE)),"")</f>
        <v/>
      </c>
      <c r="R125" s="1162" t="str">
        <f>IF(E125=0,"",VLOOKUP(E125,'Tablas Técnicas'!$A$14:$V$771,8,FALSE))</f>
        <v/>
      </c>
      <c r="S125" s="1161" t="str">
        <f>IF(R125=$D$8,$D$8,IF(R125=2,2,IF(R125=3,3,R125)))</f>
        <v/>
      </c>
      <c r="T125" s="4482" t="s">
        <v>5232</v>
      </c>
      <c r="U125" s="4483"/>
      <c r="V125" s="2616"/>
      <c r="W125" s="4484"/>
      <c r="X125" s="4485"/>
      <c r="Y125" s="4485"/>
      <c r="Z125" s="4485"/>
      <c r="AA125" s="4485"/>
      <c r="AB125" s="4485"/>
      <c r="AC125" s="4485"/>
      <c r="AD125" s="4485"/>
      <c r="AE125" s="4485"/>
      <c r="AF125" s="4486"/>
      <c r="AG125" s="4484"/>
      <c r="AH125" s="4485"/>
      <c r="AI125" s="4485"/>
      <c r="AJ125" s="4485"/>
      <c r="AK125" s="4485"/>
      <c r="AL125" s="4485"/>
      <c r="AM125" s="4485"/>
      <c r="AN125" s="4485"/>
      <c r="AO125" s="4485"/>
      <c r="AP125" s="4486"/>
      <c r="AQ125" s="4484"/>
      <c r="AR125" s="4485"/>
      <c r="AS125" s="4485"/>
      <c r="AT125" s="4485"/>
      <c r="AU125" s="4485"/>
      <c r="AV125" s="4485"/>
      <c r="AW125" s="4485"/>
      <c r="AX125" s="4485"/>
      <c r="AY125" s="4485"/>
      <c r="AZ125" s="4486"/>
      <c r="BA125" s="4484"/>
      <c r="BB125" s="4485"/>
      <c r="BC125" s="4485"/>
      <c r="BD125" s="4485"/>
      <c r="BE125" s="4485"/>
      <c r="BF125" s="4485"/>
      <c r="BG125" s="4485"/>
      <c r="BH125" s="4485"/>
      <c r="BI125" s="4485"/>
      <c r="BJ125" s="4486"/>
      <c r="BK125" s="1171">
        <f>SUM(K121:K125)-SUM(V125:BA125)</f>
        <v>0</v>
      </c>
      <c r="BL125" s="1629"/>
      <c r="BM125" s="1630"/>
      <c r="BN125" s="1165"/>
      <c r="BO125" s="1166"/>
      <c r="BP125" s="1167" t="str">
        <f>IF(I125="Si",VLOOKUP($D$8,'Tablas Técnicas'!$E$4:$F$6,2,FALSE),"")</f>
        <v/>
      </c>
      <c r="BQ125" s="1137" t="str">
        <f>IF(L125="Si",VLOOKUP($D$8,'Tablas Técnicas'!$I$4:$J$6,2,FALSE),"")</f>
        <v/>
      </c>
      <c r="BR125" s="1168" t="str">
        <f>IF(O125="Si",VLOOKUP($D$8,'Tablas Técnicas'!$I$7:$J$9,2,FALSE),"")</f>
        <v/>
      </c>
      <c r="BS125" s="1169"/>
      <c r="BT125" s="4452" t="s">
        <v>2234</v>
      </c>
      <c r="BU125" s="4453"/>
      <c r="BV125" s="1128"/>
      <c r="BW125" s="1108"/>
      <c r="BX125" s="1108"/>
      <c r="BY125" s="1474"/>
      <c r="BZ125" s="1492"/>
      <c r="CA125" s="1096"/>
      <c r="DR125" s="1096"/>
      <c r="DS125" s="1509"/>
      <c r="DT125" s="1514"/>
      <c r="DU125" s="1565" t="str">
        <f>IF(BW142="N/A","",BT141&amp;" "&amp;BW142&amp;IF(BY142="N/A"," "," ("&amp;BY142&amp;") "))</f>
        <v/>
      </c>
      <c r="DV125" s="1566" t="str">
        <f>IF(E125="","",E125)&amp;IF(I125="No",""," (Mant.)")&amp;IF(L125="No",""," (Sme)")&amp;IF(O125="No",""," (SMa)")</f>
        <v/>
      </c>
      <c r="DW125" s="1567"/>
      <c r="DX125" s="4454"/>
      <c r="DY125" s="1513"/>
      <c r="DZ125" s="1096"/>
      <c r="EA125" s="1660">
        <f t="shared" si="1"/>
        <v>1</v>
      </c>
    </row>
    <row r="126" spans="1:132" x14ac:dyDescent="0.2">
      <c r="A126" s="1096"/>
      <c r="B126" s="159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97"/>
      <c r="D126" s="1644">
        <v>2</v>
      </c>
      <c r="E126" s="1423"/>
      <c r="F126" s="1173"/>
      <c r="G126" s="1174"/>
      <c r="H126" s="2559">
        <f>IF(AND(OR(ISNUMBER(SEARCH("Afinidad Elemental ("&amp;BK121&amp;")",Principal!$AF$30)),ISNUMBER(SEARCH("Afinidad Elemental ("&amp;BL121&amp;")",Principal!$AF$30)),ISNUMBER(SEARCH("Afinidad Elemental ("&amp;BM121&amp;")",Principal!$AF$30))),SUM(H121:H125)&gt;=5),-5,0)</f>
        <v>0</v>
      </c>
      <c r="I126" s="1603"/>
      <c r="J126" s="1606"/>
      <c r="K126" s="1174"/>
      <c r="L126" s="1603"/>
      <c r="M126" s="1606"/>
      <c r="N126" s="1174"/>
      <c r="O126" s="1603"/>
      <c r="P126" s="1606"/>
      <c r="Q126" s="1174"/>
      <c r="R126" s="1175"/>
      <c r="S126" s="1174"/>
      <c r="T126" s="1174"/>
      <c r="U126" s="1131"/>
      <c r="V126" s="1131"/>
      <c r="W126" s="1131"/>
      <c r="X126" s="1131"/>
      <c r="Y126" s="1131"/>
      <c r="Z126" s="1131"/>
      <c r="AA126" s="1131"/>
      <c r="AB126" s="1131"/>
      <c r="AC126" s="1131"/>
      <c r="AD126" s="1131"/>
      <c r="AE126" s="1131"/>
      <c r="AF126" s="1131"/>
      <c r="AG126" s="1131"/>
      <c r="AH126" s="1131"/>
      <c r="AI126" s="1131"/>
      <c r="AJ126" s="1131"/>
      <c r="AK126" s="1131"/>
      <c r="AL126" s="1131"/>
      <c r="AM126" s="1131"/>
      <c r="AN126" s="1131"/>
      <c r="AO126" s="1131"/>
      <c r="AP126" s="1131"/>
      <c r="AQ126" s="1131"/>
      <c r="AR126" s="1131"/>
      <c r="AS126" s="1131"/>
      <c r="AT126" s="1131"/>
      <c r="AU126" s="1131"/>
      <c r="AV126" s="1131"/>
      <c r="AW126" s="1131"/>
      <c r="AX126" s="1131"/>
      <c r="AY126" s="1131"/>
      <c r="AZ126" s="1131"/>
      <c r="BA126" s="1131"/>
      <c r="BB126" s="1131"/>
      <c r="BC126" s="1131"/>
      <c r="BD126" s="1131"/>
      <c r="BE126" s="1131"/>
      <c r="BF126" s="1131"/>
      <c r="BG126" s="1131"/>
      <c r="BH126" s="1131"/>
      <c r="BI126" s="1131"/>
      <c r="BJ126" s="1131"/>
      <c r="BK126" s="1131"/>
      <c r="BL126" s="1131"/>
      <c r="BM126" s="1133"/>
      <c r="BN126" s="1134">
        <f>SUM(K126:K129)</f>
        <v>0</v>
      </c>
      <c r="BO126" s="1128" t="str">
        <f>IF(E126=0,"",(AF126+AP126+AZ126+BJ126))</f>
        <v/>
      </c>
      <c r="BP126" s="1135" t="str">
        <f>IF(I126="Si",VLOOKUP($D$8,'Tablas Técnicas'!$E$4:$F$6,2,FALSE),"")</f>
        <v/>
      </c>
      <c r="BQ126" s="1136" t="str">
        <f>IF(L126="Si",VLOOKUP($D$8,'Tablas Técnicas'!$I$4:$J$6,2,FALSE),"")</f>
        <v/>
      </c>
      <c r="BR126" s="1134" t="str">
        <f>IF(O126="Si",VLOOKUP($D$8,'Tablas Técnicas'!$I$7:$J$9,2,FALSE),"")</f>
        <v/>
      </c>
      <c r="BS126" s="1151"/>
      <c r="BT126" s="4448" t="s">
        <v>5233</v>
      </c>
      <c r="BU126" s="4449"/>
      <c r="BV126" s="1128"/>
      <c r="BW126" s="1108"/>
      <c r="BX126" s="1108"/>
      <c r="BY126" s="1474"/>
      <c r="BZ126" s="1492"/>
      <c r="CA126" s="1096"/>
      <c r="DR126" s="1096"/>
      <c r="DT126" s="1514"/>
      <c r="DU126" s="1565" t="str">
        <f>IF(BW144="N/A","",BT143&amp;" "&amp;BW144&amp;IF(BY144="N/A"," "," ("&amp;BY144&amp;") "))</f>
        <v/>
      </c>
      <c r="DV126" s="1570"/>
      <c r="DW126" s="1567"/>
      <c r="DX126" s="1617" t="s">
        <v>2373</v>
      </c>
      <c r="DY126" s="1513"/>
      <c r="DZ126" s="1096"/>
      <c r="EA126" s="1660">
        <f t="shared" si="1"/>
        <v>1</v>
      </c>
    </row>
    <row r="127" spans="1:132" ht="11.25" customHeight="1" x14ac:dyDescent="0.2">
      <c r="A127" s="1096"/>
      <c r="B127" s="1096"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97"/>
      <c r="D127" s="1643" t="s">
        <v>2310</v>
      </c>
      <c r="E127" s="1140"/>
      <c r="F127" s="1176"/>
      <c r="G127" s="1146" t="str">
        <f>IF(E127=0,"",VLOOKUP(E127,'Tablas Técnicas'!$A$14:$V$771,3,FALSE))</f>
        <v/>
      </c>
      <c r="H127" s="1178" t="str">
        <f>IF($E127=0,"",VLOOKUP($E127,'Tablas Técnicas'!$A$14:$V$771,4,FALSE))</f>
        <v/>
      </c>
      <c r="I127" s="1144" t="s">
        <v>2234</v>
      </c>
      <c r="J127" s="1604" t="str">
        <f>IF(E127=0,"",VLOOKUP(E127,'Tablas Técnicas'!$A$14:$V$771,5,FALSE))</f>
        <v/>
      </c>
      <c r="K127" s="1177" t="str">
        <f>IF(I127="Si",IF(E127=0,"",VLOOKUP(E127,'Tablas Técnicas'!$A$14:$V$771,5,FALSE)),"")</f>
        <v/>
      </c>
      <c r="L127" s="1144" t="s">
        <v>2234</v>
      </c>
      <c r="M127" s="1604" t="str">
        <f>IF(E127=0,"",VLOOKUP(E127,'Tablas Técnicas'!$A$14:$V$771,6,FALSE))</f>
        <v/>
      </c>
      <c r="N127" s="1147" t="str">
        <f>IF(L127="Si",IF(E127=0,"",VLOOKUP(E127,'Tablas Técnicas'!$A$14:$V$771,6,FALSE)),"")</f>
        <v/>
      </c>
      <c r="O127" s="1144" t="s">
        <v>2234</v>
      </c>
      <c r="P127" s="1604" t="str">
        <f>IF(E127=0,"",VLOOKUP(E127,'Tablas Técnicas'!$A$14:$V$771,7,FALSE))</f>
        <v/>
      </c>
      <c r="Q127" s="1147" t="str">
        <f>IF(O127="Si",IF(E127=0,"",VLOOKUP(E127,'Tablas Técnicas'!$A$14:$V$771,7,FALSE)),"")</f>
        <v/>
      </c>
      <c r="R127" s="1179" t="str">
        <f>IF(E127=0,"",VLOOKUP(E127,'Tablas Técnicas'!$A$14:$V$771,8,FALSE))</f>
        <v/>
      </c>
      <c r="S127" s="1178" t="str">
        <f>IF(R127=$D$8,$D$8,IF(R127=2,2,IF(R127=3,3,R127)))</f>
        <v/>
      </c>
      <c r="T127" s="1146" t="str">
        <f>IF(E127=0,"",VLOOKUP(E127,'Tablas Técnicas'!$A$14:$V$771,9,FALSE))</f>
        <v/>
      </c>
      <c r="U127" s="1146" t="str">
        <f>IF(E127=0,"",VLOOKUP(E127,'Tablas Técnicas'!$A$14:$V$771,10,FALSE))</f>
        <v/>
      </c>
      <c r="V127" s="1141" t="str">
        <f>IF(E127=0,"",VLOOKUP(E127,'Tablas Técnicas'!$A$14:$V$771,11,FALSE))</f>
        <v/>
      </c>
      <c r="W127" s="1144"/>
      <c r="X127" s="1145" t="e">
        <f>VLOOKUP(E127,'Tablas Técnicas'!$A$14:$V$771,12,FALSE)</f>
        <v>#N/A</v>
      </c>
      <c r="Y127" s="1145" t="e">
        <f>IF(W127=X127,VLOOKUP(E127,'Tablas Técnicas'!$A$14:$V$771,13,FALSE),0)</f>
        <v>#N/A</v>
      </c>
      <c r="Z127" s="1145" t="e">
        <f>VLOOKUP(E127,'Tablas Técnicas'!$A$14:$V$771,14,FALSE)</f>
        <v>#N/A</v>
      </c>
      <c r="AA127" s="1145" t="e">
        <f>IF(W127=Z127,VLOOKUP(E127,'Tablas Técnicas'!$A$14:$V$616,15,FALSE),0)</f>
        <v>#N/A</v>
      </c>
      <c r="AB127" s="1145" t="e">
        <f>VLOOKUP(E127,'Tablas Técnicas'!$A$14:$V$771,16,FALSE)</f>
        <v>#N/A</v>
      </c>
      <c r="AC127" s="1145" t="e">
        <f>IF(W127=AB127,VLOOKUP(E127,'Tablas Técnicas'!$A$14:$V$616,17,FALSE),0)</f>
        <v>#N/A</v>
      </c>
      <c r="AD127" s="1145" t="e">
        <f>VLOOKUP(E127,'Tablas Técnicas'!$A$14:$V$771,18,FALSE)</f>
        <v>#N/A</v>
      </c>
      <c r="AE127" s="1145" t="e">
        <f>IF(W127=AD127,VLOOKUP(E127,'Tablas Técnicas'!$A$14:$V$771,19,FALSE),0)</f>
        <v>#N/A</v>
      </c>
      <c r="AF127" s="1146" t="str">
        <f>IF(E127=0,"",(Y127+AA127+AC127+AE127))</f>
        <v/>
      </c>
      <c r="AG127" s="1144"/>
      <c r="AH127" s="1179" t="e">
        <f>VLOOKUP(E127,'Tablas Técnicas'!$A$14:$V$771,12,FALSE)</f>
        <v>#N/A</v>
      </c>
      <c r="AI127" s="1179" t="e">
        <f>IF(AG127=AH127,VLOOKUP(E127,'Tablas Técnicas'!$A$14:$V$771,13,FALSE),0)</f>
        <v>#N/A</v>
      </c>
      <c r="AJ127" s="1179" t="e">
        <f>VLOOKUP(E127,'Tablas Técnicas'!$A$14:$V$771,14,FALSE)</f>
        <v>#N/A</v>
      </c>
      <c r="AK127" s="1179" t="e">
        <f>IF(AG127=AJ127,VLOOKUP(E127,'Tablas Técnicas'!$A$14:$V$771,15,FALSE),0)</f>
        <v>#N/A</v>
      </c>
      <c r="AL127" s="1179" t="e">
        <f>VLOOKUP(E127,'Tablas Técnicas'!$A$14:$V$771,16,FALSE)</f>
        <v>#N/A</v>
      </c>
      <c r="AM127" s="1179" t="e">
        <f>IF(AG127=AL127,VLOOKUP(E127,'Tablas Técnicas'!$A$14:$V$771,17,FALSE),0)</f>
        <v>#N/A</v>
      </c>
      <c r="AN127" s="1179" t="e">
        <f>VLOOKUP(E127,'Tablas Técnicas'!$A$14:$V$771,18,FALSE)</f>
        <v>#N/A</v>
      </c>
      <c r="AO127" s="1179" t="e">
        <f>IF(AG127=AN127,VLOOKUP(E127,'Tablas Técnicas'!$A$14:$V$771,19,FALSE),0)</f>
        <v>#N/A</v>
      </c>
      <c r="AP127" s="1180" t="str">
        <f>IF(E127=0,"",(AI127+AK127+AM127+AO127))</f>
        <v/>
      </c>
      <c r="AQ127" s="1144"/>
      <c r="AR127" s="1145" t="e">
        <f>VLOOKUP(E127,'Tablas Técnicas'!$A$14:$V$771,12,FALSE)</f>
        <v>#N/A</v>
      </c>
      <c r="AS127" s="1145" t="e">
        <f>IF(AQ127=AR127,VLOOKUP(E127,'Tablas Técnicas'!$A$14:$V$771,13,FALSE),0)</f>
        <v>#N/A</v>
      </c>
      <c r="AT127" s="1145" t="e">
        <f>VLOOKUP(E127,'Tablas Técnicas'!$A$14:$V$771,14,FALSE)</f>
        <v>#N/A</v>
      </c>
      <c r="AU127" s="1145" t="e">
        <f>IF(AQ127=AT127,VLOOKUP(E127,'Tablas Técnicas'!$A$14:$V$771,15,FALSE),0)</f>
        <v>#N/A</v>
      </c>
      <c r="AV127" s="1145" t="e">
        <f>VLOOKUP(E127,'Tablas Técnicas'!$A$14:$V$771,16,FALSE)</f>
        <v>#N/A</v>
      </c>
      <c r="AW127" s="1145" t="e">
        <f>IF(AQ127=AV127,VLOOKUP(E127,'Tablas Técnicas'!$A$14:$V$771,17,FALSE),0)</f>
        <v>#N/A</v>
      </c>
      <c r="AX127" s="1145" t="e">
        <f>VLOOKUP(E127,'Tablas Técnicas'!$A$14:$V$771,18,FALSE)</f>
        <v>#N/A</v>
      </c>
      <c r="AY127" s="1145" t="e">
        <f>IF(AQ127=AX127,VLOOKUP(E127,'Tablas Técnicas'!$A$14:$V$771,19,FALSE),0)</f>
        <v>#N/A</v>
      </c>
      <c r="AZ127" s="1146" t="str">
        <f>IF(E127=0,"",(AS127+AU127+AW127+AY127))</f>
        <v/>
      </c>
      <c r="BA127" s="1144"/>
      <c r="BB127" s="1145" t="e">
        <f>VLOOKUP(E127,'Tablas Técnicas'!$A$14:$V$771,12,FALSE)</f>
        <v>#N/A</v>
      </c>
      <c r="BC127" s="1145" t="e">
        <f>IF(BA127=BB127,VLOOKUP(E127,'Tablas Técnicas'!$A$14:$V$771,13,FALSE),0)</f>
        <v>#N/A</v>
      </c>
      <c r="BD127" s="1145" t="e">
        <f>VLOOKUP(E127,'Tablas Técnicas'!$A$14:$V$771,14,FALSE)</f>
        <v>#N/A</v>
      </c>
      <c r="BE127" s="1145" t="e">
        <f>IF(BA127=BD127,VLOOKUP(E127,'Tablas Técnicas'!$A$14:$V$771,15,FALSE),0)</f>
        <v>#N/A</v>
      </c>
      <c r="BF127" s="1145" t="e">
        <f>VLOOKUP(E127,'Tablas Técnicas'!$A$14:$V$771,16,FALSE)</f>
        <v>#N/A</v>
      </c>
      <c r="BG127" s="1145" t="e">
        <f>IF(BA127=BF127,VLOOKUP(E127,'Tablas Técnicas'!$A$14:$V$771,17,FALSE),0)</f>
        <v>#N/A</v>
      </c>
      <c r="BH127" s="1145" t="e">
        <f>VLOOKUP(E127,'Tablas Técnicas'!$A$14:$V$771,18,FALSE)</f>
        <v>#N/A</v>
      </c>
      <c r="BI127" s="1145" t="e">
        <f>IF(BA127=BH127,VLOOKUP(E127,'Tablas Técnicas'!$A$14:$V$771,19,FALSE),0)</f>
        <v>#N/A</v>
      </c>
      <c r="BJ127" s="1147" t="str">
        <f>IF(E127=0,"",(BC127+BE127+BG127+BI127))</f>
        <v/>
      </c>
      <c r="BK127" s="1146" t="str">
        <f>IF(E127=0,"",VLOOKUP(E127,'Tablas Técnicas'!$A$14:$V$771,20,FALSE))</f>
        <v/>
      </c>
      <c r="BL127" s="1146" t="str">
        <f>IF(E127=0,"",VLOOKUP(E127,'Tablas Técnicas'!$A$14:$V$771,21,FALSE))</f>
        <v/>
      </c>
      <c r="BM127" s="1181" t="str">
        <f>IF(E127=0,"",VLOOKUP(E127,'Tablas Técnicas'!$A$14:$V$771,22,FALSE))</f>
        <v/>
      </c>
      <c r="BN127" s="1149"/>
      <c r="BO127" s="1150"/>
      <c r="BP127" s="1135" t="str">
        <f>IF(I127="Si",VLOOKUP($D$8,'Tablas Técnicas'!$E$4:$F$6,2,FALSE),"")</f>
        <v/>
      </c>
      <c r="BQ127" s="1136" t="str">
        <f>IF(L127="Si",VLOOKUP($D$8,'Tablas Técnicas'!$I$4:$J$6,2,FALSE),"")</f>
        <v/>
      </c>
      <c r="BR127" s="1134" t="str">
        <f>IF(O127="Si",VLOOKUP($D$8,'Tablas Técnicas'!$I$7:$J$9,2,FALSE),"")</f>
        <v/>
      </c>
      <c r="BS127" s="1151"/>
      <c r="BT127" s="4452" t="s">
        <v>5213</v>
      </c>
      <c r="BU127" s="4453"/>
      <c r="BV127" s="1128"/>
      <c r="BW127" s="1108"/>
      <c r="BX127" s="1108"/>
      <c r="BY127" s="1474"/>
      <c r="BZ127" s="1492"/>
      <c r="CA127" s="1096"/>
      <c r="DR127" s="1096"/>
      <c r="DT127" s="1515"/>
      <c r="DU127" s="1569"/>
      <c r="DV127" s="1566" t="str">
        <f>IF(E127="","",", "&amp;E127)&amp;IF(I127="No",""," (Mant.)")&amp;IF(L127="No",""," (Sme)")&amp;IF(O127="No",""," (SMa)")</f>
        <v/>
      </c>
      <c r="DW127" s="1567"/>
      <c r="DX127" s="1568" t="str">
        <f>IF(ISNUMBER(FIND('Tablas Técnicas'!A$678,DW145)),BL151&amp;BM151,IF(ISNUMBER(FIND('Tablas Técnicas'!A$679,DW145)),BL151&amp;" "&amp;BM151,""))</f>
        <v/>
      </c>
      <c r="DY127" s="1516"/>
      <c r="DZ127" s="1096"/>
      <c r="EA127" s="1660">
        <f t="shared" si="1"/>
        <v>1</v>
      </c>
    </row>
    <row r="128" spans="1:132" ht="11.25" customHeight="1" x14ac:dyDescent="0.2">
      <c r="A128" s="1096"/>
      <c r="B128" s="1096"/>
      <c r="C128" s="1497"/>
      <c r="D128" s="1642" t="s">
        <v>2310</v>
      </c>
      <c r="E128" s="1152"/>
      <c r="F128" s="1182"/>
      <c r="G128" s="1627" t="str">
        <f>IF(E128=0,"",VLOOKUP(E128,'Tablas Técnicas'!$A$14:$V$771,3,FALSE))</f>
        <v/>
      </c>
      <c r="H128" s="1155" t="str">
        <f>IF($E128=0,"",VLOOKUP($E128,'Tablas Técnicas'!$A$14:$V$771,4,FALSE))</f>
        <v/>
      </c>
      <c r="I128" s="1156" t="s">
        <v>2234</v>
      </c>
      <c r="J128" s="1605" t="str">
        <f>IF(E128=0,"",VLOOKUP(E128,'Tablas Técnicas'!$A$14:$V$771,5,FALSE))</f>
        <v/>
      </c>
      <c r="K128" s="1158" t="str">
        <f>IF(I128="Si",IF(E128=0,"",VLOOKUP(E128,'Tablas Técnicas'!$A$14:$V$771,5,FALSE)),"")</f>
        <v/>
      </c>
      <c r="L128" s="1156" t="s">
        <v>2234</v>
      </c>
      <c r="M128" s="1605" t="str">
        <f>IF(E128=0,"",VLOOKUP(E128,'Tablas Técnicas'!$A$14:$V$771,6,FALSE))</f>
        <v/>
      </c>
      <c r="N128" s="1159" t="str">
        <f>IF(L128="Si",IF(E128=0,"",VLOOKUP(E128,'Tablas Técnicas'!$A$14:$V$771,6,FALSE)),"")</f>
        <v/>
      </c>
      <c r="O128" s="1156" t="s">
        <v>2234</v>
      </c>
      <c r="P128" s="1605" t="str">
        <f>IF(E128=0,"",VLOOKUP(E128,'Tablas Técnicas'!$A$14:$V$771,7,FALSE))</f>
        <v/>
      </c>
      <c r="Q128" s="1159" t="str">
        <f>IF(O128="Si",IF(E128=0,"",VLOOKUP(E128,'Tablas Técnicas'!$A$14:$V$771,7,FALSE)),"")</f>
        <v/>
      </c>
      <c r="R128" s="1157" t="str">
        <f>IF(E128=0,"",VLOOKUP(E128,'Tablas Técnicas'!$A$14:$V$771,8,FALSE))</f>
        <v/>
      </c>
      <c r="S128" s="1155" t="str">
        <f>IF(R128=$D$8,$D$8,IF(R128=2,2,IF(R128=3,3,R128)))</f>
        <v/>
      </c>
      <c r="T128" s="4475" t="s">
        <v>5228</v>
      </c>
      <c r="U128" s="4476"/>
      <c r="V128" s="4476"/>
      <c r="W128" s="4476"/>
      <c r="X128" s="4476"/>
      <c r="Y128" s="4476"/>
      <c r="Z128" s="4476"/>
      <c r="AA128" s="4476"/>
      <c r="AB128" s="4476"/>
      <c r="AC128" s="4476"/>
      <c r="AD128" s="4476"/>
      <c r="AE128" s="4476"/>
      <c r="AF128" s="4476"/>
      <c r="AG128" s="4476"/>
      <c r="AH128" s="4476"/>
      <c r="AI128" s="4476"/>
      <c r="AJ128" s="4476"/>
      <c r="AK128" s="4476"/>
      <c r="AL128" s="4476"/>
      <c r="AM128" s="4476"/>
      <c r="AN128" s="4476"/>
      <c r="AO128" s="4476"/>
      <c r="AP128" s="4476"/>
      <c r="AQ128" s="4476"/>
      <c r="AR128" s="4476"/>
      <c r="AS128" s="4476"/>
      <c r="AT128" s="4476"/>
      <c r="AU128" s="4476"/>
      <c r="AV128" s="4476"/>
      <c r="AW128" s="4476"/>
      <c r="AX128" s="4476"/>
      <c r="AY128" s="4476"/>
      <c r="AZ128" s="4476"/>
      <c r="BA128" s="4476"/>
      <c r="BB128" s="4476"/>
      <c r="BC128" s="4476"/>
      <c r="BD128" s="4476"/>
      <c r="BE128" s="4476"/>
      <c r="BF128" s="4476"/>
      <c r="BG128" s="4476"/>
      <c r="BH128" s="4476"/>
      <c r="BI128" s="4476"/>
      <c r="BJ128" s="4476"/>
      <c r="BK128" s="4477"/>
      <c r="BL128" s="1627"/>
      <c r="BM128" s="1628"/>
      <c r="BN128" s="1149"/>
      <c r="BO128" s="1150"/>
      <c r="BP128" s="1135" t="str">
        <f>IF(I128="Si",VLOOKUP($D$8,'Tablas Técnicas'!$E$4:$F$6,2,FALSE),"")</f>
        <v/>
      </c>
      <c r="BQ128" s="1136" t="str">
        <f>IF(L128="Si",VLOOKUP($D$8,'Tablas Técnicas'!$I$4:$J$6,2,FALSE),"")</f>
        <v/>
      </c>
      <c r="BR128" s="1134" t="str">
        <f>IF(O128="Si",VLOOKUP($D$8,'Tablas Técnicas'!$I$7:$J$9,2,FALSE),"")</f>
        <v/>
      </c>
      <c r="BS128" s="1151"/>
      <c r="BT128" s="4448" t="s">
        <v>5234</v>
      </c>
      <c r="BU128" s="4449"/>
      <c r="BV128" s="1128"/>
      <c r="BW128" s="1108"/>
      <c r="BX128" s="1108"/>
      <c r="BY128" s="1474"/>
      <c r="BZ128" s="1492"/>
      <c r="CA128" s="1096"/>
      <c r="DR128" s="1096"/>
      <c r="DT128" s="1514"/>
      <c r="DU128" s="1565"/>
      <c r="DV128" s="1566" t="str">
        <f>IF(E128="",""," "&amp;E128)&amp;IF(I128="No",""," (Mant.)")&amp;IF(L128="No",""," (Sme)")&amp;IF(O128="No",""," (SMa)")</f>
        <v/>
      </c>
      <c r="DW128" s="1567"/>
      <c r="DX128" s="1568"/>
      <c r="DY128" s="1513"/>
      <c r="DZ128" s="1096"/>
      <c r="EA128" s="1660">
        <f t="shared" si="1"/>
        <v>1</v>
      </c>
    </row>
    <row r="129" spans="1:131" s="1170" customFormat="1" x14ac:dyDescent="0.2">
      <c r="A129" s="1096"/>
      <c r="B129" s="1096"/>
      <c r="C129" s="1497"/>
      <c r="D129" s="1643" t="s">
        <v>2310</v>
      </c>
      <c r="E129" s="1160"/>
      <c r="F129" s="1176"/>
      <c r="G129" s="1146" t="str">
        <f>IF(E129=0,"",VLOOKUP(E129,'Tablas Técnicas'!$A$14:$V$771,3,FALSE))</f>
        <v/>
      </c>
      <c r="H129" s="2619" t="str">
        <f>IF($E129=0,"",VLOOKUP($E129,'Tablas Técnicas'!$A$14:$V$771,4,FALSE))</f>
        <v/>
      </c>
      <c r="I129" s="1144" t="s">
        <v>2234</v>
      </c>
      <c r="J129" s="1601" t="str">
        <f>IF(E129=0,"",VLOOKUP(E129,'Tablas Técnicas'!$A$14:$V$771,5,FALSE))</f>
        <v/>
      </c>
      <c r="K129" s="1163" t="str">
        <f>IF(I129="Si",IF(E129=0,"",VLOOKUP(E129,'Tablas Técnicas'!$A$14:$V$771,5,FALSE)),"")</f>
        <v/>
      </c>
      <c r="L129" s="1144" t="s">
        <v>2234</v>
      </c>
      <c r="M129" s="1601" t="str">
        <f>IF(E129=0,"",VLOOKUP(E129,'Tablas Técnicas'!$A$14:$V$771,6,FALSE))</f>
        <v/>
      </c>
      <c r="N129" s="1147" t="str">
        <f>IF(L129="Si",IF(E129=0,"",VLOOKUP(E129,'Tablas Técnicas'!$A$14:$V$771,6,FALSE)),"")</f>
        <v/>
      </c>
      <c r="O129" s="1144" t="s">
        <v>2234</v>
      </c>
      <c r="P129" s="1601" t="str">
        <f>IF(E129=0,"",VLOOKUP(E129,'Tablas Técnicas'!$A$14:$V$771,7,FALSE))</f>
        <v/>
      </c>
      <c r="Q129" s="1147" t="str">
        <f>IF(O129="Si",IF(E129=0,"",VLOOKUP(E129,'Tablas Técnicas'!$A$14:$V$771,7,FALSE)),"")</f>
        <v/>
      </c>
      <c r="R129" s="1162" t="str">
        <f>IF(E129=0,"",VLOOKUP(E129,'Tablas Técnicas'!$A$14:$V$771,8,FALSE))</f>
        <v/>
      </c>
      <c r="S129" s="2619" t="str">
        <f>IF(R129=$D$8,$D$8,IF(R129=2,2,IF(R129=3,3,R129)))</f>
        <v/>
      </c>
      <c r="T129" s="4487"/>
      <c r="U129" s="4488"/>
      <c r="V129" s="2617" t="str">
        <f>IF(OR(V127=0,V127=""),"N/A",V127)</f>
        <v>N/A</v>
      </c>
      <c r="W129" s="4487" t="str">
        <f xml:space="preserve"> IF(OR(AF127=0,AF127=""),"N/A",W127)</f>
        <v>N/A</v>
      </c>
      <c r="X129" s="4489"/>
      <c r="Y129" s="4489"/>
      <c r="Z129" s="4489"/>
      <c r="AA129" s="4489"/>
      <c r="AB129" s="4489"/>
      <c r="AC129" s="4489"/>
      <c r="AD129" s="4489"/>
      <c r="AE129" s="4489"/>
      <c r="AF129" s="4488"/>
      <c r="AG129" s="4487" t="str">
        <f xml:space="preserve"> IF(OR(AP127="",AP127=0),"N/A",AG127)</f>
        <v>N/A</v>
      </c>
      <c r="AH129" s="4489"/>
      <c r="AI129" s="4489"/>
      <c r="AJ129" s="4489"/>
      <c r="AK129" s="4489"/>
      <c r="AL129" s="4489"/>
      <c r="AM129" s="4489"/>
      <c r="AN129" s="4489"/>
      <c r="AO129" s="4489"/>
      <c r="AP129" s="4488"/>
      <c r="AQ129" s="4487" t="str">
        <f xml:space="preserve"> IF(OR(AZ127="",AZ127=0),"N/A",AQ127)</f>
        <v>N/A</v>
      </c>
      <c r="AR129" s="4489"/>
      <c r="AS129" s="4489"/>
      <c r="AT129" s="4489"/>
      <c r="AU129" s="4489"/>
      <c r="AV129" s="4489"/>
      <c r="AW129" s="4489"/>
      <c r="AX129" s="4489"/>
      <c r="AY129" s="4489"/>
      <c r="AZ129" s="4488"/>
      <c r="BA129" s="4487" t="str">
        <f xml:space="preserve"> IF(OR(BJ127="",BJ127=0),"N/A",BA127)</f>
        <v>N/A</v>
      </c>
      <c r="BB129" s="4489"/>
      <c r="BC129" s="4489"/>
      <c r="BD129" s="4489"/>
      <c r="BE129" s="4489"/>
      <c r="BF129" s="4489"/>
      <c r="BG129" s="4489"/>
      <c r="BH129" s="4489"/>
      <c r="BI129" s="4489"/>
      <c r="BJ129" s="4488"/>
      <c r="BK129" s="1164" t="s">
        <v>5229</v>
      </c>
      <c r="BL129" s="1146"/>
      <c r="BM129" s="1181"/>
      <c r="BN129" s="1149"/>
      <c r="BO129" s="1166"/>
      <c r="BP129" s="1135" t="str">
        <f>IF(I129="Si",VLOOKUP($D$8,'Tablas Técnicas'!$E$4:$F$6,2,FALSE),"")</f>
        <v/>
      </c>
      <c r="BQ129" s="1136" t="str">
        <f>IF(L129="Si",VLOOKUP($D$8,'Tablas Técnicas'!$I$4:$J$6,2,FALSE),"")</f>
        <v/>
      </c>
      <c r="BR129" s="1134" t="str">
        <f>IF(O129="Si",VLOOKUP($D$8,'Tablas Técnicas'!$I$7:$J$9,2,FALSE),"")</f>
        <v/>
      </c>
      <c r="BS129" s="1151"/>
      <c r="BT129" s="4452" t="s">
        <v>5207</v>
      </c>
      <c r="BU129" s="4453"/>
      <c r="BV129" s="1128"/>
      <c r="BW129" s="1108"/>
      <c r="BX129" s="1108"/>
      <c r="BY129" s="1474"/>
      <c r="BZ129" s="1492"/>
      <c r="CA129" s="1096"/>
      <c r="DR129" s="1096"/>
      <c r="DS129" s="1509"/>
      <c r="DT129" s="1514"/>
      <c r="DU129" s="1569"/>
      <c r="DV129" s="1566" t="str">
        <f>IF(E129="","",E129)&amp;IF(I129="No",""," (Mant.)")&amp;IF(L129="No",""," (Sme)")&amp;IF(O129="No",""," (SMa)")</f>
        <v/>
      </c>
      <c r="DW129" s="1567"/>
      <c r="DX129" s="1568"/>
      <c r="DY129" s="1513"/>
      <c r="DZ129" s="1096"/>
      <c r="EA129" s="1660">
        <f t="shared" si="1"/>
        <v>1</v>
      </c>
    </row>
    <row r="130" spans="1:131" x14ac:dyDescent="0.2">
      <c r="A130" s="1096"/>
      <c r="B130" s="1096"/>
      <c r="C130" s="1497"/>
      <c r="D130" s="1642" t="s">
        <v>2310</v>
      </c>
      <c r="E130" s="1152"/>
      <c r="F130" s="1182"/>
      <c r="G130" s="1627" t="str">
        <f>IF(E130=0,"",VLOOKUP(E130,'Tablas Técnicas'!$A$14:$V$771,3,FALSE))</f>
        <v/>
      </c>
      <c r="H130" s="1155" t="str">
        <f>IF($E130=0,"",VLOOKUP($E130,'Tablas Técnicas'!$A$14:$V$771,4,FALSE))</f>
        <v/>
      </c>
      <c r="I130" s="1156" t="s">
        <v>2234</v>
      </c>
      <c r="J130" s="1605" t="str">
        <f>IF(E130=0,"",VLOOKUP(E130,'Tablas Técnicas'!$A$14:$V$771,5,FALSE))</f>
        <v/>
      </c>
      <c r="K130" s="1158" t="str">
        <f>IF(I130="Si",IF(E130=0,"",VLOOKUP(E130,'Tablas Técnicas'!$A$14:$V$771,5,FALSE)),"")</f>
        <v/>
      </c>
      <c r="L130" s="1156" t="s">
        <v>2234</v>
      </c>
      <c r="M130" s="1605" t="str">
        <f>IF(E130=0,"",VLOOKUP(E130,'Tablas Técnicas'!$A$14:$V$771,6,FALSE))</f>
        <v/>
      </c>
      <c r="N130" s="1159" t="str">
        <f>IF(L130="Si",IF(E130=0,"",VLOOKUP(E130,'Tablas Técnicas'!$A$14:$V$771,6,FALSE)),"")</f>
        <v/>
      </c>
      <c r="O130" s="1156" t="s">
        <v>2234</v>
      </c>
      <c r="P130" s="1605" t="str">
        <f>IF(E130=0,"",VLOOKUP(E130,'Tablas Técnicas'!$A$14:$V$771,7,FALSE))</f>
        <v/>
      </c>
      <c r="Q130" s="1159" t="str">
        <f>IF(O130="Si",IF(E130=0,"",VLOOKUP(E130,'Tablas Técnicas'!$A$14:$V$771,7,FALSE)),"")</f>
        <v/>
      </c>
      <c r="R130" s="1157" t="str">
        <f>IF(E130=0,"",VLOOKUP(E130,'Tablas Técnicas'!$A$14:$V$771,8,FALSE))</f>
        <v/>
      </c>
      <c r="S130" s="1155" t="str">
        <f>IF(R130=$D$8,$D$8,IF(R130=2,2,IF(R130=3,3,R130)))</f>
        <v/>
      </c>
      <c r="T130" s="4490" t="s">
        <v>5230</v>
      </c>
      <c r="U130" s="4491"/>
      <c r="V130" s="2618"/>
      <c r="W130" s="4492"/>
      <c r="X130" s="4493"/>
      <c r="Y130" s="4493"/>
      <c r="Z130" s="4493"/>
      <c r="AA130" s="4493"/>
      <c r="AB130" s="4493"/>
      <c r="AC130" s="4493"/>
      <c r="AD130" s="4493"/>
      <c r="AE130" s="4493"/>
      <c r="AF130" s="4494"/>
      <c r="AG130" s="4492"/>
      <c r="AH130" s="4493"/>
      <c r="AI130" s="4493"/>
      <c r="AJ130" s="4493"/>
      <c r="AK130" s="4493"/>
      <c r="AL130" s="4493"/>
      <c r="AM130" s="4493"/>
      <c r="AN130" s="4493"/>
      <c r="AO130" s="4493"/>
      <c r="AP130" s="4494"/>
      <c r="AQ130" s="4492"/>
      <c r="AR130" s="4493"/>
      <c r="AS130" s="4493"/>
      <c r="AT130" s="4493"/>
      <c r="AU130" s="4493"/>
      <c r="AV130" s="4493"/>
      <c r="AW130" s="4493"/>
      <c r="AX130" s="4493"/>
      <c r="AY130" s="4493"/>
      <c r="AZ130" s="4494"/>
      <c r="BA130" s="4492"/>
      <c r="BB130" s="4493"/>
      <c r="BC130" s="4493"/>
      <c r="BD130" s="4493"/>
      <c r="BE130" s="4493"/>
      <c r="BF130" s="4493"/>
      <c r="BG130" s="4493"/>
      <c r="BH130" s="4493"/>
      <c r="BI130" s="4493"/>
      <c r="BJ130" s="4494"/>
      <c r="BK130" s="1155">
        <f>(SUM(G127:G131)+IF(AF127="",0,AF127)+IF(AP127="",0,AP127)+IF(AZ127="",0,AZ127)+IF(BJ127="",0,BJ127)+SUM(K127:K131)+SUM(N127:N131)+SUM(Q127:Q131))- SUM(V130:BA130)</f>
        <v>0</v>
      </c>
      <c r="BL130" s="1627"/>
      <c r="BM130" s="1628"/>
      <c r="BN130" s="1149"/>
      <c r="BO130" s="1150"/>
      <c r="BP130" s="1135" t="str">
        <f>IF(I130="Si",VLOOKUP($D$8,'Tablas Técnicas'!$E$4:$F$6,2,FALSE),"")</f>
        <v/>
      </c>
      <c r="BQ130" s="1136" t="str">
        <f>IF(L130="Si",VLOOKUP($D$8,'Tablas Técnicas'!$I$4:$J$6,2,FALSE),"")</f>
        <v/>
      </c>
      <c r="BR130" s="1134" t="str">
        <f>IF(O130="Si",VLOOKUP($D$8,'Tablas Técnicas'!$I$7:$J$9,2,FALSE),"")</f>
        <v/>
      </c>
      <c r="BS130" s="1151"/>
      <c r="BT130" s="4444" t="s">
        <v>5235</v>
      </c>
      <c r="BU130" s="4445"/>
      <c r="BV130" s="1128"/>
      <c r="BW130" s="1108"/>
      <c r="BX130" s="1108"/>
      <c r="BY130" s="1474"/>
      <c r="BZ130" s="1492"/>
      <c r="CA130" s="1096"/>
      <c r="DR130" s="1096"/>
      <c r="DT130" s="1514"/>
      <c r="DU130" s="1565"/>
      <c r="DV130" s="1566" t="str">
        <f>IF(E130="","",E130)&amp;IF(I130="No",""," (Mant.)")&amp;IF(L130="No",""," (Sme)")&amp;IF(O130="No",""," (SMa)")</f>
        <v/>
      </c>
      <c r="DW130" s="1567"/>
      <c r="DX130" s="1568"/>
      <c r="DY130" s="1513"/>
      <c r="DZ130" s="1096"/>
      <c r="EA130" s="1660">
        <f t="shared" si="1"/>
        <v>1</v>
      </c>
    </row>
    <row r="131" spans="1:131" x14ac:dyDescent="0.2">
      <c r="A131" s="1096"/>
      <c r="B131" s="1096"/>
      <c r="C131" s="1497"/>
      <c r="D131" s="1643" t="s">
        <v>2310</v>
      </c>
      <c r="E131" s="1160"/>
      <c r="F131" s="1176"/>
      <c r="G131" s="1146" t="str">
        <f>IF(E131=0,"",VLOOKUP(E131,'Tablas Técnicas'!$A$14:$V$771,3,FALSE))</f>
        <v/>
      </c>
      <c r="H131" s="1161" t="str">
        <f>IF($E131=0,"",VLOOKUP($E131,'Tablas Técnicas'!$A$14:$V$771,4,FALSE))</f>
        <v/>
      </c>
      <c r="I131" s="1144" t="s">
        <v>2234</v>
      </c>
      <c r="J131" s="1601" t="str">
        <f>IF(E131=0,"",VLOOKUP(E131,'Tablas Técnicas'!$A$14:$V$771,5,FALSE))</f>
        <v/>
      </c>
      <c r="K131" s="1163" t="str">
        <f>IF(I131="Si",IF(E131=0,"",VLOOKUP(E131,'Tablas Técnicas'!$A$14:$V$771,5,FALSE)),"")</f>
        <v/>
      </c>
      <c r="L131" s="1144" t="s">
        <v>2234</v>
      </c>
      <c r="M131" s="1601" t="str">
        <f>IF(E131=0,"",VLOOKUP(E131,'Tablas Técnicas'!$A$14:$V$771,6,FALSE))</f>
        <v/>
      </c>
      <c r="N131" s="1147" t="str">
        <f>IF(L131="Si",IF(E131=0,"",VLOOKUP(E131,'Tablas Técnicas'!$A$14:$V$771,6,FALSE)),"")</f>
        <v/>
      </c>
      <c r="O131" s="1144" t="s">
        <v>2234</v>
      </c>
      <c r="P131" s="1601" t="str">
        <f>IF(E131=0,"",VLOOKUP(E131,'Tablas Técnicas'!$A$14:$V$771,7,FALSE))</f>
        <v/>
      </c>
      <c r="Q131" s="1147" t="str">
        <f>IF(O131="Si",IF(E131=0,"",VLOOKUP(E131,'Tablas Técnicas'!$A$14:$V$771,7,FALSE)),"")</f>
        <v/>
      </c>
      <c r="R131" s="1162" t="str">
        <f>IF(E131=0,"",VLOOKUP(E131,'Tablas Técnicas'!$A$14:$V$771,8,FALSE))</f>
        <v/>
      </c>
      <c r="S131" s="1161" t="str">
        <f>IF(R131=$D$8,$D$8,IF(R131=2,2,IF(R131=3,3,R131)))</f>
        <v/>
      </c>
      <c r="T131" s="4482" t="s">
        <v>5232</v>
      </c>
      <c r="U131" s="4483"/>
      <c r="V131" s="2616"/>
      <c r="W131" s="4484"/>
      <c r="X131" s="4485"/>
      <c r="Y131" s="4485"/>
      <c r="Z131" s="4485"/>
      <c r="AA131" s="4485"/>
      <c r="AB131" s="4485"/>
      <c r="AC131" s="4485"/>
      <c r="AD131" s="4485"/>
      <c r="AE131" s="4485"/>
      <c r="AF131" s="4486"/>
      <c r="AG131" s="4484"/>
      <c r="AH131" s="4485"/>
      <c r="AI131" s="4485"/>
      <c r="AJ131" s="4485"/>
      <c r="AK131" s="4485"/>
      <c r="AL131" s="4485"/>
      <c r="AM131" s="4485"/>
      <c r="AN131" s="4485"/>
      <c r="AO131" s="4485"/>
      <c r="AP131" s="4486"/>
      <c r="AQ131" s="4484"/>
      <c r="AR131" s="4485"/>
      <c r="AS131" s="4485"/>
      <c r="AT131" s="4485"/>
      <c r="AU131" s="4485"/>
      <c r="AV131" s="4485"/>
      <c r="AW131" s="4485"/>
      <c r="AX131" s="4485"/>
      <c r="AY131" s="4485"/>
      <c r="AZ131" s="4486"/>
      <c r="BA131" s="4484"/>
      <c r="BB131" s="4485"/>
      <c r="BC131" s="4485"/>
      <c r="BD131" s="4485"/>
      <c r="BE131" s="4485"/>
      <c r="BF131" s="4485"/>
      <c r="BG131" s="4485"/>
      <c r="BH131" s="4485"/>
      <c r="BI131" s="4485"/>
      <c r="BJ131" s="4486"/>
      <c r="BK131" s="1171">
        <f>SUM(K127:K131)-SUM(V131:BA131)</f>
        <v>0</v>
      </c>
      <c r="BL131" s="1629"/>
      <c r="BM131" s="1630"/>
      <c r="BN131" s="1149"/>
      <c r="BO131" s="1166"/>
      <c r="BP131" s="1135" t="str">
        <f>IF(I131="Si",VLOOKUP($D$8,'Tablas Técnicas'!$E$4:$F$6,2,FALSE),"")</f>
        <v/>
      </c>
      <c r="BQ131" s="1136" t="str">
        <f>IF(L131="Si",VLOOKUP($D$8,'Tablas Técnicas'!$I$4:$J$6,2,FALSE),"")</f>
        <v/>
      </c>
      <c r="BR131" s="1134" t="str">
        <f>IF(O131="Si",VLOOKUP($D$8,'Tablas Técnicas'!$I$7:$J$9,2,FALSE),"")</f>
        <v/>
      </c>
      <c r="BS131" s="1151"/>
      <c r="BT131" s="1183">
        <f>IF(BT125="No",0,IF(D119=0,0,VLOOKUP(D119,'Tablas Técnicas'!$L$4:$N$7,2,FALSE)))+IF(BT127="Bajar coste de CM",0,IF(BT127="-5 CM",2,IF(BT127="-10 CM",4,IF(BT127="-15 CM",6,IF(BT127="-20 CM",8,0)))))+IF(BT129="Bajar coste de Ki",0,IF(BT129="-1 Ki",-1,IF(BT129="-2 Ki",-2,IF(BT129="-3 Ki",-3,IF(BT129="-4 Ki",-4,IF(BT129="-5 Ki",-5,0))))))-BU134-BU136-BU138-BU140-BU142-BU144</f>
        <v>0</v>
      </c>
      <c r="BU131" s="2612">
        <f>IF(BT125="No",0,IF(D119=0,0,VLOOKUP(D119,'Tablas Técnicas'!$L$4:$N$7,2,FALSE)))+IF(BT127="Bajar coste de CM",0,IF(BT127="-5 CM",2,IF(BT127="-10 CM",4,IF(BT127="-15 CM",6,IF(BT127="-20 CM",8,0)))))+IF(BT129="Bajar coste de Ki",0,IF(BT129="-1 Ki",-1,IF(BT129="-2 Ki",-2,IF(BT129="-3 Ki",-3,IF(BT129="-4 Ki",-4,IF(BT129="-5 Ki",-5,0))))))</f>
        <v>0</v>
      </c>
      <c r="BV131" s="1128"/>
      <c r="BW131" s="1108"/>
      <c r="BX131" s="1108"/>
      <c r="BY131" s="1474"/>
      <c r="BZ131" s="1492"/>
      <c r="CA131" s="1096"/>
      <c r="DR131" s="1096"/>
      <c r="DT131" s="1514"/>
      <c r="DU131" s="1569"/>
      <c r="DV131" s="1566" t="str">
        <f>IF(E131="","",E131)&amp;IF(I131="No",""," (Mant.)")&amp;IF(L131="No",""," (Sme)")&amp;IF(O131="No",""," (SMa)")</f>
        <v/>
      </c>
      <c r="DW131" s="1567"/>
      <c r="DX131" s="1568"/>
      <c r="DY131" s="1513"/>
      <c r="DZ131" s="1096"/>
      <c r="EA131" s="1660">
        <f t="shared" si="1"/>
        <v>1</v>
      </c>
    </row>
    <row r="132" spans="1:131" x14ac:dyDescent="0.2">
      <c r="A132" s="1096"/>
      <c r="B132" s="159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97"/>
      <c r="D132" s="1644">
        <v>3</v>
      </c>
      <c r="E132" s="1423"/>
      <c r="F132" s="1173"/>
      <c r="G132" s="1174"/>
      <c r="H132" s="2559">
        <f>IF(AND(OR(ISNUMBER(SEARCH("Afinidad Elemental ("&amp;BK127&amp;")",Principal!$AF$30)),ISNUMBER(SEARCH("Afinidad Elemental ("&amp;BL127&amp;")",Principal!$AF$30)),ISNUMBER(SEARCH("Afinidad Elemental ("&amp;BM127&amp;")",Principal!$AF$30))),SUM(H127:H131)&gt;=5),-5,0)</f>
        <v>0</v>
      </c>
      <c r="I132" s="1603"/>
      <c r="J132" s="1606"/>
      <c r="K132" s="1174"/>
      <c r="L132" s="1603"/>
      <c r="M132" s="1606"/>
      <c r="N132" s="1174"/>
      <c r="O132" s="1603"/>
      <c r="P132" s="1606"/>
      <c r="Q132" s="1174"/>
      <c r="R132" s="1175"/>
      <c r="S132" s="1174"/>
      <c r="T132" s="1174"/>
      <c r="U132" s="1174"/>
      <c r="V132" s="1174"/>
      <c r="W132" s="1174"/>
      <c r="X132" s="1174"/>
      <c r="Y132" s="1174"/>
      <c r="Z132" s="1174"/>
      <c r="AA132" s="1174"/>
      <c r="AB132" s="1174"/>
      <c r="AC132" s="1174"/>
      <c r="AD132" s="1174"/>
      <c r="AE132" s="1174"/>
      <c r="AF132" s="1174"/>
      <c r="AG132" s="1174"/>
      <c r="AH132" s="1174"/>
      <c r="AI132" s="1174"/>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c r="BD132" s="1174"/>
      <c r="BE132" s="1174"/>
      <c r="BF132" s="1174"/>
      <c r="BG132" s="1174"/>
      <c r="BH132" s="1174"/>
      <c r="BI132" s="1174"/>
      <c r="BJ132" s="1174"/>
      <c r="BK132" s="1174"/>
      <c r="BL132" s="1174"/>
      <c r="BM132" s="1184"/>
      <c r="BN132" s="1185">
        <f>SUM(K132:K135)</f>
        <v>0</v>
      </c>
      <c r="BO132" s="1128" t="str">
        <f>IF(E132=0,"",(AF132+AP132+AZ132+BJ132))</f>
        <v/>
      </c>
      <c r="BP132" s="1186" t="str">
        <f>IF(I132="Si",VLOOKUP($D$8,'Tablas Técnicas'!$E$4:$F$6,2,FALSE),"")</f>
        <v/>
      </c>
      <c r="BQ132" s="1187" t="str">
        <f>IF(L132="Si",VLOOKUP($D$8,'Tablas Técnicas'!$I$4:$J$6,2,FALSE),"")</f>
        <v/>
      </c>
      <c r="BR132" s="1185" t="str">
        <f>IF(O132="Si",VLOOKUP($D$8,'Tablas Técnicas'!$I$7:$J$9,2,FALSE),"")</f>
        <v/>
      </c>
      <c r="BS132" s="1151"/>
      <c r="BU132" s="2608"/>
      <c r="BV132" s="1128"/>
      <c r="BW132" s="1108"/>
      <c r="BX132" s="1108"/>
      <c r="BY132" s="1474"/>
      <c r="BZ132" s="1492"/>
      <c r="CA132" s="1096"/>
      <c r="DR132" s="1096"/>
      <c r="DT132" s="1514"/>
      <c r="DU132" s="1569"/>
      <c r="DV132" s="1570"/>
      <c r="DW132" s="1567"/>
      <c r="DX132" s="1568"/>
      <c r="DY132" s="1513"/>
      <c r="DZ132" s="1096"/>
      <c r="EA132" s="1660">
        <f t="shared" si="1"/>
        <v>1</v>
      </c>
    </row>
    <row r="133" spans="1:131" x14ac:dyDescent="0.2">
      <c r="A133" s="1096"/>
      <c r="B133" s="1096"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97"/>
      <c r="D133" s="1643" t="s">
        <v>2310</v>
      </c>
      <c r="E133" s="1140"/>
      <c r="F133" s="1176"/>
      <c r="G133" s="1146" t="str">
        <f>IF(E133=0,"",VLOOKUP(E133,'Tablas Técnicas'!$A$14:$V$771,3,FALSE))</f>
        <v/>
      </c>
      <c r="H133" s="1188" t="str">
        <f>IF($E133=0,"",VLOOKUP($E133,'Tablas Técnicas'!$A$14:$V$771,4,FALSE))</f>
        <v/>
      </c>
      <c r="I133" s="1144" t="s">
        <v>2234</v>
      </c>
      <c r="J133" s="1607" t="str">
        <f>IF(E133=0,"",VLOOKUP(E133,'Tablas Técnicas'!$A$14:$V$771,5,FALSE))</f>
        <v/>
      </c>
      <c r="K133" s="1190" t="str">
        <f>IF(I133="Si",IF(E133=0,"",VLOOKUP(E133,'Tablas Técnicas'!$A$14:$V$771,5,FALSE)),"")</f>
        <v/>
      </c>
      <c r="L133" s="1144" t="s">
        <v>2234</v>
      </c>
      <c r="M133" s="1607" t="str">
        <f>IF(E133=0,"",VLOOKUP(E133,'Tablas Técnicas'!$A$14:$V$771,6,FALSE))</f>
        <v/>
      </c>
      <c r="N133" s="1147" t="str">
        <f>IF(L133="Si",IF(E133=0,"",VLOOKUP(E133,'Tablas Técnicas'!$A$14:$V$771,6,FALSE)),"")</f>
        <v/>
      </c>
      <c r="O133" s="1144" t="s">
        <v>2234</v>
      </c>
      <c r="P133" s="1607" t="str">
        <f>IF(E133=0,"",VLOOKUP(E133,'Tablas Técnicas'!$A$14:$V$771,7,FALSE))</f>
        <v/>
      </c>
      <c r="Q133" s="1147" t="str">
        <f>IF(O133="Si",IF(E133=0,"",VLOOKUP(E133,'Tablas Técnicas'!$A$14:$V$771,7,FALSE)),"")</f>
        <v/>
      </c>
      <c r="R133" s="1189" t="str">
        <f>IF(E133=0,"",VLOOKUP(E133,'Tablas Técnicas'!$A$14:$V$771,8,FALSE))</f>
        <v/>
      </c>
      <c r="S133" s="1161" t="str">
        <f>IF(R133=$D$8,$D$8,IF(R133=2,2,IF(R133=3,3,R133)))</f>
        <v/>
      </c>
      <c r="T133" s="1190" t="str">
        <f>IF(E133=0,"",VLOOKUP(E133,'Tablas Técnicas'!$A$14:$V$771,9,FALSE))</f>
        <v/>
      </c>
      <c r="U133" s="1190" t="str">
        <f>IF(E133=0,"",VLOOKUP(E133,'Tablas Técnicas'!$A$14:$V$771,10,FALSE))</f>
        <v/>
      </c>
      <c r="V133" s="1191" t="str">
        <f>IF(E133=0,"",VLOOKUP(E133,'Tablas Técnicas'!$A$14:$V$771,11,FALSE))</f>
        <v/>
      </c>
      <c r="W133" s="1144"/>
      <c r="X133" s="1145" t="e">
        <f>VLOOKUP(E133,'Tablas Técnicas'!$A$14:$V$771,12,FALSE)</f>
        <v>#N/A</v>
      </c>
      <c r="Y133" s="1145" t="e">
        <f>IF(W133=X133,VLOOKUP(E133,'Tablas Técnicas'!$A$14:$V$771,13,FALSE),0)</f>
        <v>#N/A</v>
      </c>
      <c r="Z133" s="1145" t="e">
        <f>VLOOKUP(E133,'Tablas Técnicas'!$A$14:$V$771,14,FALSE)</f>
        <v>#N/A</v>
      </c>
      <c r="AA133" s="1145" t="e">
        <f>IF(W133=Z133,VLOOKUP(E133,'Tablas Técnicas'!$A$14:$V$616,15,FALSE),0)</f>
        <v>#N/A</v>
      </c>
      <c r="AB133" s="1145" t="e">
        <f>VLOOKUP(E133,'Tablas Técnicas'!$A$14:$V$771,16,FALSE)</f>
        <v>#N/A</v>
      </c>
      <c r="AC133" s="1145" t="e">
        <f>IF(W133=AB133,VLOOKUP(E133,'Tablas Técnicas'!$A$14:$V$616,17,FALSE),0)</f>
        <v>#N/A</v>
      </c>
      <c r="AD133" s="1145" t="e">
        <f>VLOOKUP(E133,'Tablas Técnicas'!$A$14:$V$771,18,FALSE)</f>
        <v>#N/A</v>
      </c>
      <c r="AE133" s="1145" t="e">
        <f>IF(W133=AD133,VLOOKUP(E133,'Tablas Técnicas'!$A$14:$V$771,19,FALSE),0)</f>
        <v>#N/A</v>
      </c>
      <c r="AF133" s="1163" t="str">
        <f>IF(E133=0,"",(Y133+AA133+AC133+AE133))</f>
        <v/>
      </c>
      <c r="AG133" s="1144"/>
      <c r="AH133" s="1162" t="e">
        <f>VLOOKUP(E133,'Tablas Técnicas'!$A$14:$V$771,12,FALSE)</f>
        <v>#N/A</v>
      </c>
      <c r="AI133" s="1162" t="e">
        <f>IF(AG133=AH133,VLOOKUP(E133,'Tablas Técnicas'!$A$14:$V$771,13,FALSE),0)</f>
        <v>#N/A</v>
      </c>
      <c r="AJ133" s="1162" t="e">
        <f>VLOOKUP(E133,'Tablas Técnicas'!$A$14:$V$771,14,FALSE)</f>
        <v>#N/A</v>
      </c>
      <c r="AK133" s="1162" t="e">
        <f>IF(AG133=AJ133,VLOOKUP(E133,'Tablas Técnicas'!$A$14:$V$771,15,FALSE),0)</f>
        <v>#N/A</v>
      </c>
      <c r="AL133" s="1162" t="e">
        <f>VLOOKUP(E133,'Tablas Técnicas'!$A$14:$V$771,16,FALSE)</f>
        <v>#N/A</v>
      </c>
      <c r="AM133" s="1162" t="e">
        <f>IF(AG133=AL133,VLOOKUP(E133,'Tablas Técnicas'!$A$14:$V$771,17,FALSE),0)</f>
        <v>#N/A</v>
      </c>
      <c r="AN133" s="1162" t="e">
        <f>VLOOKUP(E133,'Tablas Técnicas'!$A$14:$V$771,18,FALSE)</f>
        <v>#N/A</v>
      </c>
      <c r="AO133" s="1162" t="e">
        <f>IF(AG133=AN133,VLOOKUP(E133,'Tablas Técnicas'!$A$14:$V$771,19,FALSE),0)</f>
        <v>#N/A</v>
      </c>
      <c r="AP133" s="2620" t="str">
        <f>IF(E133=0,"",(AI133+AK133+AM133+AO133))</f>
        <v/>
      </c>
      <c r="AQ133" s="1144"/>
      <c r="AR133" s="1162" t="e">
        <f>VLOOKUP(E133,'Tablas Técnicas'!$A$14:$V$771,12,FALSE)</f>
        <v>#N/A</v>
      </c>
      <c r="AS133" s="1162" t="e">
        <f>IF(AQ133=AR133,VLOOKUP(E133,'Tablas Técnicas'!$A$14:$V$771,13,FALSE),0)</f>
        <v>#N/A</v>
      </c>
      <c r="AT133" s="1162" t="e">
        <f>VLOOKUP(E133,'Tablas Técnicas'!$A$14:$V$771,14,FALSE)</f>
        <v>#N/A</v>
      </c>
      <c r="AU133" s="1162" t="e">
        <f>IF(AQ133=AT133,VLOOKUP(E133,'Tablas Técnicas'!$A$14:$V$771,15,FALSE),0)</f>
        <v>#N/A</v>
      </c>
      <c r="AV133" s="1162" t="e">
        <f>VLOOKUP(E133,'Tablas Técnicas'!$A$14:$V$771,16,FALSE)</f>
        <v>#N/A</v>
      </c>
      <c r="AW133" s="1162" t="e">
        <f>IF(AQ133=AV133,VLOOKUP(E133,'Tablas Técnicas'!$A$14:$V$771,17,FALSE),0)</f>
        <v>#N/A</v>
      </c>
      <c r="AX133" s="1162" t="e">
        <f>VLOOKUP(E133,'Tablas Técnicas'!$A$14:$V$771,18,FALSE)</f>
        <v>#N/A</v>
      </c>
      <c r="AY133" s="1162" t="e">
        <f>IF(AQ133=AX133,VLOOKUP(E133,'Tablas Técnicas'!$A$14:$V$771,19,FALSE),0)</f>
        <v>#N/A</v>
      </c>
      <c r="AZ133" s="1163" t="str">
        <f>IF(E133=0,"",(AS133+AU133+AW133+AY133))</f>
        <v/>
      </c>
      <c r="BA133" s="1144"/>
      <c r="BB133" s="1162" t="e">
        <f>VLOOKUP(E133,'Tablas Técnicas'!$A$14:$V$771,12,FALSE)</f>
        <v>#N/A</v>
      </c>
      <c r="BC133" s="1162" t="e">
        <f>IF(BA133=BB133,VLOOKUP(E133,'Tablas Técnicas'!$A$14:$V$771,13,FALSE),0)</f>
        <v>#N/A</v>
      </c>
      <c r="BD133" s="1162" t="e">
        <f>VLOOKUP(E133,'Tablas Técnicas'!$A$14:$V$771,14,FALSE)</f>
        <v>#N/A</v>
      </c>
      <c r="BE133" s="1162" t="e">
        <f>IF(BA133=BD133,VLOOKUP(E133,'Tablas Técnicas'!$A$14:$V$771,15,FALSE),0)</f>
        <v>#N/A</v>
      </c>
      <c r="BF133" s="1162" t="e">
        <f>VLOOKUP(E133,'Tablas Técnicas'!$A$14:$V$771,16,FALSE)</f>
        <v>#N/A</v>
      </c>
      <c r="BG133" s="1162" t="e">
        <f>IF(BA133=BF133,VLOOKUP(E133,'Tablas Técnicas'!$A$14:$V$771,17,FALSE),0)</f>
        <v>#N/A</v>
      </c>
      <c r="BH133" s="1162" t="e">
        <f>VLOOKUP(E133,'Tablas Técnicas'!$A$14:$V$771,18,FALSE)</f>
        <v>#N/A</v>
      </c>
      <c r="BI133" s="1162" t="e">
        <f>IF(BA133=BH133,VLOOKUP(E133,'Tablas Técnicas'!$A$14:$V$771,19,FALSE),0)</f>
        <v>#N/A</v>
      </c>
      <c r="BJ133" s="2620" t="str">
        <f>IF(E133=0,"",(BC133+BE133+BG133+BI133))</f>
        <v/>
      </c>
      <c r="BK133" s="1190" t="str">
        <f>IF(E133=0,"",VLOOKUP(E133,'Tablas Técnicas'!$A$14:$V$771,20,FALSE))</f>
        <v/>
      </c>
      <c r="BL133" s="1177" t="str">
        <f>IF(E133=0,"",VLOOKUP(E133,'Tablas Técnicas'!$A$14:$V$771,21,FALSE))</f>
        <v/>
      </c>
      <c r="BM133" s="1148" t="str">
        <f>IF(E133=0,"",VLOOKUP(E133,'Tablas Técnicas'!$A$14:$V$771,22,FALSE))</f>
        <v/>
      </c>
      <c r="BN133" s="1149"/>
      <c r="BO133" s="1150"/>
      <c r="BP133" s="1135" t="str">
        <f>IF(I133="Si",VLOOKUP($D$8,'Tablas Técnicas'!$E$4:$F$6,2,FALSE),"")</f>
        <v/>
      </c>
      <c r="BQ133" s="1136" t="str">
        <f>IF(L133="Si",VLOOKUP($D$8,'Tablas Técnicas'!$I$4:$J$6,2,FALSE),"")</f>
        <v/>
      </c>
      <c r="BR133" s="1134" t="str">
        <f>IF(O133="Si",VLOOKUP($D$8,'Tablas Técnicas'!$I$7:$J$9,2,FALSE),"")</f>
        <v/>
      </c>
      <c r="BS133" s="1151"/>
      <c r="BT133" s="2609" t="s">
        <v>2226</v>
      </c>
      <c r="BU133" s="2610" t="s">
        <v>5236</v>
      </c>
      <c r="BV133" s="1128"/>
      <c r="BW133" s="2610" t="s">
        <v>5237</v>
      </c>
      <c r="BX133" s="2609" t="s">
        <v>5238</v>
      </c>
      <c r="BY133" s="1488" t="s">
        <v>5238</v>
      </c>
      <c r="BZ133" s="1492"/>
      <c r="CA133" s="1096"/>
      <c r="DR133" s="1096"/>
      <c r="DT133" s="1514"/>
      <c r="DU133" s="1569"/>
      <c r="DV133" s="1566" t="str">
        <f>IF(E133="","",", "&amp;E133)&amp;IF(I133="No",""," (Mant.)")&amp;IF(L133="No",""," (Sme)")&amp;IF(O133="No",""," (SMa)")</f>
        <v/>
      </c>
      <c r="DW133" s="1567"/>
      <c r="DX133" s="1568"/>
      <c r="DY133" s="1513"/>
      <c r="DZ133" s="1096"/>
      <c r="EA133" s="1660">
        <f t="shared" si="1"/>
        <v>1</v>
      </c>
    </row>
    <row r="134" spans="1:131" x14ac:dyDescent="0.2">
      <c r="A134" s="1096"/>
      <c r="B134" s="1096"/>
      <c r="C134" s="1497"/>
      <c r="D134" s="1642" t="s">
        <v>2310</v>
      </c>
      <c r="E134" s="1152"/>
      <c r="F134" s="1182"/>
      <c r="G134" s="1627" t="str">
        <f>IF(E134=0,"",VLOOKUP(E134,'Tablas Técnicas'!$A$14:$V$771,3,FALSE))</f>
        <v/>
      </c>
      <c r="H134" s="1155" t="str">
        <f>IF($E134=0,"",VLOOKUP($E134,'Tablas Técnicas'!$A$14:$V$771,4,FALSE))</f>
        <v/>
      </c>
      <c r="I134" s="1156" t="s">
        <v>2234</v>
      </c>
      <c r="J134" s="1605" t="str">
        <f>IF(E134=0,"",VLOOKUP(E134,'Tablas Técnicas'!$A$14:$V$771,5,FALSE))</f>
        <v/>
      </c>
      <c r="K134" s="1158" t="str">
        <f>IF(I134="Si",IF(E134=0,"",VLOOKUP(E134,'Tablas Técnicas'!$A$14:$V$771,5,FALSE)),"")</f>
        <v/>
      </c>
      <c r="L134" s="1156" t="s">
        <v>2234</v>
      </c>
      <c r="M134" s="1605" t="str">
        <f>IF(E134=0,"",VLOOKUP(E134,'Tablas Técnicas'!$A$14:$V$771,6,FALSE))</f>
        <v/>
      </c>
      <c r="N134" s="1159" t="str">
        <f>IF(L134="Si",IF(E134=0,"",VLOOKUP(E134,'Tablas Técnicas'!$A$14:$V$771,6,FALSE)),"")</f>
        <v/>
      </c>
      <c r="O134" s="1156" t="s">
        <v>2234</v>
      </c>
      <c r="P134" s="1605" t="str">
        <f>IF(E134=0,"",VLOOKUP(E134,'Tablas Técnicas'!$A$14:$V$771,7,FALSE))</f>
        <v/>
      </c>
      <c r="Q134" s="1159" t="str">
        <f>IF(O134="Si",IF(E134=0,"",VLOOKUP(E134,'Tablas Técnicas'!$A$14:$V$771,7,FALSE)),"")</f>
        <v/>
      </c>
      <c r="R134" s="1157" t="str">
        <f>IF(E134=0,"",VLOOKUP(E134,'Tablas Técnicas'!$A$14:$V$771,8,FALSE))</f>
        <v/>
      </c>
      <c r="S134" s="1155" t="str">
        <f>IF(R134=$D$8,$D$8,IF(R134=2,2,IF(R134=3,3,R134)))</f>
        <v/>
      </c>
      <c r="T134" s="4475" t="s">
        <v>5228</v>
      </c>
      <c r="U134" s="4476"/>
      <c r="V134" s="4476"/>
      <c r="W134" s="4476"/>
      <c r="X134" s="4476"/>
      <c r="Y134" s="4476"/>
      <c r="Z134" s="4476"/>
      <c r="AA134" s="4476"/>
      <c r="AB134" s="4476"/>
      <c r="AC134" s="4476"/>
      <c r="AD134" s="4476"/>
      <c r="AE134" s="4476"/>
      <c r="AF134" s="4476"/>
      <c r="AG134" s="4476"/>
      <c r="AH134" s="4476"/>
      <c r="AI134" s="4476"/>
      <c r="AJ134" s="4476"/>
      <c r="AK134" s="4476"/>
      <c r="AL134" s="4476"/>
      <c r="AM134" s="4476"/>
      <c r="AN134" s="4476"/>
      <c r="AO134" s="4476"/>
      <c r="AP134" s="4476"/>
      <c r="AQ134" s="4476"/>
      <c r="AR134" s="4476"/>
      <c r="AS134" s="4476"/>
      <c r="AT134" s="4476"/>
      <c r="AU134" s="4476"/>
      <c r="AV134" s="4476"/>
      <c r="AW134" s="4476"/>
      <c r="AX134" s="4476"/>
      <c r="AY134" s="4476"/>
      <c r="AZ134" s="4476"/>
      <c r="BA134" s="4476"/>
      <c r="BB134" s="4476"/>
      <c r="BC134" s="4476"/>
      <c r="BD134" s="4476"/>
      <c r="BE134" s="4476"/>
      <c r="BF134" s="4476"/>
      <c r="BG134" s="4476"/>
      <c r="BH134" s="4476"/>
      <c r="BI134" s="4476"/>
      <c r="BJ134" s="4476"/>
      <c r="BK134" s="4477"/>
      <c r="BL134" s="1627"/>
      <c r="BM134" s="1628"/>
      <c r="BN134" s="1149"/>
      <c r="BO134" s="1150"/>
      <c r="BP134" s="1135" t="str">
        <f>IF(I134="Si",VLOOKUP($D$8,'Tablas Técnicas'!$E$4:$F$6,2,FALSE),"")</f>
        <v/>
      </c>
      <c r="BQ134" s="1136" t="str">
        <f>IF(L134="Si",VLOOKUP($D$8,'Tablas Técnicas'!$I$4:$J$6,2,FALSE),"")</f>
        <v/>
      </c>
      <c r="BR134" s="1134" t="str">
        <f>IF(O134="Si",VLOOKUP($D$8,'Tablas Técnicas'!$I$7:$J$9,2,FALSE),"")</f>
        <v/>
      </c>
      <c r="BS134" s="1151"/>
      <c r="BT134" s="261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92"/>
      <c r="BV134" s="1128"/>
      <c r="BW134" s="1183" t="str">
        <f>IF(SUM(BT134:BU134)=0,"N/A",SUM(BT134:BU134))</f>
        <v>N/A</v>
      </c>
      <c r="BX134" s="261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83" t="str">
        <f>IF(BX134=0,"N/A",BX134)</f>
        <v>N/A</v>
      </c>
      <c r="BZ134" s="1492"/>
      <c r="CA134" s="1096"/>
      <c r="DR134" s="1096"/>
      <c r="DT134" s="1514"/>
      <c r="DU134" s="1569"/>
      <c r="DV134" s="1566" t="str">
        <f>IF(E134="",""," "&amp;E134)&amp;IF(I134="No",""," (Mant.)")&amp;IF(L134="No",""," (Sme)")&amp;IF(O134="No",""," (SMa)")</f>
        <v/>
      </c>
      <c r="DW134" s="1567"/>
      <c r="DX134" s="1568"/>
      <c r="DY134" s="1513"/>
      <c r="DZ134" s="1096"/>
      <c r="EA134" s="1660">
        <f t="shared" si="1"/>
        <v>1</v>
      </c>
    </row>
    <row r="135" spans="1:131" x14ac:dyDescent="0.2">
      <c r="A135" s="1096"/>
      <c r="B135" s="1096"/>
      <c r="C135" s="1497"/>
      <c r="D135" s="1643" t="s">
        <v>2310</v>
      </c>
      <c r="E135" s="1160"/>
      <c r="F135" s="1176"/>
      <c r="G135" s="1146" t="str">
        <f>IF(E135=0,"",VLOOKUP(E135,'Tablas Técnicas'!$A$14:$V$771,3,FALSE))</f>
        <v/>
      </c>
      <c r="H135" s="2619" t="str">
        <f>IF($E135=0,"",VLOOKUP($E135,'Tablas Técnicas'!$A$14:$V$771,4,FALSE))</f>
        <v/>
      </c>
      <c r="I135" s="1144" t="s">
        <v>2234</v>
      </c>
      <c r="J135" s="1601" t="str">
        <f>IF(E135=0,"",VLOOKUP(E135,'Tablas Técnicas'!$A$14:$V$771,5,FALSE))</f>
        <v/>
      </c>
      <c r="K135" s="1163" t="str">
        <f>IF(I135="Si",IF(E135=0,"",VLOOKUP(E135,'Tablas Técnicas'!$A$14:$V$771,5,FALSE)),"")</f>
        <v/>
      </c>
      <c r="L135" s="1144" t="s">
        <v>2234</v>
      </c>
      <c r="M135" s="1601" t="str">
        <f>IF(E135=0,"",VLOOKUP(E135,'Tablas Técnicas'!$A$14:$V$771,6,FALSE))</f>
        <v/>
      </c>
      <c r="N135" s="1147" t="str">
        <f>IF(L135="Si",IF(E135=0,"",VLOOKUP(E135,'Tablas Técnicas'!$A$14:$V$771,6,FALSE)),"")</f>
        <v/>
      </c>
      <c r="O135" s="1144" t="s">
        <v>2234</v>
      </c>
      <c r="P135" s="1601" t="str">
        <f>IF(E135=0,"",VLOOKUP(E135,'Tablas Técnicas'!$A$14:$V$771,7,FALSE))</f>
        <v/>
      </c>
      <c r="Q135" s="1147" t="str">
        <f>IF(O135="Si",IF(E135=0,"",VLOOKUP(E135,'Tablas Técnicas'!$A$14:$V$771,7,FALSE)),"")</f>
        <v/>
      </c>
      <c r="R135" s="1162" t="str">
        <f>IF(E135=0,"",VLOOKUP(E135,'Tablas Técnicas'!$A$14:$V$771,8,FALSE))</f>
        <v/>
      </c>
      <c r="S135" s="2619" t="str">
        <f>IF(R135=$D$8,$D$8,IF(R135=2,2,IF(R135=3,3,R135)))</f>
        <v/>
      </c>
      <c r="T135" s="4487"/>
      <c r="U135" s="4488"/>
      <c r="V135" s="2617" t="str">
        <f>IF(OR(V133=0,V133=""),"N/A",V133)</f>
        <v>N/A</v>
      </c>
      <c r="W135" s="4487" t="str">
        <f xml:space="preserve"> IF(OR(AF133=0,AF133=""),"N/A",W133)</f>
        <v>N/A</v>
      </c>
      <c r="X135" s="4489"/>
      <c r="Y135" s="4489"/>
      <c r="Z135" s="4489"/>
      <c r="AA135" s="4489"/>
      <c r="AB135" s="4489"/>
      <c r="AC135" s="4489"/>
      <c r="AD135" s="4489"/>
      <c r="AE135" s="4489"/>
      <c r="AF135" s="4488"/>
      <c r="AG135" s="4487" t="str">
        <f xml:space="preserve"> IF(OR(AP133="",AP133=0),"N/A",AG133)</f>
        <v>N/A</v>
      </c>
      <c r="AH135" s="4489"/>
      <c r="AI135" s="4489"/>
      <c r="AJ135" s="4489"/>
      <c r="AK135" s="4489"/>
      <c r="AL135" s="4489"/>
      <c r="AM135" s="4489"/>
      <c r="AN135" s="4489"/>
      <c r="AO135" s="4489"/>
      <c r="AP135" s="4488"/>
      <c r="AQ135" s="4487" t="str">
        <f xml:space="preserve"> IF(OR(AZ133="",AZ133=0),"N/A",AQ133)</f>
        <v>N/A</v>
      </c>
      <c r="AR135" s="4489"/>
      <c r="AS135" s="4489"/>
      <c r="AT135" s="4489"/>
      <c r="AU135" s="4489"/>
      <c r="AV135" s="4489"/>
      <c r="AW135" s="4489"/>
      <c r="AX135" s="4489"/>
      <c r="AY135" s="4489"/>
      <c r="AZ135" s="4488"/>
      <c r="BA135" s="4487" t="str">
        <f xml:space="preserve"> IF(OR(BJ133="",BJ133=0),"N/A",BA133)</f>
        <v>N/A</v>
      </c>
      <c r="BB135" s="4489"/>
      <c r="BC135" s="4489"/>
      <c r="BD135" s="4489"/>
      <c r="BE135" s="4489"/>
      <c r="BF135" s="4489"/>
      <c r="BG135" s="4489"/>
      <c r="BH135" s="4489"/>
      <c r="BI135" s="4489"/>
      <c r="BJ135" s="4488"/>
      <c r="BK135" s="1164" t="s">
        <v>5229</v>
      </c>
      <c r="BL135" s="1146"/>
      <c r="BM135" s="1181"/>
      <c r="BN135" s="1165"/>
      <c r="BO135" s="1166"/>
      <c r="BP135" s="1167" t="str">
        <f>IF(I135="Si",VLOOKUP($D$8,'Tablas Técnicas'!$E$4:$F$6,2,FALSE),"")</f>
        <v/>
      </c>
      <c r="BQ135" s="1137" t="str">
        <f>IF(L135="Si",VLOOKUP($D$8,'Tablas Técnicas'!$I$4:$J$6,2,FALSE),"")</f>
        <v/>
      </c>
      <c r="BR135" s="1168" t="str">
        <f>IF(O135="Si",VLOOKUP($D$8,'Tablas Técnicas'!$I$7:$J$9,2,FALSE),"")</f>
        <v/>
      </c>
      <c r="BS135" s="1151"/>
      <c r="BT135" s="2609" t="s">
        <v>2354</v>
      </c>
      <c r="BU135" s="2610" t="s">
        <v>5236</v>
      </c>
      <c r="BV135" s="1128"/>
      <c r="BW135" s="2610" t="s">
        <v>5237</v>
      </c>
      <c r="BX135" s="2609" t="s">
        <v>5238</v>
      </c>
      <c r="BY135" s="1489" t="s">
        <v>5238</v>
      </c>
      <c r="BZ135" s="1492"/>
      <c r="CA135" s="1096"/>
      <c r="DR135" s="1096"/>
      <c r="DT135" s="1514"/>
      <c r="DU135" s="1569"/>
      <c r="DV135" s="1566" t="str">
        <f>IF(E135="","",E135)&amp;IF(I135="No",""," (Mant.)")&amp;IF(L135="No",""," (Sme)")&amp;IF(O135="No",""," (SMa)")</f>
        <v/>
      </c>
      <c r="DW135" s="1566"/>
      <c r="DX135" s="1568"/>
      <c r="DY135" s="1513"/>
      <c r="DZ135" s="1096"/>
      <c r="EA135" s="1660">
        <f t="shared" si="1"/>
        <v>1</v>
      </c>
    </row>
    <row r="136" spans="1:131" x14ac:dyDescent="0.2">
      <c r="A136" s="1096"/>
      <c r="B136" s="1096"/>
      <c r="C136" s="1497"/>
      <c r="D136" s="1642" t="s">
        <v>2310</v>
      </c>
      <c r="E136" s="1152"/>
      <c r="F136" s="1182"/>
      <c r="G136" s="1627" t="str">
        <f>IF(E136=0,"",VLOOKUP(E136,'Tablas Técnicas'!$A$14:$V$771,3,FALSE))</f>
        <v/>
      </c>
      <c r="H136" s="1155" t="str">
        <f>IF($E136=0,"",VLOOKUP($E136,'Tablas Técnicas'!$A$14:$V$771,4,FALSE))</f>
        <v/>
      </c>
      <c r="I136" s="1156" t="s">
        <v>2234</v>
      </c>
      <c r="J136" s="1605" t="str">
        <f>IF(E136=0,"",VLOOKUP(E136,'Tablas Técnicas'!$A$14:$V$771,5,FALSE))</f>
        <v/>
      </c>
      <c r="K136" s="1158" t="str">
        <f>IF(I136="Si",IF(E136=0,"",VLOOKUP(E136,'Tablas Técnicas'!$A$14:$V$771,5,FALSE)),"")</f>
        <v/>
      </c>
      <c r="L136" s="1156" t="s">
        <v>2234</v>
      </c>
      <c r="M136" s="1605" t="str">
        <f>IF(E136=0,"",VLOOKUP(E136,'Tablas Técnicas'!$A$14:$V$771,6,FALSE))</f>
        <v/>
      </c>
      <c r="N136" s="1159" t="str">
        <f>IF(L136="Si",IF(E136=0,"",VLOOKUP(E136,'Tablas Técnicas'!$A$14:$V$771,6,FALSE)),"")</f>
        <v/>
      </c>
      <c r="O136" s="1156" t="s">
        <v>2234</v>
      </c>
      <c r="P136" s="1605" t="str">
        <f>IF(E136=0,"",VLOOKUP(E136,'Tablas Técnicas'!$A$14:$V$771,7,FALSE))</f>
        <v/>
      </c>
      <c r="Q136" s="1159" t="str">
        <f>IF(O136="Si",IF(E136=0,"",VLOOKUP(E136,'Tablas Técnicas'!$A$14:$V$771,7,FALSE)),"")</f>
        <v/>
      </c>
      <c r="R136" s="1157" t="str">
        <f>IF(E136=0,"",VLOOKUP(E136,'Tablas Técnicas'!$A$14:$V$771,8,FALSE))</f>
        <v/>
      </c>
      <c r="S136" s="1155" t="str">
        <f>IF(R136=$D$8,$D$8,IF(R136=2,2,IF(R136=3,3,R136)))</f>
        <v/>
      </c>
      <c r="T136" s="4490" t="s">
        <v>5230</v>
      </c>
      <c r="U136" s="4491"/>
      <c r="V136" s="2618"/>
      <c r="W136" s="4492"/>
      <c r="X136" s="4493"/>
      <c r="Y136" s="4493"/>
      <c r="Z136" s="4493"/>
      <c r="AA136" s="4493"/>
      <c r="AB136" s="4493"/>
      <c r="AC136" s="4493"/>
      <c r="AD136" s="4493"/>
      <c r="AE136" s="4493"/>
      <c r="AF136" s="4494"/>
      <c r="AG136" s="4492"/>
      <c r="AH136" s="4493"/>
      <c r="AI136" s="4493"/>
      <c r="AJ136" s="4493"/>
      <c r="AK136" s="4493"/>
      <c r="AL136" s="4493"/>
      <c r="AM136" s="4493"/>
      <c r="AN136" s="4493"/>
      <c r="AO136" s="4493"/>
      <c r="AP136" s="4494"/>
      <c r="AQ136" s="4492"/>
      <c r="AR136" s="4493"/>
      <c r="AS136" s="4493"/>
      <c r="AT136" s="4493"/>
      <c r="AU136" s="4493"/>
      <c r="AV136" s="4493"/>
      <c r="AW136" s="4493"/>
      <c r="AX136" s="4493"/>
      <c r="AY136" s="4493"/>
      <c r="AZ136" s="4494"/>
      <c r="BA136" s="4492"/>
      <c r="BB136" s="4493"/>
      <c r="BC136" s="4493"/>
      <c r="BD136" s="4493"/>
      <c r="BE136" s="4493"/>
      <c r="BF136" s="4493"/>
      <c r="BG136" s="4493"/>
      <c r="BH136" s="4493"/>
      <c r="BI136" s="4493"/>
      <c r="BJ136" s="4494"/>
      <c r="BK136" s="1155">
        <f>(SUM(G133:G137)+IF(AF133="",0,AF133)+IF(AP133="",0,AP133)+IF(AZ133="",0,AZ133)+IF(BJ133="",0,BJ133)+SUM(K133:K137)+SUM(N133:N137)+SUM(Q133:Q137))- SUM(V136:BA136)</f>
        <v>0</v>
      </c>
      <c r="BL136" s="1627"/>
      <c r="BM136" s="1628"/>
      <c r="BN136" s="1149"/>
      <c r="BO136" s="1150"/>
      <c r="BP136" s="1135" t="str">
        <f>IF(I136="Si",VLOOKUP($D$8,'Tablas Técnicas'!$E$4:$F$6,2,FALSE),"")</f>
        <v/>
      </c>
      <c r="BQ136" s="1136" t="str">
        <f>IF(L136="Si",VLOOKUP($D$8,'Tablas Técnicas'!$I$4:$J$6,2,FALSE),"")</f>
        <v/>
      </c>
      <c r="BR136" s="1134" t="str">
        <f>IF(O136="Si",VLOOKUP($D$8,'Tablas Técnicas'!$I$7:$J$9,2,FALSE),"")</f>
        <v/>
      </c>
      <c r="BS136" s="1151"/>
      <c r="BT136" s="261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92"/>
      <c r="BV136" s="1128"/>
      <c r="BW136" s="1183" t="str">
        <f>IF(SUM(BT136:BU136)=0,"N/A",SUM(BT136:BU136))</f>
        <v>N/A</v>
      </c>
      <c r="BX136" s="261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83" t="str">
        <f>IF(BX136=0,"N/A",BX136)</f>
        <v>N/A</v>
      </c>
      <c r="BZ136" s="1492"/>
      <c r="CA136" s="1100"/>
      <c r="DR136" s="1100"/>
      <c r="DT136" s="1515"/>
      <c r="DU136" s="1565"/>
      <c r="DV136" s="1566" t="str">
        <f>IF(E136="","",E136)&amp;IF(I136="No",""," (Mant.)")&amp;IF(L136="No",""," (Sme)")&amp;IF(O136="No",""," (SMa)")</f>
        <v/>
      </c>
      <c r="DW136" s="1566"/>
      <c r="DX136" s="1571"/>
      <c r="DY136" s="1516"/>
      <c r="DZ136" s="1100"/>
      <c r="EA136" s="1660">
        <f t="shared" si="1"/>
        <v>1</v>
      </c>
    </row>
    <row r="137" spans="1:131" x14ac:dyDescent="0.2">
      <c r="A137" s="1096"/>
      <c r="B137" s="1096"/>
      <c r="C137" s="1497"/>
      <c r="D137" s="1643" t="s">
        <v>2310</v>
      </c>
      <c r="E137" s="1160"/>
      <c r="F137" s="1176"/>
      <c r="G137" s="1146" t="str">
        <f>IF(E137=0,"",VLOOKUP(E137,'Tablas Técnicas'!$A$14:$V$771,3,FALSE))</f>
        <v/>
      </c>
      <c r="H137" s="1171" t="str">
        <f>IF($E137=0,"",VLOOKUP($E137,'Tablas Técnicas'!$A$14:$V$771,4,FALSE))</f>
        <v/>
      </c>
      <c r="I137" s="1144" t="s">
        <v>2234</v>
      </c>
      <c r="J137" s="1608" t="str">
        <f>IF(E137=0,"",VLOOKUP(E137,'Tablas Técnicas'!$A$14:$V$771,5,FALSE))</f>
        <v/>
      </c>
      <c r="K137" s="1172" t="str">
        <f>IF(I137="Si",IF(E137=0,"",VLOOKUP(E137,'Tablas Técnicas'!$A$14:$V$771,5,FALSE)),"")</f>
        <v/>
      </c>
      <c r="L137" s="1144" t="s">
        <v>2234</v>
      </c>
      <c r="M137" s="1608" t="str">
        <f>IF(E137=0,"",VLOOKUP(E137,'Tablas Técnicas'!$A$14:$V$771,6,FALSE))</f>
        <v/>
      </c>
      <c r="N137" s="1147" t="str">
        <f>IF(L137="Si",IF(E137=0,"",VLOOKUP(E137,'Tablas Técnicas'!$A$14:$V$771,6,FALSE)),"")</f>
        <v/>
      </c>
      <c r="O137" s="1144" t="s">
        <v>2234</v>
      </c>
      <c r="P137" s="1608" t="str">
        <f>IF(E137=0,"",VLOOKUP(E137,'Tablas Técnicas'!$A$14:$V$771,7,FALSE))</f>
        <v/>
      </c>
      <c r="Q137" s="1147" t="str">
        <f>IF(O137="Si",IF(E137=0,"",VLOOKUP(E137,'Tablas Técnicas'!$A$14:$V$771,7,FALSE)),"")</f>
        <v/>
      </c>
      <c r="R137" s="1193" t="str">
        <f>IF(E137=0,"",VLOOKUP(E137,'Tablas Técnicas'!$A$14:$V$771,8,FALSE))</f>
        <v/>
      </c>
      <c r="S137" s="1161" t="str">
        <f>IF(R137=$D$8,$D$8,IF(R137=2,2,IF(R137=3,3,R137)))</f>
        <v/>
      </c>
      <c r="T137" s="4482" t="s">
        <v>5232</v>
      </c>
      <c r="U137" s="4483"/>
      <c r="V137" s="2616"/>
      <c r="W137" s="4484"/>
      <c r="X137" s="4485"/>
      <c r="Y137" s="4485"/>
      <c r="Z137" s="4485"/>
      <c r="AA137" s="4485"/>
      <c r="AB137" s="4485"/>
      <c r="AC137" s="4485"/>
      <c r="AD137" s="4485"/>
      <c r="AE137" s="4485"/>
      <c r="AF137" s="4486"/>
      <c r="AG137" s="4484"/>
      <c r="AH137" s="4485"/>
      <c r="AI137" s="4485"/>
      <c r="AJ137" s="4485"/>
      <c r="AK137" s="4485"/>
      <c r="AL137" s="4485"/>
      <c r="AM137" s="4485"/>
      <c r="AN137" s="4485"/>
      <c r="AO137" s="4485"/>
      <c r="AP137" s="4486"/>
      <c r="AQ137" s="4484"/>
      <c r="AR137" s="4485"/>
      <c r="AS137" s="4485"/>
      <c r="AT137" s="4485"/>
      <c r="AU137" s="4485"/>
      <c r="AV137" s="4485"/>
      <c r="AW137" s="4485"/>
      <c r="AX137" s="4485"/>
      <c r="AY137" s="4485"/>
      <c r="AZ137" s="4486"/>
      <c r="BA137" s="4484"/>
      <c r="BB137" s="4485"/>
      <c r="BC137" s="4485"/>
      <c r="BD137" s="4485"/>
      <c r="BE137" s="4485"/>
      <c r="BF137" s="4485"/>
      <c r="BG137" s="4485"/>
      <c r="BH137" s="4485"/>
      <c r="BI137" s="4485"/>
      <c r="BJ137" s="4486"/>
      <c r="BK137" s="1171">
        <f>SUM(K133:K137)-SUM(V137:BA137)</f>
        <v>0</v>
      </c>
      <c r="BL137" s="1629"/>
      <c r="BM137" s="1630"/>
      <c r="BN137" s="1165"/>
      <c r="BO137" s="1166"/>
      <c r="BP137" s="1167" t="str">
        <f>IF(I137="Si",VLOOKUP($D$8,'Tablas Técnicas'!$E$4:$F$6,2,FALSE),"")</f>
        <v/>
      </c>
      <c r="BQ137" s="1137" t="str">
        <f>IF(L137="Si",VLOOKUP($D$8,'Tablas Técnicas'!$I$4:$J$6,2,FALSE),"")</f>
        <v/>
      </c>
      <c r="BR137" s="1168" t="str">
        <f>IF(O137="Si",VLOOKUP($D$8,'Tablas Técnicas'!$I$7:$J$9,2,FALSE),"")</f>
        <v/>
      </c>
      <c r="BS137" s="1151"/>
      <c r="BT137" s="2609" t="s">
        <v>2231</v>
      </c>
      <c r="BU137" s="2610" t="s">
        <v>5236</v>
      </c>
      <c r="BV137" s="1128"/>
      <c r="BW137" s="2610" t="s">
        <v>5237</v>
      </c>
      <c r="BX137" s="2609" t="s">
        <v>5238</v>
      </c>
      <c r="BY137" s="1489" t="s">
        <v>5238</v>
      </c>
      <c r="BZ137" s="1492"/>
      <c r="CA137" s="1096"/>
      <c r="DR137" s="1096"/>
      <c r="DT137" s="1514"/>
      <c r="DU137" s="1569"/>
      <c r="DV137" s="1566" t="str">
        <f>IF(E137="","",E137)&amp;IF(I137="No",""," (Mant.)")&amp;IF(L137="No",""," (Sme)")&amp;IF(O137="No",""," (SMa)")</f>
        <v/>
      </c>
      <c r="DW137" s="1566"/>
      <c r="DX137" s="1568"/>
      <c r="DY137" s="1513"/>
      <c r="DZ137" s="1096"/>
      <c r="EA137" s="1660">
        <f t="shared" si="1"/>
        <v>1</v>
      </c>
    </row>
    <row r="138" spans="1:131" ht="11.25" customHeight="1" x14ac:dyDescent="0.2">
      <c r="A138" s="1096"/>
      <c r="B138" s="159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97"/>
      <c r="D138" s="1644">
        <v>4</v>
      </c>
      <c r="E138" s="1423"/>
      <c r="F138" s="1173"/>
      <c r="G138" s="1174"/>
      <c r="H138" s="2559">
        <f>IF(AND(OR(ISNUMBER(SEARCH("Afinidad Elemental ("&amp;BK133&amp;")",Principal!$AF$30)),ISNUMBER(SEARCH("Afinidad Elemental ("&amp;BL133&amp;")",Principal!$AF$30)),ISNUMBER(SEARCH("Afinidad Elemental ("&amp;BM133&amp;")",Principal!$AF$30))),SUM(H133:H137)&gt;=5),-5,0)</f>
        <v>0</v>
      </c>
      <c r="I138" s="1603"/>
      <c r="J138" s="1606"/>
      <c r="K138" s="1174"/>
      <c r="L138" s="1603"/>
      <c r="M138" s="1606"/>
      <c r="N138" s="1174"/>
      <c r="O138" s="1603"/>
      <c r="P138" s="1606"/>
      <c r="Q138" s="1174"/>
      <c r="R138" s="1175"/>
      <c r="S138" s="1174"/>
      <c r="T138" s="1174"/>
      <c r="U138" s="1174"/>
      <c r="V138" s="1174"/>
      <c r="W138" s="1174"/>
      <c r="X138" s="1174"/>
      <c r="Y138" s="1174"/>
      <c r="Z138" s="1174"/>
      <c r="AA138" s="1174"/>
      <c r="AB138" s="1174"/>
      <c r="AC138" s="1174"/>
      <c r="AD138" s="1174"/>
      <c r="AE138" s="1174"/>
      <c r="AF138" s="1174"/>
      <c r="AG138" s="1174"/>
      <c r="AH138" s="1174"/>
      <c r="AI138" s="1174"/>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c r="BD138" s="1174"/>
      <c r="BE138" s="1174"/>
      <c r="BF138" s="1174"/>
      <c r="BG138" s="1174"/>
      <c r="BH138" s="1174"/>
      <c r="BI138" s="1174"/>
      <c r="BJ138" s="1174"/>
      <c r="BK138" s="1174"/>
      <c r="BL138" s="1174"/>
      <c r="BM138" s="1184"/>
      <c r="BN138" s="1185">
        <f>SUM(K138:K141)</f>
        <v>0</v>
      </c>
      <c r="BO138" s="1128" t="str">
        <f>IF(E138=0,"",(AF138+AP138+AZ138+BJ138))</f>
        <v/>
      </c>
      <c r="BP138" s="1186" t="str">
        <f>IF(I138="Si",VLOOKUP($D$8,'Tablas Técnicas'!$E$4:$F$6,2,FALSE),"")</f>
        <v/>
      </c>
      <c r="BQ138" s="1187" t="str">
        <f>IF(L138="Si",VLOOKUP($D$8,'Tablas Técnicas'!$I$4:$J$6,2,FALSE),"")</f>
        <v/>
      </c>
      <c r="BR138" s="1185" t="str">
        <f>IF(O138="Si",VLOOKUP($D$8,'Tablas Técnicas'!$I$7:$J$9,2,FALSE),"")</f>
        <v/>
      </c>
      <c r="BS138" s="1151"/>
      <c r="BT138" s="261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92"/>
      <c r="BV138" s="1128"/>
      <c r="BW138" s="1183" t="str">
        <f>IF(SUM(BT138:BU138)=0,"N/A",SUM(BT138:BU138))</f>
        <v>N/A</v>
      </c>
      <c r="BX138" s="261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83" t="str">
        <f>IF(BX138=0,"N/A",BX138)</f>
        <v>N/A</v>
      </c>
      <c r="BZ138" s="1492"/>
      <c r="CA138" s="1096"/>
      <c r="DR138" s="1096"/>
      <c r="DT138" s="1514"/>
      <c r="DU138" s="1569"/>
      <c r="DV138" s="1570"/>
      <c r="DW138" s="1566"/>
      <c r="DX138" s="1568"/>
      <c r="DY138" s="1513"/>
      <c r="DZ138" s="1096"/>
      <c r="EA138" s="1660">
        <f t="shared" ref="EA138:EA201" si="2">EA137</f>
        <v>1</v>
      </c>
    </row>
    <row r="139" spans="1:131" ht="11.25" customHeight="1" x14ac:dyDescent="0.2">
      <c r="A139" s="1096"/>
      <c r="B139" s="1096"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97"/>
      <c r="D139" s="1643" t="s">
        <v>2310</v>
      </c>
      <c r="E139" s="1140"/>
      <c r="F139" s="1176"/>
      <c r="G139" s="1146" t="str">
        <f>IF(E139=0,"",VLOOKUP(E139,'Tablas Técnicas'!$A$14:$V$771,3,FALSE))</f>
        <v/>
      </c>
      <c r="H139" s="1188" t="str">
        <f>IF($E139=0,"",VLOOKUP($E139,'Tablas Técnicas'!$A$14:$V$771,4,FALSE))</f>
        <v/>
      </c>
      <c r="I139" s="1144" t="s">
        <v>2234</v>
      </c>
      <c r="J139" s="1607" t="str">
        <f>IF(E139=0,"",VLOOKUP(E139,'Tablas Técnicas'!$A$14:$V$771,5,FALSE))</f>
        <v/>
      </c>
      <c r="K139" s="1190" t="str">
        <f>IF(I139="Si",IF(E139=0,"",VLOOKUP(E139,'Tablas Técnicas'!$A$14:$V$771,5,FALSE)),"")</f>
        <v/>
      </c>
      <c r="L139" s="1144" t="s">
        <v>2234</v>
      </c>
      <c r="M139" s="1607" t="str">
        <f>IF(E139=0,"",VLOOKUP(E139,'Tablas Técnicas'!$A$14:$V$771,6,FALSE))</f>
        <v/>
      </c>
      <c r="N139" s="1147" t="str">
        <f>IF(L139="Si",IF(E139=0,"",VLOOKUP(E139,'Tablas Técnicas'!$A$14:$V$771,6,FALSE)),"")</f>
        <v/>
      </c>
      <c r="O139" s="1144" t="s">
        <v>2234</v>
      </c>
      <c r="P139" s="1607" t="str">
        <f>IF(E139=0,"",VLOOKUP(E139,'Tablas Técnicas'!$A$14:$V$771,7,FALSE))</f>
        <v/>
      </c>
      <c r="Q139" s="1147" t="str">
        <f>IF(O139="Si",IF(E139=0,"",VLOOKUP(E139,'Tablas Técnicas'!$A$14:$V$771,7,FALSE)),"")</f>
        <v/>
      </c>
      <c r="R139" s="1189" t="str">
        <f>IF(E139=0,"",VLOOKUP(E139,'Tablas Técnicas'!$A$14:$V$771,8,FALSE))</f>
        <v/>
      </c>
      <c r="S139" s="1161" t="str">
        <f>IF(R139=$D$8,$D$8,IF(R139=2,2,IF(R139=3,3,R139)))</f>
        <v/>
      </c>
      <c r="T139" s="1190" t="str">
        <f>IF(E139=0,"",VLOOKUP(E139,'Tablas Técnicas'!$A$14:$V$771,9,FALSE))</f>
        <v/>
      </c>
      <c r="U139" s="1190" t="str">
        <f>IF(E139=0,"",VLOOKUP(E139,'Tablas Técnicas'!$A$14:$V$771,10,FALSE))</f>
        <v/>
      </c>
      <c r="V139" s="1191" t="str">
        <f>IF(E139=0,"",VLOOKUP(E139,'Tablas Técnicas'!$A$14:$V$771,11,FALSE))</f>
        <v/>
      </c>
      <c r="W139" s="1144"/>
      <c r="X139" s="1145" t="e">
        <f>VLOOKUP(E139,'Tablas Técnicas'!$A$14:$V$771,12,FALSE)</f>
        <v>#N/A</v>
      </c>
      <c r="Y139" s="1145" t="e">
        <f>IF(W139=X139,VLOOKUP(E139,'Tablas Técnicas'!$A$14:$V$771,13,FALSE),0)</f>
        <v>#N/A</v>
      </c>
      <c r="Z139" s="1145" t="e">
        <f>VLOOKUP(E139,'Tablas Técnicas'!$A$14:$V$771,14,FALSE)</f>
        <v>#N/A</v>
      </c>
      <c r="AA139" s="1145" t="e">
        <f>IF(W139=Z139,VLOOKUP(E139,'Tablas Técnicas'!$A$14:$V$616,15,FALSE),0)</f>
        <v>#N/A</v>
      </c>
      <c r="AB139" s="1145" t="e">
        <f>VLOOKUP(E139,'Tablas Técnicas'!$A$14:$V$771,16,FALSE)</f>
        <v>#N/A</v>
      </c>
      <c r="AC139" s="1145" t="e">
        <f>IF(W139=AB139,VLOOKUP(E139,'Tablas Técnicas'!$A$14:$V$616,17,FALSE),0)</f>
        <v>#N/A</v>
      </c>
      <c r="AD139" s="1145" t="e">
        <f>VLOOKUP(E139,'Tablas Técnicas'!$A$14:$V$771,18,FALSE)</f>
        <v>#N/A</v>
      </c>
      <c r="AE139" s="1145" t="e">
        <f>IF(W139=AD139,VLOOKUP(E139,'Tablas Técnicas'!$A$14:$V$771,19,FALSE),0)</f>
        <v>#N/A</v>
      </c>
      <c r="AF139" s="1163" t="str">
        <f>IF(E139=0,"",(Y139+AA139+AC139+AE139))</f>
        <v/>
      </c>
      <c r="AG139" s="1144"/>
      <c r="AH139" s="1162" t="e">
        <f>VLOOKUP(E139,'Tablas Técnicas'!$A$14:$V$771,12,FALSE)</f>
        <v>#N/A</v>
      </c>
      <c r="AI139" s="1162" t="e">
        <f>IF(AG139=AH139,VLOOKUP(E139,'Tablas Técnicas'!$A$14:$V$771,13,FALSE),0)</f>
        <v>#N/A</v>
      </c>
      <c r="AJ139" s="1162" t="e">
        <f>VLOOKUP(E139,'Tablas Técnicas'!$A$14:$V$771,14,FALSE)</f>
        <v>#N/A</v>
      </c>
      <c r="AK139" s="1162" t="e">
        <f>IF(AG139=AJ139,VLOOKUP(E139,'Tablas Técnicas'!$A$14:$V$771,15,FALSE),0)</f>
        <v>#N/A</v>
      </c>
      <c r="AL139" s="1162" t="e">
        <f>VLOOKUP(E139,'Tablas Técnicas'!$A$14:$V$771,16,FALSE)</f>
        <v>#N/A</v>
      </c>
      <c r="AM139" s="1162" t="e">
        <f>IF(AG139=AL139,VLOOKUP(E139,'Tablas Técnicas'!$A$14:$V$771,17,FALSE),0)</f>
        <v>#N/A</v>
      </c>
      <c r="AN139" s="1162" t="e">
        <f>VLOOKUP(E139,'Tablas Técnicas'!$A$14:$V$771,18,FALSE)</f>
        <v>#N/A</v>
      </c>
      <c r="AO139" s="1162" t="e">
        <f>IF(AG139=AN139,VLOOKUP(E139,'Tablas Técnicas'!$A$14:$V$771,19,FALSE),0)</f>
        <v>#N/A</v>
      </c>
      <c r="AP139" s="2620" t="str">
        <f>IF(E139=0,"",(AI139+AK139+AM139+AO139))</f>
        <v/>
      </c>
      <c r="AQ139" s="1144"/>
      <c r="AR139" s="1162" t="e">
        <f>VLOOKUP(E139,'Tablas Técnicas'!$A$14:$V$771,12,FALSE)</f>
        <v>#N/A</v>
      </c>
      <c r="AS139" s="1162" t="e">
        <f>IF(AQ139=AR139,VLOOKUP(E139,'Tablas Técnicas'!$A$14:$V$771,13,FALSE),0)</f>
        <v>#N/A</v>
      </c>
      <c r="AT139" s="1162" t="e">
        <f>VLOOKUP(E139,'Tablas Técnicas'!$A$14:$V$771,14,FALSE)</f>
        <v>#N/A</v>
      </c>
      <c r="AU139" s="1162" t="e">
        <f>IF(AQ139=AT139,VLOOKUP(E139,'Tablas Técnicas'!$A$14:$V$771,15,FALSE),0)</f>
        <v>#N/A</v>
      </c>
      <c r="AV139" s="1162" t="e">
        <f>VLOOKUP(E139,'Tablas Técnicas'!$A$14:$V$771,16,FALSE)</f>
        <v>#N/A</v>
      </c>
      <c r="AW139" s="1162" t="e">
        <f>IF(AQ139=AV139,VLOOKUP(E139,'Tablas Técnicas'!$A$14:$V$771,17,FALSE),0)</f>
        <v>#N/A</v>
      </c>
      <c r="AX139" s="1162" t="e">
        <f>VLOOKUP(E139,'Tablas Técnicas'!$A$14:$V$771,18,FALSE)</f>
        <v>#N/A</v>
      </c>
      <c r="AY139" s="1162" t="e">
        <f>IF(AQ139=AX139,VLOOKUP(E139,'Tablas Técnicas'!$A$14:$V$771,19,FALSE),0)</f>
        <v>#N/A</v>
      </c>
      <c r="AZ139" s="1163" t="str">
        <f>IF(E139=0,"",(AS139+AU139+AW139+AY139))</f>
        <v/>
      </c>
      <c r="BA139" s="1144"/>
      <c r="BB139" s="1162" t="e">
        <f>VLOOKUP(E139,'Tablas Técnicas'!$A$14:$V$771,12,FALSE)</f>
        <v>#N/A</v>
      </c>
      <c r="BC139" s="1162" t="e">
        <f>IF(BA139=BB139,VLOOKUP(E139,'Tablas Técnicas'!$A$14:$V$771,13,FALSE),0)</f>
        <v>#N/A</v>
      </c>
      <c r="BD139" s="1162" t="e">
        <f>VLOOKUP(E139,'Tablas Técnicas'!$A$14:$V$771,14,FALSE)</f>
        <v>#N/A</v>
      </c>
      <c r="BE139" s="1162" t="e">
        <f>IF(BA139=BD139,VLOOKUP(E139,'Tablas Técnicas'!$A$14:$V$771,15,FALSE),0)</f>
        <v>#N/A</v>
      </c>
      <c r="BF139" s="1162" t="e">
        <f>VLOOKUP(E139,'Tablas Técnicas'!$A$14:$V$771,16,FALSE)</f>
        <v>#N/A</v>
      </c>
      <c r="BG139" s="1162" t="e">
        <f>IF(BA139=BF139,VLOOKUP(E139,'Tablas Técnicas'!$A$14:$V$771,17,FALSE),0)</f>
        <v>#N/A</v>
      </c>
      <c r="BH139" s="1162" t="e">
        <f>VLOOKUP(E139,'Tablas Técnicas'!$A$14:$V$771,18,FALSE)</f>
        <v>#N/A</v>
      </c>
      <c r="BI139" s="1162" t="e">
        <f>IF(BA139=BH139,VLOOKUP(E139,'Tablas Técnicas'!$A$14:$V$771,19,FALSE),0)</f>
        <v>#N/A</v>
      </c>
      <c r="BJ139" s="2620" t="str">
        <f>IF(E139=0,"",(BC139+BE139+BG139+BI139))</f>
        <v/>
      </c>
      <c r="BK139" s="1190" t="str">
        <f>IF(E139=0,"",VLOOKUP(E139,'Tablas Técnicas'!$A$14:$V$771,20,FALSE))</f>
        <v/>
      </c>
      <c r="BL139" s="1177" t="str">
        <f>IF(E139=0,"",VLOOKUP(E139,'Tablas Técnicas'!$A$14:$V$771,21,FALSE))</f>
        <v/>
      </c>
      <c r="BM139" s="1148" t="str">
        <f>IF(E139=0,"",VLOOKUP(E139,'Tablas Técnicas'!$A$14:$V$771,22,FALSE))</f>
        <v/>
      </c>
      <c r="BN139" s="1149"/>
      <c r="BO139" s="1150"/>
      <c r="BP139" s="1135" t="str">
        <f>IF(I139="Si",VLOOKUP($D$8,'Tablas Técnicas'!$E$4:$F$6,2,FALSE),"")</f>
        <v/>
      </c>
      <c r="BQ139" s="1136" t="str">
        <f>IF(L139="Si",VLOOKUP($D$8,'Tablas Técnicas'!$I$4:$J$6,2,FALSE),"")</f>
        <v/>
      </c>
      <c r="BR139" s="1134" t="str">
        <f>IF(O139="Si",VLOOKUP($D$8,'Tablas Técnicas'!$I$7:$J$9,2,FALSE),"")</f>
        <v/>
      </c>
      <c r="BS139" s="1151"/>
      <c r="BT139" s="2609" t="s">
        <v>2236</v>
      </c>
      <c r="BU139" s="2610" t="s">
        <v>5236</v>
      </c>
      <c r="BV139" s="1128"/>
      <c r="BW139" s="2610" t="s">
        <v>5237</v>
      </c>
      <c r="BX139" s="2609" t="s">
        <v>5238</v>
      </c>
      <c r="BY139" s="1489" t="s">
        <v>5238</v>
      </c>
      <c r="BZ139" s="1492"/>
      <c r="CA139" s="1096"/>
      <c r="DR139" s="1096"/>
      <c r="DT139" s="1514"/>
      <c r="DU139" s="1569"/>
      <c r="DV139" s="1566" t="str">
        <f>IF(E139="","",", "&amp;E139)&amp;IF(I139="No",""," (Mant.)")&amp;IF(L139="No",""," (Sme)")&amp;IF(O139="No",""," (SMa)")</f>
        <v/>
      </c>
      <c r="DW139" s="1566"/>
      <c r="DX139" s="1568"/>
      <c r="DY139" s="1513"/>
      <c r="DZ139" s="1096"/>
      <c r="EA139" s="1660">
        <f t="shared" si="2"/>
        <v>1</v>
      </c>
    </row>
    <row r="140" spans="1:131" x14ac:dyDescent="0.2">
      <c r="A140" s="1096"/>
      <c r="B140" s="1096"/>
      <c r="C140" s="1497"/>
      <c r="D140" s="1642" t="s">
        <v>2310</v>
      </c>
      <c r="E140" s="1152"/>
      <c r="F140" s="1182"/>
      <c r="G140" s="1627" t="str">
        <f>IF(E140=0,"",VLOOKUP(E140,'Tablas Técnicas'!$A$14:$V$771,3,FALSE))</f>
        <v/>
      </c>
      <c r="H140" s="1155" t="str">
        <f>IF($E140=0,"",VLOOKUP($E140,'Tablas Técnicas'!$A$14:$V$771,4,FALSE))</f>
        <v/>
      </c>
      <c r="I140" s="1156" t="s">
        <v>2234</v>
      </c>
      <c r="J140" s="1605" t="str">
        <f>IF(E140=0,"",VLOOKUP(E140,'Tablas Técnicas'!$A$14:$V$771,5,FALSE))</f>
        <v/>
      </c>
      <c r="K140" s="1158" t="str">
        <f>IF(I140="Si",IF(E140=0,"",VLOOKUP(E140,'Tablas Técnicas'!$A$14:$V$771,5,FALSE)),"")</f>
        <v/>
      </c>
      <c r="L140" s="1156" t="s">
        <v>2234</v>
      </c>
      <c r="M140" s="1605" t="str">
        <f>IF(E140=0,"",VLOOKUP(E140,'Tablas Técnicas'!$A$14:$V$771,6,FALSE))</f>
        <v/>
      </c>
      <c r="N140" s="1159" t="str">
        <f>IF(L140="Si",IF(E140=0,"",VLOOKUP(E140,'Tablas Técnicas'!$A$14:$V$771,6,FALSE)),"")</f>
        <v/>
      </c>
      <c r="O140" s="1156" t="s">
        <v>2234</v>
      </c>
      <c r="P140" s="1605" t="str">
        <f>IF(E140=0,"",VLOOKUP(E140,'Tablas Técnicas'!$A$14:$V$771,7,FALSE))</f>
        <v/>
      </c>
      <c r="Q140" s="1159" t="str">
        <f>IF(O140="Si",IF(E140=0,"",VLOOKUP(E140,'Tablas Técnicas'!$A$14:$V$771,7,FALSE)),"")</f>
        <v/>
      </c>
      <c r="R140" s="1157" t="str">
        <f>IF(E140=0,"",VLOOKUP(E140,'Tablas Técnicas'!$A$14:$V$771,8,FALSE))</f>
        <v/>
      </c>
      <c r="S140" s="1155" t="str">
        <f>IF(R140=$D$8,$D$8,IF(R140=2,2,IF(R140=3,3,R140)))</f>
        <v/>
      </c>
      <c r="T140" s="4475" t="s">
        <v>5228</v>
      </c>
      <c r="U140" s="4476"/>
      <c r="V140" s="4476"/>
      <c r="W140" s="4476"/>
      <c r="X140" s="4476"/>
      <c r="Y140" s="4476"/>
      <c r="Z140" s="4476"/>
      <c r="AA140" s="4476"/>
      <c r="AB140" s="4476"/>
      <c r="AC140" s="4476"/>
      <c r="AD140" s="4476"/>
      <c r="AE140" s="4476"/>
      <c r="AF140" s="4476"/>
      <c r="AG140" s="4476"/>
      <c r="AH140" s="4476"/>
      <c r="AI140" s="4476"/>
      <c r="AJ140" s="4476"/>
      <c r="AK140" s="4476"/>
      <c r="AL140" s="4476"/>
      <c r="AM140" s="4476"/>
      <c r="AN140" s="4476"/>
      <c r="AO140" s="4476"/>
      <c r="AP140" s="4476"/>
      <c r="AQ140" s="4476"/>
      <c r="AR140" s="4476"/>
      <c r="AS140" s="4476"/>
      <c r="AT140" s="4476"/>
      <c r="AU140" s="4476"/>
      <c r="AV140" s="4476"/>
      <c r="AW140" s="4476"/>
      <c r="AX140" s="4476"/>
      <c r="AY140" s="4476"/>
      <c r="AZ140" s="4476"/>
      <c r="BA140" s="4476"/>
      <c r="BB140" s="4476"/>
      <c r="BC140" s="4476"/>
      <c r="BD140" s="4476"/>
      <c r="BE140" s="4476"/>
      <c r="BF140" s="4476"/>
      <c r="BG140" s="4476"/>
      <c r="BH140" s="4476"/>
      <c r="BI140" s="4476"/>
      <c r="BJ140" s="4476"/>
      <c r="BK140" s="4477"/>
      <c r="BL140" s="1627"/>
      <c r="BM140" s="1628"/>
      <c r="BN140" s="1149"/>
      <c r="BO140" s="1150"/>
      <c r="BP140" s="1135" t="str">
        <f>IF(I140="Si",VLOOKUP($D$8,'Tablas Técnicas'!$E$4:$F$6,2,FALSE),"")</f>
        <v/>
      </c>
      <c r="BQ140" s="1136" t="str">
        <f>IF(L140="Si",VLOOKUP($D$8,'Tablas Técnicas'!$I$4:$J$6,2,FALSE),"")</f>
        <v/>
      </c>
      <c r="BR140" s="1134" t="str">
        <f>IF(O140="Si",VLOOKUP($D$8,'Tablas Técnicas'!$I$7:$J$9,2,FALSE),"")</f>
        <v/>
      </c>
      <c r="BS140" s="1151"/>
      <c r="BT140" s="261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92"/>
      <c r="BV140" s="1128"/>
      <c r="BW140" s="1183" t="str">
        <f>IF(SUM(BT140:BU140)=0,"N/A",SUM(BT140:BU140))</f>
        <v>N/A</v>
      </c>
      <c r="BX140" s="261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83" t="str">
        <f>IF(BX140=0,"N/A",BX140)</f>
        <v>N/A</v>
      </c>
      <c r="BZ140" s="1492"/>
      <c r="CA140" s="1096"/>
      <c r="DR140" s="1096"/>
      <c r="DT140" s="1514"/>
      <c r="DU140" s="1569"/>
      <c r="DV140" s="1566" t="str">
        <f>IF(E140="",""," "&amp;E140)&amp;IF(I140="No",""," (Mant.)")&amp;IF(L140="No",""," (Sme)")&amp;IF(O140="No",""," (SMa)")</f>
        <v/>
      </c>
      <c r="DW140" s="1566"/>
      <c r="DX140" s="1568"/>
      <c r="DY140" s="1513"/>
      <c r="DZ140" s="1096"/>
      <c r="EA140" s="1660">
        <f t="shared" si="2"/>
        <v>1</v>
      </c>
    </row>
    <row r="141" spans="1:131" x14ac:dyDescent="0.2">
      <c r="A141" s="1096"/>
      <c r="B141" s="1096"/>
      <c r="C141" s="1497"/>
      <c r="D141" s="1643" t="s">
        <v>2310</v>
      </c>
      <c r="E141" s="1160"/>
      <c r="F141" s="1176"/>
      <c r="G141" s="1146" t="str">
        <f>IF(E141=0,"",VLOOKUP(E141,'Tablas Técnicas'!$A$14:$V$771,3,FALSE))</f>
        <v/>
      </c>
      <c r="H141" s="2619" t="str">
        <f>IF($E141=0,"",VLOOKUP($E141,'Tablas Técnicas'!$A$14:$V$771,4,FALSE))</f>
        <v/>
      </c>
      <c r="I141" s="1144" t="s">
        <v>2234</v>
      </c>
      <c r="J141" s="1601" t="str">
        <f>IF(E141=0,"",VLOOKUP(E141,'Tablas Técnicas'!$A$14:$V$771,5,FALSE))</f>
        <v/>
      </c>
      <c r="K141" s="1163" t="str">
        <f>IF(I141="Si",IF(E141=0,"",VLOOKUP(E141,'Tablas Técnicas'!$A$14:$V$771,5,FALSE)),"")</f>
        <v/>
      </c>
      <c r="L141" s="1144" t="s">
        <v>2234</v>
      </c>
      <c r="M141" s="1601" t="str">
        <f>IF(E141=0,"",VLOOKUP(E141,'Tablas Técnicas'!$A$14:$V$771,6,FALSE))</f>
        <v/>
      </c>
      <c r="N141" s="1147" t="str">
        <f>IF(L141="Si",IF(E141=0,"",VLOOKUP(E141,'Tablas Técnicas'!$A$14:$V$771,6,FALSE)),"")</f>
        <v/>
      </c>
      <c r="O141" s="1144" t="s">
        <v>2234</v>
      </c>
      <c r="P141" s="1601" t="str">
        <f>IF(E141=0,"",VLOOKUP(E141,'Tablas Técnicas'!$A$14:$V$771,7,FALSE))</f>
        <v/>
      </c>
      <c r="Q141" s="1147" t="str">
        <f>IF(O141="Si",IF(E141=0,"",VLOOKUP(E141,'Tablas Técnicas'!$A$14:$V$771,7,FALSE)),"")</f>
        <v/>
      </c>
      <c r="R141" s="1162" t="str">
        <f>IF(E141=0,"",VLOOKUP(E141,'Tablas Técnicas'!$A$14:$V$771,8,FALSE))</f>
        <v/>
      </c>
      <c r="S141" s="2619" t="str">
        <f>IF(R141=$D$8,$D$8,IF(R141=2,2,IF(R141=3,3,R141)))</f>
        <v/>
      </c>
      <c r="T141" s="4487"/>
      <c r="U141" s="4488"/>
      <c r="V141" s="2617" t="str">
        <f>IF(OR(V139=0,V139=""),"N/A",V139)</f>
        <v>N/A</v>
      </c>
      <c r="W141" s="4487" t="str">
        <f xml:space="preserve"> IF(OR(AF139=0,AF139=""),"N/A",W139)</f>
        <v>N/A</v>
      </c>
      <c r="X141" s="4489"/>
      <c r="Y141" s="4489"/>
      <c r="Z141" s="4489"/>
      <c r="AA141" s="4489"/>
      <c r="AB141" s="4489"/>
      <c r="AC141" s="4489"/>
      <c r="AD141" s="4489"/>
      <c r="AE141" s="4489"/>
      <c r="AF141" s="4488"/>
      <c r="AG141" s="4487" t="str">
        <f xml:space="preserve"> IF(OR(AP139="",AP139=0),"N/A",AG139)</f>
        <v>N/A</v>
      </c>
      <c r="AH141" s="4489"/>
      <c r="AI141" s="4489"/>
      <c r="AJ141" s="4489"/>
      <c r="AK141" s="4489"/>
      <c r="AL141" s="4489"/>
      <c r="AM141" s="4489"/>
      <c r="AN141" s="4489"/>
      <c r="AO141" s="4489"/>
      <c r="AP141" s="4488"/>
      <c r="AQ141" s="4487" t="str">
        <f xml:space="preserve"> IF(OR(AZ139="",AZ139=0),"N/A",AQ139)</f>
        <v>N/A</v>
      </c>
      <c r="AR141" s="4489"/>
      <c r="AS141" s="4489"/>
      <c r="AT141" s="4489"/>
      <c r="AU141" s="4489"/>
      <c r="AV141" s="4489"/>
      <c r="AW141" s="4489"/>
      <c r="AX141" s="4489"/>
      <c r="AY141" s="4489"/>
      <c r="AZ141" s="4488"/>
      <c r="BA141" s="4487" t="str">
        <f xml:space="preserve"> IF(OR(BJ139="",BJ139=0),"N/A",BA139)</f>
        <v>N/A</v>
      </c>
      <c r="BB141" s="4489"/>
      <c r="BC141" s="4489"/>
      <c r="BD141" s="4489"/>
      <c r="BE141" s="4489"/>
      <c r="BF141" s="4489"/>
      <c r="BG141" s="4489"/>
      <c r="BH141" s="4489"/>
      <c r="BI141" s="4489"/>
      <c r="BJ141" s="4488"/>
      <c r="BK141" s="1164" t="s">
        <v>5229</v>
      </c>
      <c r="BL141" s="1146"/>
      <c r="BM141" s="1181"/>
      <c r="BN141" s="1165"/>
      <c r="BO141" s="1166"/>
      <c r="BP141" s="1167" t="str">
        <f>IF(I141="Si",VLOOKUP($D$8,'Tablas Técnicas'!$E$4:$F$6,2,FALSE),"")</f>
        <v/>
      </c>
      <c r="BQ141" s="1137" t="str">
        <f>IF(L141="Si",VLOOKUP($D$8,'Tablas Técnicas'!$I$4:$J$6,2,FALSE),"")</f>
        <v/>
      </c>
      <c r="BR141" s="1168" t="str">
        <f>IF(O141="Si",VLOOKUP($D$8,'Tablas Técnicas'!$I$7:$J$9,2,FALSE),"")</f>
        <v/>
      </c>
      <c r="BS141" s="1151"/>
      <c r="BT141" s="2609" t="s">
        <v>2244</v>
      </c>
      <c r="BU141" s="2610" t="s">
        <v>5236</v>
      </c>
      <c r="BV141" s="1128"/>
      <c r="BW141" s="2610" t="s">
        <v>5237</v>
      </c>
      <c r="BX141" s="2609" t="s">
        <v>5238</v>
      </c>
      <c r="BY141" s="1489" t="s">
        <v>5238</v>
      </c>
      <c r="BZ141" s="1492"/>
      <c r="CA141" s="1096"/>
      <c r="DR141" s="1096"/>
      <c r="DT141" s="1514"/>
      <c r="DU141" s="1569"/>
      <c r="DV141" s="1566" t="str">
        <f>IF(E141="","",E141)&amp;IF(I141="No",""," (Mant.)")&amp;IF(L141="No",""," (Sme)")&amp;IF(O141="No",""," (SMa)")</f>
        <v/>
      </c>
      <c r="DW141" s="1567"/>
      <c r="DX141" s="1568"/>
      <c r="DY141" s="1513"/>
      <c r="DZ141" s="1096"/>
      <c r="EA141" s="1660">
        <f t="shared" si="2"/>
        <v>1</v>
      </c>
    </row>
    <row r="142" spans="1:131" x14ac:dyDescent="0.2">
      <c r="A142" s="1096"/>
      <c r="B142" s="1096"/>
      <c r="C142" s="1497"/>
      <c r="D142" s="1642" t="s">
        <v>2310</v>
      </c>
      <c r="E142" s="1152"/>
      <c r="F142" s="1182"/>
      <c r="G142" s="1627" t="str">
        <f>IF(E142=0,"",VLOOKUP(E142,'Tablas Técnicas'!$A$14:$V$771,3,FALSE))</f>
        <v/>
      </c>
      <c r="H142" s="1155" t="str">
        <f>IF($E142=0,"",VLOOKUP($E142,'Tablas Técnicas'!$A$14:$V$771,4,FALSE))</f>
        <v/>
      </c>
      <c r="I142" s="1156" t="s">
        <v>2234</v>
      </c>
      <c r="J142" s="1605" t="str">
        <f>IF(E142=0,"",VLOOKUP(E142,'Tablas Técnicas'!$A$14:$V$771,5,FALSE))</f>
        <v/>
      </c>
      <c r="K142" s="1158" t="str">
        <f>IF(I142="Si",IF(E142=0,"",VLOOKUP(E142,'Tablas Técnicas'!$A$14:$V$771,5,FALSE)),"")</f>
        <v/>
      </c>
      <c r="L142" s="1156" t="s">
        <v>2234</v>
      </c>
      <c r="M142" s="1605" t="str">
        <f>IF(E142=0,"",VLOOKUP(E142,'Tablas Técnicas'!$A$14:$V$771,6,FALSE))</f>
        <v/>
      </c>
      <c r="N142" s="1159" t="str">
        <f>IF(L142="Si",IF(E142=0,"",VLOOKUP(E142,'Tablas Técnicas'!$A$14:$V$771,6,FALSE)),"")</f>
        <v/>
      </c>
      <c r="O142" s="1156" t="s">
        <v>2234</v>
      </c>
      <c r="P142" s="1605" t="str">
        <f>IF(E142=0,"",VLOOKUP(E142,'Tablas Técnicas'!$A$14:$V$771,7,FALSE))</f>
        <v/>
      </c>
      <c r="Q142" s="1159" t="str">
        <f>IF(O142="Si",IF(E142=0,"",VLOOKUP(E142,'Tablas Técnicas'!$A$14:$V$771,7,FALSE)),"")</f>
        <v/>
      </c>
      <c r="R142" s="1157" t="str">
        <f>IF(E142=0,"",VLOOKUP(E142,'Tablas Técnicas'!$A$14:$V$771,8,FALSE))</f>
        <v/>
      </c>
      <c r="S142" s="1155" t="str">
        <f>IF(R142=$D$8,$D$8,IF(R142=2,2,IF(R142=3,3,R142)))</f>
        <v/>
      </c>
      <c r="T142" s="4490" t="s">
        <v>5230</v>
      </c>
      <c r="U142" s="4491"/>
      <c r="V142" s="2618"/>
      <c r="W142" s="4492"/>
      <c r="X142" s="4493"/>
      <c r="Y142" s="4493"/>
      <c r="Z142" s="4493"/>
      <c r="AA142" s="4493"/>
      <c r="AB142" s="4493"/>
      <c r="AC142" s="4493"/>
      <c r="AD142" s="4493"/>
      <c r="AE142" s="4493"/>
      <c r="AF142" s="4494"/>
      <c r="AG142" s="4492"/>
      <c r="AH142" s="4493"/>
      <c r="AI142" s="4493"/>
      <c r="AJ142" s="4493"/>
      <c r="AK142" s="4493"/>
      <c r="AL142" s="4493"/>
      <c r="AM142" s="4493"/>
      <c r="AN142" s="4493"/>
      <c r="AO142" s="4493"/>
      <c r="AP142" s="4494"/>
      <c r="AQ142" s="4492"/>
      <c r="AR142" s="4493"/>
      <c r="AS142" s="4493"/>
      <c r="AT142" s="4493"/>
      <c r="AU142" s="4493"/>
      <c r="AV142" s="4493"/>
      <c r="AW142" s="4493"/>
      <c r="AX142" s="4493"/>
      <c r="AY142" s="4493"/>
      <c r="AZ142" s="4494"/>
      <c r="BA142" s="4492"/>
      <c r="BB142" s="4493"/>
      <c r="BC142" s="4493"/>
      <c r="BD142" s="4493"/>
      <c r="BE142" s="4493"/>
      <c r="BF142" s="4493"/>
      <c r="BG142" s="4493"/>
      <c r="BH142" s="4493"/>
      <c r="BI142" s="4493"/>
      <c r="BJ142" s="4494"/>
      <c r="BK142" s="1155">
        <f>(SUM(G139:G143)+IF(AF139="",0,AF139)+IF(AP139="",0,AP139)+IF(AZ139="",0,AZ139)+IF(BJ139="",0,BJ139)+SUM(K139:K143)+SUM(N139:N143)+SUM(Q139:Q143))- SUM(V142:BA142)</f>
        <v>0</v>
      </c>
      <c r="BL142" s="1627"/>
      <c r="BM142" s="1628"/>
      <c r="BN142" s="1149"/>
      <c r="BO142" s="1150"/>
      <c r="BP142" s="1135" t="str">
        <f>IF(I142="Si",VLOOKUP($D$8,'Tablas Técnicas'!$E$4:$F$6,2,FALSE),"")</f>
        <v/>
      </c>
      <c r="BQ142" s="1136" t="str">
        <f>IF(L142="Si",VLOOKUP($D$8,'Tablas Técnicas'!$I$4:$J$6,2,FALSE),"")</f>
        <v/>
      </c>
      <c r="BR142" s="1134" t="str">
        <f>IF(O142="Si",VLOOKUP($D$8,'Tablas Técnicas'!$I$7:$J$9,2,FALSE),"")</f>
        <v/>
      </c>
      <c r="BS142" s="1151"/>
      <c r="BT142" s="261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92"/>
      <c r="BV142" s="1128"/>
      <c r="BW142" s="1183" t="str">
        <f>IF(SUM(BT142:BU142)=0,"N/A",SUM(BT142:BU142))</f>
        <v>N/A</v>
      </c>
      <c r="BX142" s="261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83" t="str">
        <f>IF(BX142=0,"N/A",BX142)</f>
        <v>N/A</v>
      </c>
      <c r="BZ142" s="1492"/>
      <c r="CA142" s="1096"/>
      <c r="DR142" s="1096"/>
      <c r="DT142" s="1514"/>
      <c r="DU142" s="1569"/>
      <c r="DV142" s="1566" t="str">
        <f>IF(E142="","",E142)&amp;IF(I142="No",""," (Mant.)")&amp;IF(L142="No",""," (Sme)")&amp;IF(O142="No",""," (SMa)")</f>
        <v/>
      </c>
      <c r="DW142" s="1567"/>
      <c r="DX142" s="1568"/>
      <c r="DY142" s="1513"/>
      <c r="DZ142" s="1096"/>
      <c r="EA142" s="1660">
        <f t="shared" si="2"/>
        <v>1</v>
      </c>
    </row>
    <row r="143" spans="1:131" s="1170" customFormat="1" x14ac:dyDescent="0.2">
      <c r="A143" s="1096"/>
      <c r="B143" s="1096"/>
      <c r="C143" s="1497"/>
      <c r="D143" s="1643" t="s">
        <v>2310</v>
      </c>
      <c r="E143" s="1160"/>
      <c r="F143" s="1176"/>
      <c r="G143" s="1146" t="str">
        <f>IF(E143=0,"",VLOOKUP(E143,'Tablas Técnicas'!$A$14:$V$771,3,FALSE))</f>
        <v/>
      </c>
      <c r="H143" s="1171" t="str">
        <f>IF($E143=0,"",VLOOKUP($E143,'Tablas Técnicas'!$A$14:$V$771,4,FALSE))</f>
        <v/>
      </c>
      <c r="I143" s="1144" t="s">
        <v>2234</v>
      </c>
      <c r="J143" s="1608" t="str">
        <f>IF(E143=0,"",VLOOKUP(E143,'Tablas Técnicas'!$A$14:$V$771,5,FALSE))</f>
        <v/>
      </c>
      <c r="K143" s="1172" t="str">
        <f>IF(I143="Si",IF(E143=0,"",VLOOKUP(E143,'Tablas Técnicas'!$A$14:$V$771,5,FALSE)),"")</f>
        <v/>
      </c>
      <c r="L143" s="1144" t="s">
        <v>2234</v>
      </c>
      <c r="M143" s="1608" t="str">
        <f>IF(E143=0,"",VLOOKUP(E143,'Tablas Técnicas'!$A$14:$V$771,6,FALSE))</f>
        <v/>
      </c>
      <c r="N143" s="1147" t="str">
        <f>IF(L143="Si",IF(E143=0,"",VLOOKUP(E143,'Tablas Técnicas'!$A$14:$V$771,6,FALSE)),"")</f>
        <v/>
      </c>
      <c r="O143" s="1144" t="s">
        <v>2234</v>
      </c>
      <c r="P143" s="1608" t="str">
        <f>IF(E143=0,"",VLOOKUP(E143,'Tablas Técnicas'!$A$14:$V$771,7,FALSE))</f>
        <v/>
      </c>
      <c r="Q143" s="1147" t="str">
        <f>IF(O143="Si",IF(E143=0,"",VLOOKUP(E143,'Tablas Técnicas'!$A$14:$V$771,7,FALSE)),"")</f>
        <v/>
      </c>
      <c r="R143" s="1193" t="str">
        <f>IF(E143=0,"",VLOOKUP(E143,'Tablas Técnicas'!$A$14:$V$771,8,FALSE))</f>
        <v/>
      </c>
      <c r="S143" s="1161" t="str">
        <f>IF(R143=$D$8,$D$8,IF(R143=2,2,IF(R143=3,3,R143)))</f>
        <v/>
      </c>
      <c r="T143" s="4482" t="s">
        <v>5232</v>
      </c>
      <c r="U143" s="4483"/>
      <c r="V143" s="2616"/>
      <c r="W143" s="4484"/>
      <c r="X143" s="4485"/>
      <c r="Y143" s="4485"/>
      <c r="Z143" s="4485"/>
      <c r="AA143" s="4485"/>
      <c r="AB143" s="4485"/>
      <c r="AC143" s="4485"/>
      <c r="AD143" s="4485"/>
      <c r="AE143" s="4485"/>
      <c r="AF143" s="4486"/>
      <c r="AG143" s="4484"/>
      <c r="AH143" s="4485"/>
      <c r="AI143" s="4485"/>
      <c r="AJ143" s="4485"/>
      <c r="AK143" s="4485"/>
      <c r="AL143" s="4485"/>
      <c r="AM143" s="4485"/>
      <c r="AN143" s="4485"/>
      <c r="AO143" s="4485"/>
      <c r="AP143" s="4486"/>
      <c r="AQ143" s="4484"/>
      <c r="AR143" s="4485"/>
      <c r="AS143" s="4485"/>
      <c r="AT143" s="4485"/>
      <c r="AU143" s="4485"/>
      <c r="AV143" s="4485"/>
      <c r="AW143" s="4485"/>
      <c r="AX143" s="4485"/>
      <c r="AY143" s="4485"/>
      <c r="AZ143" s="4486"/>
      <c r="BA143" s="4484"/>
      <c r="BB143" s="4485"/>
      <c r="BC143" s="4485"/>
      <c r="BD143" s="4485"/>
      <c r="BE143" s="4485"/>
      <c r="BF143" s="4485"/>
      <c r="BG143" s="4485"/>
      <c r="BH143" s="4485"/>
      <c r="BI143" s="4485"/>
      <c r="BJ143" s="4486"/>
      <c r="BK143" s="1171">
        <f>SUM(K139:K143)-SUM(V143:BA143)</f>
        <v>0</v>
      </c>
      <c r="BL143" s="1629"/>
      <c r="BM143" s="1630"/>
      <c r="BN143" s="1165"/>
      <c r="BO143" s="1166"/>
      <c r="BP143" s="1167" t="str">
        <f>IF(I143="Si",VLOOKUP($D$8,'Tablas Técnicas'!$E$4:$F$6,2,FALSE),"")</f>
        <v/>
      </c>
      <c r="BQ143" s="1137" t="str">
        <f>IF(L143="Si",VLOOKUP($D$8,'Tablas Técnicas'!$I$4:$J$6,2,FALSE),"")</f>
        <v/>
      </c>
      <c r="BR143" s="1168" t="str">
        <f>IF(O143="Si",VLOOKUP($D$8,'Tablas Técnicas'!$I$7:$J$9,2,FALSE),"")</f>
        <v/>
      </c>
      <c r="BS143" s="1151"/>
      <c r="BT143" s="2609" t="s">
        <v>2245</v>
      </c>
      <c r="BU143" s="2610" t="s">
        <v>5236</v>
      </c>
      <c r="BV143" s="1128"/>
      <c r="BW143" s="2610" t="s">
        <v>5237</v>
      </c>
      <c r="BX143" s="2609" t="s">
        <v>5238</v>
      </c>
      <c r="BY143" s="1489" t="s">
        <v>5238</v>
      </c>
      <c r="BZ143" s="1492"/>
      <c r="CA143" s="1096"/>
      <c r="DR143" s="1096"/>
      <c r="DS143" s="1509"/>
      <c r="DT143" s="1514"/>
      <c r="DU143" s="1569"/>
      <c r="DV143" s="1566" t="str">
        <f>IF(E143="","",E143)&amp;IF(I143="No",""," (Mant.)")&amp;IF(L143="No",""," (Sme)")&amp;IF(O143="No",""," (SMa)")</f>
        <v/>
      </c>
      <c r="DW143" s="1567"/>
      <c r="DX143" s="1568"/>
      <c r="DY143" s="1513"/>
      <c r="DZ143" s="1096"/>
      <c r="EA143" s="1660">
        <f t="shared" si="2"/>
        <v>1</v>
      </c>
    </row>
    <row r="144" spans="1:131" x14ac:dyDescent="0.2">
      <c r="A144" s="1096"/>
      <c r="B144" s="159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97"/>
      <c r="D144" s="1644">
        <v>5</v>
      </c>
      <c r="E144" s="1423"/>
      <c r="F144" s="1173"/>
      <c r="G144" s="1174"/>
      <c r="H144" s="2559">
        <f>IF(AND(OR(ISNUMBER(SEARCH("Afinidad Elemental ("&amp;BK139&amp;")",Principal!$AF$30)),ISNUMBER(SEARCH("Afinidad Elemental ("&amp;BL139&amp;")",Principal!$AF$30)),ISNUMBER(SEARCH("Afinidad Elemental ("&amp;BM139&amp;")",Principal!$AF$30))),SUM(H139:H143)&gt;=5),-5,0)</f>
        <v>0</v>
      </c>
      <c r="I144" s="1603"/>
      <c r="J144" s="1606"/>
      <c r="K144" s="1174"/>
      <c r="L144" s="1603"/>
      <c r="M144" s="1606"/>
      <c r="N144" s="1174"/>
      <c r="O144" s="1603"/>
      <c r="P144" s="1606"/>
      <c r="Q144" s="1174"/>
      <c r="R144" s="1175"/>
      <c r="S144" s="1174"/>
      <c r="T144" s="1174"/>
      <c r="U144" s="1174"/>
      <c r="V144" s="1174"/>
      <c r="W144" s="1174"/>
      <c r="X144" s="1174"/>
      <c r="Y144" s="1174"/>
      <c r="Z144" s="1174"/>
      <c r="AA144" s="1174"/>
      <c r="AB144" s="1174"/>
      <c r="AC144" s="1174"/>
      <c r="AD144" s="1174"/>
      <c r="AE144" s="1174"/>
      <c r="AF144" s="1174"/>
      <c r="AG144" s="1174"/>
      <c r="AH144" s="117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c r="BD144" s="1174"/>
      <c r="BE144" s="1174"/>
      <c r="BF144" s="1174"/>
      <c r="BG144" s="1174"/>
      <c r="BH144" s="1174"/>
      <c r="BI144" s="1174"/>
      <c r="BJ144" s="1174"/>
      <c r="BK144" s="1174"/>
      <c r="BL144" s="1174"/>
      <c r="BM144" s="1184"/>
      <c r="BN144" s="1185">
        <f>SUM(K144:K147)</f>
        <v>0</v>
      </c>
      <c r="BO144" s="1128" t="str">
        <f>IF(E144=0,"",(AF144+AP144+AZ144+BJ144))</f>
        <v/>
      </c>
      <c r="BP144" s="1186" t="str">
        <f>IF(I144="Si",VLOOKUP($D$8,'Tablas Técnicas'!$E$4:$F$6,2,FALSE),"")</f>
        <v/>
      </c>
      <c r="BQ144" s="1187" t="str">
        <f>IF(L144="Si",VLOOKUP($D$8,'Tablas Técnicas'!$I$4:$J$6,2,FALSE),"")</f>
        <v/>
      </c>
      <c r="BR144" s="1185" t="str">
        <f>IF(O144="Si",VLOOKUP($D$8,'Tablas Técnicas'!$I$7:$J$9,2,FALSE),"")</f>
        <v/>
      </c>
      <c r="BS144" s="1151"/>
      <c r="BT144" s="261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92"/>
      <c r="BV144" s="1128"/>
      <c r="BW144" s="1183" t="str">
        <f>IF(SUM(BT144:BU144)=0,"N/A",SUM(BT144:BU144))</f>
        <v>N/A</v>
      </c>
      <c r="BX144" s="261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83" t="str">
        <f>IF(BX144=0,"N/A",BX144)</f>
        <v>N/A</v>
      </c>
      <c r="BZ144" s="1492"/>
      <c r="CA144" s="1096"/>
      <c r="DR144" s="1096"/>
      <c r="DT144" s="1514"/>
      <c r="DU144" s="1569"/>
      <c r="DV144" s="1570"/>
      <c r="DW144" s="1567"/>
      <c r="DX144" s="1568"/>
      <c r="DY144" s="1513"/>
      <c r="DZ144" s="1096"/>
      <c r="EA144" s="1660">
        <f t="shared" si="2"/>
        <v>1</v>
      </c>
    </row>
    <row r="145" spans="1:132" ht="11.25" customHeight="1" thickBot="1" x14ac:dyDescent="0.25">
      <c r="A145" s="1096"/>
      <c r="B145" s="1096"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97"/>
      <c r="D145" s="1643" t="s">
        <v>2310</v>
      </c>
      <c r="E145" s="1140"/>
      <c r="F145" s="1176"/>
      <c r="G145" s="1146" t="str">
        <f>IF(E145=0,"",VLOOKUP(E145,'Tablas Técnicas'!$A$14:$V$771,3,FALSE))</f>
        <v/>
      </c>
      <c r="H145" s="1188" t="str">
        <f>IF($E145=0,"",VLOOKUP($E145,'Tablas Técnicas'!$A$14:$V$771,4,FALSE))</f>
        <v/>
      </c>
      <c r="I145" s="1144" t="s">
        <v>2234</v>
      </c>
      <c r="J145" s="1607" t="str">
        <f>IF(E145=0,"",VLOOKUP(E145,'Tablas Técnicas'!$A$14:$V$771,5,FALSE))</f>
        <v/>
      </c>
      <c r="K145" s="1190" t="str">
        <f>IF(I145="Si",IF(E145=0,"",VLOOKUP(E145,'Tablas Técnicas'!$A$14:$V$771,5,FALSE)),"")</f>
        <v/>
      </c>
      <c r="L145" s="1144" t="s">
        <v>2234</v>
      </c>
      <c r="M145" s="1607" t="str">
        <f>IF(E145=0,"",VLOOKUP(E145,'Tablas Técnicas'!$A$14:$V$771,6,FALSE))</f>
        <v/>
      </c>
      <c r="N145" s="1147" t="str">
        <f>IF(L145="Si",IF(E145=0,"",VLOOKUP(E145,'Tablas Técnicas'!$A$14:$V$771,6,FALSE)),"")</f>
        <v/>
      </c>
      <c r="O145" s="1144" t="s">
        <v>2234</v>
      </c>
      <c r="P145" s="1607" t="str">
        <f>IF(E145=0,"",VLOOKUP(E145,'Tablas Técnicas'!$A$14:$V$771,7,FALSE))</f>
        <v/>
      </c>
      <c r="Q145" s="1147" t="str">
        <f>IF(O145="Si",IF(E145=0,"",VLOOKUP(E145,'Tablas Técnicas'!$A$14:$V$771,7,FALSE)),"")</f>
        <v/>
      </c>
      <c r="R145" s="1189" t="str">
        <f>IF(E145=0,"",VLOOKUP(E145,'Tablas Técnicas'!$A$14:$V$771,8,FALSE))</f>
        <v/>
      </c>
      <c r="S145" s="1161" t="str">
        <f>IF(R145=$D$8,$D$8,IF(R145=2,2,IF(R145=3,3,R145)))</f>
        <v/>
      </c>
      <c r="T145" s="1190" t="str">
        <f>IF(E145=0,"",VLOOKUP(E145,'Tablas Técnicas'!$A$14:$V$771,9,FALSE))</f>
        <v/>
      </c>
      <c r="U145" s="1190" t="str">
        <f>IF(E145=0,"",VLOOKUP(E145,'Tablas Técnicas'!$A$14:$V$771,10,FALSE))</f>
        <v/>
      </c>
      <c r="V145" s="1191" t="str">
        <f>IF(E145=0,"",VLOOKUP(E145,'Tablas Técnicas'!$A$14:$V$771,11,FALSE))</f>
        <v/>
      </c>
      <c r="W145" s="1144"/>
      <c r="X145" s="1145" t="e">
        <f>VLOOKUP(E145,'Tablas Técnicas'!$A$14:$V$771,12,FALSE)</f>
        <v>#N/A</v>
      </c>
      <c r="Y145" s="1145" t="e">
        <f>IF(W145=X145,VLOOKUP(E145,'Tablas Técnicas'!$A$14:$V$771,13,FALSE),0)</f>
        <v>#N/A</v>
      </c>
      <c r="Z145" s="1145" t="e">
        <f>VLOOKUP(E145,'Tablas Técnicas'!$A$14:$V$771,14,FALSE)</f>
        <v>#N/A</v>
      </c>
      <c r="AA145" s="1145" t="e">
        <f>IF(W145=Z145,VLOOKUP(E145,'Tablas Técnicas'!$A$14:$V$616,15,FALSE),0)</f>
        <v>#N/A</v>
      </c>
      <c r="AB145" s="1145" t="e">
        <f>VLOOKUP(E145,'Tablas Técnicas'!$A$14:$V$771,16,FALSE)</f>
        <v>#N/A</v>
      </c>
      <c r="AC145" s="1145" t="e">
        <f>IF(W145=AB145,VLOOKUP(E145,'Tablas Técnicas'!$A$14:$V$616,17,FALSE),0)</f>
        <v>#N/A</v>
      </c>
      <c r="AD145" s="1145" t="e">
        <f>VLOOKUP(E145,'Tablas Técnicas'!$A$14:$V$771,18,FALSE)</f>
        <v>#N/A</v>
      </c>
      <c r="AE145" s="1145" t="e">
        <f>IF(W145=AD145,VLOOKUP(E145,'Tablas Técnicas'!$A$14:$V$771,19,FALSE),0)</f>
        <v>#N/A</v>
      </c>
      <c r="AF145" s="1163" t="str">
        <f>IF(E145=0,"",(Y145+AA145+AC145+AE145))</f>
        <v/>
      </c>
      <c r="AG145" s="1144"/>
      <c r="AH145" s="1162" t="e">
        <f>VLOOKUP(E145,'Tablas Técnicas'!$A$14:$V$771,12,FALSE)</f>
        <v>#N/A</v>
      </c>
      <c r="AI145" s="1162" t="e">
        <f>IF(AG145=AH145,VLOOKUP(E145,'Tablas Técnicas'!$A$14:$V$771,13,FALSE),0)</f>
        <v>#N/A</v>
      </c>
      <c r="AJ145" s="1162" t="e">
        <f>VLOOKUP(E145,'Tablas Técnicas'!$A$14:$V$771,14,FALSE)</f>
        <v>#N/A</v>
      </c>
      <c r="AK145" s="1162" t="e">
        <f>IF(AG145=AJ145,VLOOKUP(E145,'Tablas Técnicas'!$A$14:$V$771,15,FALSE),0)</f>
        <v>#N/A</v>
      </c>
      <c r="AL145" s="1162" t="e">
        <f>VLOOKUP(E145,'Tablas Técnicas'!$A$14:$V$771,16,FALSE)</f>
        <v>#N/A</v>
      </c>
      <c r="AM145" s="1162" t="e">
        <f>IF(AG145=AL145,VLOOKUP(E145,'Tablas Técnicas'!$A$14:$V$771,17,FALSE),0)</f>
        <v>#N/A</v>
      </c>
      <c r="AN145" s="1162" t="e">
        <f>VLOOKUP(E145,'Tablas Técnicas'!$A$14:$V$771,18,FALSE)</f>
        <v>#N/A</v>
      </c>
      <c r="AO145" s="1162" t="e">
        <f>IF(AG145=AN145,VLOOKUP(E145,'Tablas Técnicas'!$A$14:$V$771,19,FALSE),0)</f>
        <v>#N/A</v>
      </c>
      <c r="AP145" s="2620" t="str">
        <f>IF(E145=0,"",(AI145+AK145+AM145+AO145))</f>
        <v/>
      </c>
      <c r="AQ145" s="1144"/>
      <c r="AR145" s="1162" t="e">
        <f>VLOOKUP(E145,'Tablas Técnicas'!$A$14:$V$771,12,FALSE)</f>
        <v>#N/A</v>
      </c>
      <c r="AS145" s="1162" t="e">
        <f>IF(AQ145=AR145,VLOOKUP(E145,'Tablas Técnicas'!$A$14:$V$771,13,FALSE),0)</f>
        <v>#N/A</v>
      </c>
      <c r="AT145" s="1162" t="e">
        <f>VLOOKUP(E145,'Tablas Técnicas'!$A$14:$V$771,14,FALSE)</f>
        <v>#N/A</v>
      </c>
      <c r="AU145" s="1162" t="e">
        <f>IF(AQ145=AT145,VLOOKUP(E145,'Tablas Técnicas'!$A$14:$V$771,15,FALSE),0)</f>
        <v>#N/A</v>
      </c>
      <c r="AV145" s="1162" t="e">
        <f>VLOOKUP(E145,'Tablas Técnicas'!$A$14:$V$771,16,FALSE)</f>
        <v>#N/A</v>
      </c>
      <c r="AW145" s="1162" t="e">
        <f>IF(AQ145=AV145,VLOOKUP(E145,'Tablas Técnicas'!$A$14:$V$771,17,FALSE),0)</f>
        <v>#N/A</v>
      </c>
      <c r="AX145" s="1162" t="e">
        <f>VLOOKUP(E145,'Tablas Técnicas'!$A$14:$V$771,18,FALSE)</f>
        <v>#N/A</v>
      </c>
      <c r="AY145" s="1162" t="e">
        <f>IF(AQ145=AX145,VLOOKUP(E145,'Tablas Técnicas'!$A$14:$V$771,19,FALSE),0)</f>
        <v>#N/A</v>
      </c>
      <c r="AZ145" s="1163" t="str">
        <f>IF(E145=0,"",(AS145+AU145+AW145+AY145))</f>
        <v/>
      </c>
      <c r="BA145" s="1144"/>
      <c r="BB145" s="1162" t="e">
        <f>VLOOKUP(E145,'Tablas Técnicas'!$A$14:$V$771,12,FALSE)</f>
        <v>#N/A</v>
      </c>
      <c r="BC145" s="1162" t="e">
        <f>IF(BA145=BB145,VLOOKUP(E145,'Tablas Técnicas'!$A$14:$V$771,13,FALSE),0)</f>
        <v>#N/A</v>
      </c>
      <c r="BD145" s="1162" t="e">
        <f>VLOOKUP(E145,'Tablas Técnicas'!$A$14:$V$771,14,FALSE)</f>
        <v>#N/A</v>
      </c>
      <c r="BE145" s="1162" t="e">
        <f>IF(BA145=BD145,VLOOKUP(E145,'Tablas Técnicas'!$A$14:$V$771,15,FALSE),0)</f>
        <v>#N/A</v>
      </c>
      <c r="BF145" s="1162" t="e">
        <f>VLOOKUP(E145,'Tablas Técnicas'!$A$14:$V$771,16,FALSE)</f>
        <v>#N/A</v>
      </c>
      <c r="BG145" s="1162" t="e">
        <f>IF(BA145=BF145,VLOOKUP(E145,'Tablas Técnicas'!$A$14:$V$771,17,FALSE),0)</f>
        <v>#N/A</v>
      </c>
      <c r="BH145" s="1162" t="e">
        <f>VLOOKUP(E145,'Tablas Técnicas'!$A$14:$V$771,18,FALSE)</f>
        <v>#N/A</v>
      </c>
      <c r="BI145" s="1162" t="e">
        <f>IF(BA145=BH145,VLOOKUP(E145,'Tablas Técnicas'!$A$14:$V$771,19,FALSE),0)</f>
        <v>#N/A</v>
      </c>
      <c r="BJ145" s="2620" t="str">
        <f>IF(E145=0,"",(BC145+BE145+BG145+BI145))</f>
        <v/>
      </c>
      <c r="BK145" s="1190" t="str">
        <f>IF(E145=0,"",VLOOKUP(E145,'Tablas Técnicas'!$A$14:$V$771,20,FALSE))</f>
        <v/>
      </c>
      <c r="BL145" s="1177" t="str">
        <f>IF(E145=0,"",VLOOKUP(E145,'Tablas Técnicas'!$A$14:$V$771,21,FALSE))</f>
        <v/>
      </c>
      <c r="BM145" s="1148" t="str">
        <f>IF(E145=0,"",VLOOKUP(E145,'Tablas Técnicas'!$A$14:$V$771,22,FALSE))</f>
        <v/>
      </c>
      <c r="BN145" s="1149"/>
      <c r="BO145" s="1150"/>
      <c r="BP145" s="1135" t="str">
        <f>IF(I145="Si",VLOOKUP($D$8,'Tablas Técnicas'!$E$4:$F$6,2,FALSE),"")</f>
        <v/>
      </c>
      <c r="BQ145" s="1136" t="str">
        <f>IF(L145="Si",VLOOKUP($D$8,'Tablas Técnicas'!$I$4:$J$6,2,FALSE),"")</f>
        <v/>
      </c>
      <c r="BR145" s="1134" t="str">
        <f>IF(O145="Si",VLOOKUP($D$8,'Tablas Técnicas'!$I$7:$J$9,2,FALSE),"")</f>
        <v/>
      </c>
      <c r="BS145" s="1151"/>
      <c r="BU145" s="4442"/>
      <c r="BV145" s="4442"/>
      <c r="BW145" s="4442"/>
      <c r="BX145" s="1108"/>
      <c r="BY145" s="1475"/>
      <c r="BZ145" s="1492"/>
      <c r="CA145" s="1096"/>
      <c r="DR145" s="1096"/>
      <c r="DT145" s="1515"/>
      <c r="DU145" s="1618" t="str">
        <f>DU121&amp;DU122&amp;DU123&amp;DU124&amp;DU125&amp;DU126</f>
        <v/>
      </c>
      <c r="DV145" s="1619" t="str">
        <f>DV121&amp;DV122&amp;DV123&amp;DV124&amp;DV125&amp;DV127&amp;DV128&amp;DV129&amp;DV130&amp;DV131&amp;DV133&amp;DV134&amp;DV135&amp;DV136&amp;DV137&amp;DV139&amp;DV140&amp;DV141&amp;DV142&amp;DV143</f>
        <v/>
      </c>
      <c r="DW145" s="1620" t="str">
        <f>DW121&amp;DW122&amp;DW123</f>
        <v/>
      </c>
      <c r="DX145" s="1621" t="str">
        <f>IF(DX127="",DX121,DX127)</f>
        <v/>
      </c>
      <c r="DY145" s="1516"/>
      <c r="DZ145" s="1096"/>
      <c r="EA145" s="1660">
        <f t="shared" si="2"/>
        <v>1</v>
      </c>
    </row>
    <row r="146" spans="1:132" ht="11.25" customHeight="1" x14ac:dyDescent="0.2">
      <c r="A146" s="1096"/>
      <c r="B146" s="1096"/>
      <c r="C146" s="1497"/>
      <c r="D146" s="1642" t="s">
        <v>2310</v>
      </c>
      <c r="E146" s="1152"/>
      <c r="F146" s="1182"/>
      <c r="G146" s="1627" t="str">
        <f>IF(E146=0,"",VLOOKUP(E146,'Tablas Técnicas'!$A$14:$V$771,3,FALSE))</f>
        <v/>
      </c>
      <c r="H146" s="1155" t="str">
        <f>IF($E146=0,"",VLOOKUP($E146,'Tablas Técnicas'!$A$14:$V$771,4,FALSE))</f>
        <v/>
      </c>
      <c r="I146" s="1156" t="s">
        <v>2234</v>
      </c>
      <c r="J146" s="1605" t="str">
        <f>IF(E146=0,"",VLOOKUP(E146,'Tablas Técnicas'!$A$14:$V$771,5,FALSE))</f>
        <v/>
      </c>
      <c r="K146" s="1158" t="str">
        <f>IF(I146="Si",IF(E146=0,"",VLOOKUP(E146,'Tablas Técnicas'!$A$14:$V$771,5,FALSE)),"")</f>
        <v/>
      </c>
      <c r="L146" s="1156" t="s">
        <v>2234</v>
      </c>
      <c r="M146" s="1605" t="str">
        <f>IF(E146=0,"",VLOOKUP(E146,'Tablas Técnicas'!$A$14:$V$771,6,FALSE))</f>
        <v/>
      </c>
      <c r="N146" s="1159" t="str">
        <f>IF(L146="Si",IF(E146=0,"",VLOOKUP(E146,'Tablas Técnicas'!$A$14:$V$771,6,FALSE)),"")</f>
        <v/>
      </c>
      <c r="O146" s="1156" t="s">
        <v>2234</v>
      </c>
      <c r="P146" s="1605" t="str">
        <f>IF(E146=0,"",VLOOKUP(E146,'Tablas Técnicas'!$A$14:$V$771,7,FALSE))</f>
        <v/>
      </c>
      <c r="Q146" s="1159" t="str">
        <f>IF(O146="Si",IF(E146=0,"",VLOOKUP(E146,'Tablas Técnicas'!$A$14:$V$771,7,FALSE)),"")</f>
        <v/>
      </c>
      <c r="R146" s="1157" t="str">
        <f>IF(E146=0,"",VLOOKUP(E146,'Tablas Técnicas'!$A$14:$V$771,8,FALSE))</f>
        <v/>
      </c>
      <c r="S146" s="1155" t="str">
        <f>IF(R146=$D$8,$D$8,IF(R146=2,2,IF(R146=3,3,R146)))</f>
        <v/>
      </c>
      <c r="T146" s="4475" t="s">
        <v>5228</v>
      </c>
      <c r="U146" s="4476"/>
      <c r="V146" s="4476"/>
      <c r="W146" s="4476"/>
      <c r="X146" s="4476"/>
      <c r="Y146" s="4476"/>
      <c r="Z146" s="4476"/>
      <c r="AA146" s="4476"/>
      <c r="AB146" s="4476"/>
      <c r="AC146" s="4476"/>
      <c r="AD146" s="4476"/>
      <c r="AE146" s="4476"/>
      <c r="AF146" s="4476"/>
      <c r="AG146" s="4476"/>
      <c r="AH146" s="4476"/>
      <c r="AI146" s="4476"/>
      <c r="AJ146" s="4476"/>
      <c r="AK146" s="4476"/>
      <c r="AL146" s="4476"/>
      <c r="AM146" s="4476"/>
      <c r="AN146" s="4476"/>
      <c r="AO146" s="4476"/>
      <c r="AP146" s="4476"/>
      <c r="AQ146" s="4476"/>
      <c r="AR146" s="4476"/>
      <c r="AS146" s="4476"/>
      <c r="AT146" s="4476"/>
      <c r="AU146" s="4476"/>
      <c r="AV146" s="4476"/>
      <c r="AW146" s="4476"/>
      <c r="AX146" s="4476"/>
      <c r="AY146" s="4476"/>
      <c r="AZ146" s="4476"/>
      <c r="BA146" s="4476"/>
      <c r="BB146" s="4476"/>
      <c r="BC146" s="4476"/>
      <c r="BD146" s="4476"/>
      <c r="BE146" s="4476"/>
      <c r="BF146" s="4476"/>
      <c r="BG146" s="4476"/>
      <c r="BH146" s="4476"/>
      <c r="BI146" s="4476"/>
      <c r="BJ146" s="4476"/>
      <c r="BK146" s="4477"/>
      <c r="BL146" s="1627"/>
      <c r="BM146" s="1628"/>
      <c r="BN146" s="1149"/>
      <c r="BO146" s="1150"/>
      <c r="BP146" s="1135" t="str">
        <f>IF(I146="Si",VLOOKUP($D$8,'Tablas Técnicas'!$E$4:$F$6,2,FALSE),"")</f>
        <v/>
      </c>
      <c r="BQ146" s="1136" t="str">
        <f>IF(L146="Si",VLOOKUP($D$8,'Tablas Técnicas'!$I$4:$J$6,2,FALSE),"")</f>
        <v/>
      </c>
      <c r="BR146" s="1134" t="str">
        <f>IF(O146="Si",VLOOKUP($D$8,'Tablas Técnicas'!$I$7:$J$9,2,FALSE),"")</f>
        <v/>
      </c>
      <c r="BS146" s="1151"/>
      <c r="BT146" s="1194"/>
      <c r="BU146" s="1232"/>
      <c r="BV146" s="1232"/>
      <c r="BW146" s="1232"/>
      <c r="BX146" s="1108"/>
      <c r="BY146" s="1474"/>
      <c r="BZ146" s="1492"/>
      <c r="CA146" s="1096"/>
      <c r="DR146" s="1096"/>
      <c r="DT146" s="1514"/>
      <c r="DU146" s="1567"/>
      <c r="DV146" s="1566" t="str">
        <f>IF(E146="","",E146)&amp;IF(I146="No",""," (Mant.)")&amp;IF(L146="No",""," (Sme)")&amp;IF(O146="No",""," (SMa)")</f>
        <v/>
      </c>
      <c r="DW146" s="1567"/>
      <c r="DX146" s="1567"/>
      <c r="DY146" s="1513"/>
      <c r="DZ146" s="1096"/>
      <c r="EA146" s="1660">
        <f t="shared" si="2"/>
        <v>1</v>
      </c>
    </row>
    <row r="147" spans="1:132" x14ac:dyDescent="0.2">
      <c r="A147" s="1096"/>
      <c r="B147" s="1096"/>
      <c r="C147" s="1497"/>
      <c r="D147" s="1643" t="s">
        <v>2310</v>
      </c>
      <c r="E147" s="1160"/>
      <c r="F147" s="1176"/>
      <c r="G147" s="1146" t="str">
        <f>IF(E147=0,"",VLOOKUP(E147,'Tablas Técnicas'!$A$14:$V$771,3,FALSE))</f>
        <v/>
      </c>
      <c r="H147" s="2619" t="str">
        <f>IF($E147=0,"",VLOOKUP($E147,'Tablas Técnicas'!$A$14:$V$771,4,FALSE))</f>
        <v/>
      </c>
      <c r="I147" s="1144" t="s">
        <v>2234</v>
      </c>
      <c r="J147" s="1601" t="str">
        <f>IF(E147=0,"",VLOOKUP(E147,'Tablas Técnicas'!$A$14:$V$771,5,FALSE))</f>
        <v/>
      </c>
      <c r="K147" s="1163" t="str">
        <f>IF(I147="Si",IF(E147=0,"",VLOOKUP(E147,'Tablas Técnicas'!$A$14:$V$771,5,FALSE)),"")</f>
        <v/>
      </c>
      <c r="L147" s="1144" t="s">
        <v>2234</v>
      </c>
      <c r="M147" s="1601" t="str">
        <f>IF(E147=0,"",VLOOKUP(E147,'Tablas Técnicas'!$A$14:$V$771,6,FALSE))</f>
        <v/>
      </c>
      <c r="N147" s="1147" t="str">
        <f>IF(L147="Si",IF(E147=0,"",VLOOKUP(E147,'Tablas Técnicas'!$A$14:$V$771,6,FALSE)),"")</f>
        <v/>
      </c>
      <c r="O147" s="1144" t="s">
        <v>2234</v>
      </c>
      <c r="P147" s="1601" t="str">
        <f>IF(E147=0,"",VLOOKUP(E147,'Tablas Técnicas'!$A$14:$V$771,7,FALSE))</f>
        <v/>
      </c>
      <c r="Q147" s="1147" t="str">
        <f>IF(O147="Si",IF(E147=0,"",VLOOKUP(E147,'Tablas Técnicas'!$A$14:$V$771,7,FALSE)),"")</f>
        <v/>
      </c>
      <c r="R147" s="1162" t="str">
        <f>IF(E147=0,"",VLOOKUP(E147,'Tablas Técnicas'!$A$14:$V$771,8,FALSE))</f>
        <v/>
      </c>
      <c r="S147" s="2619" t="str">
        <f>IF(R147=$D$8,$D$8,IF(R147=2,2,IF(R147=3,3,R147)))</f>
        <v/>
      </c>
      <c r="T147" s="4487"/>
      <c r="U147" s="4488"/>
      <c r="V147" s="2617" t="str">
        <f>IF(OR(V145=0,V145=""),"N/A",V145)</f>
        <v>N/A</v>
      </c>
      <c r="W147" s="4487" t="str">
        <f xml:space="preserve"> IF(OR(AF145=0,AF145=""),"N/A",W145)</f>
        <v>N/A</v>
      </c>
      <c r="X147" s="4489"/>
      <c r="Y147" s="4489"/>
      <c r="Z147" s="4489"/>
      <c r="AA147" s="4489"/>
      <c r="AB147" s="4489"/>
      <c r="AC147" s="4489"/>
      <c r="AD147" s="4489"/>
      <c r="AE147" s="4489"/>
      <c r="AF147" s="4488"/>
      <c r="AG147" s="4487" t="str">
        <f xml:space="preserve"> IF(OR(AP145="",AP145=0),"N/A",AG145)</f>
        <v>N/A</v>
      </c>
      <c r="AH147" s="4489"/>
      <c r="AI147" s="4489"/>
      <c r="AJ147" s="4489"/>
      <c r="AK147" s="4489"/>
      <c r="AL147" s="4489"/>
      <c r="AM147" s="4489"/>
      <c r="AN147" s="4489"/>
      <c r="AO147" s="4489"/>
      <c r="AP147" s="4488"/>
      <c r="AQ147" s="4487" t="str">
        <f xml:space="preserve"> IF(OR(AZ145="",AZ145=0),"N/A",AQ145)</f>
        <v>N/A</v>
      </c>
      <c r="AR147" s="4489"/>
      <c r="AS147" s="4489"/>
      <c r="AT147" s="4489"/>
      <c r="AU147" s="4489"/>
      <c r="AV147" s="4489"/>
      <c r="AW147" s="4489"/>
      <c r="AX147" s="4489"/>
      <c r="AY147" s="4489"/>
      <c r="AZ147" s="4488"/>
      <c r="BA147" s="4487" t="str">
        <f xml:space="preserve"> IF(OR(BJ145="",BJ145=0),"N/A",BA145)</f>
        <v>N/A</v>
      </c>
      <c r="BB147" s="4489"/>
      <c r="BC147" s="4489"/>
      <c r="BD147" s="4489"/>
      <c r="BE147" s="4489"/>
      <c r="BF147" s="4489"/>
      <c r="BG147" s="4489"/>
      <c r="BH147" s="4489"/>
      <c r="BI147" s="4489"/>
      <c r="BJ147" s="4488"/>
      <c r="BK147" s="1164" t="s">
        <v>5229</v>
      </c>
      <c r="BL147" s="1146"/>
      <c r="BM147" s="1181"/>
      <c r="BN147" s="1165"/>
      <c r="BO147" s="1166"/>
      <c r="BP147" s="1167" t="str">
        <f>IF(I147="Si",VLOOKUP($D$8,'Tablas Técnicas'!$E$4:$F$6,2,FALSE),"")</f>
        <v/>
      </c>
      <c r="BQ147" s="1137" t="str">
        <f>IF(L147="Si",VLOOKUP($D$8,'Tablas Técnicas'!$I$4:$J$6,2,FALSE),"")</f>
        <v/>
      </c>
      <c r="BR147" s="1168" t="str">
        <f>IF(O147="Si",VLOOKUP($D$8,'Tablas Técnicas'!$I$7:$J$9,2,FALSE),"")</f>
        <v/>
      </c>
      <c r="BS147" s="1151"/>
      <c r="BU147" s="4443"/>
      <c r="BV147" s="4443"/>
      <c r="BW147" s="4443"/>
      <c r="BX147" s="1108"/>
      <c r="BY147" s="1474"/>
      <c r="BZ147" s="1492"/>
      <c r="CA147" s="1096"/>
      <c r="DR147" s="1096"/>
      <c r="DT147" s="1514"/>
      <c r="DU147" s="1567"/>
      <c r="DV147" s="1566" t="str">
        <f>IF(E147="","",E147)&amp;IF(I147="No",""," (Mant.)")&amp;IF(L147="No",""," (Sme)")&amp;IF(O147="No",""," (SMa)")</f>
        <v/>
      </c>
      <c r="DW147" s="1567"/>
      <c r="DX147" s="1567"/>
      <c r="DY147" s="1513"/>
      <c r="DZ147" s="1096"/>
      <c r="EA147" s="1660">
        <f t="shared" si="2"/>
        <v>1</v>
      </c>
    </row>
    <row r="148" spans="1:132" x14ac:dyDescent="0.2">
      <c r="A148" s="1096"/>
      <c r="B148" s="1096"/>
      <c r="C148" s="1497"/>
      <c r="D148" s="1642" t="s">
        <v>2310</v>
      </c>
      <c r="E148" s="1152"/>
      <c r="F148" s="1182"/>
      <c r="G148" s="1627" t="str">
        <f>IF(E148=0,"",VLOOKUP(E148,'Tablas Técnicas'!$A$14:$V$771,3,FALSE))</f>
        <v/>
      </c>
      <c r="H148" s="1155" t="str">
        <f>IF($E148=0,"",VLOOKUP($E148,'Tablas Técnicas'!$A$14:$V$771,4,FALSE))</f>
        <v/>
      </c>
      <c r="I148" s="1156" t="s">
        <v>2234</v>
      </c>
      <c r="J148" s="1605" t="str">
        <f>IF(E148=0,"",VLOOKUP(E148,'Tablas Técnicas'!$A$14:$V$771,5,FALSE))</f>
        <v/>
      </c>
      <c r="K148" s="1158" t="str">
        <f>IF(I148="Si",IF(E148=0,"",VLOOKUP(E148,'Tablas Técnicas'!$A$14:$V$771,5,FALSE)),"")</f>
        <v/>
      </c>
      <c r="L148" s="1156" t="s">
        <v>2234</v>
      </c>
      <c r="M148" s="1605" t="str">
        <f>IF(E148=0,"",VLOOKUP(E148,'Tablas Técnicas'!$A$14:$V$771,6,FALSE))</f>
        <v/>
      </c>
      <c r="N148" s="1159" t="str">
        <f>IF(L148="Si",IF(E148=0,"",VLOOKUP(E148,'Tablas Técnicas'!$A$14:$V$771,6,FALSE)),"")</f>
        <v/>
      </c>
      <c r="O148" s="1156" t="s">
        <v>2234</v>
      </c>
      <c r="P148" s="1605" t="str">
        <f>IF(E148=0,"",VLOOKUP(E148,'Tablas Técnicas'!$A$14:$V$771,7,FALSE))</f>
        <v/>
      </c>
      <c r="Q148" s="1159" t="str">
        <f>IF(O148="Si",IF(E148=0,"",VLOOKUP(E148,'Tablas Técnicas'!$A$14:$V$771,7,FALSE)),"")</f>
        <v/>
      </c>
      <c r="R148" s="1157" t="str">
        <f>IF(E148=0,"",VLOOKUP(E148,'Tablas Técnicas'!$A$14:$V$771,8,FALSE))</f>
        <v/>
      </c>
      <c r="S148" s="1155" t="str">
        <f>IF(R148=$D$8,$D$8,IF(R148=2,2,IF(R148=3,3,R148)))</f>
        <v/>
      </c>
      <c r="T148" s="4490" t="s">
        <v>5230</v>
      </c>
      <c r="U148" s="4491"/>
      <c r="V148" s="2618"/>
      <c r="W148" s="4492"/>
      <c r="X148" s="4493"/>
      <c r="Y148" s="4493"/>
      <c r="Z148" s="4493"/>
      <c r="AA148" s="4493"/>
      <c r="AB148" s="4493"/>
      <c r="AC148" s="4493"/>
      <c r="AD148" s="4493"/>
      <c r="AE148" s="4493"/>
      <c r="AF148" s="4494"/>
      <c r="AG148" s="4492"/>
      <c r="AH148" s="4493"/>
      <c r="AI148" s="4493"/>
      <c r="AJ148" s="4493"/>
      <c r="AK148" s="4493"/>
      <c r="AL148" s="4493"/>
      <c r="AM148" s="4493"/>
      <c r="AN148" s="4493"/>
      <c r="AO148" s="4493"/>
      <c r="AP148" s="4494"/>
      <c r="AQ148" s="4492"/>
      <c r="AR148" s="4493"/>
      <c r="AS148" s="4493"/>
      <c r="AT148" s="4493"/>
      <c r="AU148" s="4493"/>
      <c r="AV148" s="4493"/>
      <c r="AW148" s="4493"/>
      <c r="AX148" s="4493"/>
      <c r="AY148" s="4493"/>
      <c r="AZ148" s="4494"/>
      <c r="BA148" s="4492"/>
      <c r="BB148" s="4493"/>
      <c r="BC148" s="4493"/>
      <c r="BD148" s="4493"/>
      <c r="BE148" s="4493"/>
      <c r="BF148" s="4493"/>
      <c r="BG148" s="4493"/>
      <c r="BH148" s="4493"/>
      <c r="BI148" s="4493"/>
      <c r="BJ148" s="4494"/>
      <c r="BK148" s="1155">
        <f>(SUM(G145:G149)+IF(AF145="",0,AF145)+IF(AP145="",0,AP145)+IF(AZ145="",0,AZ145)+IF(BJ145="",0,BJ145)+SUM(K145:K149)+SUM(N145:N149)+SUM(Q145:Q149))- SUM(V148:BA148)</f>
        <v>0</v>
      </c>
      <c r="BL148" s="1627"/>
      <c r="BM148" s="1628"/>
      <c r="BN148" s="1149"/>
      <c r="BO148" s="1150"/>
      <c r="BP148" s="1135" t="str">
        <f>IF(I148="Si",VLOOKUP($D$8,'Tablas Técnicas'!$E$4:$F$6,2,FALSE),"")</f>
        <v/>
      </c>
      <c r="BQ148" s="1136" t="str">
        <f>IF(L148="Si",VLOOKUP($D$8,'Tablas Técnicas'!$I$4:$J$6,2,FALSE),"")</f>
        <v/>
      </c>
      <c r="BR148" s="1134" t="str">
        <f>IF(O148="Si",VLOOKUP($D$8,'Tablas Técnicas'!$I$7:$J$9,2,FALSE),"")</f>
        <v/>
      </c>
      <c r="BS148" s="1151"/>
      <c r="BU148" s="1232"/>
      <c r="BV148" s="1232"/>
      <c r="BW148" s="1232"/>
      <c r="BX148" s="1108"/>
      <c r="BY148" s="1474"/>
      <c r="BZ148" s="1492"/>
      <c r="CA148" s="1100"/>
      <c r="DR148" s="1100"/>
      <c r="DT148" s="1514"/>
      <c r="DU148" s="1622"/>
      <c r="DV148" s="1566" t="str">
        <f>IF(E148="","",E148)&amp;IF(I148="No",""," (Mant.)")&amp;IF(L148="No",""," (Sme)")&amp;IF(O148="No",""," (SMa)")</f>
        <v/>
      </c>
      <c r="DW148" s="1622"/>
      <c r="DX148" s="1622"/>
      <c r="DY148" s="1513"/>
      <c r="DZ148" s="1100"/>
      <c r="EA148" s="1660">
        <f t="shared" si="2"/>
        <v>1</v>
      </c>
    </row>
    <row r="149" spans="1:132" x14ac:dyDescent="0.2">
      <c r="A149" s="1096"/>
      <c r="B149" s="1096"/>
      <c r="C149" s="1497"/>
      <c r="D149" s="1643" t="s">
        <v>2310</v>
      </c>
      <c r="E149" s="1160"/>
      <c r="F149" s="1176"/>
      <c r="G149" s="1146" t="str">
        <f>IF(E149=0,"",VLOOKUP(E149,'Tablas Técnicas'!$A$14:$V$771,3,FALSE))</f>
        <v/>
      </c>
      <c r="H149" s="1161" t="str">
        <f>IF($E149=0,"",VLOOKUP($E149,'Tablas Técnicas'!$A$14:$V$771,4,FALSE))</f>
        <v/>
      </c>
      <c r="I149" s="1144" t="s">
        <v>2234</v>
      </c>
      <c r="J149" s="1601" t="str">
        <f>IF(E149=0,"",VLOOKUP(E149,'Tablas Técnicas'!$A$14:$V$771,5,FALSE))</f>
        <v/>
      </c>
      <c r="K149" s="1163" t="str">
        <f>IF(I149="Si",IF(E149=0,"",VLOOKUP(E149,'Tablas Técnicas'!$A$14:$V$771,5,FALSE)),"")</f>
        <v/>
      </c>
      <c r="L149" s="1144" t="s">
        <v>2234</v>
      </c>
      <c r="M149" s="1601" t="str">
        <f>IF(E149=0,"",VLOOKUP(E149,'Tablas Técnicas'!$A$14:$V$771,6,FALSE))</f>
        <v/>
      </c>
      <c r="N149" s="1147" t="str">
        <f>IF(L149="Si",IF(E149=0,"",VLOOKUP(E149,'Tablas Técnicas'!$A$14:$V$771,6,FALSE)),"")</f>
        <v/>
      </c>
      <c r="O149" s="1144" t="s">
        <v>2234</v>
      </c>
      <c r="P149" s="1601" t="str">
        <f>IF(E149=0,"",VLOOKUP(E149,'Tablas Técnicas'!$A$14:$V$771,7,FALSE))</f>
        <v/>
      </c>
      <c r="Q149" s="1147" t="str">
        <f>IF(O149="Si",IF(E149=0,"",VLOOKUP(E149,'Tablas Técnicas'!$A$14:$V$771,7,FALSE)),"")</f>
        <v/>
      </c>
      <c r="R149" s="1162" t="str">
        <f>IF(E149=0,"",VLOOKUP(E149,'Tablas Técnicas'!$A$14:$V$771,8,FALSE))</f>
        <v/>
      </c>
      <c r="S149" s="1161" t="str">
        <f>IF(R149=$D$8,$D$8,IF(R149=2,2,IF(R149=3,3,R149)))</f>
        <v/>
      </c>
      <c r="T149" s="4495" t="s">
        <v>5232</v>
      </c>
      <c r="U149" s="4496"/>
      <c r="V149" s="2621"/>
      <c r="W149" s="4497"/>
      <c r="X149" s="4498"/>
      <c r="Y149" s="4498"/>
      <c r="Z149" s="4498"/>
      <c r="AA149" s="4498"/>
      <c r="AB149" s="4498"/>
      <c r="AC149" s="4498"/>
      <c r="AD149" s="4498"/>
      <c r="AE149" s="4498"/>
      <c r="AF149" s="4499"/>
      <c r="AG149" s="4497"/>
      <c r="AH149" s="4498"/>
      <c r="AI149" s="4498"/>
      <c r="AJ149" s="4498"/>
      <c r="AK149" s="4498"/>
      <c r="AL149" s="4498"/>
      <c r="AM149" s="4498"/>
      <c r="AN149" s="4498"/>
      <c r="AO149" s="4498"/>
      <c r="AP149" s="4499"/>
      <c r="AQ149" s="4497"/>
      <c r="AR149" s="4498"/>
      <c r="AS149" s="4498"/>
      <c r="AT149" s="4498"/>
      <c r="AU149" s="4498"/>
      <c r="AV149" s="4498"/>
      <c r="AW149" s="4498"/>
      <c r="AX149" s="4498"/>
      <c r="AY149" s="4498"/>
      <c r="AZ149" s="4499"/>
      <c r="BA149" s="4497"/>
      <c r="BB149" s="4498"/>
      <c r="BC149" s="4498"/>
      <c r="BD149" s="4498"/>
      <c r="BE149" s="4498"/>
      <c r="BF149" s="4498"/>
      <c r="BG149" s="4498"/>
      <c r="BH149" s="4498"/>
      <c r="BI149" s="4498"/>
      <c r="BJ149" s="4499"/>
      <c r="BK149" s="1161">
        <f>SUM(K145:K149)-SUM(V149:BA149)</f>
        <v>0</v>
      </c>
      <c r="BL149" s="1146"/>
      <c r="BM149" s="1181"/>
      <c r="BN149" s="1165"/>
      <c r="BO149" s="1166"/>
      <c r="BP149" s="1167" t="str">
        <f>IF(I149="Si",VLOOKUP($D$8,'Tablas Técnicas'!$E$4:$F$6,2,FALSE),"")</f>
        <v/>
      </c>
      <c r="BQ149" s="1137" t="str">
        <f>IF(L149="Si",VLOOKUP($D$8,'Tablas Técnicas'!$I$4:$J$6,2,FALSE),"")</f>
        <v/>
      </c>
      <c r="BR149" s="1168" t="str">
        <f>IF(O149="Si",VLOOKUP($D$8,'Tablas Técnicas'!$I$7:$J$9,2,FALSE),"")</f>
        <v/>
      </c>
      <c r="BS149" s="1151"/>
      <c r="BU149" s="1232"/>
      <c r="BV149" s="1232"/>
      <c r="BW149" s="1232"/>
      <c r="BX149" s="1108"/>
      <c r="BY149" s="1474"/>
      <c r="BZ149" s="1492"/>
      <c r="CA149" s="1096"/>
      <c r="DR149" s="1096"/>
      <c r="DT149" s="1514"/>
      <c r="DU149" s="1567"/>
      <c r="DV149" s="1566" t="str">
        <f>IF(E149="","",E149)&amp;IF(I149="No",""," (Mant.)")&amp;IF(L149="No",""," (Sme)")&amp;IF(O149="No",""," (SMa)")</f>
        <v/>
      </c>
      <c r="DW149" s="1567"/>
      <c r="DX149" s="1567"/>
      <c r="DY149" s="1513"/>
      <c r="DZ149" s="1096"/>
      <c r="EA149" s="1660">
        <f t="shared" si="2"/>
        <v>1</v>
      </c>
    </row>
    <row r="150" spans="1:132" x14ac:dyDescent="0.2">
      <c r="A150" s="1096"/>
      <c r="B150" s="1096"/>
      <c r="C150" s="1497"/>
      <c r="D150" s="1645"/>
      <c r="E150" s="1594" t="s">
        <v>5239</v>
      </c>
      <c r="F150" s="1173"/>
      <c r="G150" s="1174"/>
      <c r="H150" s="2559">
        <f>IF(AND(OR(ISNUMBER(SEARCH("Afinidad Elemental ("&amp;BK145&amp;")",Principal!$AF$30)),ISNUMBER(SEARCH("Afinidad Elemental ("&amp;BL145&amp;")",Principal!$AF$30)),ISNUMBER(SEARCH("Afinidad Elemental ("&amp;BM145&amp;")",Principal!$AF$30))),SUM(H145:H149)&gt;=5),-5,0)</f>
        <v>0</v>
      </c>
      <c r="I150" s="1174"/>
      <c r="J150" s="1175"/>
      <c r="K150" s="1174"/>
      <c r="L150" s="1174"/>
      <c r="M150" s="1175"/>
      <c r="N150" s="1174"/>
      <c r="O150" s="1174"/>
      <c r="P150" s="1175"/>
      <c r="Q150" s="1174"/>
      <c r="R150" s="1175"/>
      <c r="S150" s="1174"/>
      <c r="T150" s="1174"/>
      <c r="U150" s="1195"/>
      <c r="V150" s="1195"/>
      <c r="W150" s="1195"/>
      <c r="X150" s="1195"/>
      <c r="Y150" s="1195"/>
      <c r="Z150" s="1195"/>
      <c r="AA150" s="1195"/>
      <c r="AB150" s="1195"/>
      <c r="AC150" s="1195"/>
      <c r="AD150" s="1195"/>
      <c r="AE150" s="1195"/>
      <c r="AF150" s="1195"/>
      <c r="AG150" s="1195"/>
      <c r="AH150" s="1195"/>
      <c r="AI150" s="1195"/>
      <c r="AJ150" s="1195"/>
      <c r="AK150" s="1195"/>
      <c r="AL150" s="1195"/>
      <c r="AM150" s="1195"/>
      <c r="AN150" s="1195"/>
      <c r="AO150" s="1195"/>
      <c r="AP150" s="1195"/>
      <c r="AQ150" s="1195"/>
      <c r="AR150" s="1195"/>
      <c r="AS150" s="1195"/>
      <c r="AT150" s="1195"/>
      <c r="AU150" s="1195"/>
      <c r="AV150" s="1195"/>
      <c r="AW150" s="1195"/>
      <c r="AX150" s="1195"/>
      <c r="AY150" s="1195"/>
      <c r="AZ150" s="1195"/>
      <c r="BA150" s="1195"/>
      <c r="BB150" s="1195"/>
      <c r="BC150" s="1195"/>
      <c r="BD150" s="1195"/>
      <c r="BE150" s="1195"/>
      <c r="BF150" s="1195"/>
      <c r="BG150" s="1195"/>
      <c r="BH150" s="1195"/>
      <c r="BI150" s="1195"/>
      <c r="BJ150" s="1195"/>
      <c r="BK150" s="4481"/>
      <c r="BL150" s="4481"/>
      <c r="BM150" s="4445"/>
      <c r="BN150" s="1134">
        <f>SUM(K150:K153)</f>
        <v>0</v>
      </c>
      <c r="BO150" s="1128">
        <f>IF(E150=0,"",(AF150+AP150+AZ150+BJ150))</f>
        <v>0</v>
      </c>
      <c r="BP150" s="1135" t="str">
        <f>IF(I150="Si",VLOOKUP($D$8,'Tablas Técnicas'!$E$4:$F$6,2,FALSE),"")</f>
        <v/>
      </c>
      <c r="BQ150" s="1136" t="str">
        <f>IF(L150="Si",VLOOKUP($D$8,'Tablas Técnicas'!$I$4:$J$6,2,FALSE),"")</f>
        <v/>
      </c>
      <c r="BR150" s="1134" t="str">
        <f>IF(O150="Si",VLOOKUP($D$8,'Tablas Técnicas'!$I$7:$J$9,2,FALSE),"")</f>
        <v/>
      </c>
      <c r="BS150" s="1151"/>
      <c r="BT150" s="4444" t="s">
        <v>5241</v>
      </c>
      <c r="BU150" s="4445"/>
      <c r="BV150" s="1128"/>
      <c r="BW150" s="1108"/>
      <c r="BX150" s="1108"/>
      <c r="BY150" s="1474"/>
      <c r="BZ150" s="1492"/>
      <c r="CA150" s="1096"/>
      <c r="DR150" s="1096"/>
      <c r="DT150" s="1514"/>
      <c r="DU150" s="1567"/>
      <c r="DV150" s="1567"/>
      <c r="DW150" s="1567"/>
      <c r="DX150" s="1567"/>
      <c r="DY150" s="1513"/>
      <c r="DZ150" s="1096"/>
      <c r="EA150" s="1660">
        <f t="shared" si="2"/>
        <v>1</v>
      </c>
    </row>
    <row r="151" spans="1:132" s="1170" customFormat="1" ht="12" x14ac:dyDescent="0.2">
      <c r="A151" s="1096"/>
      <c r="B151" s="1096"/>
      <c r="C151" s="1497"/>
      <c r="D151" s="1646" t="s">
        <v>5240</v>
      </c>
      <c r="E151" s="1140"/>
      <c r="F151" s="1163"/>
      <c r="G151" s="1163"/>
      <c r="H151" s="1161" t="str">
        <f>IF(D119=0,"",IF(E151=0,"",VLOOKUP(E151,'Tablas Técnicas'!$A$14:$V$771,4,FALSE)))</f>
        <v/>
      </c>
      <c r="I151" s="1163"/>
      <c r="J151" s="1163"/>
      <c r="K151" s="1196"/>
      <c r="L151" s="1163"/>
      <c r="M151" s="1163"/>
      <c r="N151" s="1196"/>
      <c r="O151" s="1163"/>
      <c r="P151" s="1163"/>
      <c r="Q151" s="1163"/>
      <c r="R151" s="1162" t="str">
        <f>IF(E151=0,"",VLOOKUP(E151,'Tablas Técnicas'!$A$14:$V$771,8,FALSE))</f>
        <v/>
      </c>
      <c r="S151" s="1188" t="str">
        <f>IF(R151=$D$8,$D$8,IF(R151=2,2,IF(R151=3,3,R151)))</f>
        <v/>
      </c>
      <c r="T151" s="1163" t="str">
        <f>IF(E151=0,"",VLOOKUP(E151,'Tablas Técnicas'!$A$14:$V$771,9,FALSE))</f>
        <v/>
      </c>
      <c r="U151" s="1190" t="str">
        <f>IF(E151=0,"",VLOOKUP(E151,'Tablas Técnicas'!$A$14:$V$771,10,FALSE))</f>
        <v/>
      </c>
      <c r="V151" s="1191"/>
      <c r="W151" s="1191"/>
      <c r="X151" s="1190"/>
      <c r="Y151" s="1190"/>
      <c r="Z151" s="1190"/>
      <c r="AA151" s="1190"/>
      <c r="AB151" s="1190"/>
      <c r="AC151" s="1190"/>
      <c r="AD151" s="1190"/>
      <c r="AE151" s="1190"/>
      <c r="AF151" s="1190"/>
      <c r="AG151" s="4478" t="str">
        <f>IF(OR(E151='Tablas Técnicas'!A$678,E151='Tablas Técnicas'!A$679,E152='Tablas Técnicas'!A$678,E152='Tablas Técnicas'!A$679,E153='Tablas Técnicas'!A$678,E153='Tablas Técnicas'!A$679),"Selecciona la atadura elemental:","")</f>
        <v/>
      </c>
      <c r="AH151" s="4479"/>
      <c r="AI151" s="4479"/>
      <c r="AJ151" s="4479"/>
      <c r="AK151" s="4479"/>
      <c r="AL151" s="4479"/>
      <c r="AM151" s="4479"/>
      <c r="AN151" s="4479"/>
      <c r="AO151" s="4479"/>
      <c r="AP151" s="4479"/>
      <c r="AQ151" s="4479"/>
      <c r="AR151" s="4479"/>
      <c r="AS151" s="4479"/>
      <c r="AT151" s="4479"/>
      <c r="AU151" s="4479"/>
      <c r="AV151" s="4479"/>
      <c r="AW151" s="4479"/>
      <c r="AX151" s="4479"/>
      <c r="AY151" s="4479"/>
      <c r="AZ151" s="4479"/>
      <c r="BA151" s="4479"/>
      <c r="BB151" s="4479"/>
      <c r="BC151" s="4479"/>
      <c r="BD151" s="4479"/>
      <c r="BE151" s="4479"/>
      <c r="BF151" s="4479"/>
      <c r="BG151" s="4479"/>
      <c r="BH151" s="4479"/>
      <c r="BI151" s="4479"/>
      <c r="BJ151" s="4479"/>
      <c r="BK151" s="4480"/>
      <c r="BL151" s="1631"/>
      <c r="BM151" s="1631"/>
      <c r="BN151" s="1163"/>
      <c r="BO151" s="1163"/>
      <c r="BP151" s="1196"/>
      <c r="BQ151" s="1163"/>
      <c r="BR151" s="1163"/>
      <c r="BS151" s="1163"/>
      <c r="BT151" s="4446">
        <f>D119</f>
        <v>1</v>
      </c>
      <c r="BU151" s="4447"/>
      <c r="BV151" s="1128">
        <f>IF(BV150=0,0,VLOOKUP(BV150,'Tablas Técnicas'!$M$4:$N$7,2,FALSE))</f>
        <v>0</v>
      </c>
      <c r="BW151" s="1108"/>
      <c r="BX151" s="1108"/>
      <c r="BY151" s="1474"/>
      <c r="BZ151" s="1492"/>
      <c r="CA151" s="1096"/>
      <c r="DR151" s="1096"/>
      <c r="DS151" s="1509"/>
      <c r="DT151" s="1514"/>
      <c r="DU151" s="1567"/>
      <c r="DV151" s="1567"/>
      <c r="DW151" s="1567"/>
      <c r="DX151" s="1567"/>
      <c r="DY151" s="1513"/>
      <c r="DZ151" s="1096"/>
      <c r="EA151" s="1660">
        <f t="shared" si="2"/>
        <v>1</v>
      </c>
    </row>
    <row r="152" spans="1:132" x14ac:dyDescent="0.2">
      <c r="A152" s="1096"/>
      <c r="B152" s="1096"/>
      <c r="C152" s="1497"/>
      <c r="D152" s="1642" t="s">
        <v>5242</v>
      </c>
      <c r="E152" s="1197"/>
      <c r="F152" s="1595"/>
      <c r="G152" s="1596"/>
      <c r="H152" s="1153" t="str">
        <f>IF(VALUE(D119)&gt;1,IF(E152=0,"",VLOOKUP(E152,'Tablas Técnicas'!$A$14:$V$771,4,FALSE)),"")</f>
        <v/>
      </c>
      <c r="I152" s="1595"/>
      <c r="J152" s="1596"/>
      <c r="K152" s="1596"/>
      <c r="L152" s="1595"/>
      <c r="M152" s="1596"/>
      <c r="N152" s="1597"/>
      <c r="O152" s="1596"/>
      <c r="P152" s="1596"/>
      <c r="Q152" s="1596"/>
      <c r="R152" s="1157" t="str">
        <f>IF(E152=0,"",VLOOKUP(E152,'Tablas Técnicas'!$A$14:$V$771,8,FALSE))</f>
        <v/>
      </c>
      <c r="S152" s="1155" t="str">
        <f>IF(R152=$D$8,$D$8,IF(R152=2,2,IF(R152=3,3,R152)))</f>
        <v/>
      </c>
      <c r="T152" s="1158" t="str">
        <f>IF(E152=0,"",VLOOKUP(E152,'Tablas Técnicas'!$A$14:$V$771,9,FALSE))</f>
        <v/>
      </c>
      <c r="U152" s="1158" t="str">
        <f>IF(E152=0,"",VLOOKUP(E152,'Tablas Técnicas'!$A$14:$V$771,10,FALSE))</f>
        <v/>
      </c>
      <c r="V152" s="1595"/>
      <c r="W152" s="1595"/>
      <c r="X152" s="1596"/>
      <c r="Y152" s="1596"/>
      <c r="Z152" s="1596"/>
      <c r="AA152" s="1596"/>
      <c r="AB152" s="1596"/>
      <c r="AC152" s="1596"/>
      <c r="AD152" s="1596"/>
      <c r="AE152" s="1596"/>
      <c r="AF152" s="1596"/>
      <c r="AG152" s="1598"/>
      <c r="AH152" s="1599"/>
      <c r="AI152" s="1599"/>
      <c r="AJ152" s="1599"/>
      <c r="AK152" s="1599"/>
      <c r="AL152" s="1599"/>
      <c r="AM152" s="1599"/>
      <c r="AN152" s="1599"/>
      <c r="AO152" s="1599"/>
      <c r="AP152" s="1597"/>
      <c r="AQ152" s="1599"/>
      <c r="AR152" s="1599"/>
      <c r="AS152" s="1599"/>
      <c r="AT152" s="1599"/>
      <c r="AU152" s="1599"/>
      <c r="AV152" s="1599"/>
      <c r="AW152" s="1599"/>
      <c r="AX152" s="1599"/>
      <c r="AY152" s="1599"/>
      <c r="AZ152" s="1600"/>
      <c r="BA152" s="1596"/>
      <c r="BB152" s="1596"/>
      <c r="BC152" s="1596"/>
      <c r="BD152" s="1596"/>
      <c r="BE152" s="1596"/>
      <c r="BF152" s="1596"/>
      <c r="BG152" s="1596"/>
      <c r="BH152" s="1596"/>
      <c r="BI152" s="1596"/>
      <c r="BJ152" s="1597"/>
      <c r="BK152" s="1596"/>
      <c r="BL152" s="1632"/>
      <c r="BM152" s="1633"/>
      <c r="BN152" s="1596"/>
      <c r="BO152" s="1596"/>
      <c r="BP152" s="1597"/>
      <c r="BQ152" s="1596"/>
      <c r="BR152" s="1596"/>
      <c r="BS152" s="1596"/>
      <c r="BU152" s="2608"/>
      <c r="BV152" s="1128"/>
      <c r="BW152" s="1108"/>
      <c r="BX152" s="1108"/>
      <c r="BY152" s="1474"/>
      <c r="BZ152" s="1492"/>
      <c r="CA152" s="1096"/>
      <c r="DR152" s="1096"/>
      <c r="DT152" s="1514"/>
      <c r="DU152" s="1567"/>
      <c r="DV152" s="1567"/>
      <c r="DW152" s="1567"/>
      <c r="DX152" s="1567"/>
      <c r="DY152" s="1513"/>
      <c r="DZ152" s="1096"/>
      <c r="EA152" s="1660">
        <f t="shared" si="2"/>
        <v>1</v>
      </c>
    </row>
    <row r="153" spans="1:132" x14ac:dyDescent="0.2">
      <c r="A153" s="1096"/>
      <c r="B153" s="1096"/>
      <c r="C153" s="1497"/>
      <c r="D153" s="1647" t="s">
        <v>5243</v>
      </c>
      <c r="E153" s="1198"/>
      <c r="F153" s="2614"/>
      <c r="G153" s="1172"/>
      <c r="H153" s="1171" t="str">
        <f>IF(VALUE(D119)=3,IF(E153=0,"",VLOOKUP(E153,'Tablas Técnicas'!$A$14:$V$771,4,FALSE)),"")</f>
        <v/>
      </c>
      <c r="I153" s="1172"/>
      <c r="J153" s="1172"/>
      <c r="K153" s="1172"/>
      <c r="L153" s="2614"/>
      <c r="M153" s="1172"/>
      <c r="N153" s="1172"/>
      <c r="O153" s="2614"/>
      <c r="P153" s="1172"/>
      <c r="Q153" s="1172"/>
      <c r="R153" s="1193" t="str">
        <f>IF(E153=0,"",VLOOKUP(E153,'Tablas Técnicas'!$A$14:$V$771,8,FALSE))</f>
        <v/>
      </c>
      <c r="S153" s="1171" t="str">
        <f>IF(R153=$D$8,$D$8,IF(R153=2,2,IF(R153=3,3,R153)))</f>
        <v/>
      </c>
      <c r="T153" s="1172" t="str">
        <f>IF(E153=0,"",VLOOKUP(E153,'Tablas Técnicas'!$A$14:$V$771,9,FALSE))</f>
        <v/>
      </c>
      <c r="U153" s="1172" t="str">
        <f>IF(E153=0,"",VLOOKUP(E153,'Tablas Técnicas'!$A$14:$V$771,10,FALSE))</f>
        <v/>
      </c>
      <c r="V153" s="2614"/>
      <c r="W153" s="1486"/>
      <c r="X153" s="1486"/>
      <c r="Y153" s="1486"/>
      <c r="Z153" s="1486"/>
      <c r="AA153" s="1486"/>
      <c r="AB153" s="1486"/>
      <c r="AC153" s="1486"/>
      <c r="AD153" s="1486"/>
      <c r="AE153" s="1486"/>
      <c r="AF153" s="1487"/>
      <c r="AG153" s="2614"/>
      <c r="AH153" s="1172"/>
      <c r="AI153" s="1172"/>
      <c r="AJ153" s="1172"/>
      <c r="AK153" s="1172"/>
      <c r="AL153" s="1172"/>
      <c r="AM153" s="1172"/>
      <c r="AN153" s="1172"/>
      <c r="AO153" s="1172"/>
      <c r="AP153" s="2615"/>
      <c r="AQ153" s="1172"/>
      <c r="AR153" s="1172"/>
      <c r="AS153" s="1172"/>
      <c r="AT153" s="1172"/>
      <c r="AU153" s="1172"/>
      <c r="AV153" s="1172"/>
      <c r="AW153" s="1172"/>
      <c r="AX153" s="1172"/>
      <c r="AY153" s="1172"/>
      <c r="AZ153" s="2615"/>
      <c r="BA153" s="1172"/>
      <c r="BB153" s="1172"/>
      <c r="BC153" s="1172"/>
      <c r="BD153" s="1172"/>
      <c r="BE153" s="1172"/>
      <c r="BF153" s="1172"/>
      <c r="BG153" s="1172"/>
      <c r="BH153" s="1172"/>
      <c r="BI153" s="1172"/>
      <c r="BJ153" s="2615"/>
      <c r="BK153" s="1172"/>
      <c r="BL153" s="1629"/>
      <c r="BM153" s="1634"/>
      <c r="BN153" s="1172"/>
      <c r="BO153" s="1172"/>
      <c r="BP153" s="1172"/>
      <c r="BQ153" s="2614"/>
      <c r="BR153" s="1172"/>
      <c r="BS153" s="1172"/>
      <c r="BT153" s="2608"/>
      <c r="BU153" s="2608"/>
      <c r="BV153" s="1128">
        <f>IF(BV152=0,0,VLOOKUP(BV152,'Tablas Técnicas'!$M$4:$N$7,2,FALSE))</f>
        <v>0</v>
      </c>
      <c r="BW153" s="1108"/>
      <c r="BX153" s="1108"/>
      <c r="BY153" s="1474"/>
      <c r="BZ153" s="1492"/>
      <c r="CA153" s="1100"/>
      <c r="DR153" s="1100"/>
      <c r="DT153" s="1517"/>
      <c r="DU153" s="1623"/>
      <c r="DV153" s="1623"/>
      <c r="DW153" s="1623"/>
      <c r="DX153" s="1623"/>
      <c r="DY153" s="1518"/>
      <c r="DZ153" s="1100"/>
      <c r="EA153" s="1660">
        <f t="shared" si="2"/>
        <v>1</v>
      </c>
    </row>
    <row r="154" spans="1:132" x14ac:dyDescent="0.2">
      <c r="A154" s="1100"/>
      <c r="B154" s="1100"/>
      <c r="C154" s="1497"/>
      <c r="D154" s="1648"/>
      <c r="E154" s="1113"/>
      <c r="F154" s="1108"/>
      <c r="G154" s="1113"/>
      <c r="H154" s="1113"/>
      <c r="I154" s="1108"/>
      <c r="J154" s="1113"/>
      <c r="K154" s="1113"/>
      <c r="L154" s="1113"/>
      <c r="M154" s="1113"/>
      <c r="N154" s="1113"/>
      <c r="O154" s="1113"/>
      <c r="P154" s="1113"/>
      <c r="Q154" s="1113"/>
      <c r="R154" s="1113"/>
      <c r="S154" s="1113"/>
      <c r="T154" s="1113"/>
      <c r="U154" s="1113"/>
      <c r="V154" s="1113"/>
      <c r="W154" s="1113"/>
      <c r="X154" s="1113"/>
      <c r="Y154" s="1113"/>
      <c r="Z154" s="1113"/>
      <c r="AA154" s="1113"/>
      <c r="AB154" s="1113"/>
      <c r="AC154" s="1113"/>
      <c r="AD154" s="1113"/>
      <c r="AE154" s="1113"/>
      <c r="AF154" s="1113"/>
      <c r="AG154" s="1113"/>
      <c r="AH154" s="1113"/>
      <c r="AI154" s="1113"/>
      <c r="AJ154" s="1113"/>
      <c r="AK154" s="1113"/>
      <c r="AL154" s="1113"/>
      <c r="AM154" s="1113"/>
      <c r="AN154" s="1113"/>
      <c r="AO154" s="1113"/>
      <c r="AP154" s="1113"/>
      <c r="AQ154" s="1113"/>
      <c r="AR154" s="1113"/>
      <c r="AS154" s="1113"/>
      <c r="AT154" s="1113"/>
      <c r="AU154" s="1113"/>
      <c r="AV154" s="1113"/>
      <c r="AW154" s="1113"/>
      <c r="AX154" s="1113"/>
      <c r="AY154" s="1113"/>
      <c r="AZ154" s="1113"/>
      <c r="BA154" s="1113"/>
      <c r="BB154" s="1113"/>
      <c r="BC154" s="1113"/>
      <c r="BD154" s="1113"/>
      <c r="BE154" s="1113"/>
      <c r="BF154" s="1113"/>
      <c r="BG154" s="1113"/>
      <c r="BH154" s="1113"/>
      <c r="BI154" s="1113"/>
      <c r="BJ154" s="1113"/>
      <c r="BK154" s="1113"/>
      <c r="BL154" s="1592"/>
      <c r="BM154" s="1592"/>
      <c r="BN154" s="1101">
        <f>SUM(BN159:BN174)</f>
        <v>0</v>
      </c>
      <c r="BO154" s="1101">
        <f>SUM(BO159:BO174)</f>
        <v>0</v>
      </c>
      <c r="BP154" s="1101">
        <f>SUM(BP159:BP174)</f>
        <v>0</v>
      </c>
      <c r="BQ154" s="1101">
        <f>SUM(BQ159:BQ174)</f>
        <v>0</v>
      </c>
      <c r="BR154" s="1101">
        <f>SUM(BR159:BR174)</f>
        <v>0</v>
      </c>
      <c r="BS154" s="1199"/>
      <c r="BU154" s="1113"/>
      <c r="BW154" s="1108"/>
      <c r="BX154" s="1108"/>
      <c r="BY154" s="1117"/>
      <c r="BZ154" s="1492"/>
      <c r="CA154" s="1096"/>
      <c r="DR154" s="1096"/>
      <c r="DT154" s="1514"/>
      <c r="DU154" s="1567"/>
      <c r="DV154" s="1567"/>
      <c r="DW154" s="1567"/>
      <c r="DX154" s="1567"/>
      <c r="DY154" s="1513"/>
      <c r="DZ154" s="1096"/>
      <c r="EA154" s="1660">
        <f t="shared" si="2"/>
        <v>1</v>
      </c>
    </row>
    <row r="155" spans="1:132" x14ac:dyDescent="0.2">
      <c r="A155" s="1096"/>
      <c r="B155" s="1096"/>
      <c r="C155" s="1497"/>
      <c r="D155" s="1640" t="s">
        <v>8726</v>
      </c>
      <c r="E155" s="1114"/>
      <c r="F155" s="1114"/>
      <c r="G155" s="1114"/>
      <c r="H155" s="1114"/>
      <c r="I155" s="1114"/>
      <c r="J155" s="1115"/>
      <c r="K155" s="1114"/>
      <c r="L155" s="1114"/>
      <c r="M155" s="1115"/>
      <c r="N155" s="1114"/>
      <c r="O155" s="1114"/>
      <c r="P155" s="1115"/>
      <c r="Q155" s="1114"/>
      <c r="R155" s="1115"/>
      <c r="S155" s="1114"/>
      <c r="T155" s="1114"/>
      <c r="U155" s="1114"/>
      <c r="V155" s="1114"/>
      <c r="W155" s="1108"/>
      <c r="X155" s="1115"/>
      <c r="Y155" s="1115"/>
      <c r="Z155" s="1115"/>
      <c r="AA155" s="1115"/>
      <c r="AB155" s="1115"/>
      <c r="AC155" s="1115"/>
      <c r="AD155" s="1115"/>
      <c r="AE155" s="1115"/>
      <c r="AF155" s="1114"/>
      <c r="AG155" s="1108"/>
      <c r="AH155" s="1115"/>
      <c r="AI155" s="1115"/>
      <c r="AJ155" s="1115"/>
      <c r="AK155" s="1115"/>
      <c r="AL155" s="1115"/>
      <c r="AM155" s="1115"/>
      <c r="AN155" s="1115"/>
      <c r="AO155" s="1115"/>
      <c r="AP155" s="1108"/>
      <c r="AQ155" s="1108"/>
      <c r="AR155" s="1115"/>
      <c r="AS155" s="1115"/>
      <c r="AT155" s="1115"/>
      <c r="AU155" s="1115"/>
      <c r="AV155" s="1115"/>
      <c r="AW155" s="1115"/>
      <c r="AX155" s="1115"/>
      <c r="AY155" s="1115"/>
      <c r="AZ155" s="1108"/>
      <c r="BA155" s="1108"/>
      <c r="BB155" s="1115"/>
      <c r="BC155" s="1115"/>
      <c r="BD155" s="1115"/>
      <c r="BE155" s="1115"/>
      <c r="BF155" s="1115"/>
      <c r="BG155" s="1115"/>
      <c r="BH155" s="1115"/>
      <c r="BI155" s="1115"/>
      <c r="BJ155" s="1108"/>
      <c r="BK155" s="1108"/>
      <c r="BL155" s="1108"/>
      <c r="BM155" s="1108"/>
      <c r="BN155" s="1101">
        <f>SUM(BN157:BN190)</f>
        <v>0</v>
      </c>
      <c r="BO155" s="1101">
        <f>SUM(BO157:BO190)</f>
        <v>0</v>
      </c>
      <c r="BP155" s="1101">
        <f>MAX(BP157:BP190)</f>
        <v>0</v>
      </c>
      <c r="BQ155" s="1101">
        <f>MAX(BQ157:BQ190)</f>
        <v>0</v>
      </c>
      <c r="BR155" s="1101">
        <f>MAX(BR157:BR190)</f>
        <v>0</v>
      </c>
      <c r="BS155" s="1116"/>
      <c r="BU155" s="2608"/>
      <c r="BV155" s="1118"/>
      <c r="BW155" s="1108"/>
      <c r="BX155" s="1108"/>
      <c r="BY155" s="1474"/>
      <c r="BZ155" s="1492"/>
      <c r="CA155" s="1096"/>
      <c r="DR155" s="1096"/>
      <c r="DT155" s="1514"/>
      <c r="DU155" s="1567"/>
      <c r="DV155" s="1567"/>
      <c r="DW155" s="1567"/>
      <c r="DX155" s="1567"/>
      <c r="DY155" s="1513"/>
      <c r="DZ155" s="1096"/>
      <c r="EA155" s="1660">
        <f t="shared" si="2"/>
        <v>1</v>
      </c>
    </row>
    <row r="156" spans="1:132" ht="11.25" customHeight="1" thickBot="1" x14ac:dyDescent="0.25">
      <c r="A156" s="1096"/>
      <c r="B156" s="1096"/>
      <c r="C156" s="1497"/>
      <c r="D156" s="1641">
        <v>1</v>
      </c>
      <c r="E156" s="1119" t="s">
        <v>9094</v>
      </c>
      <c r="F156" s="1120" t="s">
        <v>2333</v>
      </c>
      <c r="G156" s="1121" t="s">
        <v>2334</v>
      </c>
      <c r="H156" s="1121" t="s">
        <v>2356</v>
      </c>
      <c r="I156" s="1122" t="s">
        <v>4020</v>
      </c>
      <c r="J156" s="1123"/>
      <c r="K156" s="1124"/>
      <c r="L156" s="1122" t="s">
        <v>4021</v>
      </c>
      <c r="M156" s="1123"/>
      <c r="N156" s="1124"/>
      <c r="O156" s="1122" t="s">
        <v>4022</v>
      </c>
      <c r="P156" s="1123"/>
      <c r="Q156" s="1124"/>
      <c r="R156" s="1125" t="s">
        <v>5219</v>
      </c>
      <c r="S156" s="1121" t="s">
        <v>3990</v>
      </c>
      <c r="T156" s="2613" t="s">
        <v>2252</v>
      </c>
      <c r="U156" s="2613" t="s">
        <v>2223</v>
      </c>
      <c r="V156" s="2613" t="s">
        <v>4023</v>
      </c>
      <c r="W156" s="4473" t="s">
        <v>4024</v>
      </c>
      <c r="X156" s="4473"/>
      <c r="Y156" s="4473"/>
      <c r="Z156" s="4473"/>
      <c r="AA156" s="4473"/>
      <c r="AB156" s="4473"/>
      <c r="AC156" s="4473"/>
      <c r="AD156" s="4473"/>
      <c r="AE156" s="4473"/>
      <c r="AF156" s="4473"/>
      <c r="AG156" s="4473"/>
      <c r="AH156" s="4473"/>
      <c r="AI156" s="4473"/>
      <c r="AJ156" s="4473"/>
      <c r="AK156" s="4473"/>
      <c r="AL156" s="4473"/>
      <c r="AM156" s="4473"/>
      <c r="AN156" s="4473"/>
      <c r="AO156" s="4473"/>
      <c r="AP156" s="4473"/>
      <c r="AQ156" s="4473"/>
      <c r="AR156" s="4473"/>
      <c r="AS156" s="4473"/>
      <c r="AT156" s="4473"/>
      <c r="AU156" s="4473"/>
      <c r="AV156" s="4473"/>
      <c r="AW156" s="4473"/>
      <c r="AX156" s="4473"/>
      <c r="AY156" s="4473"/>
      <c r="AZ156" s="4473"/>
      <c r="BA156" s="4473"/>
      <c r="BB156" s="4473"/>
      <c r="BC156" s="4473"/>
      <c r="BD156" s="4473"/>
      <c r="BE156" s="4473"/>
      <c r="BF156" s="4473"/>
      <c r="BG156" s="4473"/>
      <c r="BH156" s="4473"/>
      <c r="BI156" s="4473"/>
      <c r="BJ156" s="4473"/>
      <c r="BK156" s="4473" t="s">
        <v>4025</v>
      </c>
      <c r="BL156" s="4473"/>
      <c r="BM156" s="4474"/>
      <c r="BN156" s="1126" t="s">
        <v>5220</v>
      </c>
      <c r="BO156" s="1126" t="s">
        <v>5221</v>
      </c>
      <c r="BP156" s="1126" t="s">
        <v>5222</v>
      </c>
      <c r="BQ156" s="1126" t="s">
        <v>5223</v>
      </c>
      <c r="BR156" s="1126" t="s">
        <v>5224</v>
      </c>
      <c r="BS156" s="1127" t="s">
        <v>5225</v>
      </c>
      <c r="BT156" s="4448" t="s">
        <v>5226</v>
      </c>
      <c r="BU156" s="4449"/>
      <c r="BV156" s="1128"/>
      <c r="BW156" s="1108"/>
      <c r="BX156" s="1108"/>
      <c r="BY156" s="1474"/>
      <c r="BZ156" s="1492"/>
      <c r="CA156" s="1096"/>
      <c r="DR156" s="1096"/>
      <c r="DT156" s="1514"/>
      <c r="DU156" s="1567"/>
      <c r="DV156" s="1567"/>
      <c r="DW156" s="1567"/>
      <c r="DX156" s="1567"/>
      <c r="DY156" s="1513"/>
      <c r="DZ156" s="1096"/>
      <c r="EB156" s="2558">
        <f>D156</f>
        <v>1</v>
      </c>
    </row>
    <row r="157" spans="1:132" ht="11.25" customHeight="1" x14ac:dyDescent="0.2">
      <c r="A157" s="1129"/>
      <c r="B157" s="159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98"/>
      <c r="D157" s="1642">
        <v>1</v>
      </c>
      <c r="E157" s="1423"/>
      <c r="F157" s="1130"/>
      <c r="G157" s="1131"/>
      <c r="H157" s="1131"/>
      <c r="I157" s="1131"/>
      <c r="J157" s="1132"/>
      <c r="K157" s="1131"/>
      <c r="L157" s="1131"/>
      <c r="M157" s="1132"/>
      <c r="N157" s="1131"/>
      <c r="O157" s="1131"/>
      <c r="P157" s="1132"/>
      <c r="Q157" s="1131"/>
      <c r="R157" s="1132"/>
      <c r="S157" s="1131"/>
      <c r="T157" s="1131"/>
      <c r="U157" s="1131"/>
      <c r="V157" s="1131"/>
      <c r="W157" s="1131"/>
      <c r="X157" s="1131"/>
      <c r="Y157" s="1131"/>
      <c r="Z157" s="1131"/>
      <c r="AA157" s="1131"/>
      <c r="AB157" s="1131"/>
      <c r="AC157" s="1131"/>
      <c r="AD157" s="1131"/>
      <c r="AE157" s="1131"/>
      <c r="AF157" s="1131"/>
      <c r="AG157" s="1131"/>
      <c r="AH157" s="1131"/>
      <c r="AI157" s="1131"/>
      <c r="AJ157" s="1131"/>
      <c r="AK157" s="1131"/>
      <c r="AL157" s="1131"/>
      <c r="AM157" s="1131"/>
      <c r="AN157" s="1131"/>
      <c r="AO157" s="1131"/>
      <c r="AP157" s="1131"/>
      <c r="AQ157" s="1131"/>
      <c r="AR157" s="1131"/>
      <c r="AS157" s="1131"/>
      <c r="AT157" s="1131"/>
      <c r="AU157" s="1131"/>
      <c r="AV157" s="1131"/>
      <c r="AW157" s="1131"/>
      <c r="AX157" s="1131"/>
      <c r="AY157" s="1131"/>
      <c r="AZ157" s="1131"/>
      <c r="BA157" s="1131"/>
      <c r="BB157" s="1131"/>
      <c r="BC157" s="1131"/>
      <c r="BD157" s="1131"/>
      <c r="BE157" s="1131"/>
      <c r="BF157" s="1131"/>
      <c r="BG157" s="1131"/>
      <c r="BH157" s="1131"/>
      <c r="BI157" s="1131"/>
      <c r="BJ157" s="1131"/>
      <c r="BK157" s="1131"/>
      <c r="BL157" s="1131"/>
      <c r="BM157" s="1133"/>
      <c r="BN157" s="1134">
        <f>SUM(K157:K160)</f>
        <v>0</v>
      </c>
      <c r="BO157" s="1128" t="str">
        <f>IF(E157=0,"",(AF157+AP157+AZ157+BJ157))</f>
        <v/>
      </c>
      <c r="BP157" s="1135" t="str">
        <f>IF(I157="Si",VLOOKUP($D$8,'Tablas Técnicas'!$E$4:$F$6,2,FALSE),"")</f>
        <v/>
      </c>
      <c r="BQ157" s="1136" t="str">
        <f>IF(L157="Si",VLOOKUP($D$8,'Tablas Técnicas'!$I$4:$J$6,2,FALSE),"")</f>
        <v/>
      </c>
      <c r="BR157" s="1134" t="str">
        <f>IF(O157="Si",VLOOKUP($D$8,'Tablas Técnicas'!$I$7:$J$9,2,FALSE),"")</f>
        <v/>
      </c>
      <c r="BS157" s="1137">
        <f>VLOOKUP(D156,'Tablas Técnicas'!$P$6:$R$8,3)</f>
        <v>50</v>
      </c>
      <c r="BT157" s="1138">
        <f>VLOOKUP(D156,'Tablas Técnicas'!$P$6:$R$8,3,FALSE)</f>
        <v>50</v>
      </c>
      <c r="BU157" s="1139">
        <f>VLOOKUP(D156,'Tablas Técnicas'!$P$6:$R$8,2,FALSE)</f>
        <v>20</v>
      </c>
      <c r="BV157" s="1128">
        <f>IF(D156=0,"",VLOOKUP(D156,'Tablas Técnicas'!$L$4:$N$7,2,FALSE))</f>
        <v>3</v>
      </c>
      <c r="BW157" s="1108"/>
      <c r="BX157" s="1108"/>
      <c r="BY157" s="1474"/>
      <c r="BZ157" s="1492"/>
      <c r="CA157" s="1096"/>
      <c r="DR157" s="1096"/>
      <c r="DT157" s="1514"/>
      <c r="DU157" s="1614" t="s">
        <v>2345</v>
      </c>
      <c r="DV157" s="1615" t="s">
        <v>4001</v>
      </c>
      <c r="DW157" s="1615" t="s">
        <v>3987</v>
      </c>
      <c r="DX157" s="1616" t="s">
        <v>8729</v>
      </c>
      <c r="DY157" s="1513"/>
      <c r="DZ157" s="1096"/>
      <c r="EA157" s="1660">
        <f>EB156</f>
        <v>1</v>
      </c>
    </row>
    <row r="158" spans="1:132" x14ac:dyDescent="0.2">
      <c r="A158" s="1096"/>
      <c r="B158" s="1096"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97"/>
      <c r="D158" s="1643" t="s">
        <v>2310</v>
      </c>
      <c r="E158" s="1140"/>
      <c r="F158" s="1141" t="str">
        <f>IF(E158=0,"",VLOOKUP(E158,'Tablas Técnicas'!$A$14:$V$771,2,FALSE))</f>
        <v/>
      </c>
      <c r="G158" s="1142"/>
      <c r="H158" s="1143" t="str">
        <f>IF($E158=0,"",VLOOKUP($E158,'Tablas Técnicas'!$A$14:$V$771,4,FALSE))</f>
        <v/>
      </c>
      <c r="I158" s="1144" t="s">
        <v>2234</v>
      </c>
      <c r="J158" s="1602" t="str">
        <f>IF(E158=0,"",VLOOKUP(E158,'Tablas Técnicas'!$A$14:$V$771,5,FALSE))</f>
        <v/>
      </c>
      <c r="K158" s="1146" t="str">
        <f>IF(I158="Si",IF(E158=0,"",VLOOKUP(E158,'Tablas Técnicas'!$A$14:$V$771,5,FALSE)),"")</f>
        <v/>
      </c>
      <c r="L158" s="1144" t="s">
        <v>2234</v>
      </c>
      <c r="M158" s="1602" t="str">
        <f>IF(E158=0,"",VLOOKUP(E158,'Tablas Técnicas'!$A$14:$V$771,6,FALSE))</f>
        <v/>
      </c>
      <c r="N158" s="1147" t="str">
        <f>IF(L158="Si",IF(E158=0,"",VLOOKUP(E158,'Tablas Técnicas'!$A$14:$V$771,6,FALSE)),"")</f>
        <v/>
      </c>
      <c r="O158" s="1144" t="s">
        <v>2234</v>
      </c>
      <c r="P158" s="1602" t="str">
        <f>IF(E158=0,"",VLOOKUP(E158,'Tablas Técnicas'!$A$14:$V$771,7,FALSE))</f>
        <v/>
      </c>
      <c r="Q158" s="1147" t="str">
        <f>IF(O158="Si",IF(E158=0,"",VLOOKUP(E158,'Tablas Técnicas'!$A$14:$V$771,7,FALSE)),"")</f>
        <v/>
      </c>
      <c r="R158" s="1145" t="str">
        <f>IF(E158=0,"",VLOOKUP(E158,'Tablas Técnicas'!$A$14:$V$771,8,FALSE))</f>
        <v/>
      </c>
      <c r="S158" s="1143" t="str">
        <f>IF(R158=$D$8,$D$8,IF(R158=2,2,IF(R158=3,3,R158)))</f>
        <v/>
      </c>
      <c r="T158" s="1146" t="str">
        <f>IF(E158=0,"",VLOOKUP(E158,'Tablas Técnicas'!$A$14:$V$771,9,FALSE))</f>
        <v/>
      </c>
      <c r="U158" s="1146" t="str">
        <f>IF(E158=0,"",VLOOKUP(E158,'Tablas Técnicas'!$A$14:$V$771,10,FALSE))</f>
        <v/>
      </c>
      <c r="V158" s="1141" t="str">
        <f>IF(E158=0,"",VLOOKUP(E158,'Tablas Técnicas'!$A$14:$V$771,11,FALSE))</f>
        <v/>
      </c>
      <c r="W158" s="1144"/>
      <c r="X158" s="1145" t="e">
        <f>VLOOKUP(E158,'Tablas Técnicas'!$A$14:$V$771,12,FALSE)</f>
        <v>#N/A</v>
      </c>
      <c r="Y158" s="1145" t="e">
        <f>IF(W158=X158,VLOOKUP(E158,'Tablas Técnicas'!$A$14:$V$771,13,FALSE),0)</f>
        <v>#N/A</v>
      </c>
      <c r="Z158" s="1145" t="e">
        <f>VLOOKUP(E158,'Tablas Técnicas'!$A$14:$V$771,14,FALSE)</f>
        <v>#N/A</v>
      </c>
      <c r="AA158" s="1145" t="e">
        <f>IF(W158=Z158,VLOOKUP(E158,'Tablas Técnicas'!$A$14:$V$616,15,FALSE),0)</f>
        <v>#N/A</v>
      </c>
      <c r="AB158" s="1145" t="e">
        <f>VLOOKUP(E158,'Tablas Técnicas'!$A$14:$V$771,16,FALSE)</f>
        <v>#N/A</v>
      </c>
      <c r="AC158" s="1145" t="e">
        <f>IF(W158=AB158,VLOOKUP(E158,'Tablas Técnicas'!$A$14:$V$616,17,FALSE),0)</f>
        <v>#N/A</v>
      </c>
      <c r="AD158" s="1145" t="e">
        <f>VLOOKUP(E158,'Tablas Técnicas'!$A$14:$V$771,18,FALSE)</f>
        <v>#N/A</v>
      </c>
      <c r="AE158" s="1145" t="e">
        <f>IF(W158=AD158,VLOOKUP(E158,'Tablas Técnicas'!$A$14:$V$771,19,FALSE),0)</f>
        <v>#N/A</v>
      </c>
      <c r="AF158" s="1147" t="str">
        <f>IF(E158=0,"",(Y158+AA158+AC158+AE158))</f>
        <v/>
      </c>
      <c r="AG158" s="1144"/>
      <c r="AH158" s="1145" t="e">
        <f>VLOOKUP(E158,'Tablas Técnicas'!$A$14:$V$771,12,FALSE)</f>
        <v>#N/A</v>
      </c>
      <c r="AI158" s="1145" t="e">
        <f>IF(AG158=AH158,VLOOKUP(E158,'Tablas Técnicas'!$A$14:$V$771,13,FALSE),0)</f>
        <v>#N/A</v>
      </c>
      <c r="AJ158" s="1145" t="e">
        <f>VLOOKUP(E158,'Tablas Técnicas'!$A$14:$V$771,14,FALSE)</f>
        <v>#N/A</v>
      </c>
      <c r="AK158" s="1145" t="e">
        <f>IF(AG158=AJ158,VLOOKUP(E158,'Tablas Técnicas'!$A$14:$V$771,15,FALSE),0)</f>
        <v>#N/A</v>
      </c>
      <c r="AL158" s="1145" t="e">
        <f>VLOOKUP(E158,'Tablas Técnicas'!$A$14:$V$771,16,FALSE)</f>
        <v>#N/A</v>
      </c>
      <c r="AM158" s="1145" t="e">
        <f>IF(AG158=AL158,VLOOKUP(E158,'Tablas Técnicas'!$A$14:$V$771,17,FALSE),0)</f>
        <v>#N/A</v>
      </c>
      <c r="AN158" s="1145" t="e">
        <f>VLOOKUP(E158,'Tablas Técnicas'!$A$14:$V$771,18,FALSE)</f>
        <v>#N/A</v>
      </c>
      <c r="AO158" s="1145" t="e">
        <f>IF(AG158=AN158,VLOOKUP(E158,'Tablas Técnicas'!$A$14:$V$771,19,FALSE),0)</f>
        <v>#N/A</v>
      </c>
      <c r="AP158" s="1147" t="str">
        <f>IF(E158=0,"",(AI158+AK158+AM158+AO158))</f>
        <v/>
      </c>
      <c r="AQ158" s="1144"/>
      <c r="AR158" s="1145" t="e">
        <f>VLOOKUP(E158,'Tablas Técnicas'!$A$14:$V$771,12,FALSE)</f>
        <v>#N/A</v>
      </c>
      <c r="AS158" s="1145" t="e">
        <f>IF(AQ158=AR158,VLOOKUP(E158,'Tablas Técnicas'!$A$14:$V$771,13,FALSE),0)</f>
        <v>#N/A</v>
      </c>
      <c r="AT158" s="1145" t="e">
        <f>VLOOKUP(E158,'Tablas Técnicas'!$A$14:$V$771,14,FALSE)</f>
        <v>#N/A</v>
      </c>
      <c r="AU158" s="1145" t="e">
        <f>IF(AQ158=AT158,VLOOKUP(E158,'Tablas Técnicas'!$A$14:$V$771,15,FALSE),0)</f>
        <v>#N/A</v>
      </c>
      <c r="AV158" s="1145" t="e">
        <f>VLOOKUP(E158,'Tablas Técnicas'!$A$14:$V$771,16,FALSE)</f>
        <v>#N/A</v>
      </c>
      <c r="AW158" s="1145" t="e">
        <f>IF(AQ158=AV158,VLOOKUP(E158,'Tablas Técnicas'!$A$14:$V$771,17,FALSE),0)</f>
        <v>#N/A</v>
      </c>
      <c r="AX158" s="1145" t="e">
        <f>VLOOKUP(E158,'Tablas Técnicas'!$A$14:$V$771,18,FALSE)</f>
        <v>#N/A</v>
      </c>
      <c r="AY158" s="1145" t="e">
        <f>IF(AQ158=AX158,VLOOKUP(E158,'Tablas Técnicas'!$A$14:$V$771,19,FALSE),0)</f>
        <v>#N/A</v>
      </c>
      <c r="AZ158" s="1146" t="str">
        <f>IF(E158=0,"",(AS158+AU158+AW158+AY158))</f>
        <v/>
      </c>
      <c r="BA158" s="1144"/>
      <c r="BB158" s="1145" t="e">
        <f>VLOOKUP(E158,'Tablas Técnicas'!$A$14:$V$771,12,FALSE)</f>
        <v>#N/A</v>
      </c>
      <c r="BC158" s="1145" t="e">
        <f>IF(BA158=BB158,VLOOKUP(E158,'Tablas Técnicas'!$A$14:$V$771,13,FALSE),0)</f>
        <v>#N/A</v>
      </c>
      <c r="BD158" s="1145" t="e">
        <f>VLOOKUP(E158,'Tablas Técnicas'!$A$14:$V$771,14,FALSE)</f>
        <v>#N/A</v>
      </c>
      <c r="BE158" s="1145" t="e">
        <f>IF(BA158=BD158,VLOOKUP(E158,'Tablas Técnicas'!$A$14:$V$771,15,FALSE),0)</f>
        <v>#N/A</v>
      </c>
      <c r="BF158" s="1145" t="e">
        <f>VLOOKUP(E158,'Tablas Técnicas'!$A$14:$V$771,16,FALSE)</f>
        <v>#N/A</v>
      </c>
      <c r="BG158" s="1145" t="e">
        <f>IF(BA158=BF158,VLOOKUP(E158,'Tablas Técnicas'!$A$14:$V$771,17,FALSE),0)</f>
        <v>#N/A</v>
      </c>
      <c r="BH158" s="1145" t="e">
        <f>VLOOKUP(E158,'Tablas Técnicas'!$A$14:$V$771,18,FALSE)</f>
        <v>#N/A</v>
      </c>
      <c r="BI158" s="1145" t="e">
        <f>IF(BA158=BH158,VLOOKUP(E158,'Tablas Técnicas'!$A$14:$V$771,19,FALSE),0)</f>
        <v>#N/A</v>
      </c>
      <c r="BJ158" s="1147" t="str">
        <f>IF(E158=0,"",(BC158+BE158+BG158+BI158))</f>
        <v/>
      </c>
      <c r="BK158" s="1146" t="str">
        <f>IF(E158=0,"",VLOOKUP(E158,'Tablas Técnicas'!$A$14:$V$771,20,FALSE))</f>
        <v/>
      </c>
      <c r="BL158" s="1146" t="str">
        <f>IF(E158=0,"",VLOOKUP(E158,'Tablas Técnicas'!$A$14:$V$771,21,FALSE))</f>
        <v/>
      </c>
      <c r="BM158" s="1148" t="str">
        <f>IF(E158=0,"",VLOOKUP(E158,'Tablas Técnicas'!$A$14:$V$771,22,FALSE))</f>
        <v/>
      </c>
      <c r="BN158" s="1149"/>
      <c r="BO158" s="1150"/>
      <c r="BP158" s="1135" t="str">
        <f>IF(I158="Si",VLOOKUP($D$8,'Tablas Técnicas'!$E$4:$F$6,2,FALSE),"")</f>
        <v/>
      </c>
      <c r="BQ158" s="1136" t="str">
        <f>IF(L158="Si",VLOOKUP($D$8,'Tablas Técnicas'!$I$4:$J$6,2,FALSE),"")</f>
        <v/>
      </c>
      <c r="BR158" s="1134" t="str">
        <f>IF(O158="Si",VLOOKUP($D$8,'Tablas Técnicas'!$I$7:$J$9,2,FALSE),"")</f>
        <v/>
      </c>
      <c r="BS158" s="1151"/>
      <c r="BT158" s="4448" t="s">
        <v>5227</v>
      </c>
      <c r="BU158" s="4449"/>
      <c r="BV158" s="1128"/>
      <c r="BW158" s="1108"/>
      <c r="BX158" s="1108"/>
      <c r="BY158" s="1474"/>
      <c r="BZ158" s="1492"/>
      <c r="CA158" s="1096"/>
      <c r="DR158" s="1096"/>
      <c r="DT158" s="1514"/>
      <c r="DU158" s="1565" t="str">
        <f>IF(BW171="N/A","",BT170&amp;" "&amp;BW171&amp;IF(BY171="N/A"," "," ("&amp;BY171&amp;") "))</f>
        <v/>
      </c>
      <c r="DV158" s="1566" t="str">
        <f>IF(E158="","",E158)&amp;IF(I158="No",""," (Mant.)")&amp;IF(L158="No",""," (Sme)")&amp;IF(O158="No",""," (SMa)")</f>
        <v/>
      </c>
      <c r="DW158" s="1567" t="str">
        <f>IF(E188="","",E188)</f>
        <v/>
      </c>
      <c r="DX158" s="445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13"/>
      <c r="DZ158" s="1096"/>
      <c r="EA158" s="1660">
        <f t="shared" si="2"/>
        <v>1</v>
      </c>
    </row>
    <row r="159" spans="1:132" ht="12.75" customHeight="1" x14ac:dyDescent="0.2">
      <c r="A159" s="1096"/>
      <c r="B159" s="1096"/>
      <c r="C159" s="1497"/>
      <c r="D159" s="1642" t="s">
        <v>2310</v>
      </c>
      <c r="E159" s="1152"/>
      <c r="F159" s="1153" t="str">
        <f>IF(E159=0,"",VLOOKUP(E159,'Tablas Técnicas'!$A$14:$V$771,2,FALSE))</f>
        <v/>
      </c>
      <c r="G159" s="1154"/>
      <c r="H159" s="1155" t="str">
        <f>IF($E159=0,"",VLOOKUP($E159,'Tablas Técnicas'!$A$14:$V$771,4,FALSE))</f>
        <v/>
      </c>
      <c r="I159" s="1156" t="s">
        <v>2234</v>
      </c>
      <c r="J159" s="1605" t="str">
        <f>IF(E159=0,"",VLOOKUP(E159,'Tablas Técnicas'!$A$14:$V$771,5,FALSE))</f>
        <v/>
      </c>
      <c r="K159" s="1158" t="str">
        <f>IF(I159="Si",IF(E159=0,"",VLOOKUP(E159,'Tablas Técnicas'!$A$14:$V$771,5,FALSE)),"")</f>
        <v/>
      </c>
      <c r="L159" s="1156" t="s">
        <v>2234</v>
      </c>
      <c r="M159" s="1605" t="str">
        <f>IF(E159=0,"",VLOOKUP(E159,'Tablas Técnicas'!$A$14:$V$771,6,FALSE))</f>
        <v/>
      </c>
      <c r="N159" s="1159" t="str">
        <f>IF(L159="Si",IF(E159=0,"",VLOOKUP(E159,'Tablas Técnicas'!$A$14:$V$771,6,FALSE)),"")</f>
        <v/>
      </c>
      <c r="O159" s="1156" t="s">
        <v>2234</v>
      </c>
      <c r="P159" s="1605" t="str">
        <f>IF(E159=0,"",VLOOKUP(E159,'Tablas Técnicas'!$A$14:$V$771,7,FALSE))</f>
        <v/>
      </c>
      <c r="Q159" s="1159" t="str">
        <f>IF(O159="Si",IF(E159=0,"",VLOOKUP(E159,'Tablas Técnicas'!$A$14:$V$771,7,FALSE)),"")</f>
        <v/>
      </c>
      <c r="R159" s="1157" t="str">
        <f>IF(E159=0,"",VLOOKUP(E159,'Tablas Técnicas'!$A$14:$V$771,8,FALSE))</f>
        <v/>
      </c>
      <c r="S159" s="1155" t="str">
        <f>IF(R159=$D$8,$D$8,IF(R159=2,2,IF(R159=3,3,R159)))</f>
        <v/>
      </c>
      <c r="T159" s="4475" t="s">
        <v>5228</v>
      </c>
      <c r="U159" s="4476"/>
      <c r="V159" s="4476"/>
      <c r="W159" s="4476"/>
      <c r="X159" s="4476"/>
      <c r="Y159" s="4476"/>
      <c r="Z159" s="4476"/>
      <c r="AA159" s="4476"/>
      <c r="AB159" s="4476"/>
      <c r="AC159" s="4476"/>
      <c r="AD159" s="4476"/>
      <c r="AE159" s="4476"/>
      <c r="AF159" s="4476"/>
      <c r="AG159" s="4476"/>
      <c r="AH159" s="4476"/>
      <c r="AI159" s="4476"/>
      <c r="AJ159" s="4476"/>
      <c r="AK159" s="4476"/>
      <c r="AL159" s="4476"/>
      <c r="AM159" s="4476"/>
      <c r="AN159" s="4476"/>
      <c r="AO159" s="4476"/>
      <c r="AP159" s="4476"/>
      <c r="AQ159" s="4476"/>
      <c r="AR159" s="4476"/>
      <c r="AS159" s="4476"/>
      <c r="AT159" s="4476"/>
      <c r="AU159" s="4476"/>
      <c r="AV159" s="4476"/>
      <c r="AW159" s="4476"/>
      <c r="AX159" s="4476"/>
      <c r="AY159" s="4476"/>
      <c r="AZ159" s="4476"/>
      <c r="BA159" s="4476"/>
      <c r="BB159" s="4476"/>
      <c r="BC159" s="4476"/>
      <c r="BD159" s="4476"/>
      <c r="BE159" s="4476"/>
      <c r="BF159" s="4476"/>
      <c r="BG159" s="4476"/>
      <c r="BH159" s="4476"/>
      <c r="BI159" s="4476"/>
      <c r="BJ159" s="4476"/>
      <c r="BK159" s="4477"/>
      <c r="BL159" s="1627"/>
      <c r="BM159" s="1628"/>
      <c r="BN159" s="1149"/>
      <c r="BO159" s="1150"/>
      <c r="BP159" s="1135" t="str">
        <f>IF(I159="Si",VLOOKUP($D$8,'Tablas Técnicas'!$E$4:$F$6,2,FALSE),"")</f>
        <v/>
      </c>
      <c r="BQ159" s="1136" t="str">
        <f>IF(L159="Si",VLOOKUP($D$8,'Tablas Técnicas'!$I$4:$J$6,2,FALSE),"")</f>
        <v/>
      </c>
      <c r="BR159" s="1134" t="str">
        <f>IF(O159="Si",VLOOKUP($D$8,'Tablas Técnicas'!$I$7:$J$9,2,FALSE),"")</f>
        <v/>
      </c>
      <c r="BS159" s="1151"/>
      <c r="BT159" s="445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51"/>
      <c r="BV159" s="1128"/>
      <c r="BW159" s="1108"/>
      <c r="BX159" s="1108"/>
      <c r="BY159" s="1474"/>
      <c r="BZ159" s="1492"/>
      <c r="CA159" s="1096"/>
      <c r="DR159" s="1096"/>
      <c r="DT159" s="1514"/>
      <c r="DU159" s="1565" t="str">
        <f>IF(BW173="N/A","",BT172&amp;" "&amp;BW173&amp;IF(BY173="N/A"," "," ("&amp;BY173&amp;") "))</f>
        <v/>
      </c>
      <c r="DV159" s="1566" t="str">
        <f>IF(E159="",""," "&amp;E159)&amp;IF(I159="No",""," (Mant.)")&amp;IF(L159="No",""," (Sme)")&amp;IF(O159="No",""," (SMa)")</f>
        <v/>
      </c>
      <c r="DW159" s="1567" t="str">
        <f>IF(E189="","",", "&amp;E189)</f>
        <v/>
      </c>
      <c r="DX159" s="4454"/>
      <c r="DY159" s="1513"/>
      <c r="DZ159" s="1096"/>
      <c r="EA159" s="1660">
        <f t="shared" si="2"/>
        <v>1</v>
      </c>
    </row>
    <row r="160" spans="1:132" x14ac:dyDescent="0.2">
      <c r="A160" s="1096"/>
      <c r="B160" s="1096"/>
      <c r="C160" s="1497"/>
      <c r="D160" s="1643" t="s">
        <v>2310</v>
      </c>
      <c r="E160" s="1160"/>
      <c r="F160" s="2619" t="str">
        <f>IF(E160=0,"",VLOOKUP(E160,'Tablas Técnicas'!$A$14:$V$771,2,FALSE))</f>
        <v/>
      </c>
      <c r="G160" s="1142"/>
      <c r="H160" s="1161" t="str">
        <f>IF($E160=0,"",VLOOKUP($E160,'Tablas Técnicas'!$A$14:$V$771,4,FALSE))</f>
        <v/>
      </c>
      <c r="I160" s="1144" t="s">
        <v>2234</v>
      </c>
      <c r="J160" s="1601" t="str">
        <f>IF(E160=0,"",VLOOKUP(E160,'Tablas Técnicas'!$A$14:$V$771,5,FALSE))</f>
        <v/>
      </c>
      <c r="K160" s="1163" t="str">
        <f>IF(I160="Si",IF(E160=0,"",VLOOKUP(E160,'Tablas Técnicas'!$A$14:$V$771,5,FALSE)),"")</f>
        <v/>
      </c>
      <c r="L160" s="1144" t="s">
        <v>2234</v>
      </c>
      <c r="M160" s="1601" t="str">
        <f>IF(E160=0,"",VLOOKUP(E160,'Tablas Técnicas'!$A$14:$V$771,6,FALSE))</f>
        <v/>
      </c>
      <c r="N160" s="1147" t="str">
        <f>IF(L160="Si",IF(E160=0,"",VLOOKUP(E160,'Tablas Técnicas'!$A$14:$V$771,6,FALSE)),"")</f>
        <v/>
      </c>
      <c r="O160" s="1144" t="s">
        <v>2234</v>
      </c>
      <c r="P160" s="1601" t="str">
        <f>IF(E160=0,"",VLOOKUP(E160,'Tablas Técnicas'!$A$14:$V$771,7,FALSE))</f>
        <v/>
      </c>
      <c r="Q160" s="1147" t="str">
        <f>IF(O160="Si",IF(E160=0,"",VLOOKUP(E160,'Tablas Técnicas'!$A$14:$V$771,7,FALSE)),"")</f>
        <v/>
      </c>
      <c r="R160" s="1162" t="str">
        <f>IF(E160=0,"",VLOOKUP(E160,'Tablas Técnicas'!$A$14:$V$771,8,FALSE))</f>
        <v/>
      </c>
      <c r="S160" s="2619" t="str">
        <f>IF(R160=$D$8,$D$8,IF(R160=2,2,IF(R160=3,3,R160)))</f>
        <v/>
      </c>
      <c r="T160" s="4487"/>
      <c r="U160" s="4488"/>
      <c r="V160" s="2617" t="str">
        <f>IF(OR(V158=0,V158=""),"N/A",V158)</f>
        <v>N/A</v>
      </c>
      <c r="W160" s="4487" t="str">
        <f xml:space="preserve"> IF(OR(AF158=0,AF158=""),"N/A",W158)</f>
        <v>N/A</v>
      </c>
      <c r="X160" s="4489"/>
      <c r="Y160" s="4489"/>
      <c r="Z160" s="4489"/>
      <c r="AA160" s="4489"/>
      <c r="AB160" s="4489"/>
      <c r="AC160" s="4489"/>
      <c r="AD160" s="4489"/>
      <c r="AE160" s="4489"/>
      <c r="AF160" s="4488"/>
      <c r="AG160" s="4487" t="str">
        <f xml:space="preserve"> IF(OR(AP158="",AP158=0),"N/A",AG158)</f>
        <v>N/A</v>
      </c>
      <c r="AH160" s="4489"/>
      <c r="AI160" s="4489"/>
      <c r="AJ160" s="4489"/>
      <c r="AK160" s="4489"/>
      <c r="AL160" s="4489"/>
      <c r="AM160" s="4489"/>
      <c r="AN160" s="4489"/>
      <c r="AO160" s="4489"/>
      <c r="AP160" s="4488"/>
      <c r="AQ160" s="4487" t="str">
        <f xml:space="preserve"> IF(OR(AZ158="",AZ158=0),"N/A",AQ158)</f>
        <v>N/A</v>
      </c>
      <c r="AR160" s="4489"/>
      <c r="AS160" s="4489"/>
      <c r="AT160" s="4489"/>
      <c r="AU160" s="4489"/>
      <c r="AV160" s="4489"/>
      <c r="AW160" s="4489"/>
      <c r="AX160" s="4489"/>
      <c r="AY160" s="4489"/>
      <c r="AZ160" s="4488"/>
      <c r="BA160" s="4487" t="str">
        <f xml:space="preserve"> IF(OR(BJ158="",BJ158=0),"N/A",BA158)</f>
        <v>N/A</v>
      </c>
      <c r="BB160" s="4489"/>
      <c r="BC160" s="4489"/>
      <c r="BD160" s="4489"/>
      <c r="BE160" s="4489"/>
      <c r="BF160" s="4489"/>
      <c r="BG160" s="4489"/>
      <c r="BH160" s="4489"/>
      <c r="BI160" s="4489"/>
      <c r="BJ160" s="4488"/>
      <c r="BK160" s="1164" t="s">
        <v>5229</v>
      </c>
      <c r="BL160" s="1146"/>
      <c r="BM160" s="1181"/>
      <c r="BN160" s="1165"/>
      <c r="BO160" s="1166"/>
      <c r="BP160" s="1167" t="str">
        <f>IF(I160="Si",VLOOKUP($D$8,'Tablas Técnicas'!$E$4:$F$6,2,FALSE),"")</f>
        <v/>
      </c>
      <c r="BQ160" s="1137" t="str">
        <f>IF(L160="Si",VLOOKUP($D$8,'Tablas Técnicas'!$I$4:$J$6,2,FALSE),"")</f>
        <v/>
      </c>
      <c r="BR160" s="1168" t="str">
        <f>IF(O160="Si",VLOOKUP($D$8,'Tablas Técnicas'!$I$7:$J$9,2,FALSE),"")</f>
        <v/>
      </c>
      <c r="BS160" s="1169"/>
      <c r="BU160" s="2608"/>
      <c r="BV160" s="1128"/>
      <c r="BW160" s="1108"/>
      <c r="BX160" s="1108"/>
      <c r="BY160" s="1474"/>
      <c r="BZ160" s="1492"/>
      <c r="CA160" s="1096"/>
      <c r="DR160" s="1096"/>
      <c r="DT160" s="1514"/>
      <c r="DU160" s="1565" t="str">
        <f>IF(BW175="N/A","",BT174&amp;" "&amp;BW175&amp;IF(BY175="N/A"," "," ("&amp;BY175&amp;") "))</f>
        <v/>
      </c>
      <c r="DV160" s="1566" t="str">
        <f>IF(E160="","",E160)&amp;IF(I160="No",""," (Mant.)")&amp;IF(L160="No",""," (Sme)")&amp;IF(O160="No",""," (SMa)")</f>
        <v/>
      </c>
      <c r="DW160" s="1567" t="str">
        <f>IF(E190="","",", "&amp;E190)</f>
        <v/>
      </c>
      <c r="DX160" s="4454"/>
      <c r="DY160" s="1513"/>
      <c r="DZ160" s="1096"/>
      <c r="EA160" s="1660">
        <f t="shared" si="2"/>
        <v>1</v>
      </c>
    </row>
    <row r="161" spans="1:131" s="1170" customFormat="1" x14ac:dyDescent="0.2">
      <c r="A161" s="1096"/>
      <c r="B161" s="1096"/>
      <c r="C161" s="1497"/>
      <c r="D161" s="1642" t="s">
        <v>2310</v>
      </c>
      <c r="E161" s="1152"/>
      <c r="F161" s="1153" t="str">
        <f>IF(E161=0,"",VLOOKUP(E161,'Tablas Técnicas'!$A$14:$V$771,2,FALSE))</f>
        <v/>
      </c>
      <c r="G161" s="1154"/>
      <c r="H161" s="1155" t="str">
        <f>IF($E161=0,"",VLOOKUP($E161,'Tablas Técnicas'!$A$14:$V$771,4,FALSE))</f>
        <v/>
      </c>
      <c r="I161" s="1156" t="s">
        <v>2234</v>
      </c>
      <c r="J161" s="1605" t="str">
        <f>IF(E161=0,"",VLOOKUP(E161,'Tablas Técnicas'!$A$14:$V$771,5,FALSE))</f>
        <v/>
      </c>
      <c r="K161" s="1158" t="str">
        <f>IF(I161="Si",IF(E161=0,"",VLOOKUP(E161,'Tablas Técnicas'!$A$14:$V$771,5,FALSE)),"")</f>
        <v/>
      </c>
      <c r="L161" s="1156" t="s">
        <v>2234</v>
      </c>
      <c r="M161" s="1605" t="str">
        <f>IF(E161=0,"",VLOOKUP(E161,'Tablas Técnicas'!$A$14:$V$771,6,FALSE))</f>
        <v/>
      </c>
      <c r="N161" s="1159" t="str">
        <f>IF(L161="Si",IF(E161=0,"",VLOOKUP(E161,'Tablas Técnicas'!$A$14:$V$771,6,FALSE)),"")</f>
        <v/>
      </c>
      <c r="O161" s="1156" t="s">
        <v>2234</v>
      </c>
      <c r="P161" s="1605" t="str">
        <f>IF(E161=0,"",VLOOKUP(E161,'Tablas Técnicas'!$A$14:$V$771,7,FALSE))</f>
        <v/>
      </c>
      <c r="Q161" s="1159" t="str">
        <f>IF(O161="Si",IF(E161=0,"",VLOOKUP(E161,'Tablas Técnicas'!$A$14:$V$771,7,FALSE)),"")</f>
        <v/>
      </c>
      <c r="R161" s="1157" t="str">
        <f>IF(E161=0,"",VLOOKUP(E161,'Tablas Técnicas'!$A$14:$V$771,8,FALSE))</f>
        <v/>
      </c>
      <c r="S161" s="1155" t="str">
        <f>IF(R161=$D$8,$D$8,IF(R161=2,2,IF(R161=3,3,R161)))</f>
        <v/>
      </c>
      <c r="T161" s="4490" t="s">
        <v>5230</v>
      </c>
      <c r="U161" s="4491"/>
      <c r="V161" s="2618"/>
      <c r="W161" s="4492"/>
      <c r="X161" s="4493"/>
      <c r="Y161" s="4493"/>
      <c r="Z161" s="4493"/>
      <c r="AA161" s="4493"/>
      <c r="AB161" s="4493"/>
      <c r="AC161" s="4493"/>
      <c r="AD161" s="4493"/>
      <c r="AE161" s="4493"/>
      <c r="AF161" s="4494"/>
      <c r="AG161" s="4492"/>
      <c r="AH161" s="4493"/>
      <c r="AI161" s="4493"/>
      <c r="AJ161" s="4493"/>
      <c r="AK161" s="4493"/>
      <c r="AL161" s="4493"/>
      <c r="AM161" s="4493"/>
      <c r="AN161" s="4493"/>
      <c r="AO161" s="4493"/>
      <c r="AP161" s="4494"/>
      <c r="AQ161" s="4492"/>
      <c r="AR161" s="4493"/>
      <c r="AS161" s="4493"/>
      <c r="AT161" s="4493"/>
      <c r="AU161" s="4493"/>
      <c r="AV161" s="4493"/>
      <c r="AW161" s="4493"/>
      <c r="AX161" s="4493"/>
      <c r="AY161" s="4493"/>
      <c r="AZ161" s="4494"/>
      <c r="BA161" s="4492"/>
      <c r="BB161" s="4493"/>
      <c r="BC161" s="4493"/>
      <c r="BD161" s="4493"/>
      <c r="BE161" s="4493"/>
      <c r="BF161" s="4493"/>
      <c r="BG161" s="4493"/>
      <c r="BH161" s="4493"/>
      <c r="BI161" s="4493"/>
      <c r="BJ161" s="4494"/>
      <c r="BK161" s="1155">
        <f>(SUM(F158:F162)+IF(AF158="",0,AF158)+IF(AP158="",0,AP158)+IF(AZ158="",0,AZ158)+IF(BJ158="",0,BJ158)+SUM(K158:K162)+SUM(N158:N162)+SUM(Q158:Q162))- SUM(V161:BA161)</f>
        <v>0</v>
      </c>
      <c r="BL161" s="1627"/>
      <c r="BM161" s="1628"/>
      <c r="BN161" s="1149"/>
      <c r="BO161" s="1150"/>
      <c r="BP161" s="1135" t="str">
        <f>IF(I161="Si",VLOOKUP($D$8,'Tablas Técnicas'!$E$4:$F$6,2,FALSE),"")</f>
        <v/>
      </c>
      <c r="BQ161" s="1136" t="str">
        <f>IF(L161="Si",VLOOKUP($D$8,'Tablas Técnicas'!$I$4:$J$6,2,FALSE),"")</f>
        <v/>
      </c>
      <c r="BR161" s="1134" t="str">
        <f>IF(O161="Si",VLOOKUP($D$8,'Tablas Técnicas'!$I$7:$J$9,2,FALSE),"")</f>
        <v/>
      </c>
      <c r="BS161" s="1151"/>
      <c r="BT161" s="4448" t="s">
        <v>5231</v>
      </c>
      <c r="BU161" s="4449"/>
      <c r="BV161" s="1128"/>
      <c r="BW161" s="1108"/>
      <c r="BX161" s="1108"/>
      <c r="BY161" s="1474"/>
      <c r="BZ161" s="1492"/>
      <c r="CA161" s="1096"/>
      <c r="DR161" s="1096"/>
      <c r="DS161" s="1509"/>
      <c r="DT161" s="1514"/>
      <c r="DU161" s="1565" t="str">
        <f>IF(BW177="N/A","",BT176&amp;" "&amp;BW177&amp;IF(BY177="N/A"," "," ("&amp;BY177&amp;") "))</f>
        <v/>
      </c>
      <c r="DV161" s="1566" t="str">
        <f>IF(E161="","",E161)&amp;IF(I161="No",""," (Mant.)")&amp;IF(L161="No",""," (Sme)")&amp;IF(O161="No",""," (SMa)")</f>
        <v/>
      </c>
      <c r="DW161" s="1567"/>
      <c r="DX161" s="4454"/>
      <c r="DY161" s="1513"/>
      <c r="DZ161" s="1096"/>
      <c r="EA161" s="1660">
        <f t="shared" si="2"/>
        <v>1</v>
      </c>
    </row>
    <row r="162" spans="1:131" x14ac:dyDescent="0.2">
      <c r="A162" s="1096"/>
      <c r="B162" s="1096"/>
      <c r="C162" s="1497"/>
      <c r="D162" s="1643" t="s">
        <v>2310</v>
      </c>
      <c r="E162" s="1160"/>
      <c r="F162" s="2619" t="str">
        <f>IF(E162=0,"",VLOOKUP(E162,'Tablas Técnicas'!$A$14:$V$771,2,FALSE))</f>
        <v/>
      </c>
      <c r="G162" s="1142"/>
      <c r="H162" s="1161" t="str">
        <f>IF($E162=0,"",VLOOKUP($E162,'Tablas Técnicas'!$A$14:$V$771,4,FALSE))</f>
        <v/>
      </c>
      <c r="I162" s="1144" t="s">
        <v>2234</v>
      </c>
      <c r="J162" s="1601" t="str">
        <f>IF(E162=0,"",VLOOKUP(E162,'Tablas Técnicas'!$A$14:$V$771,5,FALSE))</f>
        <v/>
      </c>
      <c r="K162" s="1163" t="str">
        <f>IF(I162="Si",IF(E162=0,"",VLOOKUP(E162,'Tablas Técnicas'!$A$14:$V$771,5,FALSE)),"")</f>
        <v/>
      </c>
      <c r="L162" s="1144" t="s">
        <v>2234</v>
      </c>
      <c r="M162" s="1601" t="str">
        <f>IF(E162=0,"",VLOOKUP(E162,'Tablas Técnicas'!$A$14:$V$771,6,FALSE))</f>
        <v/>
      </c>
      <c r="N162" s="1147" t="str">
        <f>IF(L162="Si",IF(E162=0,"",VLOOKUP(E162,'Tablas Técnicas'!$A$14:$V$771,6,FALSE)),"")</f>
        <v/>
      </c>
      <c r="O162" s="1144" t="s">
        <v>2234</v>
      </c>
      <c r="P162" s="1601" t="str">
        <f>IF(E162=0,"",VLOOKUP(E162,'Tablas Técnicas'!$A$14:$V$771,7,FALSE))</f>
        <v/>
      </c>
      <c r="Q162" s="1147" t="str">
        <f>IF(O162="Si",IF(E162=0,"",VLOOKUP(E162,'Tablas Técnicas'!$A$14:$V$771,7,FALSE)),"")</f>
        <v/>
      </c>
      <c r="R162" s="1162" t="str">
        <f>IF(E162=0,"",VLOOKUP(E162,'Tablas Técnicas'!$A$14:$V$771,8,FALSE))</f>
        <v/>
      </c>
      <c r="S162" s="1161" t="str">
        <f>IF(R162=$D$8,$D$8,IF(R162=2,2,IF(R162=3,3,R162)))</f>
        <v/>
      </c>
      <c r="T162" s="4482" t="s">
        <v>5232</v>
      </c>
      <c r="U162" s="4483"/>
      <c r="V162" s="2616"/>
      <c r="W162" s="4484"/>
      <c r="X162" s="4485"/>
      <c r="Y162" s="4485"/>
      <c r="Z162" s="4485"/>
      <c r="AA162" s="4485"/>
      <c r="AB162" s="4485"/>
      <c r="AC162" s="4485"/>
      <c r="AD162" s="4485"/>
      <c r="AE162" s="4485"/>
      <c r="AF162" s="4486"/>
      <c r="AG162" s="4484"/>
      <c r="AH162" s="4485"/>
      <c r="AI162" s="4485"/>
      <c r="AJ162" s="4485"/>
      <c r="AK162" s="4485"/>
      <c r="AL162" s="4485"/>
      <c r="AM162" s="4485"/>
      <c r="AN162" s="4485"/>
      <c r="AO162" s="4485"/>
      <c r="AP162" s="4486"/>
      <c r="AQ162" s="4484"/>
      <c r="AR162" s="4485"/>
      <c r="AS162" s="4485"/>
      <c r="AT162" s="4485"/>
      <c r="AU162" s="4485"/>
      <c r="AV162" s="4485"/>
      <c r="AW162" s="4485"/>
      <c r="AX162" s="4485"/>
      <c r="AY162" s="4485"/>
      <c r="AZ162" s="4486"/>
      <c r="BA162" s="4484"/>
      <c r="BB162" s="4485"/>
      <c r="BC162" s="4485"/>
      <c r="BD162" s="4485"/>
      <c r="BE162" s="4485"/>
      <c r="BF162" s="4485"/>
      <c r="BG162" s="4485"/>
      <c r="BH162" s="4485"/>
      <c r="BI162" s="4485"/>
      <c r="BJ162" s="4486"/>
      <c r="BK162" s="1171">
        <f>SUM(K158:K162)-SUM(V162:BA162)</f>
        <v>0</v>
      </c>
      <c r="BL162" s="1629"/>
      <c r="BM162" s="1630"/>
      <c r="BN162" s="1165"/>
      <c r="BO162" s="1166"/>
      <c r="BP162" s="1167" t="str">
        <f>IF(I162="Si",VLOOKUP($D$8,'Tablas Técnicas'!$E$4:$F$6,2,FALSE),"")</f>
        <v/>
      </c>
      <c r="BQ162" s="1137" t="str">
        <f>IF(L162="Si",VLOOKUP($D$8,'Tablas Técnicas'!$I$4:$J$6,2,FALSE),"")</f>
        <v/>
      </c>
      <c r="BR162" s="1168" t="str">
        <f>IF(O162="Si",VLOOKUP($D$8,'Tablas Técnicas'!$I$7:$J$9,2,FALSE),"")</f>
        <v/>
      </c>
      <c r="BS162" s="1169"/>
      <c r="BT162" s="4452" t="s">
        <v>2234</v>
      </c>
      <c r="BU162" s="4453"/>
      <c r="BV162" s="1128"/>
      <c r="BW162" s="1108"/>
      <c r="BX162" s="1108"/>
      <c r="BY162" s="1474"/>
      <c r="BZ162" s="1492"/>
      <c r="CA162" s="1096"/>
      <c r="DR162" s="1096"/>
      <c r="DT162" s="1514"/>
      <c r="DU162" s="1565" t="str">
        <f>IF(BW179="N/A","",BT178&amp;" "&amp;BW179&amp;IF(BY179="N/A"," "," ("&amp;BY179&amp;") "))</f>
        <v/>
      </c>
      <c r="DV162" s="1566" t="str">
        <f>IF(E162="","",E162)&amp;IF(I162="No",""," (Mant.)")&amp;IF(L162="No",""," (Sme)")&amp;IF(O162="No",""," (SMa)")</f>
        <v/>
      </c>
      <c r="DW162" s="1567"/>
      <c r="DX162" s="4454"/>
      <c r="DY162" s="1513"/>
      <c r="DZ162" s="1096"/>
      <c r="EA162" s="1660">
        <f t="shared" si="2"/>
        <v>1</v>
      </c>
    </row>
    <row r="163" spans="1:131" ht="11.25" customHeight="1" x14ac:dyDescent="0.2">
      <c r="A163" s="1096"/>
      <c r="B163" s="159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97"/>
      <c r="D163" s="1644">
        <v>2</v>
      </c>
      <c r="E163" s="1423"/>
      <c r="F163" s="1173"/>
      <c r="G163" s="1174"/>
      <c r="H163" s="2559">
        <f>IF(AND(OR(ISNUMBER(SEARCH("Afinidad Elemental ("&amp;BK158&amp;")",Principal!$AF$30)),ISNUMBER(SEARCH("Afinidad Elemental ("&amp;BL158&amp;")",Principal!$AF$30)),ISNUMBER(SEARCH("Afinidad Elemental ("&amp;BM158&amp;")",Principal!$AF$30))),SUM(H158:H162)&gt;=5),-5,0)</f>
        <v>0</v>
      </c>
      <c r="I163" s="1603"/>
      <c r="J163" s="1606"/>
      <c r="K163" s="1174"/>
      <c r="L163" s="1603"/>
      <c r="M163" s="1606"/>
      <c r="N163" s="1174"/>
      <c r="O163" s="1603"/>
      <c r="P163" s="1606"/>
      <c r="Q163" s="1174"/>
      <c r="R163" s="1175"/>
      <c r="S163" s="1174"/>
      <c r="T163" s="1174"/>
      <c r="U163" s="1131"/>
      <c r="V163" s="1131"/>
      <c r="W163" s="1131"/>
      <c r="X163" s="1131"/>
      <c r="Y163" s="1131"/>
      <c r="Z163" s="1131"/>
      <c r="AA163" s="1131"/>
      <c r="AB163" s="1131"/>
      <c r="AC163" s="1131"/>
      <c r="AD163" s="1131"/>
      <c r="AE163" s="1131"/>
      <c r="AF163" s="1131"/>
      <c r="AG163" s="1131"/>
      <c r="AH163" s="1131"/>
      <c r="AI163" s="1131"/>
      <c r="AJ163" s="1131"/>
      <c r="AK163" s="1131"/>
      <c r="AL163" s="1131"/>
      <c r="AM163" s="1131"/>
      <c r="AN163" s="1131"/>
      <c r="AO163" s="1131"/>
      <c r="AP163" s="1131"/>
      <c r="AQ163" s="1131"/>
      <c r="AR163" s="1131"/>
      <c r="AS163" s="1131"/>
      <c r="AT163" s="1131"/>
      <c r="AU163" s="1131"/>
      <c r="AV163" s="1131"/>
      <c r="AW163" s="1131"/>
      <c r="AX163" s="1131"/>
      <c r="AY163" s="1131"/>
      <c r="AZ163" s="1131"/>
      <c r="BA163" s="1131"/>
      <c r="BB163" s="1131"/>
      <c r="BC163" s="1131"/>
      <c r="BD163" s="1131"/>
      <c r="BE163" s="1131"/>
      <c r="BF163" s="1131"/>
      <c r="BG163" s="1131"/>
      <c r="BH163" s="1131"/>
      <c r="BI163" s="1131"/>
      <c r="BJ163" s="1131"/>
      <c r="BK163" s="1131"/>
      <c r="BL163" s="1131"/>
      <c r="BM163" s="1133"/>
      <c r="BN163" s="1134">
        <f>SUM(K163:K166)</f>
        <v>0</v>
      </c>
      <c r="BO163" s="1128" t="str">
        <f>IF(E163=0,"",(AF163+AP163+AZ163+BJ163))</f>
        <v/>
      </c>
      <c r="BP163" s="1135" t="str">
        <f>IF(I163="Si",VLOOKUP($D$8,'Tablas Técnicas'!$E$4:$F$6,2,FALSE),"")</f>
        <v/>
      </c>
      <c r="BQ163" s="1136" t="str">
        <f>IF(L163="Si",VLOOKUP($D$8,'Tablas Técnicas'!$I$4:$J$6,2,FALSE),"")</f>
        <v/>
      </c>
      <c r="BR163" s="1134" t="str">
        <f>IF(O163="Si",VLOOKUP($D$8,'Tablas Técnicas'!$I$7:$J$9,2,FALSE),"")</f>
        <v/>
      </c>
      <c r="BS163" s="1151"/>
      <c r="BT163" s="4448" t="s">
        <v>5233</v>
      </c>
      <c r="BU163" s="4449"/>
      <c r="BV163" s="1128"/>
      <c r="BW163" s="1108"/>
      <c r="BX163" s="1108"/>
      <c r="BY163" s="1474"/>
      <c r="BZ163" s="1492"/>
      <c r="CA163" s="1096"/>
      <c r="DR163" s="1096"/>
      <c r="DT163" s="1514"/>
      <c r="DU163" s="1565" t="str">
        <f>IF(BW181="N/A","",BT180&amp;" "&amp;BW181&amp;IF(BY181="N/A"," "," ("&amp;BY181&amp;") "))</f>
        <v/>
      </c>
      <c r="DV163" s="1570"/>
      <c r="DW163" s="1567"/>
      <c r="DX163" s="1617" t="s">
        <v>2373</v>
      </c>
      <c r="DY163" s="1513"/>
      <c r="DZ163" s="1096"/>
      <c r="EA163" s="1660">
        <f t="shared" si="2"/>
        <v>1</v>
      </c>
    </row>
    <row r="164" spans="1:131" ht="11.25" customHeight="1" x14ac:dyDescent="0.2">
      <c r="A164" s="1096"/>
      <c r="B164" s="1096"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97"/>
      <c r="D164" s="1643" t="s">
        <v>2310</v>
      </c>
      <c r="E164" s="1140"/>
      <c r="F164" s="1176"/>
      <c r="G164" s="1146" t="str">
        <f>IF(E164=0,"",VLOOKUP(E164,'Tablas Técnicas'!$A$14:$V$771,3,FALSE))</f>
        <v/>
      </c>
      <c r="H164" s="1178" t="str">
        <f>IF($E164=0,"",VLOOKUP($E164,'Tablas Técnicas'!$A$14:$V$771,4,FALSE))</f>
        <v/>
      </c>
      <c r="I164" s="1144" t="s">
        <v>2234</v>
      </c>
      <c r="J164" s="1604" t="str">
        <f>IF(E164=0,"",VLOOKUP(E164,'Tablas Técnicas'!$A$14:$V$771,5,FALSE))</f>
        <v/>
      </c>
      <c r="K164" s="1177" t="str">
        <f>IF(I164="Si",IF(E164=0,"",VLOOKUP(E164,'Tablas Técnicas'!$A$14:$V$771,5,FALSE)),"")</f>
        <v/>
      </c>
      <c r="L164" s="1144" t="s">
        <v>2234</v>
      </c>
      <c r="M164" s="1604" t="str">
        <f>IF(E164=0,"",VLOOKUP(E164,'Tablas Técnicas'!$A$14:$V$771,6,FALSE))</f>
        <v/>
      </c>
      <c r="N164" s="1147" t="str">
        <f>IF(L164="Si",IF(E164=0,"",VLOOKUP(E164,'Tablas Técnicas'!$A$14:$V$771,6,FALSE)),"")</f>
        <v/>
      </c>
      <c r="O164" s="1144" t="s">
        <v>2234</v>
      </c>
      <c r="P164" s="1604" t="str">
        <f>IF(E164=0,"",VLOOKUP(E164,'Tablas Técnicas'!$A$14:$V$771,7,FALSE))</f>
        <v/>
      </c>
      <c r="Q164" s="1147" t="str">
        <f>IF(O164="Si",IF(E164=0,"",VLOOKUP(E164,'Tablas Técnicas'!$A$14:$V$771,7,FALSE)),"")</f>
        <v/>
      </c>
      <c r="R164" s="1179" t="str">
        <f>IF(E164=0,"",VLOOKUP(E164,'Tablas Técnicas'!$A$14:$V$771,8,FALSE))</f>
        <v/>
      </c>
      <c r="S164" s="1178" t="str">
        <f>IF(R164=$D$8,$D$8,IF(R164=2,2,IF(R164=3,3,R164)))</f>
        <v/>
      </c>
      <c r="T164" s="1146" t="str">
        <f>IF(E164=0,"",VLOOKUP(E164,'Tablas Técnicas'!$A$14:$V$771,9,FALSE))</f>
        <v/>
      </c>
      <c r="U164" s="1146" t="str">
        <f>IF(E164=0,"",VLOOKUP(E164,'Tablas Técnicas'!$A$14:$V$771,10,FALSE))</f>
        <v/>
      </c>
      <c r="V164" s="1141" t="str">
        <f>IF(E164=0,"",VLOOKUP(E164,'Tablas Técnicas'!$A$14:$V$771,11,FALSE))</f>
        <v/>
      </c>
      <c r="W164" s="1144"/>
      <c r="X164" s="1145" t="e">
        <f>VLOOKUP(E164,'Tablas Técnicas'!$A$14:$V$771,12,FALSE)</f>
        <v>#N/A</v>
      </c>
      <c r="Y164" s="1145" t="e">
        <f>IF(W164=X164,VLOOKUP(E164,'Tablas Técnicas'!$A$14:$V$771,13,FALSE),0)</f>
        <v>#N/A</v>
      </c>
      <c r="Z164" s="1145" t="e">
        <f>VLOOKUP(E164,'Tablas Técnicas'!$A$14:$V$771,14,FALSE)</f>
        <v>#N/A</v>
      </c>
      <c r="AA164" s="1145" t="e">
        <f>IF(W164=Z164,VLOOKUP(E164,'Tablas Técnicas'!$A$14:$V$616,15,FALSE),0)</f>
        <v>#N/A</v>
      </c>
      <c r="AB164" s="1145" t="e">
        <f>VLOOKUP(E164,'Tablas Técnicas'!$A$14:$V$771,16,FALSE)</f>
        <v>#N/A</v>
      </c>
      <c r="AC164" s="1145" t="e">
        <f>IF(W164=AB164,VLOOKUP(E164,'Tablas Técnicas'!$A$14:$V$616,17,FALSE),0)</f>
        <v>#N/A</v>
      </c>
      <c r="AD164" s="1145" t="e">
        <f>VLOOKUP(E164,'Tablas Técnicas'!$A$14:$V$771,18,FALSE)</f>
        <v>#N/A</v>
      </c>
      <c r="AE164" s="1145" t="e">
        <f>IF(W164=AD164,VLOOKUP(E164,'Tablas Técnicas'!$A$14:$V$771,19,FALSE),0)</f>
        <v>#N/A</v>
      </c>
      <c r="AF164" s="1146" t="str">
        <f>IF(E164=0,"",(Y164+AA164+AC164+AE164))</f>
        <v/>
      </c>
      <c r="AG164" s="1144"/>
      <c r="AH164" s="1179" t="e">
        <f>VLOOKUP(E164,'Tablas Técnicas'!$A$14:$V$771,12,FALSE)</f>
        <v>#N/A</v>
      </c>
      <c r="AI164" s="1179" t="e">
        <f>IF(AG164=AH164,VLOOKUP(E164,'Tablas Técnicas'!$A$14:$V$771,13,FALSE),0)</f>
        <v>#N/A</v>
      </c>
      <c r="AJ164" s="1179" t="e">
        <f>VLOOKUP(E164,'Tablas Técnicas'!$A$14:$V$771,14,FALSE)</f>
        <v>#N/A</v>
      </c>
      <c r="AK164" s="1179" t="e">
        <f>IF(AG164=AJ164,VLOOKUP(E164,'Tablas Técnicas'!$A$14:$V$771,15,FALSE),0)</f>
        <v>#N/A</v>
      </c>
      <c r="AL164" s="1179" t="e">
        <f>VLOOKUP(E164,'Tablas Técnicas'!$A$14:$V$771,16,FALSE)</f>
        <v>#N/A</v>
      </c>
      <c r="AM164" s="1179" t="e">
        <f>IF(AG164=AL164,VLOOKUP(E164,'Tablas Técnicas'!$A$14:$V$771,17,FALSE),0)</f>
        <v>#N/A</v>
      </c>
      <c r="AN164" s="1179" t="e">
        <f>VLOOKUP(E164,'Tablas Técnicas'!$A$14:$V$771,18,FALSE)</f>
        <v>#N/A</v>
      </c>
      <c r="AO164" s="1179" t="e">
        <f>IF(AG164=AN164,VLOOKUP(E164,'Tablas Técnicas'!$A$14:$V$771,19,FALSE),0)</f>
        <v>#N/A</v>
      </c>
      <c r="AP164" s="1180" t="str">
        <f>IF(E164=0,"",(AI164+AK164+AM164+AO164))</f>
        <v/>
      </c>
      <c r="AQ164" s="1144"/>
      <c r="AR164" s="1145" t="e">
        <f>VLOOKUP(E164,'Tablas Técnicas'!$A$14:$V$771,12,FALSE)</f>
        <v>#N/A</v>
      </c>
      <c r="AS164" s="1145" t="e">
        <f>IF(AQ164=AR164,VLOOKUP(E164,'Tablas Técnicas'!$A$14:$V$771,13,FALSE),0)</f>
        <v>#N/A</v>
      </c>
      <c r="AT164" s="1145" t="e">
        <f>VLOOKUP(E164,'Tablas Técnicas'!$A$14:$V$771,14,FALSE)</f>
        <v>#N/A</v>
      </c>
      <c r="AU164" s="1145" t="e">
        <f>IF(AQ164=AT164,VLOOKUP(E164,'Tablas Técnicas'!$A$14:$V$771,15,FALSE),0)</f>
        <v>#N/A</v>
      </c>
      <c r="AV164" s="1145" t="e">
        <f>VLOOKUP(E164,'Tablas Técnicas'!$A$14:$V$771,16,FALSE)</f>
        <v>#N/A</v>
      </c>
      <c r="AW164" s="1145" t="e">
        <f>IF(AQ164=AV164,VLOOKUP(E164,'Tablas Técnicas'!$A$14:$V$771,17,FALSE),0)</f>
        <v>#N/A</v>
      </c>
      <c r="AX164" s="1145" t="e">
        <f>VLOOKUP(E164,'Tablas Técnicas'!$A$14:$V$771,18,FALSE)</f>
        <v>#N/A</v>
      </c>
      <c r="AY164" s="1145" t="e">
        <f>IF(AQ164=AX164,VLOOKUP(E164,'Tablas Técnicas'!$A$14:$V$771,19,FALSE),0)</f>
        <v>#N/A</v>
      </c>
      <c r="AZ164" s="1146" t="str">
        <f>IF(E164=0,"",(AS164+AU164+AW164+AY164))</f>
        <v/>
      </c>
      <c r="BA164" s="1144"/>
      <c r="BB164" s="1145" t="e">
        <f>VLOOKUP(E164,'Tablas Técnicas'!$A$14:$V$771,12,FALSE)</f>
        <v>#N/A</v>
      </c>
      <c r="BC164" s="1145" t="e">
        <f>IF(BA164=BB164,VLOOKUP(E164,'Tablas Técnicas'!$A$14:$V$771,13,FALSE),0)</f>
        <v>#N/A</v>
      </c>
      <c r="BD164" s="1145" t="e">
        <f>VLOOKUP(E164,'Tablas Técnicas'!$A$14:$V$771,14,FALSE)</f>
        <v>#N/A</v>
      </c>
      <c r="BE164" s="1145" t="e">
        <f>IF(BA164=BD164,VLOOKUP(E164,'Tablas Técnicas'!$A$14:$V$771,15,FALSE),0)</f>
        <v>#N/A</v>
      </c>
      <c r="BF164" s="1145" t="e">
        <f>VLOOKUP(E164,'Tablas Técnicas'!$A$14:$V$771,16,FALSE)</f>
        <v>#N/A</v>
      </c>
      <c r="BG164" s="1145" t="e">
        <f>IF(BA164=BF164,VLOOKUP(E164,'Tablas Técnicas'!$A$14:$V$771,17,FALSE),0)</f>
        <v>#N/A</v>
      </c>
      <c r="BH164" s="1145" t="e">
        <f>VLOOKUP(E164,'Tablas Técnicas'!$A$14:$V$771,18,FALSE)</f>
        <v>#N/A</v>
      </c>
      <c r="BI164" s="1145" t="e">
        <f>IF(BA164=BH164,VLOOKUP(E164,'Tablas Técnicas'!$A$14:$V$771,19,FALSE),0)</f>
        <v>#N/A</v>
      </c>
      <c r="BJ164" s="1147" t="str">
        <f>IF(E164=0,"",(BC164+BE164+BG164+BI164))</f>
        <v/>
      </c>
      <c r="BK164" s="1146" t="str">
        <f>IF(E164=0,"",VLOOKUP(E164,'Tablas Técnicas'!$A$14:$V$771,20,FALSE))</f>
        <v/>
      </c>
      <c r="BL164" s="1146" t="str">
        <f>IF(E164=0,"",VLOOKUP(E164,'Tablas Técnicas'!$A$14:$V$771,21,FALSE))</f>
        <v/>
      </c>
      <c r="BM164" s="1181" t="str">
        <f>IF(E164=0,"",VLOOKUP(E164,'Tablas Técnicas'!$A$14:$V$771,22,FALSE))</f>
        <v/>
      </c>
      <c r="BN164" s="1149"/>
      <c r="BO164" s="1150"/>
      <c r="BP164" s="1135" t="str">
        <f>IF(I164="Si",VLOOKUP($D$8,'Tablas Técnicas'!$E$4:$F$6,2,FALSE),"")</f>
        <v/>
      </c>
      <c r="BQ164" s="1136" t="str">
        <f>IF(L164="Si",VLOOKUP($D$8,'Tablas Técnicas'!$I$4:$J$6,2,FALSE),"")</f>
        <v/>
      </c>
      <c r="BR164" s="1134" t="str">
        <f>IF(O164="Si",VLOOKUP($D$8,'Tablas Técnicas'!$I$7:$J$9,2,FALSE),"")</f>
        <v/>
      </c>
      <c r="BS164" s="1151"/>
      <c r="BT164" s="4452" t="s">
        <v>5213</v>
      </c>
      <c r="BU164" s="4453"/>
      <c r="BV164" s="1128"/>
      <c r="BW164" s="1108"/>
      <c r="BX164" s="1108"/>
      <c r="BY164" s="1474"/>
      <c r="BZ164" s="1492"/>
      <c r="CA164" s="1096"/>
      <c r="DR164" s="1096"/>
      <c r="DT164" s="1515"/>
      <c r="DU164" s="1569"/>
      <c r="DV164" s="1566" t="str">
        <f>IF(E164="","",", "&amp;E164)&amp;IF(I164="No",""," (Mant.)")&amp;IF(L164="No",""," (Sme)")&amp;IF(O164="No",""," (SMa)")</f>
        <v/>
      </c>
      <c r="DW164" s="1567"/>
      <c r="DX164" s="1568" t="str">
        <f>IF(ISNUMBER(FIND('Tablas Técnicas'!A$678,DW182)),BL188&amp;BM188,IF(ISNUMBER(FIND('Tablas Técnicas'!A$679,DW182)),BL188&amp;" "&amp;BM188,""))</f>
        <v/>
      </c>
      <c r="DY164" s="1516"/>
      <c r="DZ164" s="1096"/>
      <c r="EA164" s="1660">
        <f t="shared" si="2"/>
        <v>1</v>
      </c>
    </row>
    <row r="165" spans="1:131" x14ac:dyDescent="0.2">
      <c r="A165" s="1096"/>
      <c r="B165" s="1096"/>
      <c r="C165" s="1497"/>
      <c r="D165" s="1642" t="s">
        <v>2310</v>
      </c>
      <c r="E165" s="1152"/>
      <c r="F165" s="1182"/>
      <c r="G165" s="1627" t="str">
        <f>IF(E165=0,"",VLOOKUP(E165,'Tablas Técnicas'!$A$14:$V$771,3,FALSE))</f>
        <v/>
      </c>
      <c r="H165" s="1155" t="str">
        <f>IF($E165=0,"",VLOOKUP($E165,'Tablas Técnicas'!$A$14:$V$771,4,FALSE))</f>
        <v/>
      </c>
      <c r="I165" s="1156" t="s">
        <v>2234</v>
      </c>
      <c r="J165" s="1605" t="str">
        <f>IF(E165=0,"",VLOOKUP(E165,'Tablas Técnicas'!$A$14:$V$771,5,FALSE))</f>
        <v/>
      </c>
      <c r="K165" s="1158" t="str">
        <f>IF(I165="Si",IF(E165=0,"",VLOOKUP(E165,'Tablas Técnicas'!$A$14:$V$771,5,FALSE)),"")</f>
        <v/>
      </c>
      <c r="L165" s="1156" t="s">
        <v>2234</v>
      </c>
      <c r="M165" s="1605" t="str">
        <f>IF(E165=0,"",VLOOKUP(E165,'Tablas Técnicas'!$A$14:$V$771,6,FALSE))</f>
        <v/>
      </c>
      <c r="N165" s="1159" t="str">
        <f>IF(L165="Si",IF(E165=0,"",VLOOKUP(E165,'Tablas Técnicas'!$A$14:$V$771,6,FALSE)),"")</f>
        <v/>
      </c>
      <c r="O165" s="1156" t="s">
        <v>2234</v>
      </c>
      <c r="P165" s="1605" t="str">
        <f>IF(E165=0,"",VLOOKUP(E165,'Tablas Técnicas'!$A$14:$V$771,7,FALSE))</f>
        <v/>
      </c>
      <c r="Q165" s="1159" t="str">
        <f>IF(O165="Si",IF(E165=0,"",VLOOKUP(E165,'Tablas Técnicas'!$A$14:$V$771,7,FALSE)),"")</f>
        <v/>
      </c>
      <c r="R165" s="1157" t="str">
        <f>IF(E165=0,"",VLOOKUP(E165,'Tablas Técnicas'!$A$14:$V$771,8,FALSE))</f>
        <v/>
      </c>
      <c r="S165" s="1155" t="str">
        <f>IF(R165=$D$8,$D$8,IF(R165=2,2,IF(R165=3,3,R165)))</f>
        <v/>
      </c>
      <c r="T165" s="4475" t="s">
        <v>5228</v>
      </c>
      <c r="U165" s="4476"/>
      <c r="V165" s="4476"/>
      <c r="W165" s="4476"/>
      <c r="X165" s="4476"/>
      <c r="Y165" s="4476"/>
      <c r="Z165" s="4476"/>
      <c r="AA165" s="4476"/>
      <c r="AB165" s="4476"/>
      <c r="AC165" s="4476"/>
      <c r="AD165" s="4476"/>
      <c r="AE165" s="4476"/>
      <c r="AF165" s="4476"/>
      <c r="AG165" s="4476"/>
      <c r="AH165" s="4476"/>
      <c r="AI165" s="4476"/>
      <c r="AJ165" s="4476"/>
      <c r="AK165" s="4476"/>
      <c r="AL165" s="4476"/>
      <c r="AM165" s="4476"/>
      <c r="AN165" s="4476"/>
      <c r="AO165" s="4476"/>
      <c r="AP165" s="4476"/>
      <c r="AQ165" s="4476"/>
      <c r="AR165" s="4476"/>
      <c r="AS165" s="4476"/>
      <c r="AT165" s="4476"/>
      <c r="AU165" s="4476"/>
      <c r="AV165" s="4476"/>
      <c r="AW165" s="4476"/>
      <c r="AX165" s="4476"/>
      <c r="AY165" s="4476"/>
      <c r="AZ165" s="4476"/>
      <c r="BA165" s="4476"/>
      <c r="BB165" s="4476"/>
      <c r="BC165" s="4476"/>
      <c r="BD165" s="4476"/>
      <c r="BE165" s="4476"/>
      <c r="BF165" s="4476"/>
      <c r="BG165" s="4476"/>
      <c r="BH165" s="4476"/>
      <c r="BI165" s="4476"/>
      <c r="BJ165" s="4476"/>
      <c r="BK165" s="4477"/>
      <c r="BL165" s="1627"/>
      <c r="BM165" s="1628"/>
      <c r="BN165" s="1149"/>
      <c r="BO165" s="1150"/>
      <c r="BP165" s="1135" t="str">
        <f>IF(I165="Si",VLOOKUP($D$8,'Tablas Técnicas'!$E$4:$F$6,2,FALSE),"")</f>
        <v/>
      </c>
      <c r="BQ165" s="1136" t="str">
        <f>IF(L165="Si",VLOOKUP($D$8,'Tablas Técnicas'!$I$4:$J$6,2,FALSE),"")</f>
        <v/>
      </c>
      <c r="BR165" s="1134" t="str">
        <f>IF(O165="Si",VLOOKUP($D$8,'Tablas Técnicas'!$I$7:$J$9,2,FALSE),"")</f>
        <v/>
      </c>
      <c r="BS165" s="1151"/>
      <c r="BT165" s="4448" t="s">
        <v>5234</v>
      </c>
      <c r="BU165" s="4449"/>
      <c r="BV165" s="1128"/>
      <c r="BW165" s="1108"/>
      <c r="BX165" s="1108"/>
      <c r="BY165" s="1474"/>
      <c r="BZ165" s="1492"/>
      <c r="CA165" s="1096"/>
      <c r="DR165" s="1096"/>
      <c r="DT165" s="1514"/>
      <c r="DU165" s="1565"/>
      <c r="DV165" s="1566" t="str">
        <f>IF(E165="",""," "&amp;E165)&amp;IF(I165="No",""," (Mant.)")&amp;IF(L165="No",""," (Sme)")&amp;IF(O165="No",""," (SMa)")</f>
        <v/>
      </c>
      <c r="DW165" s="1567"/>
      <c r="DX165" s="1568"/>
      <c r="DY165" s="1513"/>
      <c r="DZ165" s="1096"/>
      <c r="EA165" s="1660">
        <f t="shared" si="2"/>
        <v>1</v>
      </c>
    </row>
    <row r="166" spans="1:131" x14ac:dyDescent="0.2">
      <c r="A166" s="1096"/>
      <c r="B166" s="1096"/>
      <c r="C166" s="1497"/>
      <c r="D166" s="1643" t="s">
        <v>2310</v>
      </c>
      <c r="E166" s="1160"/>
      <c r="F166" s="1176"/>
      <c r="G166" s="1146" t="str">
        <f>IF(E166=0,"",VLOOKUP(E166,'Tablas Técnicas'!$A$14:$V$771,3,FALSE))</f>
        <v/>
      </c>
      <c r="H166" s="2619" t="str">
        <f>IF($E166=0,"",VLOOKUP($E166,'Tablas Técnicas'!$A$14:$V$771,4,FALSE))</f>
        <v/>
      </c>
      <c r="I166" s="1144" t="s">
        <v>2234</v>
      </c>
      <c r="J166" s="1601" t="str">
        <f>IF(E166=0,"",VLOOKUP(E166,'Tablas Técnicas'!$A$14:$V$771,5,FALSE))</f>
        <v/>
      </c>
      <c r="K166" s="1163" t="str">
        <f>IF(I166="Si",IF(E166=0,"",VLOOKUP(E166,'Tablas Técnicas'!$A$14:$V$771,5,FALSE)),"")</f>
        <v/>
      </c>
      <c r="L166" s="1144" t="s">
        <v>2234</v>
      </c>
      <c r="M166" s="1601" t="str">
        <f>IF(E166=0,"",VLOOKUP(E166,'Tablas Técnicas'!$A$14:$V$771,6,FALSE))</f>
        <v/>
      </c>
      <c r="N166" s="1147" t="str">
        <f>IF(L166="Si",IF(E166=0,"",VLOOKUP(E166,'Tablas Técnicas'!$A$14:$V$771,6,FALSE)),"")</f>
        <v/>
      </c>
      <c r="O166" s="1144" t="s">
        <v>2234</v>
      </c>
      <c r="P166" s="1601" t="str">
        <f>IF(E166=0,"",VLOOKUP(E166,'Tablas Técnicas'!$A$14:$V$771,7,FALSE))</f>
        <v/>
      </c>
      <c r="Q166" s="1147" t="str">
        <f>IF(O166="Si",IF(E166=0,"",VLOOKUP(E166,'Tablas Técnicas'!$A$14:$V$771,7,FALSE)),"")</f>
        <v/>
      </c>
      <c r="R166" s="1162" t="str">
        <f>IF(E166=0,"",VLOOKUP(E166,'Tablas Técnicas'!$A$14:$V$771,8,FALSE))</f>
        <v/>
      </c>
      <c r="S166" s="2619" t="str">
        <f>IF(R166=$D$8,$D$8,IF(R166=2,2,IF(R166=3,3,R166)))</f>
        <v/>
      </c>
      <c r="T166" s="4487"/>
      <c r="U166" s="4488"/>
      <c r="V166" s="2617" t="str">
        <f>IF(OR(V164=0,V164=""),"N/A",V164)</f>
        <v>N/A</v>
      </c>
      <c r="W166" s="4487" t="str">
        <f xml:space="preserve"> IF(OR(AF164=0,AF164=""),"N/A",W164)</f>
        <v>N/A</v>
      </c>
      <c r="X166" s="4489"/>
      <c r="Y166" s="4489"/>
      <c r="Z166" s="4489"/>
      <c r="AA166" s="4489"/>
      <c r="AB166" s="4489"/>
      <c r="AC166" s="4489"/>
      <c r="AD166" s="4489"/>
      <c r="AE166" s="4489"/>
      <c r="AF166" s="4488"/>
      <c r="AG166" s="4487" t="str">
        <f xml:space="preserve"> IF(OR(AP164="",AP164=0),"N/A",AG164)</f>
        <v>N/A</v>
      </c>
      <c r="AH166" s="4489"/>
      <c r="AI166" s="4489"/>
      <c r="AJ166" s="4489"/>
      <c r="AK166" s="4489"/>
      <c r="AL166" s="4489"/>
      <c r="AM166" s="4489"/>
      <c r="AN166" s="4489"/>
      <c r="AO166" s="4489"/>
      <c r="AP166" s="4488"/>
      <c r="AQ166" s="4487" t="str">
        <f xml:space="preserve"> IF(OR(AZ164="",AZ164=0),"N/A",AQ164)</f>
        <v>N/A</v>
      </c>
      <c r="AR166" s="4489"/>
      <c r="AS166" s="4489"/>
      <c r="AT166" s="4489"/>
      <c r="AU166" s="4489"/>
      <c r="AV166" s="4489"/>
      <c r="AW166" s="4489"/>
      <c r="AX166" s="4489"/>
      <c r="AY166" s="4489"/>
      <c r="AZ166" s="4488"/>
      <c r="BA166" s="4487" t="str">
        <f xml:space="preserve"> IF(OR(BJ164="",BJ164=0),"N/A",BA164)</f>
        <v>N/A</v>
      </c>
      <c r="BB166" s="4489"/>
      <c r="BC166" s="4489"/>
      <c r="BD166" s="4489"/>
      <c r="BE166" s="4489"/>
      <c r="BF166" s="4489"/>
      <c r="BG166" s="4489"/>
      <c r="BH166" s="4489"/>
      <c r="BI166" s="4489"/>
      <c r="BJ166" s="4488"/>
      <c r="BK166" s="1164" t="s">
        <v>5229</v>
      </c>
      <c r="BL166" s="1146"/>
      <c r="BM166" s="1181"/>
      <c r="BN166" s="1149"/>
      <c r="BO166" s="1166"/>
      <c r="BP166" s="1135" t="str">
        <f>IF(I166="Si",VLOOKUP($D$8,'Tablas Técnicas'!$E$4:$F$6,2,FALSE),"")</f>
        <v/>
      </c>
      <c r="BQ166" s="1136" t="str">
        <f>IF(L166="Si",VLOOKUP($D$8,'Tablas Técnicas'!$I$4:$J$6,2,FALSE),"")</f>
        <v/>
      </c>
      <c r="BR166" s="1134" t="str">
        <f>IF(O166="Si",VLOOKUP($D$8,'Tablas Técnicas'!$I$7:$J$9,2,FALSE),"")</f>
        <v/>
      </c>
      <c r="BS166" s="1151"/>
      <c r="BT166" s="4452" t="s">
        <v>5207</v>
      </c>
      <c r="BU166" s="4453"/>
      <c r="BV166" s="1128"/>
      <c r="BW166" s="1108"/>
      <c r="BX166" s="1108"/>
      <c r="BY166" s="1474"/>
      <c r="BZ166" s="1492"/>
      <c r="CA166" s="1096"/>
      <c r="DR166" s="1096"/>
      <c r="DT166" s="1514"/>
      <c r="DU166" s="1569"/>
      <c r="DV166" s="1566" t="str">
        <f>IF(E166="","",E166)&amp;IF(I166="No",""," (Mant.)")&amp;IF(L166="No",""," (Sme)")&amp;IF(O166="No",""," (SMa)")</f>
        <v/>
      </c>
      <c r="DW166" s="1567"/>
      <c r="DX166" s="1568"/>
      <c r="DY166" s="1513"/>
      <c r="DZ166" s="1096"/>
      <c r="EA166" s="1660">
        <f t="shared" si="2"/>
        <v>1</v>
      </c>
    </row>
    <row r="167" spans="1:131" x14ac:dyDescent="0.2">
      <c r="A167" s="1096"/>
      <c r="B167" s="1096"/>
      <c r="C167" s="1497"/>
      <c r="D167" s="1642" t="s">
        <v>2310</v>
      </c>
      <c r="E167" s="1152"/>
      <c r="F167" s="1182"/>
      <c r="G167" s="1627" t="str">
        <f>IF(E167=0,"",VLOOKUP(E167,'Tablas Técnicas'!$A$14:$V$771,3,FALSE))</f>
        <v/>
      </c>
      <c r="H167" s="1155" t="str">
        <f>IF($E167=0,"",VLOOKUP($E167,'Tablas Técnicas'!$A$14:$V$771,4,FALSE))</f>
        <v/>
      </c>
      <c r="I167" s="1156" t="s">
        <v>2234</v>
      </c>
      <c r="J167" s="1605" t="str">
        <f>IF(E167=0,"",VLOOKUP(E167,'Tablas Técnicas'!$A$14:$V$771,5,FALSE))</f>
        <v/>
      </c>
      <c r="K167" s="1158" t="str">
        <f>IF(I167="Si",IF(E167=0,"",VLOOKUP(E167,'Tablas Técnicas'!$A$14:$V$771,5,FALSE)),"")</f>
        <v/>
      </c>
      <c r="L167" s="1156" t="s">
        <v>2234</v>
      </c>
      <c r="M167" s="1605" t="str">
        <f>IF(E167=0,"",VLOOKUP(E167,'Tablas Técnicas'!$A$14:$V$771,6,FALSE))</f>
        <v/>
      </c>
      <c r="N167" s="1159" t="str">
        <f>IF(L167="Si",IF(E167=0,"",VLOOKUP(E167,'Tablas Técnicas'!$A$14:$V$771,6,FALSE)),"")</f>
        <v/>
      </c>
      <c r="O167" s="1156" t="s">
        <v>2234</v>
      </c>
      <c r="P167" s="1605" t="str">
        <f>IF(E167=0,"",VLOOKUP(E167,'Tablas Técnicas'!$A$14:$V$771,7,FALSE))</f>
        <v/>
      </c>
      <c r="Q167" s="1159" t="str">
        <f>IF(O167="Si",IF(E167=0,"",VLOOKUP(E167,'Tablas Técnicas'!$A$14:$V$771,7,FALSE)),"")</f>
        <v/>
      </c>
      <c r="R167" s="1157" t="str">
        <f>IF(E167=0,"",VLOOKUP(E167,'Tablas Técnicas'!$A$14:$V$771,8,FALSE))</f>
        <v/>
      </c>
      <c r="S167" s="1155" t="str">
        <f>IF(R167=$D$8,$D$8,IF(R167=2,2,IF(R167=3,3,R167)))</f>
        <v/>
      </c>
      <c r="T167" s="4490" t="s">
        <v>5230</v>
      </c>
      <c r="U167" s="4491"/>
      <c r="V167" s="2618"/>
      <c r="W167" s="4492"/>
      <c r="X167" s="4493"/>
      <c r="Y167" s="4493"/>
      <c r="Z167" s="4493"/>
      <c r="AA167" s="4493"/>
      <c r="AB167" s="4493"/>
      <c r="AC167" s="4493"/>
      <c r="AD167" s="4493"/>
      <c r="AE167" s="4493"/>
      <c r="AF167" s="4494"/>
      <c r="AG167" s="4492"/>
      <c r="AH167" s="4493"/>
      <c r="AI167" s="4493"/>
      <c r="AJ167" s="4493"/>
      <c r="AK167" s="4493"/>
      <c r="AL167" s="4493"/>
      <c r="AM167" s="4493"/>
      <c r="AN167" s="4493"/>
      <c r="AO167" s="4493"/>
      <c r="AP167" s="4494"/>
      <c r="AQ167" s="4492"/>
      <c r="AR167" s="4493"/>
      <c r="AS167" s="4493"/>
      <c r="AT167" s="4493"/>
      <c r="AU167" s="4493"/>
      <c r="AV167" s="4493"/>
      <c r="AW167" s="4493"/>
      <c r="AX167" s="4493"/>
      <c r="AY167" s="4493"/>
      <c r="AZ167" s="4494"/>
      <c r="BA167" s="4492"/>
      <c r="BB167" s="4493"/>
      <c r="BC167" s="4493"/>
      <c r="BD167" s="4493"/>
      <c r="BE167" s="4493"/>
      <c r="BF167" s="4493"/>
      <c r="BG167" s="4493"/>
      <c r="BH167" s="4493"/>
      <c r="BI167" s="4493"/>
      <c r="BJ167" s="4494"/>
      <c r="BK167" s="1155">
        <f>(SUM(G164:G168)+IF(AF164="",0,AF164)+IF(AP164="",0,AP164)+IF(AZ164="",0,AZ164)+IF(BJ164="",0,BJ164)+SUM(K164:K168)+SUM(N164:N168)+SUM(Q164:Q168))- SUM(V167:BA167)</f>
        <v>0</v>
      </c>
      <c r="BL167" s="1627"/>
      <c r="BM167" s="1628"/>
      <c r="BN167" s="1149"/>
      <c r="BO167" s="1150"/>
      <c r="BP167" s="1135" t="str">
        <f>IF(I167="Si",VLOOKUP($D$8,'Tablas Técnicas'!$E$4:$F$6,2,FALSE),"")</f>
        <v/>
      </c>
      <c r="BQ167" s="1136" t="str">
        <f>IF(L167="Si",VLOOKUP($D$8,'Tablas Técnicas'!$I$4:$J$6,2,FALSE),"")</f>
        <v/>
      </c>
      <c r="BR167" s="1134" t="str">
        <f>IF(O167="Si",VLOOKUP($D$8,'Tablas Técnicas'!$I$7:$J$9,2,FALSE),"")</f>
        <v/>
      </c>
      <c r="BS167" s="1151"/>
      <c r="BT167" s="4444" t="s">
        <v>5235</v>
      </c>
      <c r="BU167" s="4445"/>
      <c r="BV167" s="1128"/>
      <c r="BW167" s="1108"/>
      <c r="BX167" s="1108"/>
      <c r="BY167" s="1474"/>
      <c r="BZ167" s="1492"/>
      <c r="CA167" s="1096"/>
      <c r="DR167" s="1096"/>
      <c r="DT167" s="1514"/>
      <c r="DU167" s="1565"/>
      <c r="DV167" s="1566" t="str">
        <f>IF(E167="","",E167)&amp;IF(I167="No",""," (Mant.)")&amp;IF(L167="No",""," (Sme)")&amp;IF(O167="No",""," (SMa)")</f>
        <v/>
      </c>
      <c r="DW167" s="1567"/>
      <c r="DX167" s="1568"/>
      <c r="DY167" s="1513"/>
      <c r="DZ167" s="1096"/>
      <c r="EA167" s="1660">
        <f t="shared" si="2"/>
        <v>1</v>
      </c>
    </row>
    <row r="168" spans="1:131" x14ac:dyDescent="0.2">
      <c r="A168" s="1096"/>
      <c r="B168" s="1096"/>
      <c r="C168" s="1497"/>
      <c r="D168" s="1643" t="s">
        <v>2310</v>
      </c>
      <c r="E168" s="1160"/>
      <c r="F168" s="1176"/>
      <c r="G168" s="1146" t="str">
        <f>IF(E168=0,"",VLOOKUP(E168,'Tablas Técnicas'!$A$14:$V$771,3,FALSE))</f>
        <v/>
      </c>
      <c r="H168" s="1161" t="str">
        <f>IF($E168=0,"",VLOOKUP($E168,'Tablas Técnicas'!$A$14:$V$771,4,FALSE))</f>
        <v/>
      </c>
      <c r="I168" s="1144" t="s">
        <v>2234</v>
      </c>
      <c r="J168" s="1601" t="str">
        <f>IF(E168=0,"",VLOOKUP(E168,'Tablas Técnicas'!$A$14:$V$771,5,FALSE))</f>
        <v/>
      </c>
      <c r="K168" s="1163" t="str">
        <f>IF(I168="Si",IF(E168=0,"",VLOOKUP(E168,'Tablas Técnicas'!$A$14:$V$771,5,FALSE)),"")</f>
        <v/>
      </c>
      <c r="L168" s="1144" t="s">
        <v>2234</v>
      </c>
      <c r="M168" s="1601" t="str">
        <f>IF(E168=0,"",VLOOKUP(E168,'Tablas Técnicas'!$A$14:$V$771,6,FALSE))</f>
        <v/>
      </c>
      <c r="N168" s="1147" t="str">
        <f>IF(L168="Si",IF(E168=0,"",VLOOKUP(E168,'Tablas Técnicas'!$A$14:$V$771,6,FALSE)),"")</f>
        <v/>
      </c>
      <c r="O168" s="1144" t="s">
        <v>2234</v>
      </c>
      <c r="P168" s="1601" t="str">
        <f>IF(E168=0,"",VLOOKUP(E168,'Tablas Técnicas'!$A$14:$V$771,7,FALSE))</f>
        <v/>
      </c>
      <c r="Q168" s="1147" t="str">
        <f>IF(O168="Si",IF(E168=0,"",VLOOKUP(E168,'Tablas Técnicas'!$A$14:$V$771,7,FALSE)),"")</f>
        <v/>
      </c>
      <c r="R168" s="1162" t="str">
        <f>IF(E168=0,"",VLOOKUP(E168,'Tablas Técnicas'!$A$14:$V$771,8,FALSE))</f>
        <v/>
      </c>
      <c r="S168" s="1161" t="str">
        <f>IF(R168=$D$8,$D$8,IF(R168=2,2,IF(R168=3,3,R168)))</f>
        <v/>
      </c>
      <c r="T168" s="4482" t="s">
        <v>5232</v>
      </c>
      <c r="U168" s="4483"/>
      <c r="V168" s="2616"/>
      <c r="W168" s="4484"/>
      <c r="X168" s="4485"/>
      <c r="Y168" s="4485"/>
      <c r="Z168" s="4485"/>
      <c r="AA168" s="4485"/>
      <c r="AB168" s="4485"/>
      <c r="AC168" s="4485"/>
      <c r="AD168" s="4485"/>
      <c r="AE168" s="4485"/>
      <c r="AF168" s="4486"/>
      <c r="AG168" s="4484"/>
      <c r="AH168" s="4485"/>
      <c r="AI168" s="4485"/>
      <c r="AJ168" s="4485"/>
      <c r="AK168" s="4485"/>
      <c r="AL168" s="4485"/>
      <c r="AM168" s="4485"/>
      <c r="AN168" s="4485"/>
      <c r="AO168" s="4485"/>
      <c r="AP168" s="4486"/>
      <c r="AQ168" s="4484"/>
      <c r="AR168" s="4485"/>
      <c r="AS168" s="4485"/>
      <c r="AT168" s="4485"/>
      <c r="AU168" s="4485"/>
      <c r="AV168" s="4485"/>
      <c r="AW168" s="4485"/>
      <c r="AX168" s="4485"/>
      <c r="AY168" s="4485"/>
      <c r="AZ168" s="4486"/>
      <c r="BA168" s="4484"/>
      <c r="BB168" s="4485"/>
      <c r="BC168" s="4485"/>
      <c r="BD168" s="4485"/>
      <c r="BE168" s="4485"/>
      <c r="BF168" s="4485"/>
      <c r="BG168" s="4485"/>
      <c r="BH168" s="4485"/>
      <c r="BI168" s="4485"/>
      <c r="BJ168" s="4486"/>
      <c r="BK168" s="1171">
        <f>SUM(K164:K168)-SUM(V168:BA168)</f>
        <v>0</v>
      </c>
      <c r="BL168" s="1629"/>
      <c r="BM168" s="1630"/>
      <c r="BN168" s="1149"/>
      <c r="BO168" s="1166"/>
      <c r="BP168" s="1135" t="str">
        <f>IF(I168="Si",VLOOKUP($D$8,'Tablas Técnicas'!$E$4:$F$6,2,FALSE),"")</f>
        <v/>
      </c>
      <c r="BQ168" s="1136" t="str">
        <f>IF(L168="Si",VLOOKUP($D$8,'Tablas Técnicas'!$I$4:$J$6,2,FALSE),"")</f>
        <v/>
      </c>
      <c r="BR168" s="1134" t="str">
        <f>IF(O168="Si",VLOOKUP($D$8,'Tablas Técnicas'!$I$7:$J$9,2,FALSE),"")</f>
        <v/>
      </c>
      <c r="BS168" s="1151"/>
      <c r="BT168" s="1183">
        <f>IF(BT162="No",0,IF(D156=0,0,VLOOKUP(D156,'Tablas Técnicas'!$L$4:$N$7,2,FALSE)))+IF(BT164="Bajar coste de CM",0,IF(BT164="-5 CM",2,IF(BT164="-10 CM",4,IF(BT164="-15 CM",6,IF(BT164="-20 CM",8,0)))))+IF(BT166="Bajar coste de Ki",0,IF(BT166="-1 Ki",-1,IF(BT166="-2 Ki",-2,IF(BT166="-3 Ki",-3,IF(BT166="-4 Ki",-4,IF(BT166="-5 Ki",-5,0))))))-BU171-BU173-BU175-BU177-BU179-BU181</f>
        <v>0</v>
      </c>
      <c r="BU168" s="2612">
        <f>IF(BT162="No",0,IF(D156=0,0,VLOOKUP(D156,'Tablas Técnicas'!$L$4:$N$7,2,FALSE)))+IF(BT164="Bajar coste de CM",0,IF(BT164="-5 CM",2,IF(BT164="-10 CM",4,IF(BT164="-15 CM",6,IF(BT164="-20 CM",8,0)))))+IF(BT166="Bajar coste de Ki",0,IF(BT166="-1 Ki",-1,IF(BT166="-2 Ki",-2,IF(BT166="-3 Ki",-3,IF(BT166="-4 Ki",-4,IF(BT166="-5 Ki",-5,0))))))</f>
        <v>0</v>
      </c>
      <c r="BV168" s="1128"/>
      <c r="BW168" s="1108"/>
      <c r="BX168" s="1108"/>
      <c r="BY168" s="1474"/>
      <c r="BZ168" s="1492"/>
      <c r="CA168" s="1096"/>
      <c r="DR168" s="1096"/>
      <c r="DT168" s="1514"/>
      <c r="DU168" s="1569"/>
      <c r="DV168" s="1566" t="str">
        <f>IF(E168="","",E168)&amp;IF(I168="No",""," (Mant.)")&amp;IF(L168="No",""," (Sme)")&amp;IF(O168="No",""," (SMa)")</f>
        <v/>
      </c>
      <c r="DW168" s="1567"/>
      <c r="DX168" s="1568"/>
      <c r="DY168" s="1513"/>
      <c r="DZ168" s="1096"/>
      <c r="EA168" s="1660">
        <f t="shared" si="2"/>
        <v>1</v>
      </c>
    </row>
    <row r="169" spans="1:131" x14ac:dyDescent="0.2">
      <c r="A169" s="1096"/>
      <c r="B169" s="159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97"/>
      <c r="D169" s="1644">
        <v>3</v>
      </c>
      <c r="E169" s="1423"/>
      <c r="F169" s="1173"/>
      <c r="G169" s="1174"/>
      <c r="H169" s="2559">
        <f>IF(AND(OR(ISNUMBER(SEARCH("Afinidad Elemental ("&amp;BK164&amp;")",Principal!$AF$30)),ISNUMBER(SEARCH("Afinidad Elemental ("&amp;BL164&amp;")",Principal!$AF$30)),ISNUMBER(SEARCH("Afinidad Elemental ("&amp;BM164&amp;")",Principal!$AF$30))),SUM(H164:H168)&gt;=5),-5,0)</f>
        <v>0</v>
      </c>
      <c r="I169" s="1603"/>
      <c r="J169" s="1606"/>
      <c r="K169" s="1174"/>
      <c r="L169" s="1603"/>
      <c r="M169" s="1606"/>
      <c r="N169" s="1174"/>
      <c r="O169" s="1603"/>
      <c r="P169" s="1606"/>
      <c r="Q169" s="1174"/>
      <c r="R169" s="1175"/>
      <c r="S169" s="1174"/>
      <c r="T169" s="1174"/>
      <c r="U169" s="1174"/>
      <c r="V169" s="1174"/>
      <c r="W169" s="1174"/>
      <c r="X169" s="1174"/>
      <c r="Y169" s="1174"/>
      <c r="Z169" s="1174"/>
      <c r="AA169" s="1174"/>
      <c r="AB169" s="1174"/>
      <c r="AC169" s="1174"/>
      <c r="AD169" s="1174"/>
      <c r="AE169" s="1174"/>
      <c r="AF169" s="1174"/>
      <c r="AG169" s="1174"/>
      <c r="AH169" s="1174"/>
      <c r="AI169" s="117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c r="BD169" s="1174"/>
      <c r="BE169" s="1174"/>
      <c r="BF169" s="1174"/>
      <c r="BG169" s="1174"/>
      <c r="BH169" s="1174"/>
      <c r="BI169" s="1174"/>
      <c r="BJ169" s="1174"/>
      <c r="BK169" s="1174"/>
      <c r="BL169" s="1174"/>
      <c r="BM169" s="1184"/>
      <c r="BN169" s="1185">
        <f>SUM(K169:K172)</f>
        <v>0</v>
      </c>
      <c r="BO169" s="1128" t="str">
        <f>IF(E169=0,"",(AF169+AP169+AZ169+BJ169))</f>
        <v/>
      </c>
      <c r="BP169" s="1186" t="str">
        <f>IF(I169="Si",VLOOKUP($D$8,'Tablas Técnicas'!$E$4:$F$6,2,FALSE),"")</f>
        <v/>
      </c>
      <c r="BQ169" s="1187" t="str">
        <f>IF(L169="Si",VLOOKUP($D$8,'Tablas Técnicas'!$I$4:$J$6,2,FALSE),"")</f>
        <v/>
      </c>
      <c r="BR169" s="1185" t="str">
        <f>IF(O169="Si",VLOOKUP($D$8,'Tablas Técnicas'!$I$7:$J$9,2,FALSE),"")</f>
        <v/>
      </c>
      <c r="BS169" s="1151"/>
      <c r="BU169" s="2608"/>
      <c r="BV169" s="1128"/>
      <c r="BW169" s="1108"/>
      <c r="BX169" s="1108"/>
      <c r="BY169" s="1474"/>
      <c r="BZ169" s="1492"/>
      <c r="CA169" s="1096"/>
      <c r="DR169" s="1096"/>
      <c r="DT169" s="1514"/>
      <c r="DU169" s="1569"/>
      <c r="DV169" s="1570"/>
      <c r="DW169" s="1567"/>
      <c r="DX169" s="1568"/>
      <c r="DY169" s="1513"/>
      <c r="DZ169" s="1096"/>
      <c r="EA169" s="1660">
        <f t="shared" si="2"/>
        <v>1</v>
      </c>
    </row>
    <row r="170" spans="1:131" x14ac:dyDescent="0.2">
      <c r="A170" s="1096"/>
      <c r="B170" s="1096"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97"/>
      <c r="D170" s="1643" t="s">
        <v>2310</v>
      </c>
      <c r="E170" s="1140"/>
      <c r="F170" s="1176"/>
      <c r="G170" s="1146" t="str">
        <f>IF(E170=0,"",VLOOKUP(E170,'Tablas Técnicas'!$A$14:$V$771,3,FALSE))</f>
        <v/>
      </c>
      <c r="H170" s="1188" t="str">
        <f>IF($E170=0,"",VLOOKUP($E170,'Tablas Técnicas'!$A$14:$V$771,4,FALSE))</f>
        <v/>
      </c>
      <c r="I170" s="1144" t="s">
        <v>2234</v>
      </c>
      <c r="J170" s="1607" t="str">
        <f>IF(E170=0,"",VLOOKUP(E170,'Tablas Técnicas'!$A$14:$V$771,5,FALSE))</f>
        <v/>
      </c>
      <c r="K170" s="1190" t="str">
        <f>IF(I170="Si",IF(E170=0,"",VLOOKUP(E170,'Tablas Técnicas'!$A$14:$V$771,5,FALSE)),"")</f>
        <v/>
      </c>
      <c r="L170" s="1144" t="s">
        <v>2234</v>
      </c>
      <c r="M170" s="1607" t="str">
        <f>IF(E170=0,"",VLOOKUP(E170,'Tablas Técnicas'!$A$14:$V$771,6,FALSE))</f>
        <v/>
      </c>
      <c r="N170" s="1147" t="str">
        <f>IF(L170="Si",IF(E170=0,"",VLOOKUP(E170,'Tablas Técnicas'!$A$14:$V$771,6,FALSE)),"")</f>
        <v/>
      </c>
      <c r="O170" s="1144" t="s">
        <v>2234</v>
      </c>
      <c r="P170" s="1607" t="str">
        <f>IF(E170=0,"",VLOOKUP(E170,'Tablas Técnicas'!$A$14:$V$771,7,FALSE))</f>
        <v/>
      </c>
      <c r="Q170" s="1147" t="str">
        <f>IF(O170="Si",IF(E170=0,"",VLOOKUP(E170,'Tablas Técnicas'!$A$14:$V$771,7,FALSE)),"")</f>
        <v/>
      </c>
      <c r="R170" s="1189" t="str">
        <f>IF(E170=0,"",VLOOKUP(E170,'Tablas Técnicas'!$A$14:$V$771,8,FALSE))</f>
        <v/>
      </c>
      <c r="S170" s="1161" t="str">
        <f>IF(R170=$D$8,$D$8,IF(R170=2,2,IF(R170=3,3,R170)))</f>
        <v/>
      </c>
      <c r="T170" s="1190" t="str">
        <f>IF(E170=0,"",VLOOKUP(E170,'Tablas Técnicas'!$A$14:$V$771,9,FALSE))</f>
        <v/>
      </c>
      <c r="U170" s="1190" t="str">
        <f>IF(E170=0,"",VLOOKUP(E170,'Tablas Técnicas'!$A$14:$V$771,10,FALSE))</f>
        <v/>
      </c>
      <c r="V170" s="1191" t="str">
        <f>IF(E170=0,"",VLOOKUP(E170,'Tablas Técnicas'!$A$14:$V$771,11,FALSE))</f>
        <v/>
      </c>
      <c r="W170" s="1144"/>
      <c r="X170" s="1145" t="e">
        <f>VLOOKUP(E170,'Tablas Técnicas'!$A$14:$V$771,12,FALSE)</f>
        <v>#N/A</v>
      </c>
      <c r="Y170" s="1145" t="e">
        <f>IF(W170=X170,VLOOKUP(E170,'Tablas Técnicas'!$A$14:$V$771,13,FALSE),0)</f>
        <v>#N/A</v>
      </c>
      <c r="Z170" s="1145" t="e">
        <f>VLOOKUP(E170,'Tablas Técnicas'!$A$14:$V$771,14,FALSE)</f>
        <v>#N/A</v>
      </c>
      <c r="AA170" s="1145" t="e">
        <f>IF(W170=Z170,VLOOKUP(E170,'Tablas Técnicas'!$A$14:$V$616,15,FALSE),0)</f>
        <v>#N/A</v>
      </c>
      <c r="AB170" s="1145" t="e">
        <f>VLOOKUP(E170,'Tablas Técnicas'!$A$14:$V$771,16,FALSE)</f>
        <v>#N/A</v>
      </c>
      <c r="AC170" s="1145" t="e">
        <f>IF(W170=AB170,VLOOKUP(E170,'Tablas Técnicas'!$A$14:$V$616,17,FALSE),0)</f>
        <v>#N/A</v>
      </c>
      <c r="AD170" s="1145" t="e">
        <f>VLOOKUP(E170,'Tablas Técnicas'!$A$14:$V$771,18,FALSE)</f>
        <v>#N/A</v>
      </c>
      <c r="AE170" s="1145" t="e">
        <f>IF(W170=AD170,VLOOKUP(E170,'Tablas Técnicas'!$A$14:$V$771,19,FALSE),0)</f>
        <v>#N/A</v>
      </c>
      <c r="AF170" s="1163" t="str">
        <f>IF(E170=0,"",(Y170+AA170+AC170+AE170))</f>
        <v/>
      </c>
      <c r="AG170" s="1144"/>
      <c r="AH170" s="1162" t="e">
        <f>VLOOKUP(E170,'Tablas Técnicas'!$A$14:$V$771,12,FALSE)</f>
        <v>#N/A</v>
      </c>
      <c r="AI170" s="1162" t="e">
        <f>IF(AG170=AH170,VLOOKUP(E170,'Tablas Técnicas'!$A$14:$V$771,13,FALSE),0)</f>
        <v>#N/A</v>
      </c>
      <c r="AJ170" s="1162" t="e">
        <f>VLOOKUP(E170,'Tablas Técnicas'!$A$14:$V$771,14,FALSE)</f>
        <v>#N/A</v>
      </c>
      <c r="AK170" s="1162" t="e">
        <f>IF(AG170=AJ170,VLOOKUP(E170,'Tablas Técnicas'!$A$14:$V$771,15,FALSE),0)</f>
        <v>#N/A</v>
      </c>
      <c r="AL170" s="1162" t="e">
        <f>VLOOKUP(E170,'Tablas Técnicas'!$A$14:$V$771,16,FALSE)</f>
        <v>#N/A</v>
      </c>
      <c r="AM170" s="1162" t="e">
        <f>IF(AG170=AL170,VLOOKUP(E170,'Tablas Técnicas'!$A$14:$V$771,17,FALSE),0)</f>
        <v>#N/A</v>
      </c>
      <c r="AN170" s="1162" t="e">
        <f>VLOOKUP(E170,'Tablas Técnicas'!$A$14:$V$771,18,FALSE)</f>
        <v>#N/A</v>
      </c>
      <c r="AO170" s="1162" t="e">
        <f>IF(AG170=AN170,VLOOKUP(E170,'Tablas Técnicas'!$A$14:$V$771,19,FALSE),0)</f>
        <v>#N/A</v>
      </c>
      <c r="AP170" s="2620" t="str">
        <f>IF(E170=0,"",(AI170+AK170+AM170+AO170))</f>
        <v/>
      </c>
      <c r="AQ170" s="1144"/>
      <c r="AR170" s="1162" t="e">
        <f>VLOOKUP(E170,'Tablas Técnicas'!$A$14:$V$771,12,FALSE)</f>
        <v>#N/A</v>
      </c>
      <c r="AS170" s="1162" t="e">
        <f>IF(AQ170=AR170,VLOOKUP(E170,'Tablas Técnicas'!$A$14:$V$771,13,FALSE),0)</f>
        <v>#N/A</v>
      </c>
      <c r="AT170" s="1162" t="e">
        <f>VLOOKUP(E170,'Tablas Técnicas'!$A$14:$V$771,14,FALSE)</f>
        <v>#N/A</v>
      </c>
      <c r="AU170" s="1162" t="e">
        <f>IF(AQ170=AT170,VLOOKUP(E170,'Tablas Técnicas'!$A$14:$V$771,15,FALSE),0)</f>
        <v>#N/A</v>
      </c>
      <c r="AV170" s="1162" t="e">
        <f>VLOOKUP(E170,'Tablas Técnicas'!$A$14:$V$771,16,FALSE)</f>
        <v>#N/A</v>
      </c>
      <c r="AW170" s="1162" t="e">
        <f>IF(AQ170=AV170,VLOOKUP(E170,'Tablas Técnicas'!$A$14:$V$771,17,FALSE),0)</f>
        <v>#N/A</v>
      </c>
      <c r="AX170" s="1162" t="e">
        <f>VLOOKUP(E170,'Tablas Técnicas'!$A$14:$V$771,18,FALSE)</f>
        <v>#N/A</v>
      </c>
      <c r="AY170" s="1162" t="e">
        <f>IF(AQ170=AX170,VLOOKUP(E170,'Tablas Técnicas'!$A$14:$V$771,19,FALSE),0)</f>
        <v>#N/A</v>
      </c>
      <c r="AZ170" s="1163" t="str">
        <f>IF(E170=0,"",(AS170+AU170+AW170+AY170))</f>
        <v/>
      </c>
      <c r="BA170" s="1144"/>
      <c r="BB170" s="1162" t="e">
        <f>VLOOKUP(E170,'Tablas Técnicas'!$A$14:$V$771,12,FALSE)</f>
        <v>#N/A</v>
      </c>
      <c r="BC170" s="1162" t="e">
        <f>IF(BA170=BB170,VLOOKUP(E170,'Tablas Técnicas'!$A$14:$V$771,13,FALSE),0)</f>
        <v>#N/A</v>
      </c>
      <c r="BD170" s="1162" t="e">
        <f>VLOOKUP(E170,'Tablas Técnicas'!$A$14:$V$771,14,FALSE)</f>
        <v>#N/A</v>
      </c>
      <c r="BE170" s="1162" t="e">
        <f>IF(BA170=BD170,VLOOKUP(E170,'Tablas Técnicas'!$A$14:$V$771,15,FALSE),0)</f>
        <v>#N/A</v>
      </c>
      <c r="BF170" s="1162" t="e">
        <f>VLOOKUP(E170,'Tablas Técnicas'!$A$14:$V$771,16,FALSE)</f>
        <v>#N/A</v>
      </c>
      <c r="BG170" s="1162" t="e">
        <f>IF(BA170=BF170,VLOOKUP(E170,'Tablas Técnicas'!$A$14:$V$771,17,FALSE),0)</f>
        <v>#N/A</v>
      </c>
      <c r="BH170" s="1162" t="e">
        <f>VLOOKUP(E170,'Tablas Técnicas'!$A$14:$V$771,18,FALSE)</f>
        <v>#N/A</v>
      </c>
      <c r="BI170" s="1162" t="e">
        <f>IF(BA170=BH170,VLOOKUP(E170,'Tablas Técnicas'!$A$14:$V$771,19,FALSE),0)</f>
        <v>#N/A</v>
      </c>
      <c r="BJ170" s="2620" t="str">
        <f>IF(E170=0,"",(BC170+BE170+BG170+BI170))</f>
        <v/>
      </c>
      <c r="BK170" s="1190" t="str">
        <f>IF(E170=0,"",VLOOKUP(E170,'Tablas Técnicas'!$A$14:$V$771,20,FALSE))</f>
        <v/>
      </c>
      <c r="BL170" s="1177" t="str">
        <f>IF(E170=0,"",VLOOKUP(E170,'Tablas Técnicas'!$A$14:$V$771,21,FALSE))</f>
        <v/>
      </c>
      <c r="BM170" s="1148" t="str">
        <f>IF(E170=0,"",VLOOKUP(E170,'Tablas Técnicas'!$A$14:$V$771,22,FALSE))</f>
        <v/>
      </c>
      <c r="BN170" s="1149"/>
      <c r="BO170" s="1150"/>
      <c r="BP170" s="1135" t="str">
        <f>IF(I170="Si",VLOOKUP($D$8,'Tablas Técnicas'!$E$4:$F$6,2,FALSE),"")</f>
        <v/>
      </c>
      <c r="BQ170" s="1136" t="str">
        <f>IF(L170="Si",VLOOKUP($D$8,'Tablas Técnicas'!$I$4:$J$6,2,FALSE),"")</f>
        <v/>
      </c>
      <c r="BR170" s="1134" t="str">
        <f>IF(O170="Si",VLOOKUP($D$8,'Tablas Técnicas'!$I$7:$J$9,2,FALSE),"")</f>
        <v/>
      </c>
      <c r="BS170" s="1151"/>
      <c r="BT170" s="2609" t="s">
        <v>2226</v>
      </c>
      <c r="BU170" s="2610" t="s">
        <v>5236</v>
      </c>
      <c r="BV170" s="1128"/>
      <c r="BW170" s="2610" t="s">
        <v>5237</v>
      </c>
      <c r="BX170" s="2609" t="s">
        <v>5238</v>
      </c>
      <c r="BY170" s="1488" t="s">
        <v>5238</v>
      </c>
      <c r="BZ170" s="1492"/>
      <c r="CA170" s="1096"/>
      <c r="DR170" s="1096"/>
      <c r="DT170" s="1514"/>
      <c r="DU170" s="1569"/>
      <c r="DV170" s="1566" t="str">
        <f>IF(E170="","",", "&amp;E170)&amp;IF(I170="No",""," (Mant.)")&amp;IF(L170="No",""," (Sme)")&amp;IF(O170="No",""," (SMa)")</f>
        <v/>
      </c>
      <c r="DW170" s="1567"/>
      <c r="DX170" s="1568"/>
      <c r="DY170" s="1513"/>
      <c r="DZ170" s="1096"/>
      <c r="EA170" s="1660">
        <f t="shared" si="2"/>
        <v>1</v>
      </c>
    </row>
    <row r="171" spans="1:131" x14ac:dyDescent="0.2">
      <c r="A171" s="1096"/>
      <c r="B171" s="1096"/>
      <c r="C171" s="1497"/>
      <c r="D171" s="1642" t="s">
        <v>2310</v>
      </c>
      <c r="E171" s="1152"/>
      <c r="F171" s="1182"/>
      <c r="G171" s="1627" t="str">
        <f>IF(E171=0,"",VLOOKUP(E171,'Tablas Técnicas'!$A$14:$V$771,3,FALSE))</f>
        <v/>
      </c>
      <c r="H171" s="1155" t="str">
        <f>IF($E171=0,"",VLOOKUP($E171,'Tablas Técnicas'!$A$14:$V$771,4,FALSE))</f>
        <v/>
      </c>
      <c r="I171" s="1156" t="s">
        <v>2234</v>
      </c>
      <c r="J171" s="1605" t="str">
        <f>IF(E171=0,"",VLOOKUP(E171,'Tablas Técnicas'!$A$14:$V$771,5,FALSE))</f>
        <v/>
      </c>
      <c r="K171" s="1158" t="str">
        <f>IF(I171="Si",IF(E171=0,"",VLOOKUP(E171,'Tablas Técnicas'!$A$14:$V$771,5,FALSE)),"")</f>
        <v/>
      </c>
      <c r="L171" s="1156" t="s">
        <v>2234</v>
      </c>
      <c r="M171" s="1605" t="str">
        <f>IF(E171=0,"",VLOOKUP(E171,'Tablas Técnicas'!$A$14:$V$771,6,FALSE))</f>
        <v/>
      </c>
      <c r="N171" s="1159" t="str">
        <f>IF(L171="Si",IF(E171=0,"",VLOOKUP(E171,'Tablas Técnicas'!$A$14:$V$771,6,FALSE)),"")</f>
        <v/>
      </c>
      <c r="O171" s="1156" t="s">
        <v>2234</v>
      </c>
      <c r="P171" s="1605" t="str">
        <f>IF(E171=0,"",VLOOKUP(E171,'Tablas Técnicas'!$A$14:$V$771,7,FALSE))</f>
        <v/>
      </c>
      <c r="Q171" s="1159" t="str">
        <f>IF(O171="Si",IF(E171=0,"",VLOOKUP(E171,'Tablas Técnicas'!$A$14:$V$771,7,FALSE)),"")</f>
        <v/>
      </c>
      <c r="R171" s="1157" t="str">
        <f>IF(E171=0,"",VLOOKUP(E171,'Tablas Técnicas'!$A$14:$V$771,8,FALSE))</f>
        <v/>
      </c>
      <c r="S171" s="1155" t="str">
        <f>IF(R171=$D$8,$D$8,IF(R171=2,2,IF(R171=3,3,R171)))</f>
        <v/>
      </c>
      <c r="T171" s="4475" t="s">
        <v>5228</v>
      </c>
      <c r="U171" s="4476"/>
      <c r="V171" s="4476"/>
      <c r="W171" s="4476"/>
      <c r="X171" s="4476"/>
      <c r="Y171" s="4476"/>
      <c r="Z171" s="4476"/>
      <c r="AA171" s="4476"/>
      <c r="AB171" s="4476"/>
      <c r="AC171" s="4476"/>
      <c r="AD171" s="4476"/>
      <c r="AE171" s="4476"/>
      <c r="AF171" s="4476"/>
      <c r="AG171" s="4476"/>
      <c r="AH171" s="4476"/>
      <c r="AI171" s="4476"/>
      <c r="AJ171" s="4476"/>
      <c r="AK171" s="4476"/>
      <c r="AL171" s="4476"/>
      <c r="AM171" s="4476"/>
      <c r="AN171" s="4476"/>
      <c r="AO171" s="4476"/>
      <c r="AP171" s="4476"/>
      <c r="AQ171" s="4476"/>
      <c r="AR171" s="4476"/>
      <c r="AS171" s="4476"/>
      <c r="AT171" s="4476"/>
      <c r="AU171" s="4476"/>
      <c r="AV171" s="4476"/>
      <c r="AW171" s="4476"/>
      <c r="AX171" s="4476"/>
      <c r="AY171" s="4476"/>
      <c r="AZ171" s="4476"/>
      <c r="BA171" s="4476"/>
      <c r="BB171" s="4476"/>
      <c r="BC171" s="4476"/>
      <c r="BD171" s="4476"/>
      <c r="BE171" s="4476"/>
      <c r="BF171" s="4476"/>
      <c r="BG171" s="4476"/>
      <c r="BH171" s="4476"/>
      <c r="BI171" s="4476"/>
      <c r="BJ171" s="4476"/>
      <c r="BK171" s="4477"/>
      <c r="BL171" s="1627"/>
      <c r="BM171" s="1628"/>
      <c r="BN171" s="1149"/>
      <c r="BO171" s="1150"/>
      <c r="BP171" s="1135" t="str">
        <f>IF(I171="Si",VLOOKUP($D$8,'Tablas Técnicas'!$E$4:$F$6,2,FALSE),"")</f>
        <v/>
      </c>
      <c r="BQ171" s="1136" t="str">
        <f>IF(L171="Si",VLOOKUP($D$8,'Tablas Técnicas'!$I$4:$J$6,2,FALSE),"")</f>
        <v/>
      </c>
      <c r="BR171" s="1134" t="str">
        <f>IF(O171="Si",VLOOKUP($D$8,'Tablas Técnicas'!$I$7:$J$9,2,FALSE),"")</f>
        <v/>
      </c>
      <c r="BS171" s="1151"/>
      <c r="BT171" s="261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92"/>
      <c r="BV171" s="1128"/>
      <c r="BW171" s="1183" t="str">
        <f>IF(SUM(BT171:BU171)=0,"N/A",SUM(BT171:BU171))</f>
        <v>N/A</v>
      </c>
      <c r="BX171" s="261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83" t="str">
        <f>IF(BX171=0,"N/A",BX171)</f>
        <v>N/A</v>
      </c>
      <c r="BZ171" s="1492"/>
      <c r="CA171" s="1096"/>
      <c r="DR171" s="1096"/>
      <c r="DT171" s="1514"/>
      <c r="DU171" s="1569"/>
      <c r="DV171" s="1566" t="str">
        <f>IF(E171="",""," "&amp;E171)&amp;IF(I171="No",""," (Mant.)")&amp;IF(L171="No",""," (Sme)")&amp;IF(O171="No",""," (SMa)")</f>
        <v/>
      </c>
      <c r="DW171" s="1567"/>
      <c r="DX171" s="1568"/>
      <c r="DY171" s="1513"/>
      <c r="DZ171" s="1096"/>
      <c r="EA171" s="1660">
        <f t="shared" si="2"/>
        <v>1</v>
      </c>
    </row>
    <row r="172" spans="1:131" x14ac:dyDescent="0.2">
      <c r="A172" s="1096"/>
      <c r="B172" s="1096"/>
      <c r="C172" s="1497"/>
      <c r="D172" s="1643" t="s">
        <v>2310</v>
      </c>
      <c r="E172" s="1160"/>
      <c r="F172" s="1176"/>
      <c r="G172" s="1146" t="str">
        <f>IF(E172=0,"",VLOOKUP(E172,'Tablas Técnicas'!$A$14:$V$771,3,FALSE))</f>
        <v/>
      </c>
      <c r="H172" s="2619" t="str">
        <f>IF($E172=0,"",VLOOKUP($E172,'Tablas Técnicas'!$A$14:$V$771,4,FALSE))</f>
        <v/>
      </c>
      <c r="I172" s="1144" t="s">
        <v>2234</v>
      </c>
      <c r="J172" s="1601" t="str">
        <f>IF(E172=0,"",VLOOKUP(E172,'Tablas Técnicas'!$A$14:$V$771,5,FALSE))</f>
        <v/>
      </c>
      <c r="K172" s="1163" t="str">
        <f>IF(I172="Si",IF(E172=0,"",VLOOKUP(E172,'Tablas Técnicas'!$A$14:$V$771,5,FALSE)),"")</f>
        <v/>
      </c>
      <c r="L172" s="1144" t="s">
        <v>2234</v>
      </c>
      <c r="M172" s="1601" t="str">
        <f>IF(E172=0,"",VLOOKUP(E172,'Tablas Técnicas'!$A$14:$V$771,6,FALSE))</f>
        <v/>
      </c>
      <c r="N172" s="1147" t="str">
        <f>IF(L172="Si",IF(E172=0,"",VLOOKUP(E172,'Tablas Técnicas'!$A$14:$V$771,6,FALSE)),"")</f>
        <v/>
      </c>
      <c r="O172" s="1144" t="s">
        <v>2234</v>
      </c>
      <c r="P172" s="1601" t="str">
        <f>IF(E172=0,"",VLOOKUP(E172,'Tablas Técnicas'!$A$14:$V$771,7,FALSE))</f>
        <v/>
      </c>
      <c r="Q172" s="1147" t="str">
        <f>IF(O172="Si",IF(E172=0,"",VLOOKUP(E172,'Tablas Técnicas'!$A$14:$V$771,7,FALSE)),"")</f>
        <v/>
      </c>
      <c r="R172" s="1162" t="str">
        <f>IF(E172=0,"",VLOOKUP(E172,'Tablas Técnicas'!$A$14:$V$771,8,FALSE))</f>
        <v/>
      </c>
      <c r="S172" s="2619" t="str">
        <f>IF(R172=$D$8,$D$8,IF(R172=2,2,IF(R172=3,3,R172)))</f>
        <v/>
      </c>
      <c r="T172" s="4487"/>
      <c r="U172" s="4488"/>
      <c r="V172" s="2617" t="str">
        <f>IF(OR(V170=0,V170=""),"N/A",V170)</f>
        <v>N/A</v>
      </c>
      <c r="W172" s="4487" t="str">
        <f xml:space="preserve"> IF(OR(AF170=0,AF170=""),"N/A",W170)</f>
        <v>N/A</v>
      </c>
      <c r="X172" s="4489"/>
      <c r="Y172" s="4489"/>
      <c r="Z172" s="4489"/>
      <c r="AA172" s="4489"/>
      <c r="AB172" s="4489"/>
      <c r="AC172" s="4489"/>
      <c r="AD172" s="4489"/>
      <c r="AE172" s="4489"/>
      <c r="AF172" s="4488"/>
      <c r="AG172" s="4487" t="str">
        <f xml:space="preserve"> IF(OR(AP170="",AP170=0),"N/A",AG170)</f>
        <v>N/A</v>
      </c>
      <c r="AH172" s="4489"/>
      <c r="AI172" s="4489"/>
      <c r="AJ172" s="4489"/>
      <c r="AK172" s="4489"/>
      <c r="AL172" s="4489"/>
      <c r="AM172" s="4489"/>
      <c r="AN172" s="4489"/>
      <c r="AO172" s="4489"/>
      <c r="AP172" s="4488"/>
      <c r="AQ172" s="4487" t="str">
        <f xml:space="preserve"> IF(OR(AZ170="",AZ170=0),"N/A",AQ170)</f>
        <v>N/A</v>
      </c>
      <c r="AR172" s="4489"/>
      <c r="AS172" s="4489"/>
      <c r="AT172" s="4489"/>
      <c r="AU172" s="4489"/>
      <c r="AV172" s="4489"/>
      <c r="AW172" s="4489"/>
      <c r="AX172" s="4489"/>
      <c r="AY172" s="4489"/>
      <c r="AZ172" s="4488"/>
      <c r="BA172" s="4487" t="str">
        <f xml:space="preserve"> IF(OR(BJ170="",BJ170=0),"N/A",BA170)</f>
        <v>N/A</v>
      </c>
      <c r="BB172" s="4489"/>
      <c r="BC172" s="4489"/>
      <c r="BD172" s="4489"/>
      <c r="BE172" s="4489"/>
      <c r="BF172" s="4489"/>
      <c r="BG172" s="4489"/>
      <c r="BH172" s="4489"/>
      <c r="BI172" s="4489"/>
      <c r="BJ172" s="4488"/>
      <c r="BK172" s="1164" t="s">
        <v>5229</v>
      </c>
      <c r="BL172" s="1146"/>
      <c r="BM172" s="1181"/>
      <c r="BN172" s="1165"/>
      <c r="BO172" s="1166"/>
      <c r="BP172" s="1167" t="str">
        <f>IF(I172="Si",VLOOKUP($D$8,'Tablas Técnicas'!$E$4:$F$6,2,FALSE),"")</f>
        <v/>
      </c>
      <c r="BQ172" s="1137" t="str">
        <f>IF(L172="Si",VLOOKUP($D$8,'Tablas Técnicas'!$I$4:$J$6,2,FALSE),"")</f>
        <v/>
      </c>
      <c r="BR172" s="1168" t="str">
        <f>IF(O172="Si",VLOOKUP($D$8,'Tablas Técnicas'!$I$7:$J$9,2,FALSE),"")</f>
        <v/>
      </c>
      <c r="BS172" s="1151"/>
      <c r="BT172" s="2609" t="s">
        <v>2354</v>
      </c>
      <c r="BU172" s="2610" t="s">
        <v>5236</v>
      </c>
      <c r="BV172" s="1128"/>
      <c r="BW172" s="2610" t="s">
        <v>5237</v>
      </c>
      <c r="BX172" s="2609" t="s">
        <v>5238</v>
      </c>
      <c r="BY172" s="1489" t="s">
        <v>5238</v>
      </c>
      <c r="BZ172" s="1492"/>
      <c r="CA172" s="1096"/>
      <c r="DR172" s="1096"/>
      <c r="DT172" s="1514"/>
      <c r="DU172" s="1569"/>
      <c r="DV172" s="1566" t="str">
        <f>IF(E172="","",E172)&amp;IF(I172="No",""," (Mant.)")&amp;IF(L172="No",""," (Sme)")&amp;IF(O172="No",""," (SMa)")</f>
        <v/>
      </c>
      <c r="DW172" s="1566"/>
      <c r="DX172" s="1568"/>
      <c r="DY172" s="1513"/>
      <c r="DZ172" s="1096"/>
      <c r="EA172" s="1660">
        <f t="shared" si="2"/>
        <v>1</v>
      </c>
    </row>
    <row r="173" spans="1:131" s="1170" customFormat="1" x14ac:dyDescent="0.2">
      <c r="A173" s="1096"/>
      <c r="B173" s="1096"/>
      <c r="C173" s="1497"/>
      <c r="D173" s="1642" t="s">
        <v>2310</v>
      </c>
      <c r="E173" s="1152"/>
      <c r="F173" s="1182"/>
      <c r="G173" s="1627" t="str">
        <f>IF(E173=0,"",VLOOKUP(E173,'Tablas Técnicas'!$A$14:$V$771,3,FALSE))</f>
        <v/>
      </c>
      <c r="H173" s="1155" t="str">
        <f>IF($E173=0,"",VLOOKUP($E173,'Tablas Técnicas'!$A$14:$V$771,4,FALSE))</f>
        <v/>
      </c>
      <c r="I173" s="1156" t="s">
        <v>2234</v>
      </c>
      <c r="J173" s="1605" t="str">
        <f>IF(E173=0,"",VLOOKUP(E173,'Tablas Técnicas'!$A$14:$V$771,5,FALSE))</f>
        <v/>
      </c>
      <c r="K173" s="1158" t="str">
        <f>IF(I173="Si",IF(E173=0,"",VLOOKUP(E173,'Tablas Técnicas'!$A$14:$V$771,5,FALSE)),"")</f>
        <v/>
      </c>
      <c r="L173" s="1156" t="s">
        <v>2234</v>
      </c>
      <c r="M173" s="1605" t="str">
        <f>IF(E173=0,"",VLOOKUP(E173,'Tablas Técnicas'!$A$14:$V$771,6,FALSE))</f>
        <v/>
      </c>
      <c r="N173" s="1159" t="str">
        <f>IF(L173="Si",IF(E173=0,"",VLOOKUP(E173,'Tablas Técnicas'!$A$14:$V$771,6,FALSE)),"")</f>
        <v/>
      </c>
      <c r="O173" s="1156" t="s">
        <v>2234</v>
      </c>
      <c r="P173" s="1605" t="str">
        <f>IF(E173=0,"",VLOOKUP(E173,'Tablas Técnicas'!$A$14:$V$771,7,FALSE))</f>
        <v/>
      </c>
      <c r="Q173" s="1159" t="str">
        <f>IF(O173="Si",IF(E173=0,"",VLOOKUP(E173,'Tablas Técnicas'!$A$14:$V$771,7,FALSE)),"")</f>
        <v/>
      </c>
      <c r="R173" s="1157" t="str">
        <f>IF(E173=0,"",VLOOKUP(E173,'Tablas Técnicas'!$A$14:$V$771,8,FALSE))</f>
        <v/>
      </c>
      <c r="S173" s="1155" t="str">
        <f>IF(R173=$D$8,$D$8,IF(R173=2,2,IF(R173=3,3,R173)))</f>
        <v/>
      </c>
      <c r="T173" s="4490" t="s">
        <v>5230</v>
      </c>
      <c r="U173" s="4491"/>
      <c r="V173" s="2618"/>
      <c r="W173" s="4492"/>
      <c r="X173" s="4493"/>
      <c r="Y173" s="4493"/>
      <c r="Z173" s="4493"/>
      <c r="AA173" s="4493"/>
      <c r="AB173" s="4493"/>
      <c r="AC173" s="4493"/>
      <c r="AD173" s="4493"/>
      <c r="AE173" s="4493"/>
      <c r="AF173" s="4494"/>
      <c r="AG173" s="4492"/>
      <c r="AH173" s="4493"/>
      <c r="AI173" s="4493"/>
      <c r="AJ173" s="4493"/>
      <c r="AK173" s="4493"/>
      <c r="AL173" s="4493"/>
      <c r="AM173" s="4493"/>
      <c r="AN173" s="4493"/>
      <c r="AO173" s="4493"/>
      <c r="AP173" s="4494"/>
      <c r="AQ173" s="4492"/>
      <c r="AR173" s="4493"/>
      <c r="AS173" s="4493"/>
      <c r="AT173" s="4493"/>
      <c r="AU173" s="4493"/>
      <c r="AV173" s="4493"/>
      <c r="AW173" s="4493"/>
      <c r="AX173" s="4493"/>
      <c r="AY173" s="4493"/>
      <c r="AZ173" s="4494"/>
      <c r="BA173" s="4492"/>
      <c r="BB173" s="4493"/>
      <c r="BC173" s="4493"/>
      <c r="BD173" s="4493"/>
      <c r="BE173" s="4493"/>
      <c r="BF173" s="4493"/>
      <c r="BG173" s="4493"/>
      <c r="BH173" s="4493"/>
      <c r="BI173" s="4493"/>
      <c r="BJ173" s="4494"/>
      <c r="BK173" s="1155">
        <f>(SUM(G170:G174)+IF(AF170="",0,AF170)+IF(AP170="",0,AP170)+IF(AZ170="",0,AZ170)+IF(BJ170="",0,BJ170)+SUM(K170:K174)+SUM(N170:N174)+SUM(Q170:Q174))- SUM(V173:BA173)</f>
        <v>0</v>
      </c>
      <c r="BL173" s="1627"/>
      <c r="BM173" s="1628"/>
      <c r="BN173" s="1149"/>
      <c r="BO173" s="1150"/>
      <c r="BP173" s="1135" t="str">
        <f>IF(I173="Si",VLOOKUP($D$8,'Tablas Técnicas'!$E$4:$F$6,2,FALSE),"")</f>
        <v/>
      </c>
      <c r="BQ173" s="1136" t="str">
        <f>IF(L173="Si",VLOOKUP($D$8,'Tablas Técnicas'!$I$4:$J$6,2,FALSE),"")</f>
        <v/>
      </c>
      <c r="BR173" s="1134" t="str">
        <f>IF(O173="Si",VLOOKUP($D$8,'Tablas Técnicas'!$I$7:$J$9,2,FALSE),"")</f>
        <v/>
      </c>
      <c r="BS173" s="1151"/>
      <c r="BT173" s="261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92"/>
      <c r="BV173" s="1128"/>
      <c r="BW173" s="1183" t="str">
        <f>IF(SUM(BT173:BU173)=0,"N/A",SUM(BT173:BU173))</f>
        <v>N/A</v>
      </c>
      <c r="BX173" s="261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83" t="str">
        <f>IF(BX173=0,"N/A",BX173)</f>
        <v>N/A</v>
      </c>
      <c r="BZ173" s="1492"/>
      <c r="CA173" s="1100"/>
      <c r="DR173" s="1100"/>
      <c r="DS173" s="1509"/>
      <c r="DT173" s="1515"/>
      <c r="DU173" s="1565"/>
      <c r="DV173" s="1566" t="str">
        <f>IF(E173="","",E173)&amp;IF(I173="No",""," (Mant.)")&amp;IF(L173="No",""," (Sme)")&amp;IF(O173="No",""," (SMa)")</f>
        <v/>
      </c>
      <c r="DW173" s="1566"/>
      <c r="DX173" s="1571"/>
      <c r="DY173" s="1516"/>
      <c r="DZ173" s="1100"/>
      <c r="EA173" s="1660">
        <f t="shared" si="2"/>
        <v>1</v>
      </c>
    </row>
    <row r="174" spans="1:131" ht="11.25" customHeight="1" x14ac:dyDescent="0.2">
      <c r="A174" s="1096"/>
      <c r="B174" s="1096"/>
      <c r="C174" s="1497"/>
      <c r="D174" s="1643" t="s">
        <v>2310</v>
      </c>
      <c r="E174" s="1160"/>
      <c r="F174" s="1176"/>
      <c r="G174" s="1146" t="str">
        <f>IF(E174=0,"",VLOOKUP(E174,'Tablas Técnicas'!$A$14:$V$771,3,FALSE))</f>
        <v/>
      </c>
      <c r="H174" s="1171" t="str">
        <f>IF($E174=0,"",VLOOKUP($E174,'Tablas Técnicas'!$A$14:$V$771,4,FALSE))</f>
        <v/>
      </c>
      <c r="I174" s="1144" t="s">
        <v>2234</v>
      </c>
      <c r="J174" s="1608" t="str">
        <f>IF(E174=0,"",VLOOKUP(E174,'Tablas Técnicas'!$A$14:$V$771,5,FALSE))</f>
        <v/>
      </c>
      <c r="K174" s="1172" t="str">
        <f>IF(I174="Si",IF(E174=0,"",VLOOKUP(E174,'Tablas Técnicas'!$A$14:$V$771,5,FALSE)),"")</f>
        <v/>
      </c>
      <c r="L174" s="1144" t="s">
        <v>2234</v>
      </c>
      <c r="M174" s="1608" t="str">
        <f>IF(E174=0,"",VLOOKUP(E174,'Tablas Técnicas'!$A$14:$V$771,6,FALSE))</f>
        <v/>
      </c>
      <c r="N174" s="1147" t="str">
        <f>IF(L174="Si",IF(E174=0,"",VLOOKUP(E174,'Tablas Técnicas'!$A$14:$V$771,6,FALSE)),"")</f>
        <v/>
      </c>
      <c r="O174" s="1144" t="s">
        <v>2234</v>
      </c>
      <c r="P174" s="1608" t="str">
        <f>IF(E174=0,"",VLOOKUP(E174,'Tablas Técnicas'!$A$14:$V$771,7,FALSE))</f>
        <v/>
      </c>
      <c r="Q174" s="1147" t="str">
        <f>IF(O174="Si",IF(E174=0,"",VLOOKUP(E174,'Tablas Técnicas'!$A$14:$V$771,7,FALSE)),"")</f>
        <v/>
      </c>
      <c r="R174" s="1193" t="str">
        <f>IF(E174=0,"",VLOOKUP(E174,'Tablas Técnicas'!$A$14:$V$771,8,FALSE))</f>
        <v/>
      </c>
      <c r="S174" s="1161" t="str">
        <f>IF(R174=$D$8,$D$8,IF(R174=2,2,IF(R174=3,3,R174)))</f>
        <v/>
      </c>
      <c r="T174" s="4482" t="s">
        <v>5232</v>
      </c>
      <c r="U174" s="4483"/>
      <c r="V174" s="2616"/>
      <c r="W174" s="4484"/>
      <c r="X174" s="4485"/>
      <c r="Y174" s="4485"/>
      <c r="Z174" s="4485"/>
      <c r="AA174" s="4485"/>
      <c r="AB174" s="4485"/>
      <c r="AC174" s="4485"/>
      <c r="AD174" s="4485"/>
      <c r="AE174" s="4485"/>
      <c r="AF174" s="4486"/>
      <c r="AG174" s="4484"/>
      <c r="AH174" s="4485"/>
      <c r="AI174" s="4485"/>
      <c r="AJ174" s="4485"/>
      <c r="AK174" s="4485"/>
      <c r="AL174" s="4485"/>
      <c r="AM174" s="4485"/>
      <c r="AN174" s="4485"/>
      <c r="AO174" s="4485"/>
      <c r="AP174" s="4486"/>
      <c r="AQ174" s="4484"/>
      <c r="AR174" s="4485"/>
      <c r="AS174" s="4485"/>
      <c r="AT174" s="4485"/>
      <c r="AU174" s="4485"/>
      <c r="AV174" s="4485"/>
      <c r="AW174" s="4485"/>
      <c r="AX174" s="4485"/>
      <c r="AY174" s="4485"/>
      <c r="AZ174" s="4486"/>
      <c r="BA174" s="4484"/>
      <c r="BB174" s="4485"/>
      <c r="BC174" s="4485"/>
      <c r="BD174" s="4485"/>
      <c r="BE174" s="4485"/>
      <c r="BF174" s="4485"/>
      <c r="BG174" s="4485"/>
      <c r="BH174" s="4485"/>
      <c r="BI174" s="4485"/>
      <c r="BJ174" s="4486"/>
      <c r="BK174" s="1171">
        <f>SUM(K170:K174)-SUM(V174:BA174)</f>
        <v>0</v>
      </c>
      <c r="BL174" s="1629"/>
      <c r="BM174" s="1630"/>
      <c r="BN174" s="1165"/>
      <c r="BO174" s="1166"/>
      <c r="BP174" s="1167" t="str">
        <f>IF(I174="Si",VLOOKUP($D$8,'Tablas Técnicas'!$E$4:$F$6,2,FALSE),"")</f>
        <v/>
      </c>
      <c r="BQ174" s="1137" t="str">
        <f>IF(L174="Si",VLOOKUP($D$8,'Tablas Técnicas'!$I$4:$J$6,2,FALSE),"")</f>
        <v/>
      </c>
      <c r="BR174" s="1168" t="str">
        <f>IF(O174="Si",VLOOKUP($D$8,'Tablas Técnicas'!$I$7:$J$9,2,FALSE),"")</f>
        <v/>
      </c>
      <c r="BS174" s="1151"/>
      <c r="BT174" s="2609" t="s">
        <v>2231</v>
      </c>
      <c r="BU174" s="2610" t="s">
        <v>5236</v>
      </c>
      <c r="BV174" s="1128"/>
      <c r="BW174" s="2610" t="s">
        <v>5237</v>
      </c>
      <c r="BX174" s="2609" t="s">
        <v>5238</v>
      </c>
      <c r="BY174" s="1489" t="s">
        <v>5238</v>
      </c>
      <c r="BZ174" s="1492"/>
      <c r="CA174" s="1096"/>
      <c r="DR174" s="1096"/>
      <c r="DT174" s="1514"/>
      <c r="DU174" s="1569"/>
      <c r="DV174" s="1566" t="str">
        <f>IF(E174="","",E174)&amp;IF(I174="No",""," (Mant.)")&amp;IF(L174="No",""," (Sme)")&amp;IF(O174="No",""," (SMa)")</f>
        <v/>
      </c>
      <c r="DW174" s="1566"/>
      <c r="DX174" s="1568"/>
      <c r="DY174" s="1513"/>
      <c r="DZ174" s="1096"/>
      <c r="EA174" s="1660">
        <f t="shared" si="2"/>
        <v>1</v>
      </c>
    </row>
    <row r="175" spans="1:131" ht="11.25" customHeight="1" x14ac:dyDescent="0.2">
      <c r="A175" s="1096"/>
      <c r="B175" s="159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97"/>
      <c r="D175" s="1644">
        <v>4</v>
      </c>
      <c r="E175" s="1423"/>
      <c r="F175" s="1173"/>
      <c r="G175" s="1174"/>
      <c r="H175" s="2559">
        <f>IF(AND(OR(ISNUMBER(SEARCH("Afinidad Elemental ("&amp;BK170&amp;")",Principal!$AF$30)),ISNUMBER(SEARCH("Afinidad Elemental ("&amp;BL170&amp;")",Principal!$AF$30)),ISNUMBER(SEARCH("Afinidad Elemental ("&amp;BM170&amp;")",Principal!$AF$30))),SUM(H170:H174)&gt;=5),-5,0)</f>
        <v>0</v>
      </c>
      <c r="I175" s="1603"/>
      <c r="J175" s="1606"/>
      <c r="K175" s="1174"/>
      <c r="L175" s="1603"/>
      <c r="M175" s="1606"/>
      <c r="N175" s="1174"/>
      <c r="O175" s="1603"/>
      <c r="P175" s="1606"/>
      <c r="Q175" s="1174"/>
      <c r="R175" s="1175"/>
      <c r="S175" s="1174"/>
      <c r="T175" s="1174"/>
      <c r="U175" s="1174"/>
      <c r="V175" s="1174"/>
      <c r="W175" s="1174"/>
      <c r="X175" s="1174"/>
      <c r="Y175" s="1174"/>
      <c r="Z175" s="1174"/>
      <c r="AA175" s="1174"/>
      <c r="AB175" s="1174"/>
      <c r="AC175" s="1174"/>
      <c r="AD175" s="1174"/>
      <c r="AE175" s="1174"/>
      <c r="AF175" s="1174"/>
      <c r="AG175" s="1174"/>
      <c r="AH175" s="1174"/>
      <c r="AI175" s="1174"/>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c r="BD175" s="1174"/>
      <c r="BE175" s="1174"/>
      <c r="BF175" s="1174"/>
      <c r="BG175" s="1174"/>
      <c r="BH175" s="1174"/>
      <c r="BI175" s="1174"/>
      <c r="BJ175" s="1174"/>
      <c r="BK175" s="1174"/>
      <c r="BL175" s="1174"/>
      <c r="BM175" s="1184"/>
      <c r="BN175" s="1185">
        <f>SUM(K175:K178)</f>
        <v>0</v>
      </c>
      <c r="BO175" s="1128" t="str">
        <f>IF(E175=0,"",(AF175+AP175+AZ175+BJ175))</f>
        <v/>
      </c>
      <c r="BP175" s="1186" t="str">
        <f>IF(I175="Si",VLOOKUP($D$8,'Tablas Técnicas'!$E$4:$F$6,2,FALSE),"")</f>
        <v/>
      </c>
      <c r="BQ175" s="1187" t="str">
        <f>IF(L175="Si",VLOOKUP($D$8,'Tablas Técnicas'!$I$4:$J$6,2,FALSE),"")</f>
        <v/>
      </c>
      <c r="BR175" s="1185" t="str">
        <f>IF(O175="Si",VLOOKUP($D$8,'Tablas Técnicas'!$I$7:$J$9,2,FALSE),"")</f>
        <v/>
      </c>
      <c r="BS175" s="1151"/>
      <c r="BT175" s="261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92"/>
      <c r="BV175" s="1128"/>
      <c r="BW175" s="1183" t="str">
        <f>IF(SUM(BT175:BU175)=0,"N/A",SUM(BT175:BU175))</f>
        <v>N/A</v>
      </c>
      <c r="BX175" s="261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83" t="str">
        <f>IF(BX175=0,"N/A",BX175)</f>
        <v>N/A</v>
      </c>
      <c r="BZ175" s="1492"/>
      <c r="CA175" s="1096"/>
      <c r="DR175" s="1096"/>
      <c r="DT175" s="1514"/>
      <c r="DU175" s="1569"/>
      <c r="DV175" s="1570"/>
      <c r="DW175" s="1566"/>
      <c r="DX175" s="1568"/>
      <c r="DY175" s="1513"/>
      <c r="DZ175" s="1096"/>
      <c r="EA175" s="1660">
        <f t="shared" si="2"/>
        <v>1</v>
      </c>
    </row>
    <row r="176" spans="1:131" x14ac:dyDescent="0.2">
      <c r="A176" s="1096"/>
      <c r="B176" s="1096"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97"/>
      <c r="D176" s="1643" t="s">
        <v>2310</v>
      </c>
      <c r="E176" s="1140"/>
      <c r="F176" s="1176"/>
      <c r="G176" s="1146" t="str">
        <f>IF(E176=0,"",VLOOKUP(E176,'Tablas Técnicas'!$A$14:$V$771,3,FALSE))</f>
        <v/>
      </c>
      <c r="H176" s="1188" t="str">
        <f>IF($E176=0,"",VLOOKUP($E176,'Tablas Técnicas'!$A$14:$V$771,4,FALSE))</f>
        <v/>
      </c>
      <c r="I176" s="1144" t="s">
        <v>2234</v>
      </c>
      <c r="J176" s="1607" t="str">
        <f>IF(E176=0,"",VLOOKUP(E176,'Tablas Técnicas'!$A$14:$V$771,5,FALSE))</f>
        <v/>
      </c>
      <c r="K176" s="1190" t="str">
        <f>IF(I176="Si",IF(E176=0,"",VLOOKUP(E176,'Tablas Técnicas'!$A$14:$V$771,5,FALSE)),"")</f>
        <v/>
      </c>
      <c r="L176" s="1144" t="s">
        <v>2234</v>
      </c>
      <c r="M176" s="1607" t="str">
        <f>IF(E176=0,"",VLOOKUP(E176,'Tablas Técnicas'!$A$14:$V$771,6,FALSE))</f>
        <v/>
      </c>
      <c r="N176" s="1147" t="str">
        <f>IF(L176="Si",IF(E176=0,"",VLOOKUP(E176,'Tablas Técnicas'!$A$14:$V$771,6,FALSE)),"")</f>
        <v/>
      </c>
      <c r="O176" s="1144" t="s">
        <v>2234</v>
      </c>
      <c r="P176" s="1607" t="str">
        <f>IF(E176=0,"",VLOOKUP(E176,'Tablas Técnicas'!$A$14:$V$771,7,FALSE))</f>
        <v/>
      </c>
      <c r="Q176" s="1147" t="str">
        <f>IF(O176="Si",IF(E176=0,"",VLOOKUP(E176,'Tablas Técnicas'!$A$14:$V$771,7,FALSE)),"")</f>
        <v/>
      </c>
      <c r="R176" s="1189" t="str">
        <f>IF(E176=0,"",VLOOKUP(E176,'Tablas Técnicas'!$A$14:$V$771,8,FALSE))</f>
        <v/>
      </c>
      <c r="S176" s="1161" t="str">
        <f>IF(R176=$D$8,$D$8,IF(R176=2,2,IF(R176=3,3,R176)))</f>
        <v/>
      </c>
      <c r="T176" s="1190" t="str">
        <f>IF(E176=0,"",VLOOKUP(E176,'Tablas Técnicas'!$A$14:$V$771,9,FALSE))</f>
        <v/>
      </c>
      <c r="U176" s="1190" t="str">
        <f>IF(E176=0,"",VLOOKUP(E176,'Tablas Técnicas'!$A$14:$V$771,10,FALSE))</f>
        <v/>
      </c>
      <c r="V176" s="1191" t="str">
        <f>IF(E176=0,"",VLOOKUP(E176,'Tablas Técnicas'!$A$14:$V$771,11,FALSE))</f>
        <v/>
      </c>
      <c r="W176" s="1144"/>
      <c r="X176" s="1145" t="e">
        <f>VLOOKUP(E176,'Tablas Técnicas'!$A$14:$V$771,12,FALSE)</f>
        <v>#N/A</v>
      </c>
      <c r="Y176" s="1145" t="e">
        <f>IF(W176=X176,VLOOKUP(E176,'Tablas Técnicas'!$A$14:$V$771,13,FALSE),0)</f>
        <v>#N/A</v>
      </c>
      <c r="Z176" s="1145" t="e">
        <f>VLOOKUP(E176,'Tablas Técnicas'!$A$14:$V$771,14,FALSE)</f>
        <v>#N/A</v>
      </c>
      <c r="AA176" s="1145" t="e">
        <f>IF(W176=Z176,VLOOKUP(E176,'Tablas Técnicas'!$A$14:$V$616,15,FALSE),0)</f>
        <v>#N/A</v>
      </c>
      <c r="AB176" s="1145" t="e">
        <f>VLOOKUP(E176,'Tablas Técnicas'!$A$14:$V$771,16,FALSE)</f>
        <v>#N/A</v>
      </c>
      <c r="AC176" s="1145" t="e">
        <f>IF(W176=AB176,VLOOKUP(E176,'Tablas Técnicas'!$A$14:$V$616,17,FALSE),0)</f>
        <v>#N/A</v>
      </c>
      <c r="AD176" s="1145" t="e">
        <f>VLOOKUP(E176,'Tablas Técnicas'!$A$14:$V$771,18,FALSE)</f>
        <v>#N/A</v>
      </c>
      <c r="AE176" s="1145" t="e">
        <f>IF(W176=AD176,VLOOKUP(E176,'Tablas Técnicas'!$A$14:$V$771,19,FALSE),0)</f>
        <v>#N/A</v>
      </c>
      <c r="AF176" s="1163" t="str">
        <f>IF(E176=0,"",(Y176+AA176+AC176+AE176))</f>
        <v/>
      </c>
      <c r="AG176" s="1144"/>
      <c r="AH176" s="1162" t="e">
        <f>VLOOKUP(E176,'Tablas Técnicas'!$A$14:$V$771,12,FALSE)</f>
        <v>#N/A</v>
      </c>
      <c r="AI176" s="1162" t="e">
        <f>IF(AG176=AH176,VLOOKUP(E176,'Tablas Técnicas'!$A$14:$V$771,13,FALSE),0)</f>
        <v>#N/A</v>
      </c>
      <c r="AJ176" s="1162" t="e">
        <f>VLOOKUP(E176,'Tablas Técnicas'!$A$14:$V$771,14,FALSE)</f>
        <v>#N/A</v>
      </c>
      <c r="AK176" s="1162" t="e">
        <f>IF(AG176=AJ176,VLOOKUP(E176,'Tablas Técnicas'!$A$14:$V$771,15,FALSE),0)</f>
        <v>#N/A</v>
      </c>
      <c r="AL176" s="1162" t="e">
        <f>VLOOKUP(E176,'Tablas Técnicas'!$A$14:$V$771,16,FALSE)</f>
        <v>#N/A</v>
      </c>
      <c r="AM176" s="1162" t="e">
        <f>IF(AG176=AL176,VLOOKUP(E176,'Tablas Técnicas'!$A$14:$V$771,17,FALSE),0)</f>
        <v>#N/A</v>
      </c>
      <c r="AN176" s="1162" t="e">
        <f>VLOOKUP(E176,'Tablas Técnicas'!$A$14:$V$771,18,FALSE)</f>
        <v>#N/A</v>
      </c>
      <c r="AO176" s="1162" t="e">
        <f>IF(AG176=AN176,VLOOKUP(E176,'Tablas Técnicas'!$A$14:$V$771,19,FALSE),0)</f>
        <v>#N/A</v>
      </c>
      <c r="AP176" s="2620" t="str">
        <f>IF(E176=0,"",(AI176+AK176+AM176+AO176))</f>
        <v/>
      </c>
      <c r="AQ176" s="1144"/>
      <c r="AR176" s="1162" t="e">
        <f>VLOOKUP(E176,'Tablas Técnicas'!$A$14:$V$771,12,FALSE)</f>
        <v>#N/A</v>
      </c>
      <c r="AS176" s="1162" t="e">
        <f>IF(AQ176=AR176,VLOOKUP(E176,'Tablas Técnicas'!$A$14:$V$771,13,FALSE),0)</f>
        <v>#N/A</v>
      </c>
      <c r="AT176" s="1162" t="e">
        <f>VLOOKUP(E176,'Tablas Técnicas'!$A$14:$V$771,14,FALSE)</f>
        <v>#N/A</v>
      </c>
      <c r="AU176" s="1162" t="e">
        <f>IF(AQ176=AT176,VLOOKUP(E176,'Tablas Técnicas'!$A$14:$V$771,15,FALSE),0)</f>
        <v>#N/A</v>
      </c>
      <c r="AV176" s="1162" t="e">
        <f>VLOOKUP(E176,'Tablas Técnicas'!$A$14:$V$771,16,FALSE)</f>
        <v>#N/A</v>
      </c>
      <c r="AW176" s="1162" t="e">
        <f>IF(AQ176=AV176,VLOOKUP(E176,'Tablas Técnicas'!$A$14:$V$771,17,FALSE),0)</f>
        <v>#N/A</v>
      </c>
      <c r="AX176" s="1162" t="e">
        <f>VLOOKUP(E176,'Tablas Técnicas'!$A$14:$V$771,18,FALSE)</f>
        <v>#N/A</v>
      </c>
      <c r="AY176" s="1162" t="e">
        <f>IF(AQ176=AX176,VLOOKUP(E176,'Tablas Técnicas'!$A$14:$V$771,19,FALSE),0)</f>
        <v>#N/A</v>
      </c>
      <c r="AZ176" s="1163" t="str">
        <f>IF(E176=0,"",(AS176+AU176+AW176+AY176))</f>
        <v/>
      </c>
      <c r="BA176" s="1144"/>
      <c r="BB176" s="1162" t="e">
        <f>VLOOKUP(E176,'Tablas Técnicas'!$A$14:$V$771,12,FALSE)</f>
        <v>#N/A</v>
      </c>
      <c r="BC176" s="1162" t="e">
        <f>IF(BA176=BB176,VLOOKUP(E176,'Tablas Técnicas'!$A$14:$V$771,13,FALSE),0)</f>
        <v>#N/A</v>
      </c>
      <c r="BD176" s="1162" t="e">
        <f>VLOOKUP(E176,'Tablas Técnicas'!$A$14:$V$771,14,FALSE)</f>
        <v>#N/A</v>
      </c>
      <c r="BE176" s="1162" t="e">
        <f>IF(BA176=BD176,VLOOKUP(E176,'Tablas Técnicas'!$A$14:$V$771,15,FALSE),0)</f>
        <v>#N/A</v>
      </c>
      <c r="BF176" s="1162" t="e">
        <f>VLOOKUP(E176,'Tablas Técnicas'!$A$14:$V$771,16,FALSE)</f>
        <v>#N/A</v>
      </c>
      <c r="BG176" s="1162" t="e">
        <f>IF(BA176=BF176,VLOOKUP(E176,'Tablas Técnicas'!$A$14:$V$771,17,FALSE),0)</f>
        <v>#N/A</v>
      </c>
      <c r="BH176" s="1162" t="e">
        <f>VLOOKUP(E176,'Tablas Técnicas'!$A$14:$V$771,18,FALSE)</f>
        <v>#N/A</v>
      </c>
      <c r="BI176" s="1162" t="e">
        <f>IF(BA176=BH176,VLOOKUP(E176,'Tablas Técnicas'!$A$14:$V$771,19,FALSE),0)</f>
        <v>#N/A</v>
      </c>
      <c r="BJ176" s="2620" t="str">
        <f>IF(E176=0,"",(BC176+BE176+BG176+BI176))</f>
        <v/>
      </c>
      <c r="BK176" s="1190" t="str">
        <f>IF(E176=0,"",VLOOKUP(E176,'Tablas Técnicas'!$A$14:$V$771,20,FALSE))</f>
        <v/>
      </c>
      <c r="BL176" s="1177" t="str">
        <f>IF(E176=0,"",VLOOKUP(E176,'Tablas Técnicas'!$A$14:$V$771,21,FALSE))</f>
        <v/>
      </c>
      <c r="BM176" s="1148" t="str">
        <f>IF(E176=0,"",VLOOKUP(E176,'Tablas Técnicas'!$A$14:$V$771,22,FALSE))</f>
        <v/>
      </c>
      <c r="BN176" s="1149"/>
      <c r="BO176" s="1150"/>
      <c r="BP176" s="1135" t="str">
        <f>IF(I176="Si",VLOOKUP($D$8,'Tablas Técnicas'!$E$4:$F$6,2,FALSE),"")</f>
        <v/>
      </c>
      <c r="BQ176" s="1136" t="str">
        <f>IF(L176="Si",VLOOKUP($D$8,'Tablas Técnicas'!$I$4:$J$6,2,FALSE),"")</f>
        <v/>
      </c>
      <c r="BR176" s="1134" t="str">
        <f>IF(O176="Si",VLOOKUP($D$8,'Tablas Técnicas'!$I$7:$J$9,2,FALSE),"")</f>
        <v/>
      </c>
      <c r="BS176" s="1151"/>
      <c r="BT176" s="2609" t="s">
        <v>2236</v>
      </c>
      <c r="BU176" s="2610" t="s">
        <v>5236</v>
      </c>
      <c r="BV176" s="1128"/>
      <c r="BW176" s="2610" t="s">
        <v>5237</v>
      </c>
      <c r="BX176" s="2609" t="s">
        <v>5238</v>
      </c>
      <c r="BY176" s="1489" t="s">
        <v>5238</v>
      </c>
      <c r="BZ176" s="1492"/>
      <c r="CA176" s="1096"/>
      <c r="DR176" s="1096"/>
      <c r="DT176" s="1514"/>
      <c r="DU176" s="1569"/>
      <c r="DV176" s="1566" t="str">
        <f>IF(E176="","",", "&amp;E176)&amp;IF(I176="No",""," (Mant.)")&amp;IF(L176="No",""," (Sme)")&amp;IF(O176="No",""," (SMa)")</f>
        <v/>
      </c>
      <c r="DW176" s="1566"/>
      <c r="DX176" s="1568"/>
      <c r="DY176" s="1513"/>
      <c r="DZ176" s="1096"/>
      <c r="EA176" s="1660">
        <f t="shared" si="2"/>
        <v>1</v>
      </c>
    </row>
    <row r="177" spans="1:131" x14ac:dyDescent="0.2">
      <c r="A177" s="1096"/>
      <c r="B177" s="1096"/>
      <c r="C177" s="1497"/>
      <c r="D177" s="1642" t="s">
        <v>2310</v>
      </c>
      <c r="E177" s="1152"/>
      <c r="F177" s="1182"/>
      <c r="G177" s="1627" t="str">
        <f>IF(E177=0,"",VLOOKUP(E177,'Tablas Técnicas'!$A$14:$V$771,3,FALSE))</f>
        <v/>
      </c>
      <c r="H177" s="1155" t="str">
        <f>IF($E177=0,"",VLOOKUP($E177,'Tablas Técnicas'!$A$14:$V$771,4,FALSE))</f>
        <v/>
      </c>
      <c r="I177" s="1156" t="s">
        <v>2234</v>
      </c>
      <c r="J177" s="1605" t="str">
        <f>IF(E177=0,"",VLOOKUP(E177,'Tablas Técnicas'!$A$14:$V$771,5,FALSE))</f>
        <v/>
      </c>
      <c r="K177" s="1158" t="str">
        <f>IF(I177="Si",IF(E177=0,"",VLOOKUP(E177,'Tablas Técnicas'!$A$14:$V$771,5,FALSE)),"")</f>
        <v/>
      </c>
      <c r="L177" s="1156" t="s">
        <v>2234</v>
      </c>
      <c r="M177" s="1605" t="str">
        <f>IF(E177=0,"",VLOOKUP(E177,'Tablas Técnicas'!$A$14:$V$771,6,FALSE))</f>
        <v/>
      </c>
      <c r="N177" s="1159" t="str">
        <f>IF(L177="Si",IF(E177=0,"",VLOOKUP(E177,'Tablas Técnicas'!$A$14:$V$771,6,FALSE)),"")</f>
        <v/>
      </c>
      <c r="O177" s="1156" t="s">
        <v>2234</v>
      </c>
      <c r="P177" s="1605" t="str">
        <f>IF(E177=0,"",VLOOKUP(E177,'Tablas Técnicas'!$A$14:$V$771,7,FALSE))</f>
        <v/>
      </c>
      <c r="Q177" s="1159" t="str">
        <f>IF(O177="Si",IF(E177=0,"",VLOOKUP(E177,'Tablas Técnicas'!$A$14:$V$771,7,FALSE)),"")</f>
        <v/>
      </c>
      <c r="R177" s="1157" t="str">
        <f>IF(E177=0,"",VLOOKUP(E177,'Tablas Técnicas'!$A$14:$V$771,8,FALSE))</f>
        <v/>
      </c>
      <c r="S177" s="1155" t="str">
        <f>IF(R177=$D$8,$D$8,IF(R177=2,2,IF(R177=3,3,R177)))</f>
        <v/>
      </c>
      <c r="T177" s="4475" t="s">
        <v>5228</v>
      </c>
      <c r="U177" s="4476"/>
      <c r="V177" s="4476"/>
      <c r="W177" s="4476"/>
      <c r="X177" s="4476"/>
      <c r="Y177" s="4476"/>
      <c r="Z177" s="4476"/>
      <c r="AA177" s="4476"/>
      <c r="AB177" s="4476"/>
      <c r="AC177" s="4476"/>
      <c r="AD177" s="4476"/>
      <c r="AE177" s="4476"/>
      <c r="AF177" s="4476"/>
      <c r="AG177" s="4476"/>
      <c r="AH177" s="4476"/>
      <c r="AI177" s="4476"/>
      <c r="AJ177" s="4476"/>
      <c r="AK177" s="4476"/>
      <c r="AL177" s="4476"/>
      <c r="AM177" s="4476"/>
      <c r="AN177" s="4476"/>
      <c r="AO177" s="4476"/>
      <c r="AP177" s="4476"/>
      <c r="AQ177" s="4476"/>
      <c r="AR177" s="4476"/>
      <c r="AS177" s="4476"/>
      <c r="AT177" s="4476"/>
      <c r="AU177" s="4476"/>
      <c r="AV177" s="4476"/>
      <c r="AW177" s="4476"/>
      <c r="AX177" s="4476"/>
      <c r="AY177" s="4476"/>
      <c r="AZ177" s="4476"/>
      <c r="BA177" s="4476"/>
      <c r="BB177" s="4476"/>
      <c r="BC177" s="4476"/>
      <c r="BD177" s="4476"/>
      <c r="BE177" s="4476"/>
      <c r="BF177" s="4476"/>
      <c r="BG177" s="4476"/>
      <c r="BH177" s="4476"/>
      <c r="BI177" s="4476"/>
      <c r="BJ177" s="4476"/>
      <c r="BK177" s="4477"/>
      <c r="BL177" s="1627"/>
      <c r="BM177" s="1628"/>
      <c r="BN177" s="1149"/>
      <c r="BO177" s="1150"/>
      <c r="BP177" s="1135" t="str">
        <f>IF(I177="Si",VLOOKUP($D$8,'Tablas Técnicas'!$E$4:$F$6,2,FALSE),"")</f>
        <v/>
      </c>
      <c r="BQ177" s="1136" t="str">
        <f>IF(L177="Si",VLOOKUP($D$8,'Tablas Técnicas'!$I$4:$J$6,2,FALSE),"")</f>
        <v/>
      </c>
      <c r="BR177" s="1134" t="str">
        <f>IF(O177="Si",VLOOKUP($D$8,'Tablas Técnicas'!$I$7:$J$9,2,FALSE),"")</f>
        <v/>
      </c>
      <c r="BS177" s="1151"/>
      <c r="BT177" s="261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92"/>
      <c r="BV177" s="1128"/>
      <c r="BW177" s="1183" t="str">
        <f>IF(SUM(BT177:BU177)=0,"N/A",SUM(BT177:BU177))</f>
        <v>N/A</v>
      </c>
      <c r="BX177" s="261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83" t="str">
        <f>IF(BX177=0,"N/A",BX177)</f>
        <v>N/A</v>
      </c>
      <c r="BZ177" s="1492"/>
      <c r="CA177" s="1096"/>
      <c r="DR177" s="1096"/>
      <c r="DT177" s="1514"/>
      <c r="DU177" s="1569"/>
      <c r="DV177" s="1566" t="str">
        <f>IF(E177="",""," "&amp;E177)&amp;IF(I177="No",""," (Mant.)")&amp;IF(L177="No",""," (Sme)")&amp;IF(O177="No",""," (SMa)")</f>
        <v/>
      </c>
      <c r="DW177" s="1566"/>
      <c r="DX177" s="1568"/>
      <c r="DY177" s="1513"/>
      <c r="DZ177" s="1096"/>
      <c r="EA177" s="1660">
        <f t="shared" si="2"/>
        <v>1</v>
      </c>
    </row>
    <row r="178" spans="1:131" x14ac:dyDescent="0.2">
      <c r="A178" s="1096"/>
      <c r="B178" s="1096"/>
      <c r="C178" s="1497"/>
      <c r="D178" s="1643" t="s">
        <v>2310</v>
      </c>
      <c r="E178" s="1160"/>
      <c r="F178" s="1176"/>
      <c r="G178" s="1146" t="str">
        <f>IF(E178=0,"",VLOOKUP(E178,'Tablas Técnicas'!$A$14:$V$771,3,FALSE))</f>
        <v/>
      </c>
      <c r="H178" s="2619" t="str">
        <f>IF($E178=0,"",VLOOKUP($E178,'Tablas Técnicas'!$A$14:$V$771,4,FALSE))</f>
        <v/>
      </c>
      <c r="I178" s="1144" t="s">
        <v>2234</v>
      </c>
      <c r="J178" s="1601" t="str">
        <f>IF(E178=0,"",VLOOKUP(E178,'Tablas Técnicas'!$A$14:$V$771,5,FALSE))</f>
        <v/>
      </c>
      <c r="K178" s="1163" t="str">
        <f>IF(I178="Si",IF(E178=0,"",VLOOKUP(E178,'Tablas Técnicas'!$A$14:$V$771,5,FALSE)),"")</f>
        <v/>
      </c>
      <c r="L178" s="1144" t="s">
        <v>2234</v>
      </c>
      <c r="M178" s="1601" t="str">
        <f>IF(E178=0,"",VLOOKUP(E178,'Tablas Técnicas'!$A$14:$V$771,6,FALSE))</f>
        <v/>
      </c>
      <c r="N178" s="1147" t="str">
        <f>IF(L178="Si",IF(E178=0,"",VLOOKUP(E178,'Tablas Técnicas'!$A$14:$V$771,6,FALSE)),"")</f>
        <v/>
      </c>
      <c r="O178" s="1144" t="s">
        <v>2234</v>
      </c>
      <c r="P178" s="1601" t="str">
        <f>IF(E178=0,"",VLOOKUP(E178,'Tablas Técnicas'!$A$14:$V$771,7,FALSE))</f>
        <v/>
      </c>
      <c r="Q178" s="1147" t="str">
        <f>IF(O178="Si",IF(E178=0,"",VLOOKUP(E178,'Tablas Técnicas'!$A$14:$V$771,7,FALSE)),"")</f>
        <v/>
      </c>
      <c r="R178" s="1162" t="str">
        <f>IF(E178=0,"",VLOOKUP(E178,'Tablas Técnicas'!$A$14:$V$771,8,FALSE))</f>
        <v/>
      </c>
      <c r="S178" s="2619" t="str">
        <f>IF(R178=$D$8,$D$8,IF(R178=2,2,IF(R178=3,3,R178)))</f>
        <v/>
      </c>
      <c r="T178" s="4487"/>
      <c r="U178" s="4488"/>
      <c r="V178" s="2617" t="str">
        <f>IF(OR(V176=0,V176=""),"N/A",V176)</f>
        <v>N/A</v>
      </c>
      <c r="W178" s="4487" t="str">
        <f xml:space="preserve"> IF(OR(AF176=0,AF176=""),"N/A",W176)</f>
        <v>N/A</v>
      </c>
      <c r="X178" s="4489"/>
      <c r="Y178" s="4489"/>
      <c r="Z178" s="4489"/>
      <c r="AA178" s="4489"/>
      <c r="AB178" s="4489"/>
      <c r="AC178" s="4489"/>
      <c r="AD178" s="4489"/>
      <c r="AE178" s="4489"/>
      <c r="AF178" s="4488"/>
      <c r="AG178" s="4487" t="str">
        <f xml:space="preserve"> IF(OR(AP176="",AP176=0),"N/A",AG176)</f>
        <v>N/A</v>
      </c>
      <c r="AH178" s="4489"/>
      <c r="AI178" s="4489"/>
      <c r="AJ178" s="4489"/>
      <c r="AK178" s="4489"/>
      <c r="AL178" s="4489"/>
      <c r="AM178" s="4489"/>
      <c r="AN178" s="4489"/>
      <c r="AO178" s="4489"/>
      <c r="AP178" s="4488"/>
      <c r="AQ178" s="4487" t="str">
        <f xml:space="preserve"> IF(OR(AZ176="",AZ176=0),"N/A",AQ176)</f>
        <v>N/A</v>
      </c>
      <c r="AR178" s="4489"/>
      <c r="AS178" s="4489"/>
      <c r="AT178" s="4489"/>
      <c r="AU178" s="4489"/>
      <c r="AV178" s="4489"/>
      <c r="AW178" s="4489"/>
      <c r="AX178" s="4489"/>
      <c r="AY178" s="4489"/>
      <c r="AZ178" s="4488"/>
      <c r="BA178" s="4487" t="str">
        <f xml:space="preserve"> IF(OR(BJ176="",BJ176=0),"N/A",BA176)</f>
        <v>N/A</v>
      </c>
      <c r="BB178" s="4489"/>
      <c r="BC178" s="4489"/>
      <c r="BD178" s="4489"/>
      <c r="BE178" s="4489"/>
      <c r="BF178" s="4489"/>
      <c r="BG178" s="4489"/>
      <c r="BH178" s="4489"/>
      <c r="BI178" s="4489"/>
      <c r="BJ178" s="4488"/>
      <c r="BK178" s="1164" t="s">
        <v>5229</v>
      </c>
      <c r="BL178" s="1146"/>
      <c r="BM178" s="1181"/>
      <c r="BN178" s="1165"/>
      <c r="BO178" s="1166"/>
      <c r="BP178" s="1167" t="str">
        <f>IF(I178="Si",VLOOKUP($D$8,'Tablas Técnicas'!$E$4:$F$6,2,FALSE),"")</f>
        <v/>
      </c>
      <c r="BQ178" s="1137" t="str">
        <f>IF(L178="Si",VLOOKUP($D$8,'Tablas Técnicas'!$I$4:$J$6,2,FALSE),"")</f>
        <v/>
      </c>
      <c r="BR178" s="1168" t="str">
        <f>IF(O178="Si",VLOOKUP($D$8,'Tablas Técnicas'!$I$7:$J$9,2,FALSE),"")</f>
        <v/>
      </c>
      <c r="BS178" s="1151"/>
      <c r="BT178" s="2609" t="s">
        <v>2244</v>
      </c>
      <c r="BU178" s="2610" t="s">
        <v>5236</v>
      </c>
      <c r="BV178" s="1128"/>
      <c r="BW178" s="2610" t="s">
        <v>5237</v>
      </c>
      <c r="BX178" s="2609" t="s">
        <v>5238</v>
      </c>
      <c r="BY178" s="1489" t="s">
        <v>5238</v>
      </c>
      <c r="BZ178" s="1492"/>
      <c r="CA178" s="1096"/>
      <c r="DR178" s="1096"/>
      <c r="DT178" s="1514"/>
      <c r="DU178" s="1569"/>
      <c r="DV178" s="1566" t="str">
        <f>IF(E178="","",E178)&amp;IF(I178="No",""," (Mant.)")&amp;IF(L178="No",""," (Sme)")&amp;IF(O178="No",""," (SMa)")</f>
        <v/>
      </c>
      <c r="DW178" s="1567"/>
      <c r="DX178" s="1568"/>
      <c r="DY178" s="1513"/>
      <c r="DZ178" s="1096"/>
      <c r="EA178" s="1660">
        <f t="shared" si="2"/>
        <v>1</v>
      </c>
    </row>
    <row r="179" spans="1:131" x14ac:dyDescent="0.2">
      <c r="A179" s="1096"/>
      <c r="B179" s="1096"/>
      <c r="C179" s="1497"/>
      <c r="D179" s="1642" t="s">
        <v>2310</v>
      </c>
      <c r="E179" s="1152"/>
      <c r="F179" s="1182"/>
      <c r="G179" s="1627" t="str">
        <f>IF(E179=0,"",VLOOKUP(E179,'Tablas Técnicas'!$A$14:$V$771,3,FALSE))</f>
        <v/>
      </c>
      <c r="H179" s="1155" t="str">
        <f>IF($E179=0,"",VLOOKUP($E179,'Tablas Técnicas'!$A$14:$V$771,4,FALSE))</f>
        <v/>
      </c>
      <c r="I179" s="1156" t="s">
        <v>2234</v>
      </c>
      <c r="J179" s="1605" t="str">
        <f>IF(E179=0,"",VLOOKUP(E179,'Tablas Técnicas'!$A$14:$V$771,5,FALSE))</f>
        <v/>
      </c>
      <c r="K179" s="1158" t="str">
        <f>IF(I179="Si",IF(E179=0,"",VLOOKUP(E179,'Tablas Técnicas'!$A$14:$V$771,5,FALSE)),"")</f>
        <v/>
      </c>
      <c r="L179" s="1156" t="s">
        <v>2234</v>
      </c>
      <c r="M179" s="1605" t="str">
        <f>IF(E179=0,"",VLOOKUP(E179,'Tablas Técnicas'!$A$14:$V$771,6,FALSE))</f>
        <v/>
      </c>
      <c r="N179" s="1159" t="str">
        <f>IF(L179="Si",IF(E179=0,"",VLOOKUP(E179,'Tablas Técnicas'!$A$14:$V$771,6,FALSE)),"")</f>
        <v/>
      </c>
      <c r="O179" s="1156" t="s">
        <v>2234</v>
      </c>
      <c r="P179" s="1605" t="str">
        <f>IF(E179=0,"",VLOOKUP(E179,'Tablas Técnicas'!$A$14:$V$771,7,FALSE))</f>
        <v/>
      </c>
      <c r="Q179" s="1159" t="str">
        <f>IF(O179="Si",IF(E179=0,"",VLOOKUP(E179,'Tablas Técnicas'!$A$14:$V$771,7,FALSE)),"")</f>
        <v/>
      </c>
      <c r="R179" s="1157" t="str">
        <f>IF(E179=0,"",VLOOKUP(E179,'Tablas Técnicas'!$A$14:$V$771,8,FALSE))</f>
        <v/>
      </c>
      <c r="S179" s="1155" t="str">
        <f>IF(R179=$D$8,$D$8,IF(R179=2,2,IF(R179=3,3,R179)))</f>
        <v/>
      </c>
      <c r="T179" s="4490" t="s">
        <v>5230</v>
      </c>
      <c r="U179" s="4491"/>
      <c r="V179" s="2618"/>
      <c r="W179" s="4492"/>
      <c r="X179" s="4493"/>
      <c r="Y179" s="4493"/>
      <c r="Z179" s="4493"/>
      <c r="AA179" s="4493"/>
      <c r="AB179" s="4493"/>
      <c r="AC179" s="4493"/>
      <c r="AD179" s="4493"/>
      <c r="AE179" s="4493"/>
      <c r="AF179" s="4494"/>
      <c r="AG179" s="4492"/>
      <c r="AH179" s="4493"/>
      <c r="AI179" s="4493"/>
      <c r="AJ179" s="4493"/>
      <c r="AK179" s="4493"/>
      <c r="AL179" s="4493"/>
      <c r="AM179" s="4493"/>
      <c r="AN179" s="4493"/>
      <c r="AO179" s="4493"/>
      <c r="AP179" s="4494"/>
      <c r="AQ179" s="4492"/>
      <c r="AR179" s="4493"/>
      <c r="AS179" s="4493"/>
      <c r="AT179" s="4493"/>
      <c r="AU179" s="4493"/>
      <c r="AV179" s="4493"/>
      <c r="AW179" s="4493"/>
      <c r="AX179" s="4493"/>
      <c r="AY179" s="4493"/>
      <c r="AZ179" s="4494"/>
      <c r="BA179" s="4492"/>
      <c r="BB179" s="4493"/>
      <c r="BC179" s="4493"/>
      <c r="BD179" s="4493"/>
      <c r="BE179" s="4493"/>
      <c r="BF179" s="4493"/>
      <c r="BG179" s="4493"/>
      <c r="BH179" s="4493"/>
      <c r="BI179" s="4493"/>
      <c r="BJ179" s="4494"/>
      <c r="BK179" s="1155">
        <f>(SUM(G176:G180)+IF(AF176="",0,AF176)+IF(AP176="",0,AP176)+IF(AZ176="",0,AZ176)+IF(BJ176="",0,BJ176)+SUM(K176:K180)+SUM(N176:N180)+SUM(Q176:Q180))- SUM(V179:BA179)</f>
        <v>0</v>
      </c>
      <c r="BL179" s="1627"/>
      <c r="BM179" s="1628"/>
      <c r="BN179" s="1149"/>
      <c r="BO179" s="1150"/>
      <c r="BP179" s="1135" t="str">
        <f>IF(I179="Si",VLOOKUP($D$8,'Tablas Técnicas'!$E$4:$F$6,2,FALSE),"")</f>
        <v/>
      </c>
      <c r="BQ179" s="1136" t="str">
        <f>IF(L179="Si",VLOOKUP($D$8,'Tablas Técnicas'!$I$4:$J$6,2,FALSE),"")</f>
        <v/>
      </c>
      <c r="BR179" s="1134" t="str">
        <f>IF(O179="Si",VLOOKUP($D$8,'Tablas Técnicas'!$I$7:$J$9,2,FALSE),"")</f>
        <v/>
      </c>
      <c r="BS179" s="1151"/>
      <c r="BT179" s="261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92"/>
      <c r="BV179" s="1128"/>
      <c r="BW179" s="1183" t="str">
        <f>IF(SUM(BT179:BU179)=0,"N/A",SUM(BT179:BU179))</f>
        <v>N/A</v>
      </c>
      <c r="BX179" s="261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83" t="str">
        <f>IF(BX179=0,"N/A",BX179)</f>
        <v>N/A</v>
      </c>
      <c r="BZ179" s="1492"/>
      <c r="CA179" s="1096"/>
      <c r="DR179" s="1096"/>
      <c r="DT179" s="1514"/>
      <c r="DU179" s="1569"/>
      <c r="DV179" s="1566" t="str">
        <f>IF(E179="","",E179)&amp;IF(I179="No",""," (Mant.)")&amp;IF(L179="No",""," (Sme)")&amp;IF(O179="No",""," (SMa)")</f>
        <v/>
      </c>
      <c r="DW179" s="1567"/>
      <c r="DX179" s="1568"/>
      <c r="DY179" s="1513"/>
      <c r="DZ179" s="1096"/>
      <c r="EA179" s="1660">
        <f t="shared" si="2"/>
        <v>1</v>
      </c>
    </row>
    <row r="180" spans="1:131" x14ac:dyDescent="0.2">
      <c r="A180" s="1096"/>
      <c r="B180" s="1096"/>
      <c r="C180" s="1497"/>
      <c r="D180" s="1643" t="s">
        <v>2310</v>
      </c>
      <c r="E180" s="1160"/>
      <c r="F180" s="1176"/>
      <c r="G180" s="1146" t="str">
        <f>IF(E180=0,"",VLOOKUP(E180,'Tablas Técnicas'!$A$14:$V$771,3,FALSE))</f>
        <v/>
      </c>
      <c r="H180" s="1171" t="str">
        <f>IF($E180=0,"",VLOOKUP($E180,'Tablas Técnicas'!$A$14:$V$771,4,FALSE))</f>
        <v/>
      </c>
      <c r="I180" s="1144" t="s">
        <v>2234</v>
      </c>
      <c r="J180" s="1608" t="str">
        <f>IF(E180=0,"",VLOOKUP(E180,'Tablas Técnicas'!$A$14:$V$771,5,FALSE))</f>
        <v/>
      </c>
      <c r="K180" s="1172" t="str">
        <f>IF(I180="Si",IF(E180=0,"",VLOOKUP(E180,'Tablas Técnicas'!$A$14:$V$771,5,FALSE)),"")</f>
        <v/>
      </c>
      <c r="L180" s="1144" t="s">
        <v>2234</v>
      </c>
      <c r="M180" s="1608" t="str">
        <f>IF(E180=0,"",VLOOKUP(E180,'Tablas Técnicas'!$A$14:$V$771,6,FALSE))</f>
        <v/>
      </c>
      <c r="N180" s="1147" t="str">
        <f>IF(L180="Si",IF(E180=0,"",VLOOKUP(E180,'Tablas Técnicas'!$A$14:$V$771,6,FALSE)),"")</f>
        <v/>
      </c>
      <c r="O180" s="1144" t="s">
        <v>2234</v>
      </c>
      <c r="P180" s="1608" t="str">
        <f>IF(E180=0,"",VLOOKUP(E180,'Tablas Técnicas'!$A$14:$V$771,7,FALSE))</f>
        <v/>
      </c>
      <c r="Q180" s="1147" t="str">
        <f>IF(O180="Si",IF(E180=0,"",VLOOKUP(E180,'Tablas Técnicas'!$A$14:$V$771,7,FALSE)),"")</f>
        <v/>
      </c>
      <c r="R180" s="1193" t="str">
        <f>IF(E180=0,"",VLOOKUP(E180,'Tablas Técnicas'!$A$14:$V$771,8,FALSE))</f>
        <v/>
      </c>
      <c r="S180" s="1161" t="str">
        <f>IF(R180=$D$8,$D$8,IF(R180=2,2,IF(R180=3,3,R180)))</f>
        <v/>
      </c>
      <c r="T180" s="4482" t="s">
        <v>5232</v>
      </c>
      <c r="U180" s="4483"/>
      <c r="V180" s="2616"/>
      <c r="W180" s="4484"/>
      <c r="X180" s="4485"/>
      <c r="Y180" s="4485"/>
      <c r="Z180" s="4485"/>
      <c r="AA180" s="4485"/>
      <c r="AB180" s="4485"/>
      <c r="AC180" s="4485"/>
      <c r="AD180" s="4485"/>
      <c r="AE180" s="4485"/>
      <c r="AF180" s="4486"/>
      <c r="AG180" s="4484"/>
      <c r="AH180" s="4485"/>
      <c r="AI180" s="4485"/>
      <c r="AJ180" s="4485"/>
      <c r="AK180" s="4485"/>
      <c r="AL180" s="4485"/>
      <c r="AM180" s="4485"/>
      <c r="AN180" s="4485"/>
      <c r="AO180" s="4485"/>
      <c r="AP180" s="4486"/>
      <c r="AQ180" s="4484"/>
      <c r="AR180" s="4485"/>
      <c r="AS180" s="4485"/>
      <c r="AT180" s="4485"/>
      <c r="AU180" s="4485"/>
      <c r="AV180" s="4485"/>
      <c r="AW180" s="4485"/>
      <c r="AX180" s="4485"/>
      <c r="AY180" s="4485"/>
      <c r="AZ180" s="4486"/>
      <c r="BA180" s="4484"/>
      <c r="BB180" s="4485"/>
      <c r="BC180" s="4485"/>
      <c r="BD180" s="4485"/>
      <c r="BE180" s="4485"/>
      <c r="BF180" s="4485"/>
      <c r="BG180" s="4485"/>
      <c r="BH180" s="4485"/>
      <c r="BI180" s="4485"/>
      <c r="BJ180" s="4486"/>
      <c r="BK180" s="1171">
        <f>SUM(K176:K180)-SUM(V180:BA180)</f>
        <v>0</v>
      </c>
      <c r="BL180" s="1629"/>
      <c r="BM180" s="1630"/>
      <c r="BN180" s="1165"/>
      <c r="BO180" s="1166"/>
      <c r="BP180" s="1167" t="str">
        <f>IF(I180="Si",VLOOKUP($D$8,'Tablas Técnicas'!$E$4:$F$6,2,FALSE),"")</f>
        <v/>
      </c>
      <c r="BQ180" s="1137" t="str">
        <f>IF(L180="Si",VLOOKUP($D$8,'Tablas Técnicas'!$I$4:$J$6,2,FALSE),"")</f>
        <v/>
      </c>
      <c r="BR180" s="1168" t="str">
        <f>IF(O180="Si",VLOOKUP($D$8,'Tablas Técnicas'!$I$7:$J$9,2,FALSE),"")</f>
        <v/>
      </c>
      <c r="BS180" s="1151"/>
      <c r="BT180" s="2609" t="s">
        <v>2245</v>
      </c>
      <c r="BU180" s="2610" t="s">
        <v>5236</v>
      </c>
      <c r="BV180" s="1128"/>
      <c r="BW180" s="2610" t="s">
        <v>5237</v>
      </c>
      <c r="BX180" s="2609" t="s">
        <v>5238</v>
      </c>
      <c r="BY180" s="1489" t="s">
        <v>5238</v>
      </c>
      <c r="BZ180" s="1492"/>
      <c r="CA180" s="1096"/>
      <c r="DR180" s="1096"/>
      <c r="DT180" s="1514"/>
      <c r="DU180" s="1569"/>
      <c r="DV180" s="1566" t="str">
        <f>IF(E180="","",E180)&amp;IF(I180="No",""," (Mant.)")&amp;IF(L180="No",""," (Sme)")&amp;IF(O180="No",""," (SMa)")</f>
        <v/>
      </c>
      <c r="DW180" s="1567"/>
      <c r="DX180" s="1568"/>
      <c r="DY180" s="1513"/>
      <c r="DZ180" s="1096"/>
      <c r="EA180" s="1660">
        <f t="shared" si="2"/>
        <v>1</v>
      </c>
    </row>
    <row r="181" spans="1:131" x14ac:dyDescent="0.2">
      <c r="A181" s="1096"/>
      <c r="B181" s="159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97"/>
      <c r="D181" s="1644">
        <v>5</v>
      </c>
      <c r="E181" s="1423"/>
      <c r="F181" s="1173"/>
      <c r="G181" s="1174"/>
      <c r="H181" s="2559">
        <f>IF(AND(OR(ISNUMBER(SEARCH("Afinidad Elemental ("&amp;BK176&amp;")",Principal!$AF$30)),ISNUMBER(SEARCH("Afinidad Elemental ("&amp;BL176&amp;")",Principal!$AF$30)),ISNUMBER(SEARCH("Afinidad Elemental ("&amp;BM176&amp;")",Principal!$AF$30))),SUM(H176:H180)&gt;=5),-5,0)</f>
        <v>0</v>
      </c>
      <c r="I181" s="1603"/>
      <c r="J181" s="1606"/>
      <c r="K181" s="1174"/>
      <c r="L181" s="1603"/>
      <c r="M181" s="1606"/>
      <c r="N181" s="1174"/>
      <c r="O181" s="1603"/>
      <c r="P181" s="1606"/>
      <c r="Q181" s="1174"/>
      <c r="R181" s="1175"/>
      <c r="S181" s="1174"/>
      <c r="T181" s="1174"/>
      <c r="U181" s="1174"/>
      <c r="V181" s="1174"/>
      <c r="W181" s="1174"/>
      <c r="X181" s="1174"/>
      <c r="Y181" s="1174"/>
      <c r="Z181" s="1174"/>
      <c r="AA181" s="1174"/>
      <c r="AB181" s="1174"/>
      <c r="AC181" s="1174"/>
      <c r="AD181" s="1174"/>
      <c r="AE181" s="1174"/>
      <c r="AF181" s="1174"/>
      <c r="AG181" s="1174"/>
      <c r="AH181" s="1174"/>
      <c r="AI181" s="1174"/>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c r="BD181" s="1174"/>
      <c r="BE181" s="1174"/>
      <c r="BF181" s="1174"/>
      <c r="BG181" s="1174"/>
      <c r="BH181" s="1174"/>
      <c r="BI181" s="1174"/>
      <c r="BJ181" s="1174"/>
      <c r="BK181" s="1174"/>
      <c r="BL181" s="1174"/>
      <c r="BM181" s="1184"/>
      <c r="BN181" s="1185">
        <f>SUM(K181:K184)</f>
        <v>0</v>
      </c>
      <c r="BO181" s="1128" t="str">
        <f>IF(E181=0,"",(AF181+AP181+AZ181+BJ181))</f>
        <v/>
      </c>
      <c r="BP181" s="1186" t="str">
        <f>IF(I181="Si",VLOOKUP($D$8,'Tablas Técnicas'!$E$4:$F$6,2,FALSE),"")</f>
        <v/>
      </c>
      <c r="BQ181" s="1187" t="str">
        <f>IF(L181="Si",VLOOKUP($D$8,'Tablas Técnicas'!$I$4:$J$6,2,FALSE),"")</f>
        <v/>
      </c>
      <c r="BR181" s="1185" t="str">
        <f>IF(O181="Si",VLOOKUP($D$8,'Tablas Técnicas'!$I$7:$J$9,2,FALSE),"")</f>
        <v/>
      </c>
      <c r="BS181" s="1151"/>
      <c r="BT181" s="261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92"/>
      <c r="BV181" s="1128"/>
      <c r="BW181" s="1183" t="str">
        <f>IF(SUM(BT181:BU181)=0,"N/A",SUM(BT181:BU181))</f>
        <v>N/A</v>
      </c>
      <c r="BX181" s="261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83" t="str">
        <f>IF(BX181=0,"N/A",BX181)</f>
        <v>N/A</v>
      </c>
      <c r="BZ181" s="1492"/>
      <c r="CA181" s="1096"/>
      <c r="DR181" s="1096"/>
      <c r="DT181" s="1514"/>
      <c r="DU181" s="1569"/>
      <c r="DV181" s="1570"/>
      <c r="DW181" s="1567"/>
      <c r="DX181" s="1568"/>
      <c r="DY181" s="1513"/>
      <c r="DZ181" s="1096"/>
      <c r="EA181" s="1660">
        <f t="shared" si="2"/>
        <v>1</v>
      </c>
    </row>
    <row r="182" spans="1:131" ht="12" thickBot="1" x14ac:dyDescent="0.25">
      <c r="A182" s="1096"/>
      <c r="B182" s="1096"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97"/>
      <c r="D182" s="1643" t="s">
        <v>2310</v>
      </c>
      <c r="E182" s="1140"/>
      <c r="F182" s="1176"/>
      <c r="G182" s="1146" t="str">
        <f>IF(E182=0,"",VLOOKUP(E182,'Tablas Técnicas'!$A$14:$V$771,3,FALSE))</f>
        <v/>
      </c>
      <c r="H182" s="1188" t="str">
        <f>IF($E182=0,"",VLOOKUP($E182,'Tablas Técnicas'!$A$14:$V$771,4,FALSE))</f>
        <v/>
      </c>
      <c r="I182" s="1144" t="s">
        <v>2234</v>
      </c>
      <c r="J182" s="1607" t="str">
        <f>IF(E182=0,"",VLOOKUP(E182,'Tablas Técnicas'!$A$14:$V$771,5,FALSE))</f>
        <v/>
      </c>
      <c r="K182" s="1190" t="str">
        <f>IF(I182="Si",IF(E182=0,"",VLOOKUP(E182,'Tablas Técnicas'!$A$14:$V$771,5,FALSE)),"")</f>
        <v/>
      </c>
      <c r="L182" s="1144" t="s">
        <v>2234</v>
      </c>
      <c r="M182" s="1607" t="str">
        <f>IF(E182=0,"",VLOOKUP(E182,'Tablas Técnicas'!$A$14:$V$771,6,FALSE))</f>
        <v/>
      </c>
      <c r="N182" s="1147" t="str">
        <f>IF(L182="Si",IF(E182=0,"",VLOOKUP(E182,'Tablas Técnicas'!$A$14:$V$771,6,FALSE)),"")</f>
        <v/>
      </c>
      <c r="O182" s="1144" t="s">
        <v>2234</v>
      </c>
      <c r="P182" s="1607" t="str">
        <f>IF(E182=0,"",VLOOKUP(E182,'Tablas Técnicas'!$A$14:$V$771,7,FALSE))</f>
        <v/>
      </c>
      <c r="Q182" s="1147" t="str">
        <f>IF(O182="Si",IF(E182=0,"",VLOOKUP(E182,'Tablas Técnicas'!$A$14:$V$771,7,FALSE)),"")</f>
        <v/>
      </c>
      <c r="R182" s="1189" t="str">
        <f>IF(E182=0,"",VLOOKUP(E182,'Tablas Técnicas'!$A$14:$V$771,8,FALSE))</f>
        <v/>
      </c>
      <c r="S182" s="1161" t="str">
        <f>IF(R182=$D$8,$D$8,IF(R182=2,2,IF(R182=3,3,R182)))</f>
        <v/>
      </c>
      <c r="T182" s="1190" t="str">
        <f>IF(E182=0,"",VLOOKUP(E182,'Tablas Técnicas'!$A$14:$V$771,9,FALSE))</f>
        <v/>
      </c>
      <c r="U182" s="1190" t="str">
        <f>IF(E182=0,"",VLOOKUP(E182,'Tablas Técnicas'!$A$14:$V$771,10,FALSE))</f>
        <v/>
      </c>
      <c r="V182" s="1191" t="str">
        <f>IF(E182=0,"",VLOOKUP(E182,'Tablas Técnicas'!$A$14:$V$771,11,FALSE))</f>
        <v/>
      </c>
      <c r="W182" s="1144"/>
      <c r="X182" s="1145" t="e">
        <f>VLOOKUP(E182,'Tablas Técnicas'!$A$14:$V$771,12,FALSE)</f>
        <v>#N/A</v>
      </c>
      <c r="Y182" s="1145" t="e">
        <f>IF(W182=X182,VLOOKUP(E182,'Tablas Técnicas'!$A$14:$V$771,13,FALSE),0)</f>
        <v>#N/A</v>
      </c>
      <c r="Z182" s="1145" t="e">
        <f>VLOOKUP(E182,'Tablas Técnicas'!$A$14:$V$771,14,FALSE)</f>
        <v>#N/A</v>
      </c>
      <c r="AA182" s="1145" t="e">
        <f>IF(W182=Z182,VLOOKUP(E182,'Tablas Técnicas'!$A$14:$V$616,15,FALSE),0)</f>
        <v>#N/A</v>
      </c>
      <c r="AB182" s="1145" t="e">
        <f>VLOOKUP(E182,'Tablas Técnicas'!$A$14:$V$771,16,FALSE)</f>
        <v>#N/A</v>
      </c>
      <c r="AC182" s="1145" t="e">
        <f>IF(W182=AB182,VLOOKUP(E182,'Tablas Técnicas'!$A$14:$V$616,17,FALSE),0)</f>
        <v>#N/A</v>
      </c>
      <c r="AD182" s="1145" t="e">
        <f>VLOOKUP(E182,'Tablas Técnicas'!$A$14:$V$771,18,FALSE)</f>
        <v>#N/A</v>
      </c>
      <c r="AE182" s="1145" t="e">
        <f>IF(W182=AD182,VLOOKUP(E182,'Tablas Técnicas'!$A$14:$V$771,19,FALSE),0)</f>
        <v>#N/A</v>
      </c>
      <c r="AF182" s="1163" t="str">
        <f>IF(E182=0,"",(Y182+AA182+AC182+AE182))</f>
        <v/>
      </c>
      <c r="AG182" s="1144"/>
      <c r="AH182" s="1162" t="e">
        <f>VLOOKUP(E182,'Tablas Técnicas'!$A$14:$V$771,12,FALSE)</f>
        <v>#N/A</v>
      </c>
      <c r="AI182" s="1162" t="e">
        <f>IF(AG182=AH182,VLOOKUP(E182,'Tablas Técnicas'!$A$14:$V$771,13,FALSE),0)</f>
        <v>#N/A</v>
      </c>
      <c r="AJ182" s="1162" t="e">
        <f>VLOOKUP(E182,'Tablas Técnicas'!$A$14:$V$771,14,FALSE)</f>
        <v>#N/A</v>
      </c>
      <c r="AK182" s="1162" t="e">
        <f>IF(AG182=AJ182,VLOOKUP(E182,'Tablas Técnicas'!$A$14:$V$771,15,FALSE),0)</f>
        <v>#N/A</v>
      </c>
      <c r="AL182" s="1162" t="e">
        <f>VLOOKUP(E182,'Tablas Técnicas'!$A$14:$V$771,16,FALSE)</f>
        <v>#N/A</v>
      </c>
      <c r="AM182" s="1162" t="e">
        <f>IF(AG182=AL182,VLOOKUP(E182,'Tablas Técnicas'!$A$14:$V$771,17,FALSE),0)</f>
        <v>#N/A</v>
      </c>
      <c r="AN182" s="1162" t="e">
        <f>VLOOKUP(E182,'Tablas Técnicas'!$A$14:$V$771,18,FALSE)</f>
        <v>#N/A</v>
      </c>
      <c r="AO182" s="1162" t="e">
        <f>IF(AG182=AN182,VLOOKUP(E182,'Tablas Técnicas'!$A$14:$V$771,19,FALSE),0)</f>
        <v>#N/A</v>
      </c>
      <c r="AP182" s="2620" t="str">
        <f>IF(E182=0,"",(AI182+AK182+AM182+AO182))</f>
        <v/>
      </c>
      <c r="AQ182" s="1144"/>
      <c r="AR182" s="1162" t="e">
        <f>VLOOKUP(E182,'Tablas Técnicas'!$A$14:$V$771,12,FALSE)</f>
        <v>#N/A</v>
      </c>
      <c r="AS182" s="1162" t="e">
        <f>IF(AQ182=AR182,VLOOKUP(E182,'Tablas Técnicas'!$A$14:$V$771,13,FALSE),0)</f>
        <v>#N/A</v>
      </c>
      <c r="AT182" s="1162" t="e">
        <f>VLOOKUP(E182,'Tablas Técnicas'!$A$14:$V$771,14,FALSE)</f>
        <v>#N/A</v>
      </c>
      <c r="AU182" s="1162" t="e">
        <f>IF(AQ182=AT182,VLOOKUP(E182,'Tablas Técnicas'!$A$14:$V$771,15,FALSE),0)</f>
        <v>#N/A</v>
      </c>
      <c r="AV182" s="1162" t="e">
        <f>VLOOKUP(E182,'Tablas Técnicas'!$A$14:$V$771,16,FALSE)</f>
        <v>#N/A</v>
      </c>
      <c r="AW182" s="1162" t="e">
        <f>IF(AQ182=AV182,VLOOKUP(E182,'Tablas Técnicas'!$A$14:$V$771,17,FALSE),0)</f>
        <v>#N/A</v>
      </c>
      <c r="AX182" s="1162" t="e">
        <f>VLOOKUP(E182,'Tablas Técnicas'!$A$14:$V$771,18,FALSE)</f>
        <v>#N/A</v>
      </c>
      <c r="AY182" s="1162" t="e">
        <f>IF(AQ182=AX182,VLOOKUP(E182,'Tablas Técnicas'!$A$14:$V$771,19,FALSE),0)</f>
        <v>#N/A</v>
      </c>
      <c r="AZ182" s="1163" t="str">
        <f>IF(E182=0,"",(AS182+AU182+AW182+AY182))</f>
        <v/>
      </c>
      <c r="BA182" s="1144"/>
      <c r="BB182" s="1162" t="e">
        <f>VLOOKUP(E182,'Tablas Técnicas'!$A$14:$V$771,12,FALSE)</f>
        <v>#N/A</v>
      </c>
      <c r="BC182" s="1162" t="e">
        <f>IF(BA182=BB182,VLOOKUP(E182,'Tablas Técnicas'!$A$14:$V$771,13,FALSE),0)</f>
        <v>#N/A</v>
      </c>
      <c r="BD182" s="1162" t="e">
        <f>VLOOKUP(E182,'Tablas Técnicas'!$A$14:$V$771,14,FALSE)</f>
        <v>#N/A</v>
      </c>
      <c r="BE182" s="1162" t="e">
        <f>IF(BA182=BD182,VLOOKUP(E182,'Tablas Técnicas'!$A$14:$V$771,15,FALSE),0)</f>
        <v>#N/A</v>
      </c>
      <c r="BF182" s="1162" t="e">
        <f>VLOOKUP(E182,'Tablas Técnicas'!$A$14:$V$771,16,FALSE)</f>
        <v>#N/A</v>
      </c>
      <c r="BG182" s="1162" t="e">
        <f>IF(BA182=BF182,VLOOKUP(E182,'Tablas Técnicas'!$A$14:$V$771,17,FALSE),0)</f>
        <v>#N/A</v>
      </c>
      <c r="BH182" s="1162" t="e">
        <f>VLOOKUP(E182,'Tablas Técnicas'!$A$14:$V$771,18,FALSE)</f>
        <v>#N/A</v>
      </c>
      <c r="BI182" s="1162" t="e">
        <f>IF(BA182=BH182,VLOOKUP(E182,'Tablas Técnicas'!$A$14:$V$771,19,FALSE),0)</f>
        <v>#N/A</v>
      </c>
      <c r="BJ182" s="2620" t="str">
        <f>IF(E182=0,"",(BC182+BE182+BG182+BI182))</f>
        <v/>
      </c>
      <c r="BK182" s="1190" t="str">
        <f>IF(E182=0,"",VLOOKUP(E182,'Tablas Técnicas'!$A$14:$V$771,20,FALSE))</f>
        <v/>
      </c>
      <c r="BL182" s="1177" t="str">
        <f>IF(E182=0,"",VLOOKUP(E182,'Tablas Técnicas'!$A$14:$V$771,21,FALSE))</f>
        <v/>
      </c>
      <c r="BM182" s="1148" t="str">
        <f>IF(E182=0,"",VLOOKUP(E182,'Tablas Técnicas'!$A$14:$V$771,22,FALSE))</f>
        <v/>
      </c>
      <c r="BN182" s="1149"/>
      <c r="BO182" s="1150"/>
      <c r="BP182" s="1135" t="str">
        <f>IF(I182="Si",VLOOKUP($D$8,'Tablas Técnicas'!$E$4:$F$6,2,FALSE),"")</f>
        <v/>
      </c>
      <c r="BQ182" s="1136" t="str">
        <f>IF(L182="Si",VLOOKUP($D$8,'Tablas Técnicas'!$I$4:$J$6,2,FALSE),"")</f>
        <v/>
      </c>
      <c r="BR182" s="1134" t="str">
        <f>IF(O182="Si",VLOOKUP($D$8,'Tablas Técnicas'!$I$7:$J$9,2,FALSE),"")</f>
        <v/>
      </c>
      <c r="BS182" s="1151"/>
      <c r="BU182" s="4442"/>
      <c r="BV182" s="4442"/>
      <c r="BW182" s="4442"/>
      <c r="BX182" s="1108"/>
      <c r="BY182" s="1475"/>
      <c r="BZ182" s="1492"/>
      <c r="CA182" s="1096"/>
      <c r="DR182" s="1096"/>
      <c r="DT182" s="1515"/>
      <c r="DU182" s="1618" t="str">
        <f>DU158&amp;DU159&amp;DU160&amp;DU161&amp;DU162&amp;DU163</f>
        <v/>
      </c>
      <c r="DV182" s="1619" t="str">
        <f>DV158&amp;DV159&amp;DV160&amp;DV161&amp;DV162&amp;DV164&amp;DV165&amp;DV166&amp;DV167&amp;DV168&amp;DV170&amp;DV171&amp;DV172&amp;DV173&amp;DV174&amp;DV176&amp;DV177&amp;DV178&amp;DV179&amp;DV180</f>
        <v/>
      </c>
      <c r="DW182" s="1620" t="str">
        <f>DW158&amp;DW159&amp;DW160</f>
        <v/>
      </c>
      <c r="DX182" s="1621" t="str">
        <f>IF(DX164="",DX158,DX164)</f>
        <v/>
      </c>
      <c r="DY182" s="1516"/>
      <c r="DZ182" s="1096"/>
      <c r="EA182" s="1660">
        <f t="shared" si="2"/>
        <v>1</v>
      </c>
    </row>
    <row r="183" spans="1:131" x14ac:dyDescent="0.2">
      <c r="A183" s="1096"/>
      <c r="B183" s="1096"/>
      <c r="C183" s="1497"/>
      <c r="D183" s="1642" t="s">
        <v>2310</v>
      </c>
      <c r="E183" s="1152"/>
      <c r="F183" s="1182"/>
      <c r="G183" s="1627" t="str">
        <f>IF(E183=0,"",VLOOKUP(E183,'Tablas Técnicas'!$A$14:$V$771,3,FALSE))</f>
        <v/>
      </c>
      <c r="H183" s="1155" t="str">
        <f>IF($E183=0,"",VLOOKUP($E183,'Tablas Técnicas'!$A$14:$V$771,4,FALSE))</f>
        <v/>
      </c>
      <c r="I183" s="1156" t="s">
        <v>2234</v>
      </c>
      <c r="J183" s="1605" t="str">
        <f>IF(E183=0,"",VLOOKUP(E183,'Tablas Técnicas'!$A$14:$V$771,5,FALSE))</f>
        <v/>
      </c>
      <c r="K183" s="1158" t="str">
        <f>IF(I183="Si",IF(E183=0,"",VLOOKUP(E183,'Tablas Técnicas'!$A$14:$V$771,5,FALSE)),"")</f>
        <v/>
      </c>
      <c r="L183" s="1156" t="s">
        <v>2234</v>
      </c>
      <c r="M183" s="1605" t="str">
        <f>IF(E183=0,"",VLOOKUP(E183,'Tablas Técnicas'!$A$14:$V$771,6,FALSE))</f>
        <v/>
      </c>
      <c r="N183" s="1159" t="str">
        <f>IF(L183="Si",IF(E183=0,"",VLOOKUP(E183,'Tablas Técnicas'!$A$14:$V$771,6,FALSE)),"")</f>
        <v/>
      </c>
      <c r="O183" s="1156" t="s">
        <v>2234</v>
      </c>
      <c r="P183" s="1605" t="str">
        <f>IF(E183=0,"",VLOOKUP(E183,'Tablas Técnicas'!$A$14:$V$771,7,FALSE))</f>
        <v/>
      </c>
      <c r="Q183" s="1159" t="str">
        <f>IF(O183="Si",IF(E183=0,"",VLOOKUP(E183,'Tablas Técnicas'!$A$14:$V$771,7,FALSE)),"")</f>
        <v/>
      </c>
      <c r="R183" s="1157" t="str">
        <f>IF(E183=0,"",VLOOKUP(E183,'Tablas Técnicas'!$A$14:$V$771,8,FALSE))</f>
        <v/>
      </c>
      <c r="S183" s="1155" t="str">
        <f>IF(R183=$D$8,$D$8,IF(R183=2,2,IF(R183=3,3,R183)))</f>
        <v/>
      </c>
      <c r="T183" s="4475" t="s">
        <v>5228</v>
      </c>
      <c r="U183" s="4476"/>
      <c r="V183" s="4476"/>
      <c r="W183" s="4476"/>
      <c r="X183" s="4476"/>
      <c r="Y183" s="4476"/>
      <c r="Z183" s="4476"/>
      <c r="AA183" s="4476"/>
      <c r="AB183" s="4476"/>
      <c r="AC183" s="4476"/>
      <c r="AD183" s="4476"/>
      <c r="AE183" s="4476"/>
      <c r="AF183" s="4476"/>
      <c r="AG183" s="4476"/>
      <c r="AH183" s="4476"/>
      <c r="AI183" s="4476"/>
      <c r="AJ183" s="4476"/>
      <c r="AK183" s="4476"/>
      <c r="AL183" s="4476"/>
      <c r="AM183" s="4476"/>
      <c r="AN183" s="4476"/>
      <c r="AO183" s="4476"/>
      <c r="AP183" s="4476"/>
      <c r="AQ183" s="4476"/>
      <c r="AR183" s="4476"/>
      <c r="AS183" s="4476"/>
      <c r="AT183" s="4476"/>
      <c r="AU183" s="4476"/>
      <c r="AV183" s="4476"/>
      <c r="AW183" s="4476"/>
      <c r="AX183" s="4476"/>
      <c r="AY183" s="4476"/>
      <c r="AZ183" s="4476"/>
      <c r="BA183" s="4476"/>
      <c r="BB183" s="4476"/>
      <c r="BC183" s="4476"/>
      <c r="BD183" s="4476"/>
      <c r="BE183" s="4476"/>
      <c r="BF183" s="4476"/>
      <c r="BG183" s="4476"/>
      <c r="BH183" s="4476"/>
      <c r="BI183" s="4476"/>
      <c r="BJ183" s="4476"/>
      <c r="BK183" s="4477"/>
      <c r="BL183" s="1627"/>
      <c r="BM183" s="1628"/>
      <c r="BN183" s="1149"/>
      <c r="BO183" s="1150"/>
      <c r="BP183" s="1135" t="str">
        <f>IF(I183="Si",VLOOKUP($D$8,'Tablas Técnicas'!$E$4:$F$6,2,FALSE),"")</f>
        <v/>
      </c>
      <c r="BQ183" s="1136" t="str">
        <f>IF(L183="Si",VLOOKUP($D$8,'Tablas Técnicas'!$I$4:$J$6,2,FALSE),"")</f>
        <v/>
      </c>
      <c r="BR183" s="1134" t="str">
        <f>IF(O183="Si",VLOOKUP($D$8,'Tablas Técnicas'!$I$7:$J$9,2,FALSE),"")</f>
        <v/>
      </c>
      <c r="BS183" s="1151"/>
      <c r="BT183" s="1194"/>
      <c r="BU183" s="1232"/>
      <c r="BV183" s="1232"/>
      <c r="BW183" s="1232"/>
      <c r="BX183" s="1108"/>
      <c r="BY183" s="1474"/>
      <c r="BZ183" s="1492"/>
      <c r="CA183" s="1096"/>
      <c r="DR183" s="1096"/>
      <c r="DT183" s="1514"/>
      <c r="DU183" s="1567"/>
      <c r="DV183" s="1566" t="str">
        <f>IF(E183="","",E183)&amp;IF(I183="No",""," (Mant.)")&amp;IF(L183="No",""," (Sme)")&amp;IF(O183="No",""," (SMa)")</f>
        <v/>
      </c>
      <c r="DW183" s="1567"/>
      <c r="DX183" s="1567"/>
      <c r="DY183" s="1513"/>
      <c r="DZ183" s="1096"/>
      <c r="EA183" s="1660">
        <f t="shared" si="2"/>
        <v>1</v>
      </c>
    </row>
    <row r="184" spans="1:131" x14ac:dyDescent="0.2">
      <c r="A184" s="1096"/>
      <c r="B184" s="1096"/>
      <c r="C184" s="1497"/>
      <c r="D184" s="1643" t="s">
        <v>2310</v>
      </c>
      <c r="E184" s="1160"/>
      <c r="F184" s="1176"/>
      <c r="G184" s="1146" t="str">
        <f>IF(E184=0,"",VLOOKUP(E184,'Tablas Técnicas'!$A$14:$V$771,3,FALSE))</f>
        <v/>
      </c>
      <c r="H184" s="2619" t="str">
        <f>IF($E184=0,"",VLOOKUP($E184,'Tablas Técnicas'!$A$14:$V$771,4,FALSE))</f>
        <v/>
      </c>
      <c r="I184" s="1144" t="s">
        <v>2234</v>
      </c>
      <c r="J184" s="1601" t="str">
        <f>IF(E184=0,"",VLOOKUP(E184,'Tablas Técnicas'!$A$14:$V$771,5,FALSE))</f>
        <v/>
      </c>
      <c r="K184" s="1163" t="str">
        <f>IF(I184="Si",IF(E184=0,"",VLOOKUP(E184,'Tablas Técnicas'!$A$14:$V$771,5,FALSE)),"")</f>
        <v/>
      </c>
      <c r="L184" s="1144" t="s">
        <v>2234</v>
      </c>
      <c r="M184" s="1601" t="str">
        <f>IF(E184=0,"",VLOOKUP(E184,'Tablas Técnicas'!$A$14:$V$771,6,FALSE))</f>
        <v/>
      </c>
      <c r="N184" s="1147" t="str">
        <f>IF(L184="Si",IF(E184=0,"",VLOOKUP(E184,'Tablas Técnicas'!$A$14:$V$771,6,FALSE)),"")</f>
        <v/>
      </c>
      <c r="O184" s="1144" t="s">
        <v>2234</v>
      </c>
      <c r="P184" s="1601" t="str">
        <f>IF(E184=0,"",VLOOKUP(E184,'Tablas Técnicas'!$A$14:$V$771,7,FALSE))</f>
        <v/>
      </c>
      <c r="Q184" s="1147" t="str">
        <f>IF(O184="Si",IF(E184=0,"",VLOOKUP(E184,'Tablas Técnicas'!$A$14:$V$771,7,FALSE)),"")</f>
        <v/>
      </c>
      <c r="R184" s="1162" t="str">
        <f>IF(E184=0,"",VLOOKUP(E184,'Tablas Técnicas'!$A$14:$V$771,8,FALSE))</f>
        <v/>
      </c>
      <c r="S184" s="2619" t="str">
        <f>IF(R184=$D$8,$D$8,IF(R184=2,2,IF(R184=3,3,R184)))</f>
        <v/>
      </c>
      <c r="T184" s="4487"/>
      <c r="U184" s="4488"/>
      <c r="V184" s="2617" t="str">
        <f>IF(OR(V182=0,V182=""),"N/A",V182)</f>
        <v>N/A</v>
      </c>
      <c r="W184" s="4487" t="str">
        <f xml:space="preserve"> IF(OR(AF182=0,AF182=""),"N/A",W182)</f>
        <v>N/A</v>
      </c>
      <c r="X184" s="4489"/>
      <c r="Y184" s="4489"/>
      <c r="Z184" s="4489"/>
      <c r="AA184" s="4489"/>
      <c r="AB184" s="4489"/>
      <c r="AC184" s="4489"/>
      <c r="AD184" s="4489"/>
      <c r="AE184" s="4489"/>
      <c r="AF184" s="4488"/>
      <c r="AG184" s="4487" t="str">
        <f xml:space="preserve"> IF(OR(AP182="",AP182=0),"N/A",AG182)</f>
        <v>N/A</v>
      </c>
      <c r="AH184" s="4489"/>
      <c r="AI184" s="4489"/>
      <c r="AJ184" s="4489"/>
      <c r="AK184" s="4489"/>
      <c r="AL184" s="4489"/>
      <c r="AM184" s="4489"/>
      <c r="AN184" s="4489"/>
      <c r="AO184" s="4489"/>
      <c r="AP184" s="4488"/>
      <c r="AQ184" s="4487" t="str">
        <f xml:space="preserve"> IF(OR(AZ182="",AZ182=0),"N/A",AQ182)</f>
        <v>N/A</v>
      </c>
      <c r="AR184" s="4489"/>
      <c r="AS184" s="4489"/>
      <c r="AT184" s="4489"/>
      <c r="AU184" s="4489"/>
      <c r="AV184" s="4489"/>
      <c r="AW184" s="4489"/>
      <c r="AX184" s="4489"/>
      <c r="AY184" s="4489"/>
      <c r="AZ184" s="4488"/>
      <c r="BA184" s="4487" t="str">
        <f xml:space="preserve"> IF(OR(BJ182="",BJ182=0),"N/A",BA182)</f>
        <v>N/A</v>
      </c>
      <c r="BB184" s="4489"/>
      <c r="BC184" s="4489"/>
      <c r="BD184" s="4489"/>
      <c r="BE184" s="4489"/>
      <c r="BF184" s="4489"/>
      <c r="BG184" s="4489"/>
      <c r="BH184" s="4489"/>
      <c r="BI184" s="4489"/>
      <c r="BJ184" s="4488"/>
      <c r="BK184" s="1164" t="s">
        <v>5229</v>
      </c>
      <c r="BL184" s="1146"/>
      <c r="BM184" s="1181"/>
      <c r="BN184" s="1165"/>
      <c r="BO184" s="1166"/>
      <c r="BP184" s="1167" t="str">
        <f>IF(I184="Si",VLOOKUP($D$8,'Tablas Técnicas'!$E$4:$F$6,2,FALSE),"")</f>
        <v/>
      </c>
      <c r="BQ184" s="1137" t="str">
        <f>IF(L184="Si",VLOOKUP($D$8,'Tablas Técnicas'!$I$4:$J$6,2,FALSE),"")</f>
        <v/>
      </c>
      <c r="BR184" s="1168" t="str">
        <f>IF(O184="Si",VLOOKUP($D$8,'Tablas Técnicas'!$I$7:$J$9,2,FALSE),"")</f>
        <v/>
      </c>
      <c r="BS184" s="1151"/>
      <c r="BU184" s="4443"/>
      <c r="BV184" s="4443"/>
      <c r="BW184" s="4443"/>
      <c r="BX184" s="1108"/>
      <c r="BY184" s="1474"/>
      <c r="BZ184" s="1492"/>
      <c r="CA184" s="1096"/>
      <c r="DR184" s="1096"/>
      <c r="DT184" s="1514"/>
      <c r="DU184" s="1567"/>
      <c r="DV184" s="1566" t="str">
        <f>IF(E184="","",E184)&amp;IF(I184="No",""," (Mant.)")&amp;IF(L184="No",""," (Sme)")&amp;IF(O184="No",""," (SMa)")</f>
        <v/>
      </c>
      <c r="DW184" s="1567"/>
      <c r="DX184" s="1567"/>
      <c r="DY184" s="1513"/>
      <c r="DZ184" s="1096"/>
      <c r="EA184" s="1660">
        <f t="shared" si="2"/>
        <v>1</v>
      </c>
    </row>
    <row r="185" spans="1:131" x14ac:dyDescent="0.2">
      <c r="A185" s="1096"/>
      <c r="B185" s="1096"/>
      <c r="C185" s="1497"/>
      <c r="D185" s="1642" t="s">
        <v>2310</v>
      </c>
      <c r="E185" s="1152"/>
      <c r="F185" s="1182"/>
      <c r="G185" s="1627" t="str">
        <f>IF(E185=0,"",VLOOKUP(E185,'Tablas Técnicas'!$A$14:$V$771,3,FALSE))</f>
        <v/>
      </c>
      <c r="H185" s="1155" t="str">
        <f>IF($E185=0,"",VLOOKUP($E185,'Tablas Técnicas'!$A$14:$V$771,4,FALSE))</f>
        <v/>
      </c>
      <c r="I185" s="1156" t="s">
        <v>2234</v>
      </c>
      <c r="J185" s="1605" t="str">
        <f>IF(E185=0,"",VLOOKUP(E185,'Tablas Técnicas'!$A$14:$V$771,5,FALSE))</f>
        <v/>
      </c>
      <c r="K185" s="1158" t="str">
        <f>IF(I185="Si",IF(E185=0,"",VLOOKUP(E185,'Tablas Técnicas'!$A$14:$V$771,5,FALSE)),"")</f>
        <v/>
      </c>
      <c r="L185" s="1156" t="s">
        <v>2234</v>
      </c>
      <c r="M185" s="1605" t="str">
        <f>IF(E185=0,"",VLOOKUP(E185,'Tablas Técnicas'!$A$14:$V$771,6,FALSE))</f>
        <v/>
      </c>
      <c r="N185" s="1159" t="str">
        <f>IF(L185="Si",IF(E185=0,"",VLOOKUP(E185,'Tablas Técnicas'!$A$14:$V$771,6,FALSE)),"")</f>
        <v/>
      </c>
      <c r="O185" s="1156" t="s">
        <v>2234</v>
      </c>
      <c r="P185" s="1605" t="str">
        <f>IF(E185=0,"",VLOOKUP(E185,'Tablas Técnicas'!$A$14:$V$771,7,FALSE))</f>
        <v/>
      </c>
      <c r="Q185" s="1159" t="str">
        <f>IF(O185="Si",IF(E185=0,"",VLOOKUP(E185,'Tablas Técnicas'!$A$14:$V$771,7,FALSE)),"")</f>
        <v/>
      </c>
      <c r="R185" s="1157" t="str">
        <f>IF(E185=0,"",VLOOKUP(E185,'Tablas Técnicas'!$A$14:$V$771,8,FALSE))</f>
        <v/>
      </c>
      <c r="S185" s="1155" t="str">
        <f>IF(R185=$D$8,$D$8,IF(R185=2,2,IF(R185=3,3,R185)))</f>
        <v/>
      </c>
      <c r="T185" s="4490" t="s">
        <v>5230</v>
      </c>
      <c r="U185" s="4491"/>
      <c r="V185" s="2618"/>
      <c r="W185" s="4492"/>
      <c r="X185" s="4493"/>
      <c r="Y185" s="4493"/>
      <c r="Z185" s="4493"/>
      <c r="AA185" s="4493"/>
      <c r="AB185" s="4493"/>
      <c r="AC185" s="4493"/>
      <c r="AD185" s="4493"/>
      <c r="AE185" s="4493"/>
      <c r="AF185" s="4494"/>
      <c r="AG185" s="4492"/>
      <c r="AH185" s="4493"/>
      <c r="AI185" s="4493"/>
      <c r="AJ185" s="4493"/>
      <c r="AK185" s="4493"/>
      <c r="AL185" s="4493"/>
      <c r="AM185" s="4493"/>
      <c r="AN185" s="4493"/>
      <c r="AO185" s="4493"/>
      <c r="AP185" s="4494"/>
      <c r="AQ185" s="4492"/>
      <c r="AR185" s="4493"/>
      <c r="AS185" s="4493"/>
      <c r="AT185" s="4493"/>
      <c r="AU185" s="4493"/>
      <c r="AV185" s="4493"/>
      <c r="AW185" s="4493"/>
      <c r="AX185" s="4493"/>
      <c r="AY185" s="4493"/>
      <c r="AZ185" s="4494"/>
      <c r="BA185" s="4492"/>
      <c r="BB185" s="4493"/>
      <c r="BC185" s="4493"/>
      <c r="BD185" s="4493"/>
      <c r="BE185" s="4493"/>
      <c r="BF185" s="4493"/>
      <c r="BG185" s="4493"/>
      <c r="BH185" s="4493"/>
      <c r="BI185" s="4493"/>
      <c r="BJ185" s="4494"/>
      <c r="BK185" s="1155">
        <f>(SUM(G182:G186)+IF(AF182="",0,AF182)+IF(AP182="",0,AP182)+IF(AZ182="",0,AZ182)+IF(BJ182="",0,BJ182)+SUM(K182:K186)+SUM(N182:N186)+SUM(Q182:Q186))- SUM(V185:BA185)</f>
        <v>0</v>
      </c>
      <c r="BL185" s="1627"/>
      <c r="BM185" s="1628"/>
      <c r="BN185" s="1149"/>
      <c r="BO185" s="1150"/>
      <c r="BP185" s="1135" t="str">
        <f>IF(I185="Si",VLOOKUP($D$8,'Tablas Técnicas'!$E$4:$F$6,2,FALSE),"")</f>
        <v/>
      </c>
      <c r="BQ185" s="1136" t="str">
        <f>IF(L185="Si",VLOOKUP($D$8,'Tablas Técnicas'!$I$4:$J$6,2,FALSE),"")</f>
        <v/>
      </c>
      <c r="BR185" s="1134" t="str">
        <f>IF(O185="Si",VLOOKUP($D$8,'Tablas Técnicas'!$I$7:$J$9,2,FALSE),"")</f>
        <v/>
      </c>
      <c r="BS185" s="1151"/>
      <c r="BU185" s="1232"/>
      <c r="BV185" s="1232"/>
      <c r="BW185" s="1232"/>
      <c r="BX185" s="1108"/>
      <c r="BY185" s="1474"/>
      <c r="BZ185" s="1492"/>
      <c r="CA185" s="1100"/>
      <c r="DR185" s="1100"/>
      <c r="DT185" s="1514"/>
      <c r="DU185" s="1622"/>
      <c r="DV185" s="1566" t="str">
        <f>IF(E185="","",E185)&amp;IF(I185="No",""," (Mant.)")&amp;IF(L185="No",""," (Sme)")&amp;IF(O185="No",""," (SMa)")</f>
        <v/>
      </c>
      <c r="DW185" s="1622"/>
      <c r="DX185" s="1622"/>
      <c r="DY185" s="1513"/>
      <c r="DZ185" s="1100"/>
      <c r="EA185" s="1660">
        <f t="shared" si="2"/>
        <v>1</v>
      </c>
    </row>
    <row r="186" spans="1:131" x14ac:dyDescent="0.2">
      <c r="A186" s="1096"/>
      <c r="B186" s="1096"/>
      <c r="C186" s="1497"/>
      <c r="D186" s="1643" t="s">
        <v>2310</v>
      </c>
      <c r="E186" s="1160"/>
      <c r="F186" s="1176"/>
      <c r="G186" s="1146" t="str">
        <f>IF(E186=0,"",VLOOKUP(E186,'Tablas Técnicas'!$A$14:$V$771,3,FALSE))</f>
        <v/>
      </c>
      <c r="H186" s="1161" t="str">
        <f>IF($E186=0,"",VLOOKUP($E186,'Tablas Técnicas'!$A$14:$V$771,4,FALSE))</f>
        <v/>
      </c>
      <c r="I186" s="1144" t="s">
        <v>2234</v>
      </c>
      <c r="J186" s="1601" t="str">
        <f>IF(E186=0,"",VLOOKUP(E186,'Tablas Técnicas'!$A$14:$V$771,5,FALSE))</f>
        <v/>
      </c>
      <c r="K186" s="1163" t="str">
        <f>IF(I186="Si",IF(E186=0,"",VLOOKUP(E186,'Tablas Técnicas'!$A$14:$V$771,5,FALSE)),"")</f>
        <v/>
      </c>
      <c r="L186" s="1144" t="s">
        <v>2234</v>
      </c>
      <c r="M186" s="1601" t="str">
        <f>IF(E186=0,"",VLOOKUP(E186,'Tablas Técnicas'!$A$14:$V$771,6,FALSE))</f>
        <v/>
      </c>
      <c r="N186" s="1147" t="str">
        <f>IF(L186="Si",IF(E186=0,"",VLOOKUP(E186,'Tablas Técnicas'!$A$14:$V$771,6,FALSE)),"")</f>
        <v/>
      </c>
      <c r="O186" s="1144" t="s">
        <v>2234</v>
      </c>
      <c r="P186" s="1601" t="str">
        <f>IF(E186=0,"",VLOOKUP(E186,'Tablas Técnicas'!$A$14:$V$771,7,FALSE))</f>
        <v/>
      </c>
      <c r="Q186" s="1147" t="str">
        <f>IF(O186="Si",IF(E186=0,"",VLOOKUP(E186,'Tablas Técnicas'!$A$14:$V$771,7,FALSE)),"")</f>
        <v/>
      </c>
      <c r="R186" s="1162" t="str">
        <f>IF(E186=0,"",VLOOKUP(E186,'Tablas Técnicas'!$A$14:$V$771,8,FALSE))</f>
        <v/>
      </c>
      <c r="S186" s="1161" t="str">
        <f>IF(R186=$D$8,$D$8,IF(R186=2,2,IF(R186=3,3,R186)))</f>
        <v/>
      </c>
      <c r="T186" s="4495" t="s">
        <v>5232</v>
      </c>
      <c r="U186" s="4496"/>
      <c r="V186" s="2621"/>
      <c r="W186" s="4497"/>
      <c r="X186" s="4498"/>
      <c r="Y186" s="4498"/>
      <c r="Z186" s="4498"/>
      <c r="AA186" s="4498"/>
      <c r="AB186" s="4498"/>
      <c r="AC186" s="4498"/>
      <c r="AD186" s="4498"/>
      <c r="AE186" s="4498"/>
      <c r="AF186" s="4499"/>
      <c r="AG186" s="4497"/>
      <c r="AH186" s="4498"/>
      <c r="AI186" s="4498"/>
      <c r="AJ186" s="4498"/>
      <c r="AK186" s="4498"/>
      <c r="AL186" s="4498"/>
      <c r="AM186" s="4498"/>
      <c r="AN186" s="4498"/>
      <c r="AO186" s="4498"/>
      <c r="AP186" s="4499"/>
      <c r="AQ186" s="4497"/>
      <c r="AR186" s="4498"/>
      <c r="AS186" s="4498"/>
      <c r="AT186" s="4498"/>
      <c r="AU186" s="4498"/>
      <c r="AV186" s="4498"/>
      <c r="AW186" s="4498"/>
      <c r="AX186" s="4498"/>
      <c r="AY186" s="4498"/>
      <c r="AZ186" s="4499"/>
      <c r="BA186" s="4497"/>
      <c r="BB186" s="4498"/>
      <c r="BC186" s="4498"/>
      <c r="BD186" s="4498"/>
      <c r="BE186" s="4498"/>
      <c r="BF186" s="4498"/>
      <c r="BG186" s="4498"/>
      <c r="BH186" s="4498"/>
      <c r="BI186" s="4498"/>
      <c r="BJ186" s="4499"/>
      <c r="BK186" s="1161">
        <f>SUM(K182:K186)-SUM(V186:BA186)</f>
        <v>0</v>
      </c>
      <c r="BL186" s="1146"/>
      <c r="BM186" s="1181"/>
      <c r="BN186" s="1165"/>
      <c r="BO186" s="1166"/>
      <c r="BP186" s="1167" t="str">
        <f>IF(I186="Si",VLOOKUP($D$8,'Tablas Técnicas'!$E$4:$F$6,2,FALSE),"")</f>
        <v/>
      </c>
      <c r="BQ186" s="1137" t="str">
        <f>IF(L186="Si",VLOOKUP($D$8,'Tablas Técnicas'!$I$4:$J$6,2,FALSE),"")</f>
        <v/>
      </c>
      <c r="BR186" s="1168" t="str">
        <f>IF(O186="Si",VLOOKUP($D$8,'Tablas Técnicas'!$I$7:$J$9,2,FALSE),"")</f>
        <v/>
      </c>
      <c r="BS186" s="1151"/>
      <c r="BU186" s="1232"/>
      <c r="BV186" s="1232"/>
      <c r="BW186" s="1232"/>
      <c r="BX186" s="1108"/>
      <c r="BY186" s="1474"/>
      <c r="BZ186" s="1492"/>
      <c r="CA186" s="1096"/>
      <c r="DR186" s="1096"/>
      <c r="DT186" s="1514"/>
      <c r="DU186" s="1567"/>
      <c r="DV186" s="1566" t="str">
        <f>IF(E186="","",E186)&amp;IF(I186="No",""," (Mant.)")&amp;IF(L186="No",""," (Sme)")&amp;IF(O186="No",""," (SMa)")</f>
        <v/>
      </c>
      <c r="DW186" s="1567"/>
      <c r="DX186" s="1567"/>
      <c r="DY186" s="1513"/>
      <c r="DZ186" s="1096"/>
      <c r="EA186" s="1660">
        <f t="shared" si="2"/>
        <v>1</v>
      </c>
    </row>
    <row r="187" spans="1:131" x14ac:dyDescent="0.2">
      <c r="A187" s="1096"/>
      <c r="B187" s="1096"/>
      <c r="C187" s="1497"/>
      <c r="D187" s="1645"/>
      <c r="E187" s="1594" t="s">
        <v>5239</v>
      </c>
      <c r="F187" s="1173"/>
      <c r="G187" s="1174"/>
      <c r="H187" s="2559">
        <f>IF(AND(OR(ISNUMBER(SEARCH("Afinidad Elemental ("&amp;BK182&amp;")",Principal!$AF$30)),ISNUMBER(SEARCH("Afinidad Elemental ("&amp;BL182&amp;")",Principal!$AF$30)),ISNUMBER(SEARCH("Afinidad Elemental ("&amp;BM182&amp;")",Principal!$AF$30))),SUM(H182:H186)&gt;=5),-5,0)</f>
        <v>0</v>
      </c>
      <c r="I187" s="1174"/>
      <c r="J187" s="1175"/>
      <c r="K187" s="1174"/>
      <c r="L187" s="1174"/>
      <c r="M187" s="1175"/>
      <c r="N187" s="1174"/>
      <c r="O187" s="1174"/>
      <c r="P187" s="1175"/>
      <c r="Q187" s="1174"/>
      <c r="R187" s="1175"/>
      <c r="S187" s="1174"/>
      <c r="T187" s="1174"/>
      <c r="U187" s="1195"/>
      <c r="V187" s="1195"/>
      <c r="W187" s="1195"/>
      <c r="X187" s="1195"/>
      <c r="Y187" s="1195"/>
      <c r="Z187" s="1195"/>
      <c r="AA187" s="1195"/>
      <c r="AB187" s="1195"/>
      <c r="AC187" s="1195"/>
      <c r="AD187" s="1195"/>
      <c r="AE187" s="1195"/>
      <c r="AF187" s="1195"/>
      <c r="AG187" s="1195"/>
      <c r="AH187" s="1195"/>
      <c r="AI187" s="1195"/>
      <c r="AJ187" s="1195"/>
      <c r="AK187" s="1195"/>
      <c r="AL187" s="1195"/>
      <c r="AM187" s="1195"/>
      <c r="AN187" s="1195"/>
      <c r="AO187" s="1195"/>
      <c r="AP187" s="1195"/>
      <c r="AQ187" s="1195"/>
      <c r="AR187" s="1195"/>
      <c r="AS187" s="1195"/>
      <c r="AT187" s="1195"/>
      <c r="AU187" s="1195"/>
      <c r="AV187" s="1195"/>
      <c r="AW187" s="1195"/>
      <c r="AX187" s="1195"/>
      <c r="AY187" s="1195"/>
      <c r="AZ187" s="1195"/>
      <c r="BA187" s="1195"/>
      <c r="BB187" s="1195"/>
      <c r="BC187" s="1195"/>
      <c r="BD187" s="1195"/>
      <c r="BE187" s="1195"/>
      <c r="BF187" s="1195"/>
      <c r="BG187" s="1195"/>
      <c r="BH187" s="1195"/>
      <c r="BI187" s="1195"/>
      <c r="BJ187" s="1195"/>
      <c r="BK187" s="4481"/>
      <c r="BL187" s="4481"/>
      <c r="BM187" s="4445"/>
      <c r="BN187" s="1134">
        <f>SUM(K187:K190)</f>
        <v>0</v>
      </c>
      <c r="BO187" s="1128">
        <f>IF(E187=0,"",(AF187+AP187+AZ187+BJ187))</f>
        <v>0</v>
      </c>
      <c r="BP187" s="1135" t="str">
        <f>IF(I187="Si",VLOOKUP($D$8,'Tablas Técnicas'!$E$4:$F$6,2,FALSE),"")</f>
        <v/>
      </c>
      <c r="BQ187" s="1136" t="str">
        <f>IF(L187="Si",VLOOKUP($D$8,'Tablas Técnicas'!$I$4:$J$6,2,FALSE),"")</f>
        <v/>
      </c>
      <c r="BR187" s="1134" t="str">
        <f>IF(O187="Si",VLOOKUP($D$8,'Tablas Técnicas'!$I$7:$J$9,2,FALSE),"")</f>
        <v/>
      </c>
      <c r="BS187" s="1151"/>
      <c r="BT187" s="4444" t="s">
        <v>5241</v>
      </c>
      <c r="BU187" s="4445"/>
      <c r="BV187" s="1128"/>
      <c r="BW187" s="1108"/>
      <c r="BX187" s="1108"/>
      <c r="BY187" s="1474"/>
      <c r="BZ187" s="1492"/>
      <c r="CA187" s="1096"/>
      <c r="DR187" s="1096"/>
      <c r="DT187" s="1514"/>
      <c r="DU187" s="1567"/>
      <c r="DV187" s="1567"/>
      <c r="DW187" s="1567"/>
      <c r="DX187" s="1567"/>
      <c r="DY187" s="1513"/>
      <c r="DZ187" s="1096"/>
      <c r="EA187" s="1660">
        <f t="shared" si="2"/>
        <v>1</v>
      </c>
    </row>
    <row r="188" spans="1:131" ht="12" x14ac:dyDescent="0.2">
      <c r="A188" s="1096"/>
      <c r="B188" s="1096"/>
      <c r="C188" s="1497"/>
      <c r="D188" s="1646" t="s">
        <v>5240</v>
      </c>
      <c r="E188" s="1140"/>
      <c r="F188" s="1163"/>
      <c r="G188" s="1163"/>
      <c r="H188" s="1161" t="str">
        <f>IF(D156=0,"",IF(E188=0,"",VLOOKUP(E188,'Tablas Técnicas'!$A$14:$V$771,4,FALSE)))</f>
        <v/>
      </c>
      <c r="I188" s="1163"/>
      <c r="J188" s="1163"/>
      <c r="K188" s="1196"/>
      <c r="L188" s="1163"/>
      <c r="M188" s="1163"/>
      <c r="N188" s="1196"/>
      <c r="O188" s="1163"/>
      <c r="P188" s="1163"/>
      <c r="Q188" s="1163"/>
      <c r="R188" s="1162" t="str">
        <f>IF(E188=0,"",VLOOKUP(E188,'Tablas Técnicas'!$A$14:$V$771,8,FALSE))</f>
        <v/>
      </c>
      <c r="S188" s="1188" t="str">
        <f>IF(R188=$D$8,$D$8,IF(R188=2,2,IF(R188=3,3,R188)))</f>
        <v/>
      </c>
      <c r="T188" s="1163" t="str">
        <f>IF(E188=0,"",VLOOKUP(E188,'Tablas Técnicas'!$A$14:$V$771,9,FALSE))</f>
        <v/>
      </c>
      <c r="U188" s="1190" t="str">
        <f>IF(E188=0,"",VLOOKUP(E188,'Tablas Técnicas'!$A$14:$V$771,10,FALSE))</f>
        <v/>
      </c>
      <c r="V188" s="1191"/>
      <c r="W188" s="1191"/>
      <c r="X188" s="1190"/>
      <c r="Y188" s="1190"/>
      <c r="Z188" s="1190"/>
      <c r="AA188" s="1190"/>
      <c r="AB188" s="1190"/>
      <c r="AC188" s="1190"/>
      <c r="AD188" s="1190"/>
      <c r="AE188" s="1190"/>
      <c r="AF188" s="1190"/>
      <c r="AG188" s="4478" t="str">
        <f>IF(OR(E188='Tablas Técnicas'!A$678,E188='Tablas Técnicas'!A$679,E189='Tablas Técnicas'!A$678,E189='Tablas Técnicas'!A$679,E190='Tablas Técnicas'!A$678,E190='Tablas Técnicas'!A$679),"Selecciona la atadura elemental:","")</f>
        <v/>
      </c>
      <c r="AH188" s="4479"/>
      <c r="AI188" s="4479"/>
      <c r="AJ188" s="4479"/>
      <c r="AK188" s="4479"/>
      <c r="AL188" s="4479"/>
      <c r="AM188" s="4479"/>
      <c r="AN188" s="4479"/>
      <c r="AO188" s="4479"/>
      <c r="AP188" s="4479"/>
      <c r="AQ188" s="4479"/>
      <c r="AR188" s="4479"/>
      <c r="AS188" s="4479"/>
      <c r="AT188" s="4479"/>
      <c r="AU188" s="4479"/>
      <c r="AV188" s="4479"/>
      <c r="AW188" s="4479"/>
      <c r="AX188" s="4479"/>
      <c r="AY188" s="4479"/>
      <c r="AZ188" s="4479"/>
      <c r="BA188" s="4479"/>
      <c r="BB188" s="4479"/>
      <c r="BC188" s="4479"/>
      <c r="BD188" s="4479"/>
      <c r="BE188" s="4479"/>
      <c r="BF188" s="4479"/>
      <c r="BG188" s="4479"/>
      <c r="BH188" s="4479"/>
      <c r="BI188" s="4479"/>
      <c r="BJ188" s="4479"/>
      <c r="BK188" s="4480"/>
      <c r="BL188" s="1631"/>
      <c r="BM188" s="1631"/>
      <c r="BN188" s="1163"/>
      <c r="BO188" s="1163"/>
      <c r="BP188" s="1196"/>
      <c r="BQ188" s="1163"/>
      <c r="BR188" s="1163"/>
      <c r="BS188" s="1163"/>
      <c r="BT188" s="4446">
        <f>D156</f>
        <v>1</v>
      </c>
      <c r="BU188" s="4447"/>
      <c r="BV188" s="1128">
        <f>IF(BV187=0,0,VLOOKUP(BV187,'Tablas Técnicas'!$M$4:$N$7,2,FALSE))</f>
        <v>0</v>
      </c>
      <c r="BW188" s="1108"/>
      <c r="BX188" s="1108"/>
      <c r="BY188" s="1474"/>
      <c r="BZ188" s="1492"/>
      <c r="CA188" s="1096"/>
      <c r="DR188" s="1096"/>
      <c r="DT188" s="1514"/>
      <c r="DU188" s="1567"/>
      <c r="DV188" s="1567"/>
      <c r="DW188" s="1567"/>
      <c r="DX188" s="1567"/>
      <c r="DY188" s="1513"/>
      <c r="DZ188" s="1096"/>
      <c r="EA188" s="1660">
        <f t="shared" si="2"/>
        <v>1</v>
      </c>
    </row>
    <row r="189" spans="1:131" x14ac:dyDescent="0.2">
      <c r="A189" s="1096"/>
      <c r="B189" s="1096"/>
      <c r="C189" s="1497"/>
      <c r="D189" s="1642" t="s">
        <v>5242</v>
      </c>
      <c r="E189" s="1197"/>
      <c r="F189" s="1595"/>
      <c r="G189" s="1596"/>
      <c r="H189" s="1153" t="str">
        <f>IF(VALUE(D156)&gt;1,IF(E189=0,"",VLOOKUP(E189,'Tablas Técnicas'!$A$14:$V$771,4,FALSE)),"")</f>
        <v/>
      </c>
      <c r="I189" s="1595"/>
      <c r="J189" s="1596"/>
      <c r="K189" s="1596"/>
      <c r="L189" s="1595"/>
      <c r="M189" s="1596"/>
      <c r="N189" s="1597"/>
      <c r="O189" s="1596"/>
      <c r="P189" s="1596"/>
      <c r="Q189" s="1596"/>
      <c r="R189" s="1157" t="str">
        <f>IF(E189=0,"",VLOOKUP(E189,'Tablas Técnicas'!$A$14:$V$771,8,FALSE))</f>
        <v/>
      </c>
      <c r="S189" s="1155" t="str">
        <f>IF(R189=$D$8,$D$8,IF(R189=2,2,IF(R189=3,3,R189)))</f>
        <v/>
      </c>
      <c r="T189" s="1158" t="str">
        <f>IF(E189=0,"",VLOOKUP(E189,'Tablas Técnicas'!$A$14:$V$771,9,FALSE))</f>
        <v/>
      </c>
      <c r="U189" s="1158" t="str">
        <f>IF(E189=0,"",VLOOKUP(E189,'Tablas Técnicas'!$A$14:$V$771,10,FALSE))</f>
        <v/>
      </c>
      <c r="V189" s="1595"/>
      <c r="W189" s="1595"/>
      <c r="X189" s="1596"/>
      <c r="Y189" s="1596"/>
      <c r="Z189" s="1596"/>
      <c r="AA189" s="1596"/>
      <c r="AB189" s="1596"/>
      <c r="AC189" s="1596"/>
      <c r="AD189" s="1596"/>
      <c r="AE189" s="1596"/>
      <c r="AF189" s="1596"/>
      <c r="AG189" s="1598"/>
      <c r="AH189" s="1599"/>
      <c r="AI189" s="1599"/>
      <c r="AJ189" s="1599"/>
      <c r="AK189" s="1599"/>
      <c r="AL189" s="1599"/>
      <c r="AM189" s="1599"/>
      <c r="AN189" s="1599"/>
      <c r="AO189" s="1599"/>
      <c r="AP189" s="1597"/>
      <c r="AQ189" s="1599"/>
      <c r="AR189" s="1599"/>
      <c r="AS189" s="1599"/>
      <c r="AT189" s="1599"/>
      <c r="AU189" s="1599"/>
      <c r="AV189" s="1599"/>
      <c r="AW189" s="1599"/>
      <c r="AX189" s="1599"/>
      <c r="AY189" s="1599"/>
      <c r="AZ189" s="1600"/>
      <c r="BA189" s="1596"/>
      <c r="BB189" s="1596"/>
      <c r="BC189" s="1596"/>
      <c r="BD189" s="1596"/>
      <c r="BE189" s="1596"/>
      <c r="BF189" s="1596"/>
      <c r="BG189" s="1596"/>
      <c r="BH189" s="1596"/>
      <c r="BI189" s="1596"/>
      <c r="BJ189" s="1597"/>
      <c r="BK189" s="1596"/>
      <c r="BL189" s="1632"/>
      <c r="BM189" s="1633"/>
      <c r="BN189" s="1596"/>
      <c r="BO189" s="1596"/>
      <c r="BP189" s="1597"/>
      <c r="BQ189" s="1596"/>
      <c r="BR189" s="1596"/>
      <c r="BS189" s="1596"/>
      <c r="BU189" s="2608"/>
      <c r="BV189" s="1128"/>
      <c r="BW189" s="1108"/>
      <c r="BX189" s="1108"/>
      <c r="BY189" s="1474"/>
      <c r="BZ189" s="1492"/>
      <c r="CA189" s="1096"/>
      <c r="DR189" s="1096"/>
      <c r="DT189" s="1514"/>
      <c r="DU189" s="1567"/>
      <c r="DV189" s="1567"/>
      <c r="DW189" s="1567"/>
      <c r="DX189" s="1567"/>
      <c r="DY189" s="1513"/>
      <c r="DZ189" s="1096"/>
      <c r="EA189" s="1660">
        <f t="shared" si="2"/>
        <v>1</v>
      </c>
    </row>
    <row r="190" spans="1:131" x14ac:dyDescent="0.2">
      <c r="A190" s="1096"/>
      <c r="B190" s="1096"/>
      <c r="C190" s="1497"/>
      <c r="D190" s="1647" t="s">
        <v>5243</v>
      </c>
      <c r="E190" s="1198"/>
      <c r="F190" s="2614"/>
      <c r="G190" s="1172"/>
      <c r="H190" s="1171" t="str">
        <f>IF(VALUE(D156)=3,IF(E190=0,"",VLOOKUP(E190,'Tablas Técnicas'!$A$14:$V$771,4,FALSE)),"")</f>
        <v/>
      </c>
      <c r="I190" s="1172"/>
      <c r="J190" s="1172"/>
      <c r="K190" s="1172"/>
      <c r="L190" s="2614"/>
      <c r="M190" s="1172"/>
      <c r="N190" s="1172"/>
      <c r="O190" s="2614"/>
      <c r="P190" s="1172"/>
      <c r="Q190" s="1172"/>
      <c r="R190" s="1193" t="str">
        <f>IF(E190=0,"",VLOOKUP(E190,'Tablas Técnicas'!$A$14:$V$771,8,FALSE))</f>
        <v/>
      </c>
      <c r="S190" s="1171" t="str">
        <f>IF(R190=$D$8,$D$8,IF(R190=2,2,IF(R190=3,3,R190)))</f>
        <v/>
      </c>
      <c r="T190" s="1172" t="str">
        <f>IF(E190=0,"",VLOOKUP(E190,'Tablas Técnicas'!$A$14:$V$771,9,FALSE))</f>
        <v/>
      </c>
      <c r="U190" s="1172" t="str">
        <f>IF(E190=0,"",VLOOKUP(E190,'Tablas Técnicas'!$A$14:$V$771,10,FALSE))</f>
        <v/>
      </c>
      <c r="V190" s="2614"/>
      <c r="W190" s="1486"/>
      <c r="X190" s="1486"/>
      <c r="Y190" s="1486"/>
      <c r="Z190" s="1486"/>
      <c r="AA190" s="1486"/>
      <c r="AB190" s="1486"/>
      <c r="AC190" s="1486"/>
      <c r="AD190" s="1486"/>
      <c r="AE190" s="1486"/>
      <c r="AF190" s="1487"/>
      <c r="AG190" s="2614"/>
      <c r="AH190" s="1172"/>
      <c r="AI190" s="1172"/>
      <c r="AJ190" s="1172"/>
      <c r="AK190" s="1172"/>
      <c r="AL190" s="1172"/>
      <c r="AM190" s="1172"/>
      <c r="AN190" s="1172"/>
      <c r="AO190" s="1172"/>
      <c r="AP190" s="2615"/>
      <c r="AQ190" s="1172"/>
      <c r="AR190" s="1172"/>
      <c r="AS190" s="1172"/>
      <c r="AT190" s="1172"/>
      <c r="AU190" s="1172"/>
      <c r="AV190" s="1172"/>
      <c r="AW190" s="1172"/>
      <c r="AX190" s="1172"/>
      <c r="AY190" s="1172"/>
      <c r="AZ190" s="2615"/>
      <c r="BA190" s="1172"/>
      <c r="BB190" s="1172"/>
      <c r="BC190" s="1172"/>
      <c r="BD190" s="1172"/>
      <c r="BE190" s="1172"/>
      <c r="BF190" s="1172"/>
      <c r="BG190" s="1172"/>
      <c r="BH190" s="1172"/>
      <c r="BI190" s="1172"/>
      <c r="BJ190" s="2615"/>
      <c r="BK190" s="1172"/>
      <c r="BL190" s="1629"/>
      <c r="BM190" s="1634"/>
      <c r="BN190" s="1172"/>
      <c r="BO190" s="1172"/>
      <c r="BP190" s="1172"/>
      <c r="BQ190" s="2614"/>
      <c r="BR190" s="1172"/>
      <c r="BS190" s="1172"/>
      <c r="BT190" s="2608"/>
      <c r="BU190" s="2608"/>
      <c r="BV190" s="1128">
        <f>IF(BV189=0,0,VLOOKUP(BV189,'Tablas Técnicas'!$M$4:$N$7,2,FALSE))</f>
        <v>0</v>
      </c>
      <c r="BW190" s="1108"/>
      <c r="BX190" s="1108"/>
      <c r="BY190" s="1474"/>
      <c r="BZ190" s="1492"/>
      <c r="CA190" s="1100"/>
      <c r="DR190" s="1100"/>
      <c r="DT190" s="1517"/>
      <c r="DU190" s="1623"/>
      <c r="DV190" s="1623"/>
      <c r="DW190" s="1623"/>
      <c r="DX190" s="1623"/>
      <c r="DY190" s="1518"/>
      <c r="DZ190" s="1100"/>
      <c r="EA190" s="1660">
        <f t="shared" si="2"/>
        <v>1</v>
      </c>
    </row>
    <row r="191" spans="1:131" x14ac:dyDescent="0.2">
      <c r="A191" s="1100"/>
      <c r="B191" s="1100"/>
      <c r="C191" s="1497"/>
      <c r="D191" s="1648"/>
      <c r="E191" s="2350"/>
      <c r="F191" s="1108"/>
      <c r="G191" s="2350"/>
      <c r="H191" s="2350"/>
      <c r="I191" s="1108"/>
      <c r="J191" s="2350"/>
      <c r="K191" s="2350"/>
      <c r="L191" s="2350"/>
      <c r="M191" s="2350"/>
      <c r="N191" s="2350"/>
      <c r="O191" s="2350"/>
      <c r="P191" s="2350"/>
      <c r="Q191" s="2350"/>
      <c r="R191" s="2350"/>
      <c r="S191" s="2350"/>
      <c r="T191" s="2350"/>
      <c r="U191" s="2350"/>
      <c r="V191" s="2350"/>
      <c r="W191" s="2350"/>
      <c r="X191" s="2350"/>
      <c r="Y191" s="2350"/>
      <c r="Z191" s="2350"/>
      <c r="AA191" s="2350"/>
      <c r="AB191" s="2350"/>
      <c r="AC191" s="2350"/>
      <c r="AD191" s="2350"/>
      <c r="AE191" s="2350"/>
      <c r="AF191" s="2350"/>
      <c r="AG191" s="2350"/>
      <c r="AH191" s="2350"/>
      <c r="AI191" s="2350"/>
      <c r="AJ191" s="2350"/>
      <c r="AK191" s="2350"/>
      <c r="AL191" s="2350"/>
      <c r="AM191" s="2350"/>
      <c r="AN191" s="2350"/>
      <c r="AO191" s="2350"/>
      <c r="AP191" s="2350"/>
      <c r="AQ191" s="2350"/>
      <c r="AR191" s="2350"/>
      <c r="AS191" s="2350"/>
      <c r="AT191" s="2350"/>
      <c r="AU191" s="2350"/>
      <c r="AV191" s="2350"/>
      <c r="AW191" s="2350"/>
      <c r="AX191" s="2350"/>
      <c r="AY191" s="2350"/>
      <c r="AZ191" s="2350"/>
      <c r="BA191" s="2350"/>
      <c r="BB191" s="2350"/>
      <c r="BC191" s="2350"/>
      <c r="BD191" s="2350"/>
      <c r="BE191" s="2350"/>
      <c r="BF191" s="2350"/>
      <c r="BG191" s="2350"/>
      <c r="BH191" s="2350"/>
      <c r="BI191" s="2350"/>
      <c r="BJ191" s="2350"/>
      <c r="BK191" s="2350"/>
      <c r="BL191" s="2350"/>
      <c r="BM191" s="2350"/>
      <c r="BN191" s="1101">
        <f>SUM(BN196:BN211)</f>
        <v>0</v>
      </c>
      <c r="BO191" s="1101">
        <f>SUM(BO196:BO211)</f>
        <v>0</v>
      </c>
      <c r="BP191" s="1101">
        <f>SUM(BP196:BP211)</f>
        <v>0</v>
      </c>
      <c r="BQ191" s="1101">
        <f>SUM(BQ196:BQ211)</f>
        <v>0</v>
      </c>
      <c r="BR191" s="1101">
        <f>SUM(BR196:BR211)</f>
        <v>0</v>
      </c>
      <c r="BS191" s="1199"/>
      <c r="BU191" s="2350"/>
      <c r="BW191" s="1108"/>
      <c r="BX191" s="1108"/>
      <c r="BY191" s="1117"/>
      <c r="BZ191" s="1492"/>
      <c r="CA191" s="1096"/>
      <c r="DR191" s="1096"/>
      <c r="DT191" s="1514"/>
      <c r="DU191" s="1567"/>
      <c r="DV191" s="1567"/>
      <c r="DW191" s="1567"/>
      <c r="DX191" s="1567"/>
      <c r="DY191" s="1513"/>
      <c r="DZ191" s="1096"/>
      <c r="EA191" s="1660">
        <f t="shared" si="2"/>
        <v>1</v>
      </c>
    </row>
    <row r="192" spans="1:131" ht="11.25" customHeight="1" x14ac:dyDescent="0.2">
      <c r="A192" s="1096"/>
      <c r="B192" s="1096"/>
      <c r="C192" s="1497"/>
      <c r="D192" s="1640" t="s">
        <v>8726</v>
      </c>
      <c r="E192" s="1114"/>
      <c r="F192" s="1114"/>
      <c r="G192" s="1114"/>
      <c r="H192" s="1114"/>
      <c r="I192" s="1114"/>
      <c r="J192" s="1115"/>
      <c r="K192" s="1114"/>
      <c r="L192" s="1114"/>
      <c r="M192" s="1115"/>
      <c r="N192" s="1114"/>
      <c r="O192" s="1114"/>
      <c r="P192" s="1115"/>
      <c r="Q192" s="1114"/>
      <c r="R192" s="1115"/>
      <c r="S192" s="1114"/>
      <c r="T192" s="1114"/>
      <c r="U192" s="1114"/>
      <c r="V192" s="1114"/>
      <c r="W192" s="1108"/>
      <c r="X192" s="1115"/>
      <c r="Y192" s="1115"/>
      <c r="Z192" s="1115"/>
      <c r="AA192" s="1115"/>
      <c r="AB192" s="1115"/>
      <c r="AC192" s="1115"/>
      <c r="AD192" s="1115"/>
      <c r="AE192" s="1115"/>
      <c r="AF192" s="1114"/>
      <c r="AG192" s="1108"/>
      <c r="AH192" s="1115"/>
      <c r="AI192" s="1115"/>
      <c r="AJ192" s="1115"/>
      <c r="AK192" s="1115"/>
      <c r="AL192" s="1115"/>
      <c r="AM192" s="1115"/>
      <c r="AN192" s="1115"/>
      <c r="AO192" s="1115"/>
      <c r="AP192" s="1108"/>
      <c r="AQ192" s="1108"/>
      <c r="AR192" s="1115"/>
      <c r="AS192" s="1115"/>
      <c r="AT192" s="1115"/>
      <c r="AU192" s="1115"/>
      <c r="AV192" s="1115"/>
      <c r="AW192" s="1115"/>
      <c r="AX192" s="1115"/>
      <c r="AY192" s="1115"/>
      <c r="AZ192" s="1108"/>
      <c r="BA192" s="1108"/>
      <c r="BB192" s="1115"/>
      <c r="BC192" s="1115"/>
      <c r="BD192" s="1115"/>
      <c r="BE192" s="1115"/>
      <c r="BF192" s="1115"/>
      <c r="BG192" s="1115"/>
      <c r="BH192" s="1115"/>
      <c r="BI192" s="1115"/>
      <c r="BJ192" s="1108"/>
      <c r="BK192" s="1108"/>
      <c r="BL192" s="1108"/>
      <c r="BM192" s="1108"/>
      <c r="BN192" s="1101">
        <f>SUM(BN194:BN227)</f>
        <v>0</v>
      </c>
      <c r="BO192" s="1101">
        <f>SUM(BO194:BO227)</f>
        <v>0</v>
      </c>
      <c r="BP192" s="1101">
        <f>MAX(BP194:BP227)</f>
        <v>0</v>
      </c>
      <c r="BQ192" s="1101">
        <f>MAX(BQ194:BQ227)</f>
        <v>0</v>
      </c>
      <c r="BR192" s="1101">
        <f>MAX(BR194:BR227)</f>
        <v>0</v>
      </c>
      <c r="BS192" s="1116"/>
      <c r="BU192" s="2608"/>
      <c r="BV192" s="1118"/>
      <c r="BW192" s="1108"/>
      <c r="BX192" s="1108"/>
      <c r="BY192" s="1474"/>
      <c r="BZ192" s="1492"/>
      <c r="CA192" s="1096"/>
      <c r="DR192" s="1096"/>
      <c r="DT192" s="1514"/>
      <c r="DU192" s="1567"/>
      <c r="DV192" s="1567"/>
      <c r="DW192" s="1567"/>
      <c r="DX192" s="1567"/>
      <c r="DY192" s="1513"/>
      <c r="DZ192" s="1096"/>
      <c r="EA192" s="1660">
        <f t="shared" si="2"/>
        <v>1</v>
      </c>
    </row>
    <row r="193" spans="1:132" ht="11.25" customHeight="1" thickBot="1" x14ac:dyDescent="0.25">
      <c r="A193" s="1096"/>
      <c r="B193" s="1096"/>
      <c r="C193" s="1497"/>
      <c r="D193" s="1641">
        <v>1</v>
      </c>
      <c r="E193" s="1119" t="s">
        <v>9094</v>
      </c>
      <c r="F193" s="1120" t="s">
        <v>2333</v>
      </c>
      <c r="G193" s="1121" t="s">
        <v>2334</v>
      </c>
      <c r="H193" s="1121" t="s">
        <v>2356</v>
      </c>
      <c r="I193" s="1122" t="s">
        <v>4020</v>
      </c>
      <c r="J193" s="1123"/>
      <c r="K193" s="1124"/>
      <c r="L193" s="1122" t="s">
        <v>4021</v>
      </c>
      <c r="M193" s="1123"/>
      <c r="N193" s="1124"/>
      <c r="O193" s="1122" t="s">
        <v>4022</v>
      </c>
      <c r="P193" s="1123"/>
      <c r="Q193" s="1124"/>
      <c r="R193" s="1125" t="s">
        <v>5219</v>
      </c>
      <c r="S193" s="1121" t="s">
        <v>3990</v>
      </c>
      <c r="T193" s="2613" t="s">
        <v>2252</v>
      </c>
      <c r="U193" s="2613" t="s">
        <v>2223</v>
      </c>
      <c r="V193" s="2613" t="s">
        <v>4023</v>
      </c>
      <c r="W193" s="4503" t="s">
        <v>4024</v>
      </c>
      <c r="X193" s="4503"/>
      <c r="Y193" s="4503"/>
      <c r="Z193" s="4503"/>
      <c r="AA193" s="4503"/>
      <c r="AB193" s="4503"/>
      <c r="AC193" s="4503"/>
      <c r="AD193" s="4503"/>
      <c r="AE193" s="4503"/>
      <c r="AF193" s="4503"/>
      <c r="AG193" s="4503"/>
      <c r="AH193" s="4503"/>
      <c r="AI193" s="4503"/>
      <c r="AJ193" s="4503"/>
      <c r="AK193" s="4503"/>
      <c r="AL193" s="4503"/>
      <c r="AM193" s="4503"/>
      <c r="AN193" s="4503"/>
      <c r="AO193" s="4503"/>
      <c r="AP193" s="4503"/>
      <c r="AQ193" s="4503"/>
      <c r="AR193" s="4503"/>
      <c r="AS193" s="4503"/>
      <c r="AT193" s="4503"/>
      <c r="AU193" s="4503"/>
      <c r="AV193" s="4503"/>
      <c r="AW193" s="4503"/>
      <c r="AX193" s="4503"/>
      <c r="AY193" s="4503"/>
      <c r="AZ193" s="4503"/>
      <c r="BA193" s="4503"/>
      <c r="BB193" s="4503"/>
      <c r="BC193" s="4503"/>
      <c r="BD193" s="4503"/>
      <c r="BE193" s="4503"/>
      <c r="BF193" s="4503"/>
      <c r="BG193" s="4503"/>
      <c r="BH193" s="4503"/>
      <c r="BI193" s="4503"/>
      <c r="BJ193" s="4503"/>
      <c r="BK193" s="4503" t="s">
        <v>4025</v>
      </c>
      <c r="BL193" s="4503"/>
      <c r="BM193" s="4474"/>
      <c r="BN193" s="1126" t="s">
        <v>5220</v>
      </c>
      <c r="BO193" s="1126" t="s">
        <v>5221</v>
      </c>
      <c r="BP193" s="1126" t="s">
        <v>5222</v>
      </c>
      <c r="BQ193" s="1126" t="s">
        <v>5223</v>
      </c>
      <c r="BR193" s="1126" t="s">
        <v>5224</v>
      </c>
      <c r="BS193" s="1127" t="s">
        <v>5225</v>
      </c>
      <c r="BT193" s="4448" t="s">
        <v>5226</v>
      </c>
      <c r="BU193" s="4456"/>
      <c r="BV193" s="1128"/>
      <c r="BW193" s="1108"/>
      <c r="BX193" s="1108"/>
      <c r="BY193" s="1474"/>
      <c r="BZ193" s="1492"/>
      <c r="CA193" s="1096"/>
      <c r="DR193" s="1096"/>
      <c r="DT193" s="1514"/>
      <c r="DU193" s="1567"/>
      <c r="DV193" s="1567"/>
      <c r="DW193" s="1567"/>
      <c r="DX193" s="1567"/>
      <c r="DY193" s="1513"/>
      <c r="DZ193" s="1096"/>
      <c r="EB193" s="2558">
        <f>D193</f>
        <v>1</v>
      </c>
    </row>
    <row r="194" spans="1:132" x14ac:dyDescent="0.2">
      <c r="A194" s="1129"/>
      <c r="B194" s="159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98"/>
      <c r="D194" s="1642">
        <v>1</v>
      </c>
      <c r="E194" s="1423"/>
      <c r="F194" s="1130"/>
      <c r="G194" s="1131"/>
      <c r="H194" s="1131"/>
      <c r="I194" s="1131"/>
      <c r="J194" s="1132"/>
      <c r="K194" s="1131"/>
      <c r="L194" s="1131"/>
      <c r="M194" s="1132"/>
      <c r="N194" s="1131"/>
      <c r="O194" s="1131"/>
      <c r="P194" s="1132"/>
      <c r="Q194" s="1131"/>
      <c r="R194" s="1132"/>
      <c r="S194" s="1131"/>
      <c r="T194" s="1131"/>
      <c r="U194" s="1131"/>
      <c r="V194" s="1131"/>
      <c r="W194" s="1131"/>
      <c r="X194" s="1131"/>
      <c r="Y194" s="1131"/>
      <c r="Z194" s="1131"/>
      <c r="AA194" s="1131"/>
      <c r="AB194" s="1131"/>
      <c r="AC194" s="1131"/>
      <c r="AD194" s="1131"/>
      <c r="AE194" s="1131"/>
      <c r="AF194" s="1131"/>
      <c r="AG194" s="1131"/>
      <c r="AH194" s="1131"/>
      <c r="AI194" s="1131"/>
      <c r="AJ194" s="1131"/>
      <c r="AK194" s="1131"/>
      <c r="AL194" s="1131"/>
      <c r="AM194" s="1131"/>
      <c r="AN194" s="1131"/>
      <c r="AO194" s="1131"/>
      <c r="AP194" s="1131"/>
      <c r="AQ194" s="1131"/>
      <c r="AR194" s="1131"/>
      <c r="AS194" s="1131"/>
      <c r="AT194" s="1131"/>
      <c r="AU194" s="1131"/>
      <c r="AV194" s="1131"/>
      <c r="AW194" s="1131"/>
      <c r="AX194" s="1131"/>
      <c r="AY194" s="1131"/>
      <c r="AZ194" s="1131"/>
      <c r="BA194" s="1131"/>
      <c r="BB194" s="1131"/>
      <c r="BC194" s="1131"/>
      <c r="BD194" s="1131"/>
      <c r="BE194" s="1131"/>
      <c r="BF194" s="1131"/>
      <c r="BG194" s="1131"/>
      <c r="BH194" s="1131"/>
      <c r="BI194" s="1131"/>
      <c r="BJ194" s="1131"/>
      <c r="BK194" s="1131"/>
      <c r="BL194" s="1131"/>
      <c r="BM194" s="1133"/>
      <c r="BN194" s="1134">
        <f>SUM(K194:K197)</f>
        <v>0</v>
      </c>
      <c r="BO194" s="1128" t="str">
        <f>IF(E194=0,"",(AF194+AP194+AZ194+BJ194))</f>
        <v/>
      </c>
      <c r="BP194" s="1135" t="str">
        <f>IF(I194="Si",VLOOKUP($D$8,'Tablas Técnicas'!$E$4:$F$6,2,FALSE),"")</f>
        <v/>
      </c>
      <c r="BQ194" s="1136" t="str">
        <f>IF(L194="Si",VLOOKUP($D$8,'Tablas Técnicas'!$I$4:$J$6,2,FALSE),"")</f>
        <v/>
      </c>
      <c r="BR194" s="1134" t="str">
        <f>IF(O194="Si",VLOOKUP($D$8,'Tablas Técnicas'!$I$7:$J$9,2,FALSE),"")</f>
        <v/>
      </c>
      <c r="BS194" s="1137">
        <f>VLOOKUP(D193,'Tablas Técnicas'!$P$6:$R$8,3)</f>
        <v>50</v>
      </c>
      <c r="BT194" s="1138">
        <f>VLOOKUP(D193,'Tablas Técnicas'!$P$6:$R$8,3,FALSE)</f>
        <v>50</v>
      </c>
      <c r="BU194" s="1139">
        <f>VLOOKUP(D193,'Tablas Técnicas'!$P$6:$R$8,2,FALSE)</f>
        <v>20</v>
      </c>
      <c r="BV194" s="1128">
        <f>IF(D193=0,"",VLOOKUP(D193,'Tablas Técnicas'!$L$4:$N$7,2,FALSE))</f>
        <v>3</v>
      </c>
      <c r="BW194" s="1108"/>
      <c r="BX194" s="1108"/>
      <c r="BY194" s="1474"/>
      <c r="BZ194" s="1492"/>
      <c r="CA194" s="1096"/>
      <c r="DR194" s="1096"/>
      <c r="DT194" s="1514"/>
      <c r="DU194" s="1614" t="s">
        <v>2345</v>
      </c>
      <c r="DV194" s="1615" t="s">
        <v>4001</v>
      </c>
      <c r="DW194" s="1615" t="s">
        <v>3987</v>
      </c>
      <c r="DX194" s="1616" t="s">
        <v>8729</v>
      </c>
      <c r="DY194" s="1513"/>
      <c r="DZ194" s="1096"/>
      <c r="EA194" s="1660">
        <f>EB193</f>
        <v>1</v>
      </c>
    </row>
    <row r="195" spans="1:132" x14ac:dyDescent="0.2">
      <c r="A195" s="1096"/>
      <c r="B195" s="1096"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97"/>
      <c r="D195" s="1643" t="s">
        <v>2310</v>
      </c>
      <c r="E195" s="1140"/>
      <c r="F195" s="1141" t="str">
        <f>IF(E195=0,"",VLOOKUP(E195,'Tablas Técnicas'!$A$14:$V$771,2,FALSE))</f>
        <v/>
      </c>
      <c r="G195" s="1142"/>
      <c r="H195" s="1143" t="str">
        <f>IF($E195=0,"",VLOOKUP($E195,'Tablas Técnicas'!$A$14:$V$771,4,FALSE))</f>
        <v/>
      </c>
      <c r="I195" s="1144" t="s">
        <v>2234</v>
      </c>
      <c r="J195" s="1602" t="str">
        <f>IF(E195=0,"",VLOOKUP(E195,'Tablas Técnicas'!$A$14:$V$771,5,FALSE))</f>
        <v/>
      </c>
      <c r="K195" s="1146" t="str">
        <f>IF(I195="Si",IF(E195=0,"",VLOOKUP(E195,'Tablas Técnicas'!$A$14:$V$771,5,FALSE)),"")</f>
        <v/>
      </c>
      <c r="L195" s="1144" t="s">
        <v>2234</v>
      </c>
      <c r="M195" s="1602" t="str">
        <f>IF(E195=0,"",VLOOKUP(E195,'Tablas Técnicas'!$A$14:$V$771,6,FALSE))</f>
        <v/>
      </c>
      <c r="N195" s="1147" t="str">
        <f>IF(L195="Si",IF(E195=0,"",VLOOKUP(E195,'Tablas Técnicas'!$A$14:$V$771,6,FALSE)),"")</f>
        <v/>
      </c>
      <c r="O195" s="1144" t="s">
        <v>2234</v>
      </c>
      <c r="P195" s="1602" t="str">
        <f>IF(E195=0,"",VLOOKUP(E195,'Tablas Técnicas'!$A$14:$V$771,7,FALSE))</f>
        <v/>
      </c>
      <c r="Q195" s="1147" t="str">
        <f>IF(O195="Si",IF(E195=0,"",VLOOKUP(E195,'Tablas Técnicas'!$A$14:$V$771,7,FALSE)),"")</f>
        <v/>
      </c>
      <c r="R195" s="1145" t="str">
        <f>IF(E195=0,"",VLOOKUP(E195,'Tablas Técnicas'!$A$14:$V$771,8,FALSE))</f>
        <v/>
      </c>
      <c r="S195" s="1143" t="str">
        <f>IF(R195=$D$8,$D$8,IF(R195=2,2,IF(R195=3,3,R195)))</f>
        <v/>
      </c>
      <c r="T195" s="1146" t="str">
        <f>IF(E195=0,"",VLOOKUP(E195,'Tablas Técnicas'!$A$14:$V$771,9,FALSE))</f>
        <v/>
      </c>
      <c r="U195" s="1146" t="str">
        <f>IF(E195=0,"",VLOOKUP(E195,'Tablas Técnicas'!$A$14:$V$771,10,FALSE))</f>
        <v/>
      </c>
      <c r="V195" s="1141" t="str">
        <f>IF(E195=0,"",VLOOKUP(E195,'Tablas Técnicas'!$A$14:$V$771,11,FALSE))</f>
        <v/>
      </c>
      <c r="W195" s="1144"/>
      <c r="X195" s="1145" t="e">
        <f>VLOOKUP(E195,'Tablas Técnicas'!$A$14:$V$771,12,FALSE)</f>
        <v>#N/A</v>
      </c>
      <c r="Y195" s="1145" t="e">
        <f>IF(W195=X195,VLOOKUP(E195,'Tablas Técnicas'!$A$14:$V$771,13,FALSE),0)</f>
        <v>#N/A</v>
      </c>
      <c r="Z195" s="1145" t="e">
        <f>VLOOKUP(E195,'Tablas Técnicas'!$A$14:$V$771,14,FALSE)</f>
        <v>#N/A</v>
      </c>
      <c r="AA195" s="1145" t="e">
        <f>IF(W195=Z195,VLOOKUP(E195,'Tablas Técnicas'!$A$14:$V$616,15,FALSE),0)</f>
        <v>#N/A</v>
      </c>
      <c r="AB195" s="1145" t="e">
        <f>VLOOKUP(E195,'Tablas Técnicas'!$A$14:$V$771,16,FALSE)</f>
        <v>#N/A</v>
      </c>
      <c r="AC195" s="1145" t="e">
        <f>IF(W195=AB195,VLOOKUP(E195,'Tablas Técnicas'!$A$14:$V$616,17,FALSE),0)</f>
        <v>#N/A</v>
      </c>
      <c r="AD195" s="1145" t="e">
        <f>VLOOKUP(E195,'Tablas Técnicas'!$A$14:$V$771,18,FALSE)</f>
        <v>#N/A</v>
      </c>
      <c r="AE195" s="1145" t="e">
        <f>IF(W195=AD195,VLOOKUP(E195,'Tablas Técnicas'!$A$14:$V$771,19,FALSE),0)</f>
        <v>#N/A</v>
      </c>
      <c r="AF195" s="1147" t="str">
        <f>IF(E195=0,"",(Y195+AA195+AC195+AE195))</f>
        <v/>
      </c>
      <c r="AG195" s="1144"/>
      <c r="AH195" s="1145" t="e">
        <f>VLOOKUP(E195,'Tablas Técnicas'!$A$14:$V$771,12,FALSE)</f>
        <v>#N/A</v>
      </c>
      <c r="AI195" s="1145" t="e">
        <f>IF(AG195=AH195,VLOOKUP(E195,'Tablas Técnicas'!$A$14:$V$771,13,FALSE),0)</f>
        <v>#N/A</v>
      </c>
      <c r="AJ195" s="1145" t="e">
        <f>VLOOKUP(E195,'Tablas Técnicas'!$A$14:$V$771,14,FALSE)</f>
        <v>#N/A</v>
      </c>
      <c r="AK195" s="1145" t="e">
        <f>IF(AG195=AJ195,VLOOKUP(E195,'Tablas Técnicas'!$A$14:$V$771,15,FALSE),0)</f>
        <v>#N/A</v>
      </c>
      <c r="AL195" s="1145" t="e">
        <f>VLOOKUP(E195,'Tablas Técnicas'!$A$14:$V$771,16,FALSE)</f>
        <v>#N/A</v>
      </c>
      <c r="AM195" s="1145" t="e">
        <f>IF(AG195=AL195,VLOOKUP(E195,'Tablas Técnicas'!$A$14:$V$771,17,FALSE),0)</f>
        <v>#N/A</v>
      </c>
      <c r="AN195" s="1145" t="e">
        <f>VLOOKUP(E195,'Tablas Técnicas'!$A$14:$V$771,18,FALSE)</f>
        <v>#N/A</v>
      </c>
      <c r="AO195" s="1145" t="e">
        <f>IF(AG195=AN195,VLOOKUP(E195,'Tablas Técnicas'!$A$14:$V$771,19,FALSE),0)</f>
        <v>#N/A</v>
      </c>
      <c r="AP195" s="1147" t="str">
        <f>IF(E195=0,"",(AI195+AK195+AM195+AO195))</f>
        <v/>
      </c>
      <c r="AQ195" s="1144"/>
      <c r="AR195" s="1145" t="e">
        <f>VLOOKUP(E195,'Tablas Técnicas'!$A$14:$V$771,12,FALSE)</f>
        <v>#N/A</v>
      </c>
      <c r="AS195" s="1145" t="e">
        <f>IF(AQ195=AR195,VLOOKUP(E195,'Tablas Técnicas'!$A$14:$V$771,13,FALSE),0)</f>
        <v>#N/A</v>
      </c>
      <c r="AT195" s="1145" t="e">
        <f>VLOOKUP(E195,'Tablas Técnicas'!$A$14:$V$771,14,FALSE)</f>
        <v>#N/A</v>
      </c>
      <c r="AU195" s="1145" t="e">
        <f>IF(AQ195=AT195,VLOOKUP(E195,'Tablas Técnicas'!$A$14:$V$771,15,FALSE),0)</f>
        <v>#N/A</v>
      </c>
      <c r="AV195" s="1145" t="e">
        <f>VLOOKUP(E195,'Tablas Técnicas'!$A$14:$V$771,16,FALSE)</f>
        <v>#N/A</v>
      </c>
      <c r="AW195" s="1145" t="e">
        <f>IF(AQ195=AV195,VLOOKUP(E195,'Tablas Técnicas'!$A$14:$V$771,17,FALSE),0)</f>
        <v>#N/A</v>
      </c>
      <c r="AX195" s="1145" t="e">
        <f>VLOOKUP(E195,'Tablas Técnicas'!$A$14:$V$771,18,FALSE)</f>
        <v>#N/A</v>
      </c>
      <c r="AY195" s="1145" t="e">
        <f>IF(AQ195=AX195,VLOOKUP(E195,'Tablas Técnicas'!$A$14:$V$771,19,FALSE),0)</f>
        <v>#N/A</v>
      </c>
      <c r="AZ195" s="1146" t="str">
        <f>IF(E195=0,"",(AS195+AU195+AW195+AY195))</f>
        <v/>
      </c>
      <c r="BA195" s="1144"/>
      <c r="BB195" s="1145" t="e">
        <f>VLOOKUP(E195,'Tablas Técnicas'!$A$14:$V$771,12,FALSE)</f>
        <v>#N/A</v>
      </c>
      <c r="BC195" s="1145" t="e">
        <f>IF(BA195=BB195,VLOOKUP(E195,'Tablas Técnicas'!$A$14:$V$771,13,FALSE),0)</f>
        <v>#N/A</v>
      </c>
      <c r="BD195" s="1145" t="e">
        <f>VLOOKUP(E195,'Tablas Técnicas'!$A$14:$V$771,14,FALSE)</f>
        <v>#N/A</v>
      </c>
      <c r="BE195" s="1145" t="e">
        <f>IF(BA195=BD195,VLOOKUP(E195,'Tablas Técnicas'!$A$14:$V$771,15,FALSE),0)</f>
        <v>#N/A</v>
      </c>
      <c r="BF195" s="1145" t="e">
        <f>VLOOKUP(E195,'Tablas Técnicas'!$A$14:$V$771,16,FALSE)</f>
        <v>#N/A</v>
      </c>
      <c r="BG195" s="1145" t="e">
        <f>IF(BA195=BF195,VLOOKUP(E195,'Tablas Técnicas'!$A$14:$V$771,17,FALSE),0)</f>
        <v>#N/A</v>
      </c>
      <c r="BH195" s="1145" t="e">
        <f>VLOOKUP(E195,'Tablas Técnicas'!$A$14:$V$771,18,FALSE)</f>
        <v>#N/A</v>
      </c>
      <c r="BI195" s="1145" t="e">
        <f>IF(BA195=BH195,VLOOKUP(E195,'Tablas Técnicas'!$A$14:$V$771,19,FALSE),0)</f>
        <v>#N/A</v>
      </c>
      <c r="BJ195" s="1147" t="str">
        <f>IF(E195=0,"",(BC195+BE195+BG195+BI195))</f>
        <v/>
      </c>
      <c r="BK195" s="1146" t="str">
        <f>IF(E195=0,"",VLOOKUP(E195,'Tablas Técnicas'!$A$14:$V$771,20,FALSE))</f>
        <v/>
      </c>
      <c r="BL195" s="1146" t="str">
        <f>IF(E195=0,"",VLOOKUP(E195,'Tablas Técnicas'!$A$14:$V$771,21,FALSE))</f>
        <v/>
      </c>
      <c r="BM195" s="1148" t="str">
        <f>IF(E195=0,"",VLOOKUP(E195,'Tablas Técnicas'!$A$14:$V$771,22,FALSE))</f>
        <v/>
      </c>
      <c r="BN195" s="1149"/>
      <c r="BO195" s="1150"/>
      <c r="BP195" s="1135" t="str">
        <f>IF(I195="Si",VLOOKUP($D$8,'Tablas Técnicas'!$E$4:$F$6,2,FALSE),"")</f>
        <v/>
      </c>
      <c r="BQ195" s="1136" t="str">
        <f>IF(L195="Si",VLOOKUP($D$8,'Tablas Técnicas'!$I$4:$J$6,2,FALSE),"")</f>
        <v/>
      </c>
      <c r="BR195" s="1134" t="str">
        <f>IF(O195="Si",VLOOKUP($D$8,'Tablas Técnicas'!$I$7:$J$9,2,FALSE),"")</f>
        <v/>
      </c>
      <c r="BS195" s="1151"/>
      <c r="BT195" s="4448" t="s">
        <v>5227</v>
      </c>
      <c r="BU195" s="4456"/>
      <c r="BV195" s="1128"/>
      <c r="BW195" s="1108"/>
      <c r="BX195" s="1108"/>
      <c r="BY195" s="1474"/>
      <c r="BZ195" s="1492"/>
      <c r="CA195" s="1096"/>
      <c r="DR195" s="1096"/>
      <c r="DT195" s="1514"/>
      <c r="DU195" s="1565" t="str">
        <f>IF(BW208="N/A","",BT207&amp;" "&amp;BW208&amp;IF(BY208="N/A"," "," ("&amp;BY208&amp;") "))</f>
        <v/>
      </c>
      <c r="DV195" s="1566" t="str">
        <f>IF(E195="","",E195)&amp;IF(I195="No",""," (Mant.)")&amp;IF(L195="No",""," (Sme)")&amp;IF(O195="No",""," (SMa)")</f>
        <v/>
      </c>
      <c r="DW195" s="1567" t="str">
        <f>IF(E225="","",E225)</f>
        <v/>
      </c>
      <c r="DX195" s="445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13"/>
      <c r="DZ195" s="1096"/>
      <c r="EA195" s="1660">
        <f t="shared" si="2"/>
        <v>1</v>
      </c>
    </row>
    <row r="196" spans="1:132" ht="12.75" customHeight="1" x14ac:dyDescent="0.2">
      <c r="A196" s="1096"/>
      <c r="B196" s="1096"/>
      <c r="C196" s="1497"/>
      <c r="D196" s="1642" t="s">
        <v>2310</v>
      </c>
      <c r="E196" s="1152"/>
      <c r="F196" s="1153" t="str">
        <f>IF(E196=0,"",VLOOKUP(E196,'Tablas Técnicas'!$A$14:$V$771,2,FALSE))</f>
        <v/>
      </c>
      <c r="G196" s="1154"/>
      <c r="H196" s="1155" t="str">
        <f>IF($E196=0,"",VLOOKUP($E196,'Tablas Técnicas'!$A$14:$V$771,4,FALSE))</f>
        <v/>
      </c>
      <c r="I196" s="1156" t="s">
        <v>2234</v>
      </c>
      <c r="J196" s="1605" t="str">
        <f>IF(E196=0,"",VLOOKUP(E196,'Tablas Técnicas'!$A$14:$V$771,5,FALSE))</f>
        <v/>
      </c>
      <c r="K196" s="1158" t="str">
        <f>IF(I196="Si",IF(E196=0,"",VLOOKUP(E196,'Tablas Técnicas'!$A$14:$V$771,5,FALSE)),"")</f>
        <v/>
      </c>
      <c r="L196" s="1156" t="s">
        <v>2234</v>
      </c>
      <c r="M196" s="1605" t="str">
        <f>IF(E196=0,"",VLOOKUP(E196,'Tablas Técnicas'!$A$14:$V$771,6,FALSE))</f>
        <v/>
      </c>
      <c r="N196" s="1159" t="str">
        <f>IF(L196="Si",IF(E196=0,"",VLOOKUP(E196,'Tablas Técnicas'!$A$14:$V$771,6,FALSE)),"")</f>
        <v/>
      </c>
      <c r="O196" s="1156" t="s">
        <v>2234</v>
      </c>
      <c r="P196" s="1605" t="str">
        <f>IF(E196=0,"",VLOOKUP(E196,'Tablas Técnicas'!$A$14:$V$771,7,FALSE))</f>
        <v/>
      </c>
      <c r="Q196" s="1159" t="str">
        <f>IF(O196="Si",IF(E196=0,"",VLOOKUP(E196,'Tablas Técnicas'!$A$14:$V$771,7,FALSE)),"")</f>
        <v/>
      </c>
      <c r="R196" s="1157" t="str">
        <f>IF(E196=0,"",VLOOKUP(E196,'Tablas Técnicas'!$A$14:$V$771,8,FALSE))</f>
        <v/>
      </c>
      <c r="S196" s="1155" t="str">
        <f>IF(R196=$D$8,$D$8,IF(R196=2,2,IF(R196=3,3,R196)))</f>
        <v/>
      </c>
      <c r="T196" s="4475" t="s">
        <v>5228</v>
      </c>
      <c r="U196" s="4476"/>
      <c r="V196" s="4476"/>
      <c r="W196" s="4476"/>
      <c r="X196" s="4476"/>
      <c r="Y196" s="4476"/>
      <c r="Z196" s="4476"/>
      <c r="AA196" s="4476"/>
      <c r="AB196" s="4476"/>
      <c r="AC196" s="4476"/>
      <c r="AD196" s="4476"/>
      <c r="AE196" s="4476"/>
      <c r="AF196" s="4476"/>
      <c r="AG196" s="4476"/>
      <c r="AH196" s="4476"/>
      <c r="AI196" s="4476"/>
      <c r="AJ196" s="4476"/>
      <c r="AK196" s="4476"/>
      <c r="AL196" s="4476"/>
      <c r="AM196" s="4476"/>
      <c r="AN196" s="4476"/>
      <c r="AO196" s="4476"/>
      <c r="AP196" s="4476"/>
      <c r="AQ196" s="4476"/>
      <c r="AR196" s="4476"/>
      <c r="AS196" s="4476"/>
      <c r="AT196" s="4476"/>
      <c r="AU196" s="4476"/>
      <c r="AV196" s="4476"/>
      <c r="AW196" s="4476"/>
      <c r="AX196" s="4476"/>
      <c r="AY196" s="4476"/>
      <c r="AZ196" s="4476"/>
      <c r="BA196" s="4476"/>
      <c r="BB196" s="4476"/>
      <c r="BC196" s="4476"/>
      <c r="BD196" s="4476"/>
      <c r="BE196" s="4476"/>
      <c r="BF196" s="4476"/>
      <c r="BG196" s="4476"/>
      <c r="BH196" s="4476"/>
      <c r="BI196" s="4476"/>
      <c r="BJ196" s="4476"/>
      <c r="BK196" s="4500"/>
      <c r="BL196" s="1627"/>
      <c r="BM196" s="1628"/>
      <c r="BN196" s="1149"/>
      <c r="BO196" s="1150"/>
      <c r="BP196" s="1135" t="str">
        <f>IF(I196="Si",VLOOKUP($D$8,'Tablas Técnicas'!$E$4:$F$6,2,FALSE),"")</f>
        <v/>
      </c>
      <c r="BQ196" s="1136" t="str">
        <f>IF(L196="Si",VLOOKUP($D$8,'Tablas Técnicas'!$I$4:$J$6,2,FALSE),"")</f>
        <v/>
      </c>
      <c r="BR196" s="1134" t="str">
        <f>IF(O196="Si",VLOOKUP($D$8,'Tablas Técnicas'!$I$7:$J$9,2,FALSE),"")</f>
        <v/>
      </c>
      <c r="BS196" s="1151"/>
      <c r="BT196" s="445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01"/>
      <c r="BV196" s="1128"/>
      <c r="BW196" s="1108"/>
      <c r="BX196" s="1108"/>
      <c r="BY196" s="1474"/>
      <c r="BZ196" s="1492"/>
      <c r="CA196" s="1096"/>
      <c r="DR196" s="1096"/>
      <c r="DT196" s="1514"/>
      <c r="DU196" s="1565" t="str">
        <f>IF(BW210="N/A","",BT209&amp;" "&amp;BW210&amp;IF(BY210="N/A"," "," ("&amp;BY210&amp;") "))</f>
        <v/>
      </c>
      <c r="DV196" s="1566" t="str">
        <f>IF(E196="",""," "&amp;E196)&amp;IF(I196="No",""," (Mant.)")&amp;IF(L196="No",""," (Sme)")&amp;IF(O196="No",""," (SMa)")</f>
        <v/>
      </c>
      <c r="DW196" s="1567" t="str">
        <f>IF(E226="","",", "&amp;E226)</f>
        <v/>
      </c>
      <c r="DX196" s="4454"/>
      <c r="DY196" s="1513"/>
      <c r="DZ196" s="1096"/>
      <c r="EA196" s="1660">
        <f t="shared" si="2"/>
        <v>1</v>
      </c>
    </row>
    <row r="197" spans="1:132" x14ac:dyDescent="0.2">
      <c r="A197" s="1096"/>
      <c r="B197" s="1096"/>
      <c r="C197" s="1497"/>
      <c r="D197" s="1643" t="s">
        <v>2310</v>
      </c>
      <c r="E197" s="1160"/>
      <c r="F197" s="2619" t="str">
        <f>IF(E197=0,"",VLOOKUP(E197,'Tablas Técnicas'!$A$14:$V$771,2,FALSE))</f>
        <v/>
      </c>
      <c r="G197" s="1142"/>
      <c r="H197" s="1161" t="str">
        <f>IF($E197=0,"",VLOOKUP($E197,'Tablas Técnicas'!$A$14:$V$771,4,FALSE))</f>
        <v/>
      </c>
      <c r="I197" s="1144" t="s">
        <v>2234</v>
      </c>
      <c r="J197" s="1601" t="str">
        <f>IF(E197=0,"",VLOOKUP(E197,'Tablas Técnicas'!$A$14:$V$771,5,FALSE))</f>
        <v/>
      </c>
      <c r="K197" s="1163" t="str">
        <f>IF(I197="Si",IF(E197=0,"",VLOOKUP(E197,'Tablas Técnicas'!$A$14:$V$771,5,FALSE)),"")</f>
        <v/>
      </c>
      <c r="L197" s="1144" t="s">
        <v>2234</v>
      </c>
      <c r="M197" s="1601" t="str">
        <f>IF(E197=0,"",VLOOKUP(E197,'Tablas Técnicas'!$A$14:$V$771,6,FALSE))</f>
        <v/>
      </c>
      <c r="N197" s="1147" t="str">
        <f>IF(L197="Si",IF(E197=0,"",VLOOKUP(E197,'Tablas Técnicas'!$A$14:$V$771,6,FALSE)),"")</f>
        <v/>
      </c>
      <c r="O197" s="1144" t="s">
        <v>2234</v>
      </c>
      <c r="P197" s="1601" t="str">
        <f>IF(E197=0,"",VLOOKUP(E197,'Tablas Técnicas'!$A$14:$V$771,7,FALSE))</f>
        <v/>
      </c>
      <c r="Q197" s="1147" t="str">
        <f>IF(O197="Si",IF(E197=0,"",VLOOKUP(E197,'Tablas Técnicas'!$A$14:$V$771,7,FALSE)),"")</f>
        <v/>
      </c>
      <c r="R197" s="1162" t="str">
        <f>IF(E197=0,"",VLOOKUP(E197,'Tablas Técnicas'!$A$14:$V$771,8,FALSE))</f>
        <v/>
      </c>
      <c r="S197" s="2619" t="str">
        <f>IF(R197=$D$8,$D$8,IF(R197=2,2,IF(R197=3,3,R197)))</f>
        <v/>
      </c>
      <c r="T197" s="4487"/>
      <c r="U197" s="4502"/>
      <c r="V197" s="2617" t="str">
        <f>IF(OR(V195=0,V195=""),"N/A",V195)</f>
        <v>N/A</v>
      </c>
      <c r="W197" s="4487" t="str">
        <f xml:space="preserve"> IF(OR(AF195=0,AF195=""),"N/A",W195)</f>
        <v>N/A</v>
      </c>
      <c r="X197" s="4489"/>
      <c r="Y197" s="4489"/>
      <c r="Z197" s="4489"/>
      <c r="AA197" s="4489"/>
      <c r="AB197" s="4489"/>
      <c r="AC197" s="4489"/>
      <c r="AD197" s="4489"/>
      <c r="AE197" s="4489"/>
      <c r="AF197" s="4502"/>
      <c r="AG197" s="4487" t="str">
        <f xml:space="preserve"> IF(OR(AP195="",AP195=0),"N/A",AG195)</f>
        <v>N/A</v>
      </c>
      <c r="AH197" s="4489"/>
      <c r="AI197" s="4489"/>
      <c r="AJ197" s="4489"/>
      <c r="AK197" s="4489"/>
      <c r="AL197" s="4489"/>
      <c r="AM197" s="4489"/>
      <c r="AN197" s="4489"/>
      <c r="AO197" s="4489"/>
      <c r="AP197" s="4502"/>
      <c r="AQ197" s="4487" t="str">
        <f xml:space="preserve"> IF(OR(AZ195="",AZ195=0),"N/A",AQ195)</f>
        <v>N/A</v>
      </c>
      <c r="AR197" s="4489"/>
      <c r="AS197" s="4489"/>
      <c r="AT197" s="4489"/>
      <c r="AU197" s="4489"/>
      <c r="AV197" s="4489"/>
      <c r="AW197" s="4489"/>
      <c r="AX197" s="4489"/>
      <c r="AY197" s="4489"/>
      <c r="AZ197" s="4502"/>
      <c r="BA197" s="4487" t="str">
        <f xml:space="preserve"> IF(OR(BJ195="",BJ195=0),"N/A",BA195)</f>
        <v>N/A</v>
      </c>
      <c r="BB197" s="4489"/>
      <c r="BC197" s="4489"/>
      <c r="BD197" s="4489"/>
      <c r="BE197" s="4489"/>
      <c r="BF197" s="4489"/>
      <c r="BG197" s="4489"/>
      <c r="BH197" s="4489"/>
      <c r="BI197" s="4489"/>
      <c r="BJ197" s="4502"/>
      <c r="BK197" s="1164" t="s">
        <v>5229</v>
      </c>
      <c r="BL197" s="1146"/>
      <c r="BM197" s="1181"/>
      <c r="BN197" s="1165"/>
      <c r="BO197" s="1166"/>
      <c r="BP197" s="1167" t="str">
        <f>IF(I197="Si",VLOOKUP($D$8,'Tablas Técnicas'!$E$4:$F$6,2,FALSE),"")</f>
        <v/>
      </c>
      <c r="BQ197" s="1137" t="str">
        <f>IF(L197="Si",VLOOKUP($D$8,'Tablas Técnicas'!$I$4:$J$6,2,FALSE),"")</f>
        <v/>
      </c>
      <c r="BR197" s="1168" t="str">
        <f>IF(O197="Si",VLOOKUP($D$8,'Tablas Técnicas'!$I$7:$J$9,2,FALSE),"")</f>
        <v/>
      </c>
      <c r="BS197" s="1169"/>
      <c r="BU197" s="2608"/>
      <c r="BV197" s="1128"/>
      <c r="BW197" s="1108"/>
      <c r="BX197" s="1108"/>
      <c r="BY197" s="1474"/>
      <c r="BZ197" s="1492"/>
      <c r="CA197" s="1096"/>
      <c r="DR197" s="1096"/>
      <c r="DT197" s="1514"/>
      <c r="DU197" s="1565" t="str">
        <f>IF(BW212="N/A","",BT211&amp;" "&amp;BW212&amp;IF(BY212="N/A"," "," ("&amp;BY212&amp;") "))</f>
        <v/>
      </c>
      <c r="DV197" s="1566" t="str">
        <f>IF(E197="","",E197)&amp;IF(I197="No",""," (Mant.)")&amp;IF(L197="No",""," (Sme)")&amp;IF(O197="No",""," (SMa)")</f>
        <v/>
      </c>
      <c r="DW197" s="1567" t="str">
        <f>IF(E227="","",", "&amp;E227)</f>
        <v/>
      </c>
      <c r="DX197" s="4454"/>
      <c r="DY197" s="1513"/>
      <c r="DZ197" s="1096"/>
      <c r="EA197" s="1660">
        <f t="shared" si="2"/>
        <v>1</v>
      </c>
    </row>
    <row r="198" spans="1:132" x14ac:dyDescent="0.2">
      <c r="A198" s="1096"/>
      <c r="B198" s="1096"/>
      <c r="C198" s="1497"/>
      <c r="D198" s="1642" t="s">
        <v>2310</v>
      </c>
      <c r="E198" s="1152"/>
      <c r="F198" s="1153" t="str">
        <f>IF(E198=0,"",VLOOKUP(E198,'Tablas Técnicas'!$A$14:$V$771,2,FALSE))</f>
        <v/>
      </c>
      <c r="G198" s="1154"/>
      <c r="H198" s="1155" t="str">
        <f>IF($E198=0,"",VLOOKUP($E198,'Tablas Técnicas'!$A$14:$V$771,4,FALSE))</f>
        <v/>
      </c>
      <c r="I198" s="1156" t="s">
        <v>2234</v>
      </c>
      <c r="J198" s="1605" t="str">
        <f>IF(E198=0,"",VLOOKUP(E198,'Tablas Técnicas'!$A$14:$V$771,5,FALSE))</f>
        <v/>
      </c>
      <c r="K198" s="1158" t="str">
        <f>IF(I198="Si",IF(E198=0,"",VLOOKUP(E198,'Tablas Técnicas'!$A$14:$V$771,5,FALSE)),"")</f>
        <v/>
      </c>
      <c r="L198" s="1156" t="s">
        <v>2234</v>
      </c>
      <c r="M198" s="1605" t="str">
        <f>IF(E198=0,"",VLOOKUP(E198,'Tablas Técnicas'!$A$14:$V$771,6,FALSE))</f>
        <v/>
      </c>
      <c r="N198" s="1159" t="str">
        <f>IF(L198="Si",IF(E198=0,"",VLOOKUP(E198,'Tablas Técnicas'!$A$14:$V$771,6,FALSE)),"")</f>
        <v/>
      </c>
      <c r="O198" s="1156" t="s">
        <v>2234</v>
      </c>
      <c r="P198" s="1605" t="str">
        <f>IF(E198=0,"",VLOOKUP(E198,'Tablas Técnicas'!$A$14:$V$771,7,FALSE))</f>
        <v/>
      </c>
      <c r="Q198" s="1159" t="str">
        <f>IF(O198="Si",IF(E198=0,"",VLOOKUP(E198,'Tablas Técnicas'!$A$14:$V$771,7,FALSE)),"")</f>
        <v/>
      </c>
      <c r="R198" s="1157" t="str">
        <f>IF(E198=0,"",VLOOKUP(E198,'Tablas Técnicas'!$A$14:$V$771,8,FALSE))</f>
        <v/>
      </c>
      <c r="S198" s="1155" t="str">
        <f>IF(R198=$D$8,$D$8,IF(R198=2,2,IF(R198=3,3,R198)))</f>
        <v/>
      </c>
      <c r="T198" s="4504" t="s">
        <v>5230</v>
      </c>
      <c r="U198" s="4491"/>
      <c r="V198" s="2618"/>
      <c r="W198" s="4505"/>
      <c r="X198" s="4506"/>
      <c r="Y198" s="4506"/>
      <c r="Z198" s="4506"/>
      <c r="AA198" s="4506"/>
      <c r="AB198" s="4506"/>
      <c r="AC198" s="4506"/>
      <c r="AD198" s="4506"/>
      <c r="AE198" s="4506"/>
      <c r="AF198" s="4494"/>
      <c r="AG198" s="4505"/>
      <c r="AH198" s="4506"/>
      <c r="AI198" s="4506"/>
      <c r="AJ198" s="4506"/>
      <c r="AK198" s="4506"/>
      <c r="AL198" s="4506"/>
      <c r="AM198" s="4506"/>
      <c r="AN198" s="4506"/>
      <c r="AO198" s="4506"/>
      <c r="AP198" s="4494"/>
      <c r="AQ198" s="4505"/>
      <c r="AR198" s="4506"/>
      <c r="AS198" s="4506"/>
      <c r="AT198" s="4506"/>
      <c r="AU198" s="4506"/>
      <c r="AV198" s="4506"/>
      <c r="AW198" s="4506"/>
      <c r="AX198" s="4506"/>
      <c r="AY198" s="4506"/>
      <c r="AZ198" s="4494"/>
      <c r="BA198" s="4505"/>
      <c r="BB198" s="4506"/>
      <c r="BC198" s="4506"/>
      <c r="BD198" s="4506"/>
      <c r="BE198" s="4506"/>
      <c r="BF198" s="4506"/>
      <c r="BG198" s="4506"/>
      <c r="BH198" s="4506"/>
      <c r="BI198" s="4506"/>
      <c r="BJ198" s="4494"/>
      <c r="BK198" s="1155">
        <f>(SUM(F195:F199)+IF(AF195="",0,AF195)+IF(AP195="",0,AP195)+IF(AZ195="",0,AZ195)+IF(BJ195="",0,BJ195)+SUM(K195:K199)+SUM(N195:N199)+SUM(Q195:Q199))- SUM(V198:BA198)</f>
        <v>0</v>
      </c>
      <c r="BL198" s="1627"/>
      <c r="BM198" s="1628"/>
      <c r="BN198" s="1149"/>
      <c r="BO198" s="1150"/>
      <c r="BP198" s="1135" t="str">
        <f>IF(I198="Si",VLOOKUP($D$8,'Tablas Técnicas'!$E$4:$F$6,2,FALSE),"")</f>
        <v/>
      </c>
      <c r="BQ198" s="1136" t="str">
        <f>IF(L198="Si",VLOOKUP($D$8,'Tablas Técnicas'!$I$4:$J$6,2,FALSE),"")</f>
        <v/>
      </c>
      <c r="BR198" s="1134" t="str">
        <f>IF(O198="Si",VLOOKUP($D$8,'Tablas Técnicas'!$I$7:$J$9,2,FALSE),"")</f>
        <v/>
      </c>
      <c r="BS198" s="1151"/>
      <c r="BT198" s="4448" t="s">
        <v>5231</v>
      </c>
      <c r="BU198" s="4456"/>
      <c r="BV198" s="1128"/>
      <c r="BW198" s="1108"/>
      <c r="BX198" s="1108"/>
      <c r="BY198" s="1474"/>
      <c r="BZ198" s="1492"/>
      <c r="CA198" s="1096"/>
      <c r="DR198" s="1096"/>
      <c r="DT198" s="1514"/>
      <c r="DU198" s="1565" t="str">
        <f>IF(BW214="N/A","",BT213&amp;" "&amp;BW214&amp;IF(BY214="N/A"," "," ("&amp;BY214&amp;") "))</f>
        <v/>
      </c>
      <c r="DV198" s="1566" t="str">
        <f>IF(E198="","",E198)&amp;IF(I198="No",""," (Mant.)")&amp;IF(L198="No",""," (Sme)")&amp;IF(O198="No",""," (SMa)")</f>
        <v/>
      </c>
      <c r="DW198" s="1567"/>
      <c r="DX198" s="4454"/>
      <c r="DY198" s="1513"/>
      <c r="DZ198" s="1096"/>
      <c r="EA198" s="1660">
        <f t="shared" si="2"/>
        <v>1</v>
      </c>
    </row>
    <row r="199" spans="1:132" x14ac:dyDescent="0.2">
      <c r="A199" s="1096"/>
      <c r="B199" s="1096"/>
      <c r="C199" s="1497"/>
      <c r="D199" s="1643" t="s">
        <v>2310</v>
      </c>
      <c r="E199" s="1160"/>
      <c r="F199" s="2619" t="str">
        <f>IF(E199=0,"",VLOOKUP(E199,'Tablas Técnicas'!$A$14:$V$771,2,FALSE))</f>
        <v/>
      </c>
      <c r="G199" s="1142"/>
      <c r="H199" s="1161" t="str">
        <f>IF($E199=0,"",VLOOKUP($E199,'Tablas Técnicas'!$A$14:$V$771,4,FALSE))</f>
        <v/>
      </c>
      <c r="I199" s="1144" t="s">
        <v>2234</v>
      </c>
      <c r="J199" s="1601" t="str">
        <f>IF(E199=0,"",VLOOKUP(E199,'Tablas Técnicas'!$A$14:$V$771,5,FALSE))</f>
        <v/>
      </c>
      <c r="K199" s="1163" t="str">
        <f>IF(I199="Si",IF(E199=0,"",VLOOKUP(E199,'Tablas Técnicas'!$A$14:$V$771,5,FALSE)),"")</f>
        <v/>
      </c>
      <c r="L199" s="1144" t="s">
        <v>2234</v>
      </c>
      <c r="M199" s="1601" t="str">
        <f>IF(E199=0,"",VLOOKUP(E199,'Tablas Técnicas'!$A$14:$V$771,6,FALSE))</f>
        <v/>
      </c>
      <c r="N199" s="1147" t="str">
        <f>IF(L199="Si",IF(E199=0,"",VLOOKUP(E199,'Tablas Técnicas'!$A$14:$V$771,6,FALSE)),"")</f>
        <v/>
      </c>
      <c r="O199" s="1144" t="s">
        <v>2234</v>
      </c>
      <c r="P199" s="1601" t="str">
        <f>IF(E199=0,"",VLOOKUP(E199,'Tablas Técnicas'!$A$14:$V$771,7,FALSE))</f>
        <v/>
      </c>
      <c r="Q199" s="1147" t="str">
        <f>IF(O199="Si",IF(E199=0,"",VLOOKUP(E199,'Tablas Técnicas'!$A$14:$V$771,7,FALSE)),"")</f>
        <v/>
      </c>
      <c r="R199" s="1162" t="str">
        <f>IF(E199=0,"",VLOOKUP(E199,'Tablas Técnicas'!$A$14:$V$771,8,FALSE))</f>
        <v/>
      </c>
      <c r="S199" s="1161" t="str">
        <f>IF(R199=$D$8,$D$8,IF(R199=2,2,IF(R199=3,3,R199)))</f>
        <v/>
      </c>
      <c r="T199" s="4482" t="s">
        <v>5232</v>
      </c>
      <c r="U199" s="4483"/>
      <c r="V199" s="2616"/>
      <c r="W199" s="4484"/>
      <c r="X199" s="4485"/>
      <c r="Y199" s="4485"/>
      <c r="Z199" s="4485"/>
      <c r="AA199" s="4485"/>
      <c r="AB199" s="4485"/>
      <c r="AC199" s="4485"/>
      <c r="AD199" s="4485"/>
      <c r="AE199" s="4485"/>
      <c r="AF199" s="4486"/>
      <c r="AG199" s="4484"/>
      <c r="AH199" s="4485"/>
      <c r="AI199" s="4485"/>
      <c r="AJ199" s="4485"/>
      <c r="AK199" s="4485"/>
      <c r="AL199" s="4485"/>
      <c r="AM199" s="4485"/>
      <c r="AN199" s="4485"/>
      <c r="AO199" s="4485"/>
      <c r="AP199" s="4486"/>
      <c r="AQ199" s="4484"/>
      <c r="AR199" s="4485"/>
      <c r="AS199" s="4485"/>
      <c r="AT199" s="4485"/>
      <c r="AU199" s="4485"/>
      <c r="AV199" s="4485"/>
      <c r="AW199" s="4485"/>
      <c r="AX199" s="4485"/>
      <c r="AY199" s="4485"/>
      <c r="AZ199" s="4486"/>
      <c r="BA199" s="4484"/>
      <c r="BB199" s="4485"/>
      <c r="BC199" s="4485"/>
      <c r="BD199" s="4485"/>
      <c r="BE199" s="4485"/>
      <c r="BF199" s="4485"/>
      <c r="BG199" s="4485"/>
      <c r="BH199" s="4485"/>
      <c r="BI199" s="4485"/>
      <c r="BJ199" s="4486"/>
      <c r="BK199" s="1171">
        <f>SUM(K195:K199)-SUM(V199:BA199)</f>
        <v>0</v>
      </c>
      <c r="BL199" s="1629"/>
      <c r="BM199" s="1630"/>
      <c r="BN199" s="1165"/>
      <c r="BO199" s="1166"/>
      <c r="BP199" s="1167" t="str">
        <f>IF(I199="Si",VLOOKUP($D$8,'Tablas Técnicas'!$E$4:$F$6,2,FALSE),"")</f>
        <v/>
      </c>
      <c r="BQ199" s="1137" t="str">
        <f>IF(L199="Si",VLOOKUP($D$8,'Tablas Técnicas'!$I$4:$J$6,2,FALSE),"")</f>
        <v/>
      </c>
      <c r="BR199" s="1168" t="str">
        <f>IF(O199="Si",VLOOKUP($D$8,'Tablas Técnicas'!$I$7:$J$9,2,FALSE),"")</f>
        <v/>
      </c>
      <c r="BS199" s="1169"/>
      <c r="BT199" s="4452" t="s">
        <v>2234</v>
      </c>
      <c r="BU199" s="4457"/>
      <c r="BV199" s="1128"/>
      <c r="BW199" s="1108"/>
      <c r="BX199" s="1108"/>
      <c r="BY199" s="1474"/>
      <c r="BZ199" s="1492"/>
      <c r="CA199" s="1096"/>
      <c r="DR199" s="1096"/>
      <c r="DT199" s="1514"/>
      <c r="DU199" s="1565" t="str">
        <f>IF(BW216="N/A","",BT215&amp;" "&amp;BW216&amp;IF(BY216="N/A"," "," ("&amp;BY216&amp;") "))</f>
        <v/>
      </c>
      <c r="DV199" s="1566" t="str">
        <f>IF(E199="","",E199)&amp;IF(I199="No",""," (Mant.)")&amp;IF(L199="No",""," (Sme)")&amp;IF(O199="No",""," (SMa)")</f>
        <v/>
      </c>
      <c r="DW199" s="1567"/>
      <c r="DX199" s="4454"/>
      <c r="DY199" s="1513"/>
      <c r="DZ199" s="1096"/>
      <c r="EA199" s="1660">
        <f t="shared" si="2"/>
        <v>1</v>
      </c>
    </row>
    <row r="200" spans="1:132" x14ac:dyDescent="0.2">
      <c r="A200" s="1096"/>
      <c r="B200" s="159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97"/>
      <c r="D200" s="1644">
        <v>2</v>
      </c>
      <c r="E200" s="1423"/>
      <c r="F200" s="1173"/>
      <c r="G200" s="1174"/>
      <c r="H200" s="2559">
        <f>IF(AND(OR(ISNUMBER(SEARCH("Afinidad Elemental ("&amp;BK195&amp;")",Principal!$AF$30)),ISNUMBER(SEARCH("Afinidad Elemental ("&amp;BL195&amp;")",Principal!$AF$30)),ISNUMBER(SEARCH("Afinidad Elemental ("&amp;BM195&amp;")",Principal!$AF$30))),SUM(H195:H199)&gt;=5),-5,0)</f>
        <v>0</v>
      </c>
      <c r="I200" s="1603"/>
      <c r="J200" s="1606"/>
      <c r="K200" s="1174"/>
      <c r="L200" s="1603"/>
      <c r="M200" s="1606"/>
      <c r="N200" s="1174"/>
      <c r="O200" s="1603"/>
      <c r="P200" s="1606"/>
      <c r="Q200" s="1174"/>
      <c r="R200" s="1175"/>
      <c r="S200" s="1174"/>
      <c r="T200" s="1174"/>
      <c r="U200" s="1131"/>
      <c r="V200" s="1131"/>
      <c r="W200" s="1131"/>
      <c r="X200" s="1131"/>
      <c r="Y200" s="1131"/>
      <c r="Z200" s="1131"/>
      <c r="AA200" s="1131"/>
      <c r="AB200" s="1131"/>
      <c r="AC200" s="1131"/>
      <c r="AD200" s="1131"/>
      <c r="AE200" s="1131"/>
      <c r="AF200" s="1131"/>
      <c r="AG200" s="1131"/>
      <c r="AH200" s="1131"/>
      <c r="AI200" s="1131"/>
      <c r="AJ200" s="1131"/>
      <c r="AK200" s="1131"/>
      <c r="AL200" s="1131"/>
      <c r="AM200" s="1131"/>
      <c r="AN200" s="1131"/>
      <c r="AO200" s="1131"/>
      <c r="AP200" s="1131"/>
      <c r="AQ200" s="1131"/>
      <c r="AR200" s="1131"/>
      <c r="AS200" s="1131"/>
      <c r="AT200" s="1131"/>
      <c r="AU200" s="1131"/>
      <c r="AV200" s="1131"/>
      <c r="AW200" s="1131"/>
      <c r="AX200" s="1131"/>
      <c r="AY200" s="1131"/>
      <c r="AZ200" s="1131"/>
      <c r="BA200" s="1131"/>
      <c r="BB200" s="1131"/>
      <c r="BC200" s="1131"/>
      <c r="BD200" s="1131"/>
      <c r="BE200" s="1131"/>
      <c r="BF200" s="1131"/>
      <c r="BG200" s="1131"/>
      <c r="BH200" s="1131"/>
      <c r="BI200" s="1131"/>
      <c r="BJ200" s="1131"/>
      <c r="BK200" s="1131"/>
      <c r="BL200" s="1131"/>
      <c r="BM200" s="1133"/>
      <c r="BN200" s="1134">
        <f>SUM(K200:K203)</f>
        <v>0</v>
      </c>
      <c r="BO200" s="1128" t="str">
        <f>IF(E200=0,"",(AF200+AP200+AZ200+BJ200))</f>
        <v/>
      </c>
      <c r="BP200" s="1135" t="str">
        <f>IF(I200="Si",VLOOKUP($D$8,'Tablas Técnicas'!$E$4:$F$6,2,FALSE),"")</f>
        <v/>
      </c>
      <c r="BQ200" s="1136" t="str">
        <f>IF(L200="Si",VLOOKUP($D$8,'Tablas Técnicas'!$I$4:$J$6,2,FALSE),"")</f>
        <v/>
      </c>
      <c r="BR200" s="1134" t="str">
        <f>IF(O200="Si",VLOOKUP($D$8,'Tablas Técnicas'!$I$7:$J$9,2,FALSE),"")</f>
        <v/>
      </c>
      <c r="BS200" s="1151"/>
      <c r="BT200" s="4448" t="s">
        <v>5233</v>
      </c>
      <c r="BU200" s="4456"/>
      <c r="BV200" s="1128"/>
      <c r="BW200" s="1108"/>
      <c r="BX200" s="1108"/>
      <c r="BY200" s="1474"/>
      <c r="BZ200" s="1492"/>
      <c r="CA200" s="1096"/>
      <c r="DR200" s="1096"/>
      <c r="DT200" s="1514"/>
      <c r="DU200" s="1565" t="str">
        <f>IF(BW218="N/A","",BT217&amp;" "&amp;BW218&amp;IF(BY218="N/A"," "," ("&amp;BY218&amp;") "))</f>
        <v/>
      </c>
      <c r="DV200" s="1570"/>
      <c r="DW200" s="1567"/>
      <c r="DX200" s="1617" t="s">
        <v>2373</v>
      </c>
      <c r="DY200" s="1513"/>
      <c r="DZ200" s="1096"/>
      <c r="EA200" s="1660">
        <f t="shared" si="2"/>
        <v>1</v>
      </c>
    </row>
    <row r="201" spans="1:132" x14ac:dyDescent="0.2">
      <c r="A201" s="1096"/>
      <c r="B201" s="1096"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97"/>
      <c r="D201" s="1643" t="s">
        <v>2310</v>
      </c>
      <c r="E201" s="1140"/>
      <c r="F201" s="1176"/>
      <c r="G201" s="1146" t="str">
        <f>IF(E201=0,"",VLOOKUP(E201,'Tablas Técnicas'!$A$14:$V$771,3,FALSE))</f>
        <v/>
      </c>
      <c r="H201" s="1178" t="str">
        <f>IF($E201=0,"",VLOOKUP($E201,'Tablas Técnicas'!$A$14:$V$771,4,FALSE))</f>
        <v/>
      </c>
      <c r="I201" s="1144" t="s">
        <v>2234</v>
      </c>
      <c r="J201" s="1604" t="str">
        <f>IF(E201=0,"",VLOOKUP(E201,'Tablas Técnicas'!$A$14:$V$771,5,FALSE))</f>
        <v/>
      </c>
      <c r="K201" s="1177" t="str">
        <f>IF(I201="Si",IF(E201=0,"",VLOOKUP(E201,'Tablas Técnicas'!$A$14:$V$771,5,FALSE)),"")</f>
        <v/>
      </c>
      <c r="L201" s="1144" t="s">
        <v>2234</v>
      </c>
      <c r="M201" s="1604" t="str">
        <f>IF(E201=0,"",VLOOKUP(E201,'Tablas Técnicas'!$A$14:$V$771,6,FALSE))</f>
        <v/>
      </c>
      <c r="N201" s="1147" t="str">
        <f>IF(L201="Si",IF(E201=0,"",VLOOKUP(E201,'Tablas Técnicas'!$A$14:$V$771,6,FALSE)),"")</f>
        <v/>
      </c>
      <c r="O201" s="1144" t="s">
        <v>2234</v>
      </c>
      <c r="P201" s="1604" t="str">
        <f>IF(E201=0,"",VLOOKUP(E201,'Tablas Técnicas'!$A$14:$V$771,7,FALSE))</f>
        <v/>
      </c>
      <c r="Q201" s="1147" t="str">
        <f>IF(O201="Si",IF(E201=0,"",VLOOKUP(E201,'Tablas Técnicas'!$A$14:$V$771,7,FALSE)),"")</f>
        <v/>
      </c>
      <c r="R201" s="1179" t="str">
        <f>IF(E201=0,"",VLOOKUP(E201,'Tablas Técnicas'!$A$14:$V$771,8,FALSE))</f>
        <v/>
      </c>
      <c r="S201" s="1178" t="str">
        <f>IF(R201=$D$8,$D$8,IF(R201=2,2,IF(R201=3,3,R201)))</f>
        <v/>
      </c>
      <c r="T201" s="1146" t="str">
        <f>IF(E201=0,"",VLOOKUP(E201,'Tablas Técnicas'!$A$14:$V$771,9,FALSE))</f>
        <v/>
      </c>
      <c r="U201" s="1146" t="str">
        <f>IF(E201=0,"",VLOOKUP(E201,'Tablas Técnicas'!$A$14:$V$771,10,FALSE))</f>
        <v/>
      </c>
      <c r="V201" s="1141" t="str">
        <f>IF(E201=0,"",VLOOKUP(E201,'Tablas Técnicas'!$A$14:$V$771,11,FALSE))</f>
        <v/>
      </c>
      <c r="W201" s="1144"/>
      <c r="X201" s="1145" t="e">
        <f>VLOOKUP(E201,'Tablas Técnicas'!$A$14:$V$771,12,FALSE)</f>
        <v>#N/A</v>
      </c>
      <c r="Y201" s="1145" t="e">
        <f>IF(W201=X201,VLOOKUP(E201,'Tablas Técnicas'!$A$14:$V$771,13,FALSE),0)</f>
        <v>#N/A</v>
      </c>
      <c r="Z201" s="1145" t="e">
        <f>VLOOKUP(E201,'Tablas Técnicas'!$A$14:$V$771,14,FALSE)</f>
        <v>#N/A</v>
      </c>
      <c r="AA201" s="1145" t="e">
        <f>IF(W201=Z201,VLOOKUP(E201,'Tablas Técnicas'!$A$14:$V$616,15,FALSE),0)</f>
        <v>#N/A</v>
      </c>
      <c r="AB201" s="1145" t="e">
        <f>VLOOKUP(E201,'Tablas Técnicas'!$A$14:$V$771,16,FALSE)</f>
        <v>#N/A</v>
      </c>
      <c r="AC201" s="1145" t="e">
        <f>IF(W201=AB201,VLOOKUP(E201,'Tablas Técnicas'!$A$14:$V$616,17,FALSE),0)</f>
        <v>#N/A</v>
      </c>
      <c r="AD201" s="1145" t="e">
        <f>VLOOKUP(E201,'Tablas Técnicas'!$A$14:$V$771,18,FALSE)</f>
        <v>#N/A</v>
      </c>
      <c r="AE201" s="1145" t="e">
        <f>IF(W201=AD201,VLOOKUP(E201,'Tablas Técnicas'!$A$14:$V$771,19,FALSE),0)</f>
        <v>#N/A</v>
      </c>
      <c r="AF201" s="1146" t="str">
        <f>IF(E201=0,"",(Y201+AA201+AC201+AE201))</f>
        <v/>
      </c>
      <c r="AG201" s="1144"/>
      <c r="AH201" s="1179" t="e">
        <f>VLOOKUP(E201,'Tablas Técnicas'!$A$14:$V$771,12,FALSE)</f>
        <v>#N/A</v>
      </c>
      <c r="AI201" s="1179" t="e">
        <f>IF(AG201=AH201,VLOOKUP(E201,'Tablas Técnicas'!$A$14:$V$771,13,FALSE),0)</f>
        <v>#N/A</v>
      </c>
      <c r="AJ201" s="1179" t="e">
        <f>VLOOKUP(E201,'Tablas Técnicas'!$A$14:$V$771,14,FALSE)</f>
        <v>#N/A</v>
      </c>
      <c r="AK201" s="1179" t="e">
        <f>IF(AG201=AJ201,VLOOKUP(E201,'Tablas Técnicas'!$A$14:$V$771,15,FALSE),0)</f>
        <v>#N/A</v>
      </c>
      <c r="AL201" s="1179" t="e">
        <f>VLOOKUP(E201,'Tablas Técnicas'!$A$14:$V$771,16,FALSE)</f>
        <v>#N/A</v>
      </c>
      <c r="AM201" s="1179" t="e">
        <f>IF(AG201=AL201,VLOOKUP(E201,'Tablas Técnicas'!$A$14:$V$771,17,FALSE),0)</f>
        <v>#N/A</v>
      </c>
      <c r="AN201" s="1179" t="e">
        <f>VLOOKUP(E201,'Tablas Técnicas'!$A$14:$V$771,18,FALSE)</f>
        <v>#N/A</v>
      </c>
      <c r="AO201" s="1179" t="e">
        <f>IF(AG201=AN201,VLOOKUP(E201,'Tablas Técnicas'!$A$14:$V$771,19,FALSE),0)</f>
        <v>#N/A</v>
      </c>
      <c r="AP201" s="1180" t="str">
        <f>IF(E201=0,"",(AI201+AK201+AM201+AO201))</f>
        <v/>
      </c>
      <c r="AQ201" s="1144"/>
      <c r="AR201" s="1145" t="e">
        <f>VLOOKUP(E201,'Tablas Técnicas'!$A$14:$V$771,12,FALSE)</f>
        <v>#N/A</v>
      </c>
      <c r="AS201" s="1145" t="e">
        <f>IF(AQ201=AR201,VLOOKUP(E201,'Tablas Técnicas'!$A$14:$V$771,13,FALSE),0)</f>
        <v>#N/A</v>
      </c>
      <c r="AT201" s="1145" t="e">
        <f>VLOOKUP(E201,'Tablas Técnicas'!$A$14:$V$771,14,FALSE)</f>
        <v>#N/A</v>
      </c>
      <c r="AU201" s="1145" t="e">
        <f>IF(AQ201=AT201,VLOOKUP(E201,'Tablas Técnicas'!$A$14:$V$771,15,FALSE),0)</f>
        <v>#N/A</v>
      </c>
      <c r="AV201" s="1145" t="e">
        <f>VLOOKUP(E201,'Tablas Técnicas'!$A$14:$V$771,16,FALSE)</f>
        <v>#N/A</v>
      </c>
      <c r="AW201" s="1145" t="e">
        <f>IF(AQ201=AV201,VLOOKUP(E201,'Tablas Técnicas'!$A$14:$V$771,17,FALSE),0)</f>
        <v>#N/A</v>
      </c>
      <c r="AX201" s="1145" t="e">
        <f>VLOOKUP(E201,'Tablas Técnicas'!$A$14:$V$771,18,FALSE)</f>
        <v>#N/A</v>
      </c>
      <c r="AY201" s="1145" t="e">
        <f>IF(AQ201=AX201,VLOOKUP(E201,'Tablas Técnicas'!$A$14:$V$771,19,FALSE),0)</f>
        <v>#N/A</v>
      </c>
      <c r="AZ201" s="1146" t="str">
        <f>IF(E201=0,"",(AS201+AU201+AW201+AY201))</f>
        <v/>
      </c>
      <c r="BA201" s="1144"/>
      <c r="BB201" s="1145" t="e">
        <f>VLOOKUP(E201,'Tablas Técnicas'!$A$14:$V$771,12,FALSE)</f>
        <v>#N/A</v>
      </c>
      <c r="BC201" s="1145" t="e">
        <f>IF(BA201=BB201,VLOOKUP(E201,'Tablas Técnicas'!$A$14:$V$771,13,FALSE),0)</f>
        <v>#N/A</v>
      </c>
      <c r="BD201" s="1145" t="e">
        <f>VLOOKUP(E201,'Tablas Técnicas'!$A$14:$V$771,14,FALSE)</f>
        <v>#N/A</v>
      </c>
      <c r="BE201" s="1145" t="e">
        <f>IF(BA201=BD201,VLOOKUP(E201,'Tablas Técnicas'!$A$14:$V$771,15,FALSE),0)</f>
        <v>#N/A</v>
      </c>
      <c r="BF201" s="1145" t="e">
        <f>VLOOKUP(E201,'Tablas Técnicas'!$A$14:$V$771,16,FALSE)</f>
        <v>#N/A</v>
      </c>
      <c r="BG201" s="1145" t="e">
        <f>IF(BA201=BF201,VLOOKUP(E201,'Tablas Técnicas'!$A$14:$V$771,17,FALSE),0)</f>
        <v>#N/A</v>
      </c>
      <c r="BH201" s="1145" t="e">
        <f>VLOOKUP(E201,'Tablas Técnicas'!$A$14:$V$771,18,FALSE)</f>
        <v>#N/A</v>
      </c>
      <c r="BI201" s="1145" t="e">
        <f>IF(BA201=BH201,VLOOKUP(E201,'Tablas Técnicas'!$A$14:$V$771,19,FALSE),0)</f>
        <v>#N/A</v>
      </c>
      <c r="BJ201" s="1147" t="str">
        <f>IF(E201=0,"",(BC201+BE201+BG201+BI201))</f>
        <v/>
      </c>
      <c r="BK201" s="1146" t="str">
        <f>IF(E201=0,"",VLOOKUP(E201,'Tablas Técnicas'!$A$14:$V$771,20,FALSE))</f>
        <v/>
      </c>
      <c r="BL201" s="1146" t="str">
        <f>IF(E201=0,"",VLOOKUP(E201,'Tablas Técnicas'!$A$14:$V$771,21,FALSE))</f>
        <v/>
      </c>
      <c r="BM201" s="1181" t="str">
        <f>IF(E201=0,"",VLOOKUP(E201,'Tablas Técnicas'!$A$14:$V$771,22,FALSE))</f>
        <v/>
      </c>
      <c r="BN201" s="1149"/>
      <c r="BO201" s="1150"/>
      <c r="BP201" s="1135" t="str">
        <f>IF(I201="Si",VLOOKUP($D$8,'Tablas Técnicas'!$E$4:$F$6,2,FALSE),"")</f>
        <v/>
      </c>
      <c r="BQ201" s="1136" t="str">
        <f>IF(L201="Si",VLOOKUP($D$8,'Tablas Técnicas'!$I$4:$J$6,2,FALSE),"")</f>
        <v/>
      </c>
      <c r="BR201" s="1134" t="str">
        <f>IF(O201="Si",VLOOKUP($D$8,'Tablas Técnicas'!$I$7:$J$9,2,FALSE),"")</f>
        <v/>
      </c>
      <c r="BS201" s="1151"/>
      <c r="BT201" s="4452" t="s">
        <v>5213</v>
      </c>
      <c r="BU201" s="4457"/>
      <c r="BV201" s="1128"/>
      <c r="BW201" s="1108"/>
      <c r="BX201" s="1108"/>
      <c r="BY201" s="1474"/>
      <c r="BZ201" s="1492"/>
      <c r="CA201" s="1096"/>
      <c r="DR201" s="1096"/>
      <c r="DT201" s="1515"/>
      <c r="DU201" s="1569"/>
      <c r="DV201" s="1566" t="str">
        <f>IF(E201="","",", "&amp;E201)&amp;IF(I201="No",""," (Mant.)")&amp;IF(L201="No",""," (Sme)")&amp;IF(O201="No",""," (SMa)")</f>
        <v/>
      </c>
      <c r="DW201" s="1567"/>
      <c r="DX201" s="1568" t="str">
        <f>IF(ISNUMBER(FIND('Tablas Técnicas'!A$678,DW219)),BL225&amp;BM225,IF(ISNUMBER(FIND('Tablas Técnicas'!A$679,DW219)),BL225&amp;" "&amp;BM225,""))</f>
        <v/>
      </c>
      <c r="DY201" s="1516"/>
      <c r="DZ201" s="1096"/>
      <c r="EA201" s="1660">
        <f t="shared" si="2"/>
        <v>1</v>
      </c>
    </row>
    <row r="202" spans="1:132" x14ac:dyDescent="0.2">
      <c r="A202" s="1096"/>
      <c r="B202" s="1096"/>
      <c r="C202" s="1497"/>
      <c r="D202" s="1642" t="s">
        <v>2310</v>
      </c>
      <c r="E202" s="1152"/>
      <c r="F202" s="1182"/>
      <c r="G202" s="1627" t="str">
        <f>IF(E202=0,"",VLOOKUP(E202,'Tablas Técnicas'!$A$14:$V$771,3,FALSE))</f>
        <v/>
      </c>
      <c r="H202" s="1155" t="str">
        <f>IF($E202=0,"",VLOOKUP($E202,'Tablas Técnicas'!$A$14:$V$771,4,FALSE))</f>
        <v/>
      </c>
      <c r="I202" s="1156" t="s">
        <v>2234</v>
      </c>
      <c r="J202" s="1605" t="str">
        <f>IF(E202=0,"",VLOOKUP(E202,'Tablas Técnicas'!$A$14:$V$771,5,FALSE))</f>
        <v/>
      </c>
      <c r="K202" s="1158" t="str">
        <f>IF(I202="Si",IF(E202=0,"",VLOOKUP(E202,'Tablas Técnicas'!$A$14:$V$771,5,FALSE)),"")</f>
        <v/>
      </c>
      <c r="L202" s="1156" t="s">
        <v>2234</v>
      </c>
      <c r="M202" s="1605" t="str">
        <f>IF(E202=0,"",VLOOKUP(E202,'Tablas Técnicas'!$A$14:$V$771,6,FALSE))</f>
        <v/>
      </c>
      <c r="N202" s="1159" t="str">
        <f>IF(L202="Si",IF(E202=0,"",VLOOKUP(E202,'Tablas Técnicas'!$A$14:$V$771,6,FALSE)),"")</f>
        <v/>
      </c>
      <c r="O202" s="1156" t="s">
        <v>2234</v>
      </c>
      <c r="P202" s="1605" t="str">
        <f>IF(E202=0,"",VLOOKUP(E202,'Tablas Técnicas'!$A$14:$V$771,7,FALSE))</f>
        <v/>
      </c>
      <c r="Q202" s="1159" t="str">
        <f>IF(O202="Si",IF(E202=0,"",VLOOKUP(E202,'Tablas Técnicas'!$A$14:$V$771,7,FALSE)),"")</f>
        <v/>
      </c>
      <c r="R202" s="1157" t="str">
        <f>IF(E202=0,"",VLOOKUP(E202,'Tablas Técnicas'!$A$14:$V$771,8,FALSE))</f>
        <v/>
      </c>
      <c r="S202" s="1155" t="str">
        <f>IF(R202=$D$8,$D$8,IF(R202=2,2,IF(R202=3,3,R202)))</f>
        <v/>
      </c>
      <c r="T202" s="4475" t="s">
        <v>5228</v>
      </c>
      <c r="U202" s="4476"/>
      <c r="V202" s="4476"/>
      <c r="W202" s="4476"/>
      <c r="X202" s="4476"/>
      <c r="Y202" s="4476"/>
      <c r="Z202" s="4476"/>
      <c r="AA202" s="4476"/>
      <c r="AB202" s="4476"/>
      <c r="AC202" s="4476"/>
      <c r="AD202" s="4476"/>
      <c r="AE202" s="4476"/>
      <c r="AF202" s="4476"/>
      <c r="AG202" s="4476"/>
      <c r="AH202" s="4476"/>
      <c r="AI202" s="4476"/>
      <c r="AJ202" s="4476"/>
      <c r="AK202" s="4476"/>
      <c r="AL202" s="4476"/>
      <c r="AM202" s="4476"/>
      <c r="AN202" s="4476"/>
      <c r="AO202" s="4476"/>
      <c r="AP202" s="4476"/>
      <c r="AQ202" s="4476"/>
      <c r="AR202" s="4476"/>
      <c r="AS202" s="4476"/>
      <c r="AT202" s="4476"/>
      <c r="AU202" s="4476"/>
      <c r="AV202" s="4476"/>
      <c r="AW202" s="4476"/>
      <c r="AX202" s="4476"/>
      <c r="AY202" s="4476"/>
      <c r="AZ202" s="4476"/>
      <c r="BA202" s="4476"/>
      <c r="BB202" s="4476"/>
      <c r="BC202" s="4476"/>
      <c r="BD202" s="4476"/>
      <c r="BE202" s="4476"/>
      <c r="BF202" s="4476"/>
      <c r="BG202" s="4476"/>
      <c r="BH202" s="4476"/>
      <c r="BI202" s="4476"/>
      <c r="BJ202" s="4476"/>
      <c r="BK202" s="4500"/>
      <c r="BL202" s="1627"/>
      <c r="BM202" s="1628"/>
      <c r="BN202" s="1149"/>
      <c r="BO202" s="1150"/>
      <c r="BP202" s="1135" t="str">
        <f>IF(I202="Si",VLOOKUP($D$8,'Tablas Técnicas'!$E$4:$F$6,2,FALSE),"")</f>
        <v/>
      </c>
      <c r="BQ202" s="1136" t="str">
        <f>IF(L202="Si",VLOOKUP($D$8,'Tablas Técnicas'!$I$4:$J$6,2,FALSE),"")</f>
        <v/>
      </c>
      <c r="BR202" s="1134" t="str">
        <f>IF(O202="Si",VLOOKUP($D$8,'Tablas Técnicas'!$I$7:$J$9,2,FALSE),"")</f>
        <v/>
      </c>
      <c r="BS202" s="1151"/>
      <c r="BT202" s="4448" t="s">
        <v>5234</v>
      </c>
      <c r="BU202" s="4456"/>
      <c r="BV202" s="1128"/>
      <c r="BW202" s="1108"/>
      <c r="BX202" s="1108"/>
      <c r="BY202" s="1474"/>
      <c r="BZ202" s="1492"/>
      <c r="CA202" s="1096"/>
      <c r="DR202" s="1096"/>
      <c r="DT202" s="1514"/>
      <c r="DU202" s="1565"/>
      <c r="DV202" s="1566" t="str">
        <f>IF(E202="",""," "&amp;E202)&amp;IF(I202="No",""," (Mant.)")&amp;IF(L202="No",""," (Sme)")&amp;IF(O202="No",""," (SMa)")</f>
        <v/>
      </c>
      <c r="DW202" s="1567"/>
      <c r="DX202" s="1568"/>
      <c r="DY202" s="1513"/>
      <c r="DZ202" s="1096"/>
      <c r="EA202" s="1660">
        <f t="shared" ref="EA202:EA265" si="3">EA201</f>
        <v>1</v>
      </c>
    </row>
    <row r="203" spans="1:132" x14ac:dyDescent="0.2">
      <c r="A203" s="1096"/>
      <c r="B203" s="1096"/>
      <c r="C203" s="1497"/>
      <c r="D203" s="1643" t="s">
        <v>2310</v>
      </c>
      <c r="E203" s="1160"/>
      <c r="F203" s="1176"/>
      <c r="G203" s="1146" t="str">
        <f>IF(E203=0,"",VLOOKUP(E203,'Tablas Técnicas'!$A$14:$V$771,3,FALSE))</f>
        <v/>
      </c>
      <c r="H203" s="2619" t="str">
        <f>IF($E203=0,"",VLOOKUP($E203,'Tablas Técnicas'!$A$14:$V$771,4,FALSE))</f>
        <v/>
      </c>
      <c r="I203" s="1144" t="s">
        <v>2234</v>
      </c>
      <c r="J203" s="1601" t="str">
        <f>IF(E203=0,"",VLOOKUP(E203,'Tablas Técnicas'!$A$14:$V$771,5,FALSE))</f>
        <v/>
      </c>
      <c r="K203" s="1163" t="str">
        <f>IF(I203="Si",IF(E203=0,"",VLOOKUP(E203,'Tablas Técnicas'!$A$14:$V$771,5,FALSE)),"")</f>
        <v/>
      </c>
      <c r="L203" s="1144" t="s">
        <v>2234</v>
      </c>
      <c r="M203" s="1601" t="str">
        <f>IF(E203=0,"",VLOOKUP(E203,'Tablas Técnicas'!$A$14:$V$771,6,FALSE))</f>
        <v/>
      </c>
      <c r="N203" s="1147" t="str">
        <f>IF(L203="Si",IF(E203=0,"",VLOOKUP(E203,'Tablas Técnicas'!$A$14:$V$771,6,FALSE)),"")</f>
        <v/>
      </c>
      <c r="O203" s="1144" t="s">
        <v>2234</v>
      </c>
      <c r="P203" s="1601" t="str">
        <f>IF(E203=0,"",VLOOKUP(E203,'Tablas Técnicas'!$A$14:$V$771,7,FALSE))</f>
        <v/>
      </c>
      <c r="Q203" s="1147" t="str">
        <f>IF(O203="Si",IF(E203=0,"",VLOOKUP(E203,'Tablas Técnicas'!$A$14:$V$771,7,FALSE)),"")</f>
        <v/>
      </c>
      <c r="R203" s="1162" t="str">
        <f>IF(E203=0,"",VLOOKUP(E203,'Tablas Técnicas'!$A$14:$V$771,8,FALSE))</f>
        <v/>
      </c>
      <c r="S203" s="2619" t="str">
        <f>IF(R203=$D$8,$D$8,IF(R203=2,2,IF(R203=3,3,R203)))</f>
        <v/>
      </c>
      <c r="T203" s="4487"/>
      <c r="U203" s="4502"/>
      <c r="V203" s="2617" t="str">
        <f>IF(OR(V201=0,V201=""),"N/A",V201)</f>
        <v>N/A</v>
      </c>
      <c r="W203" s="4487" t="str">
        <f xml:space="preserve"> IF(OR(AF201=0,AF201=""),"N/A",W201)</f>
        <v>N/A</v>
      </c>
      <c r="X203" s="4489"/>
      <c r="Y203" s="4489"/>
      <c r="Z203" s="4489"/>
      <c r="AA203" s="4489"/>
      <c r="AB203" s="4489"/>
      <c r="AC203" s="4489"/>
      <c r="AD203" s="4489"/>
      <c r="AE203" s="4489"/>
      <c r="AF203" s="4502"/>
      <c r="AG203" s="4487" t="str">
        <f xml:space="preserve"> IF(OR(AP201="",AP201=0),"N/A",AG201)</f>
        <v>N/A</v>
      </c>
      <c r="AH203" s="4489"/>
      <c r="AI203" s="4489"/>
      <c r="AJ203" s="4489"/>
      <c r="AK203" s="4489"/>
      <c r="AL203" s="4489"/>
      <c r="AM203" s="4489"/>
      <c r="AN203" s="4489"/>
      <c r="AO203" s="4489"/>
      <c r="AP203" s="4502"/>
      <c r="AQ203" s="4487" t="str">
        <f xml:space="preserve"> IF(OR(AZ201="",AZ201=0),"N/A",AQ201)</f>
        <v>N/A</v>
      </c>
      <c r="AR203" s="4489"/>
      <c r="AS203" s="4489"/>
      <c r="AT203" s="4489"/>
      <c r="AU203" s="4489"/>
      <c r="AV203" s="4489"/>
      <c r="AW203" s="4489"/>
      <c r="AX203" s="4489"/>
      <c r="AY203" s="4489"/>
      <c r="AZ203" s="4502"/>
      <c r="BA203" s="4487" t="str">
        <f xml:space="preserve"> IF(OR(BJ201="",BJ201=0),"N/A",BA201)</f>
        <v>N/A</v>
      </c>
      <c r="BB203" s="4489"/>
      <c r="BC203" s="4489"/>
      <c r="BD203" s="4489"/>
      <c r="BE203" s="4489"/>
      <c r="BF203" s="4489"/>
      <c r="BG203" s="4489"/>
      <c r="BH203" s="4489"/>
      <c r="BI203" s="4489"/>
      <c r="BJ203" s="4502"/>
      <c r="BK203" s="1164" t="s">
        <v>5229</v>
      </c>
      <c r="BL203" s="1146"/>
      <c r="BM203" s="1181"/>
      <c r="BN203" s="1149"/>
      <c r="BO203" s="1166"/>
      <c r="BP203" s="1135" t="str">
        <f>IF(I203="Si",VLOOKUP($D$8,'Tablas Técnicas'!$E$4:$F$6,2,FALSE),"")</f>
        <v/>
      </c>
      <c r="BQ203" s="1136" t="str">
        <f>IF(L203="Si",VLOOKUP($D$8,'Tablas Técnicas'!$I$4:$J$6,2,FALSE),"")</f>
        <v/>
      </c>
      <c r="BR203" s="1134" t="str">
        <f>IF(O203="Si",VLOOKUP($D$8,'Tablas Técnicas'!$I$7:$J$9,2,FALSE),"")</f>
        <v/>
      </c>
      <c r="BS203" s="1151"/>
      <c r="BT203" s="4452" t="s">
        <v>5207</v>
      </c>
      <c r="BU203" s="4457"/>
      <c r="BV203" s="1128"/>
      <c r="BW203" s="1108"/>
      <c r="BX203" s="1108"/>
      <c r="BY203" s="1474"/>
      <c r="BZ203" s="1492"/>
      <c r="CA203" s="1096"/>
      <c r="DR203" s="1096"/>
      <c r="DT203" s="1514"/>
      <c r="DU203" s="1569"/>
      <c r="DV203" s="1566" t="str">
        <f>IF(E203="","",E203)&amp;IF(I203="No",""," (Mant.)")&amp;IF(L203="No",""," (Sme)")&amp;IF(O203="No",""," (SMa)")</f>
        <v/>
      </c>
      <c r="DW203" s="1567"/>
      <c r="DX203" s="1568"/>
      <c r="DY203" s="1513"/>
      <c r="DZ203" s="1096"/>
      <c r="EA203" s="1660">
        <f t="shared" si="3"/>
        <v>1</v>
      </c>
    </row>
    <row r="204" spans="1:132" x14ac:dyDescent="0.2">
      <c r="A204" s="1096"/>
      <c r="B204" s="1096"/>
      <c r="C204" s="1497"/>
      <c r="D204" s="1642" t="s">
        <v>2310</v>
      </c>
      <c r="E204" s="1152"/>
      <c r="F204" s="1182"/>
      <c r="G204" s="1627" t="str">
        <f>IF(E204=0,"",VLOOKUP(E204,'Tablas Técnicas'!$A$14:$V$771,3,FALSE))</f>
        <v/>
      </c>
      <c r="H204" s="1155" t="str">
        <f>IF($E204=0,"",VLOOKUP($E204,'Tablas Técnicas'!$A$14:$V$771,4,FALSE))</f>
        <v/>
      </c>
      <c r="I204" s="1156" t="s">
        <v>2234</v>
      </c>
      <c r="J204" s="1605" t="str">
        <f>IF(E204=0,"",VLOOKUP(E204,'Tablas Técnicas'!$A$14:$V$771,5,FALSE))</f>
        <v/>
      </c>
      <c r="K204" s="1158" t="str">
        <f>IF(I204="Si",IF(E204=0,"",VLOOKUP(E204,'Tablas Técnicas'!$A$14:$V$771,5,FALSE)),"")</f>
        <v/>
      </c>
      <c r="L204" s="1156" t="s">
        <v>2234</v>
      </c>
      <c r="M204" s="1605" t="str">
        <f>IF(E204=0,"",VLOOKUP(E204,'Tablas Técnicas'!$A$14:$V$771,6,FALSE))</f>
        <v/>
      </c>
      <c r="N204" s="1159" t="str">
        <f>IF(L204="Si",IF(E204=0,"",VLOOKUP(E204,'Tablas Técnicas'!$A$14:$V$771,6,FALSE)),"")</f>
        <v/>
      </c>
      <c r="O204" s="1156" t="s">
        <v>2234</v>
      </c>
      <c r="P204" s="1605" t="str">
        <f>IF(E204=0,"",VLOOKUP(E204,'Tablas Técnicas'!$A$14:$V$771,7,FALSE))</f>
        <v/>
      </c>
      <c r="Q204" s="1159" t="str">
        <f>IF(O204="Si",IF(E204=0,"",VLOOKUP(E204,'Tablas Técnicas'!$A$14:$V$771,7,FALSE)),"")</f>
        <v/>
      </c>
      <c r="R204" s="1157" t="str">
        <f>IF(E204=0,"",VLOOKUP(E204,'Tablas Técnicas'!$A$14:$V$771,8,FALSE))</f>
        <v/>
      </c>
      <c r="S204" s="1155" t="str">
        <f>IF(R204=$D$8,$D$8,IF(R204=2,2,IF(R204=3,3,R204)))</f>
        <v/>
      </c>
      <c r="T204" s="4504" t="s">
        <v>5230</v>
      </c>
      <c r="U204" s="4491"/>
      <c r="V204" s="2618"/>
      <c r="W204" s="4505"/>
      <c r="X204" s="4506"/>
      <c r="Y204" s="4506"/>
      <c r="Z204" s="4506"/>
      <c r="AA204" s="4506"/>
      <c r="AB204" s="4506"/>
      <c r="AC204" s="4506"/>
      <c r="AD204" s="4506"/>
      <c r="AE204" s="4506"/>
      <c r="AF204" s="4494"/>
      <c r="AG204" s="4505"/>
      <c r="AH204" s="4506"/>
      <c r="AI204" s="4506"/>
      <c r="AJ204" s="4506"/>
      <c r="AK204" s="4506"/>
      <c r="AL204" s="4506"/>
      <c r="AM204" s="4506"/>
      <c r="AN204" s="4506"/>
      <c r="AO204" s="4506"/>
      <c r="AP204" s="4494"/>
      <c r="AQ204" s="4505"/>
      <c r="AR204" s="4506"/>
      <c r="AS204" s="4506"/>
      <c r="AT204" s="4506"/>
      <c r="AU204" s="4506"/>
      <c r="AV204" s="4506"/>
      <c r="AW204" s="4506"/>
      <c r="AX204" s="4506"/>
      <c r="AY204" s="4506"/>
      <c r="AZ204" s="4494"/>
      <c r="BA204" s="4505"/>
      <c r="BB204" s="4506"/>
      <c r="BC204" s="4506"/>
      <c r="BD204" s="4506"/>
      <c r="BE204" s="4506"/>
      <c r="BF204" s="4506"/>
      <c r="BG204" s="4506"/>
      <c r="BH204" s="4506"/>
      <c r="BI204" s="4506"/>
      <c r="BJ204" s="4494"/>
      <c r="BK204" s="1155">
        <f>(SUM(G201:G205)+IF(AF201="",0,AF201)+IF(AP201="",0,AP201)+IF(AZ201="",0,AZ201)+IF(BJ201="",0,BJ201)+SUM(K201:K205)+SUM(N201:N205)+SUM(Q201:Q205))- SUM(V204:BA204)</f>
        <v>0</v>
      </c>
      <c r="BL204" s="1627"/>
      <c r="BM204" s="1628"/>
      <c r="BN204" s="1149"/>
      <c r="BO204" s="1150"/>
      <c r="BP204" s="1135" t="str">
        <f>IF(I204="Si",VLOOKUP($D$8,'Tablas Técnicas'!$E$4:$F$6,2,FALSE),"")</f>
        <v/>
      </c>
      <c r="BQ204" s="1136" t="str">
        <f>IF(L204="Si",VLOOKUP($D$8,'Tablas Técnicas'!$I$4:$J$6,2,FALSE),"")</f>
        <v/>
      </c>
      <c r="BR204" s="1134" t="str">
        <f>IF(O204="Si",VLOOKUP($D$8,'Tablas Técnicas'!$I$7:$J$9,2,FALSE),"")</f>
        <v/>
      </c>
      <c r="BS204" s="1151"/>
      <c r="BT204" s="4444" t="s">
        <v>5235</v>
      </c>
      <c r="BU204" s="4455"/>
      <c r="BV204" s="1128"/>
      <c r="BW204" s="1108"/>
      <c r="BX204" s="1108"/>
      <c r="BY204" s="1474"/>
      <c r="BZ204" s="1492"/>
      <c r="CA204" s="1096"/>
      <c r="DR204" s="1096"/>
      <c r="DT204" s="1514"/>
      <c r="DU204" s="1565"/>
      <c r="DV204" s="1566" t="str">
        <f>IF(E204="","",E204)&amp;IF(I204="No",""," (Mant.)")&amp;IF(L204="No",""," (Sme)")&amp;IF(O204="No",""," (SMa)")</f>
        <v/>
      </c>
      <c r="DW204" s="1567"/>
      <c r="DX204" s="1568"/>
      <c r="DY204" s="1513"/>
      <c r="DZ204" s="1096"/>
      <c r="EA204" s="1660">
        <f t="shared" si="3"/>
        <v>1</v>
      </c>
    </row>
    <row r="205" spans="1:132" x14ac:dyDescent="0.2">
      <c r="A205" s="1096"/>
      <c r="B205" s="1096"/>
      <c r="C205" s="1497"/>
      <c r="D205" s="1643" t="s">
        <v>2310</v>
      </c>
      <c r="E205" s="1160"/>
      <c r="F205" s="1176"/>
      <c r="G205" s="1146" t="str">
        <f>IF(E205=0,"",VLOOKUP(E205,'Tablas Técnicas'!$A$14:$V$771,3,FALSE))</f>
        <v/>
      </c>
      <c r="H205" s="1161" t="str">
        <f>IF($E205=0,"",VLOOKUP($E205,'Tablas Técnicas'!$A$14:$V$771,4,FALSE))</f>
        <v/>
      </c>
      <c r="I205" s="1144" t="s">
        <v>2234</v>
      </c>
      <c r="J205" s="1601" t="str">
        <f>IF(E205=0,"",VLOOKUP(E205,'Tablas Técnicas'!$A$14:$V$771,5,FALSE))</f>
        <v/>
      </c>
      <c r="K205" s="1163" t="str">
        <f>IF(I205="Si",IF(E205=0,"",VLOOKUP(E205,'Tablas Técnicas'!$A$14:$V$771,5,FALSE)),"")</f>
        <v/>
      </c>
      <c r="L205" s="1144" t="s">
        <v>2234</v>
      </c>
      <c r="M205" s="1601" t="str">
        <f>IF(E205=0,"",VLOOKUP(E205,'Tablas Técnicas'!$A$14:$V$771,6,FALSE))</f>
        <v/>
      </c>
      <c r="N205" s="1147" t="str">
        <f>IF(L205="Si",IF(E205=0,"",VLOOKUP(E205,'Tablas Técnicas'!$A$14:$V$771,6,FALSE)),"")</f>
        <v/>
      </c>
      <c r="O205" s="1144" t="s">
        <v>2234</v>
      </c>
      <c r="P205" s="1601" t="str">
        <f>IF(E205=0,"",VLOOKUP(E205,'Tablas Técnicas'!$A$14:$V$771,7,FALSE))</f>
        <v/>
      </c>
      <c r="Q205" s="1147" t="str">
        <f>IF(O205="Si",IF(E205=0,"",VLOOKUP(E205,'Tablas Técnicas'!$A$14:$V$771,7,FALSE)),"")</f>
        <v/>
      </c>
      <c r="R205" s="1162" t="str">
        <f>IF(E205=0,"",VLOOKUP(E205,'Tablas Técnicas'!$A$14:$V$771,8,FALSE))</f>
        <v/>
      </c>
      <c r="S205" s="1161" t="str">
        <f>IF(R205=$D$8,$D$8,IF(R205=2,2,IF(R205=3,3,R205)))</f>
        <v/>
      </c>
      <c r="T205" s="4482" t="s">
        <v>5232</v>
      </c>
      <c r="U205" s="4483"/>
      <c r="V205" s="2616"/>
      <c r="W205" s="4484"/>
      <c r="X205" s="4485"/>
      <c r="Y205" s="4485"/>
      <c r="Z205" s="4485"/>
      <c r="AA205" s="4485"/>
      <c r="AB205" s="4485"/>
      <c r="AC205" s="4485"/>
      <c r="AD205" s="4485"/>
      <c r="AE205" s="4485"/>
      <c r="AF205" s="4486"/>
      <c r="AG205" s="4484"/>
      <c r="AH205" s="4485"/>
      <c r="AI205" s="4485"/>
      <c r="AJ205" s="4485"/>
      <c r="AK205" s="4485"/>
      <c r="AL205" s="4485"/>
      <c r="AM205" s="4485"/>
      <c r="AN205" s="4485"/>
      <c r="AO205" s="4485"/>
      <c r="AP205" s="4486"/>
      <c r="AQ205" s="4484"/>
      <c r="AR205" s="4485"/>
      <c r="AS205" s="4485"/>
      <c r="AT205" s="4485"/>
      <c r="AU205" s="4485"/>
      <c r="AV205" s="4485"/>
      <c r="AW205" s="4485"/>
      <c r="AX205" s="4485"/>
      <c r="AY205" s="4485"/>
      <c r="AZ205" s="4486"/>
      <c r="BA205" s="4484"/>
      <c r="BB205" s="4485"/>
      <c r="BC205" s="4485"/>
      <c r="BD205" s="4485"/>
      <c r="BE205" s="4485"/>
      <c r="BF205" s="4485"/>
      <c r="BG205" s="4485"/>
      <c r="BH205" s="4485"/>
      <c r="BI205" s="4485"/>
      <c r="BJ205" s="4486"/>
      <c r="BK205" s="1171">
        <f>SUM(K201:K205)-SUM(V205:BA205)</f>
        <v>0</v>
      </c>
      <c r="BL205" s="1629"/>
      <c r="BM205" s="1630"/>
      <c r="BN205" s="1149"/>
      <c r="BO205" s="1166"/>
      <c r="BP205" s="1135" t="str">
        <f>IF(I205="Si",VLOOKUP($D$8,'Tablas Técnicas'!$E$4:$F$6,2,FALSE),"")</f>
        <v/>
      </c>
      <c r="BQ205" s="1136" t="str">
        <f>IF(L205="Si",VLOOKUP($D$8,'Tablas Técnicas'!$I$4:$J$6,2,FALSE),"")</f>
        <v/>
      </c>
      <c r="BR205" s="1134" t="str">
        <f>IF(O205="Si",VLOOKUP($D$8,'Tablas Técnicas'!$I$7:$J$9,2,FALSE),"")</f>
        <v/>
      </c>
      <c r="BS205" s="1151"/>
      <c r="BT205" s="1183">
        <f>IF(BT199="No",0,IF(D193=0,0,VLOOKUP(D193,'Tablas Técnicas'!$L$4:$N$7,2,FALSE)))+IF(BT201="Bajar coste de CM",0,IF(BT201="-5 CM",2,IF(BT201="-10 CM",4,IF(BT201="-15 CM",6,IF(BT201="-20 CM",8,0)))))+IF(BT203="Bajar coste de Ki",0,IF(BT203="-1 Ki",-1,IF(BT203="-2 Ki",-2,IF(BT203="-3 Ki",-3,IF(BT203="-4 Ki",-4,IF(BT203="-5 Ki",-5,0))))))-BU208-BU210-BU212-BU214-BU216-BU218</f>
        <v>0</v>
      </c>
      <c r="BU205" s="2612">
        <f>IF(BT199="No",0,IF(D193=0,0,VLOOKUP(D193,'Tablas Técnicas'!$L$4:$N$7,2,FALSE)))+IF(BT201="Bajar coste de CM",0,IF(BT201="-5 CM",2,IF(BT201="-10 CM",4,IF(BT201="-15 CM",6,IF(BT201="-20 CM",8,0)))))+IF(BT203="Bajar coste de Ki",0,IF(BT203="-1 Ki",-1,IF(BT203="-2 Ki",-2,IF(BT203="-3 Ki",-3,IF(BT203="-4 Ki",-4,IF(BT203="-5 Ki",-5,0))))))</f>
        <v>0</v>
      </c>
      <c r="BV205" s="1128"/>
      <c r="BW205" s="1108"/>
      <c r="BX205" s="1108"/>
      <c r="BY205" s="1474"/>
      <c r="BZ205" s="1492"/>
      <c r="CA205" s="1096"/>
      <c r="DR205" s="1096"/>
      <c r="DT205" s="1514"/>
      <c r="DU205" s="1569"/>
      <c r="DV205" s="1566" t="str">
        <f>IF(E205="","",E205)&amp;IF(I205="No",""," (Mant.)")&amp;IF(L205="No",""," (Sme)")&amp;IF(O205="No",""," (SMa)")</f>
        <v/>
      </c>
      <c r="DW205" s="1567"/>
      <c r="DX205" s="1568"/>
      <c r="DY205" s="1513"/>
      <c r="DZ205" s="1096"/>
      <c r="EA205" s="1660">
        <f t="shared" si="3"/>
        <v>1</v>
      </c>
    </row>
    <row r="206" spans="1:132" x14ac:dyDescent="0.2">
      <c r="A206" s="1096"/>
      <c r="B206" s="159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97"/>
      <c r="D206" s="1644">
        <v>3</v>
      </c>
      <c r="E206" s="1423"/>
      <c r="F206" s="1173"/>
      <c r="G206" s="1174"/>
      <c r="H206" s="2559">
        <f>IF(AND(OR(ISNUMBER(SEARCH("Afinidad Elemental ("&amp;BK201&amp;")",Principal!$AF$30)),ISNUMBER(SEARCH("Afinidad Elemental ("&amp;BL201&amp;")",Principal!$AF$30)),ISNUMBER(SEARCH("Afinidad Elemental ("&amp;BM201&amp;")",Principal!$AF$30))),SUM(H201:H205)&gt;=5),-5,0)</f>
        <v>0</v>
      </c>
      <c r="I206" s="1603"/>
      <c r="J206" s="1606"/>
      <c r="K206" s="1174"/>
      <c r="L206" s="1603"/>
      <c r="M206" s="1606"/>
      <c r="N206" s="1174"/>
      <c r="O206" s="1603"/>
      <c r="P206" s="1606"/>
      <c r="Q206" s="1174"/>
      <c r="R206" s="1175"/>
      <c r="S206" s="1174"/>
      <c r="T206" s="1174"/>
      <c r="U206" s="1174"/>
      <c r="V206" s="1174"/>
      <c r="W206" s="1174"/>
      <c r="X206" s="1174"/>
      <c r="Y206" s="1174"/>
      <c r="Z206" s="1174"/>
      <c r="AA206" s="1174"/>
      <c r="AB206" s="1174"/>
      <c r="AC206" s="1174"/>
      <c r="AD206" s="1174"/>
      <c r="AE206" s="1174"/>
      <c r="AF206" s="1174"/>
      <c r="AG206" s="1174"/>
      <c r="AH206" s="1174"/>
      <c r="AI206" s="1174"/>
      <c r="AJ206" s="1174"/>
      <c r="AK206" s="1174"/>
      <c r="AL206" s="1174"/>
      <c r="AM206" s="1174"/>
      <c r="AN206" s="1174"/>
      <c r="AO206" s="1174"/>
      <c r="AP206" s="1174"/>
      <c r="AQ206" s="1174"/>
      <c r="AR206" s="1174"/>
      <c r="AS206" s="1174"/>
      <c r="AT206" s="1174"/>
      <c r="AU206" s="1174"/>
      <c r="AV206" s="1174"/>
      <c r="AW206" s="1174"/>
      <c r="AX206" s="1174"/>
      <c r="AY206" s="1174"/>
      <c r="AZ206" s="1174"/>
      <c r="BA206" s="1174"/>
      <c r="BB206" s="1174"/>
      <c r="BC206" s="1174"/>
      <c r="BD206" s="1174"/>
      <c r="BE206" s="1174"/>
      <c r="BF206" s="1174"/>
      <c r="BG206" s="1174"/>
      <c r="BH206" s="1174"/>
      <c r="BI206" s="1174"/>
      <c r="BJ206" s="1174"/>
      <c r="BK206" s="1174"/>
      <c r="BL206" s="1174"/>
      <c r="BM206" s="1184"/>
      <c r="BN206" s="1185">
        <f>SUM(K206:K209)</f>
        <v>0</v>
      </c>
      <c r="BO206" s="1128" t="str">
        <f>IF(E206=0,"",(AF206+AP206+AZ206+BJ206))</f>
        <v/>
      </c>
      <c r="BP206" s="1186" t="str">
        <f>IF(I206="Si",VLOOKUP($D$8,'Tablas Técnicas'!$E$4:$F$6,2,FALSE),"")</f>
        <v/>
      </c>
      <c r="BQ206" s="1187" t="str">
        <f>IF(L206="Si",VLOOKUP($D$8,'Tablas Técnicas'!$I$4:$J$6,2,FALSE),"")</f>
        <v/>
      </c>
      <c r="BR206" s="1185" t="str">
        <f>IF(O206="Si",VLOOKUP($D$8,'Tablas Técnicas'!$I$7:$J$9,2,FALSE),"")</f>
        <v/>
      </c>
      <c r="BS206" s="1151"/>
      <c r="BU206" s="2608"/>
      <c r="BV206" s="1128"/>
      <c r="BW206" s="1108"/>
      <c r="BX206" s="1108"/>
      <c r="BY206" s="1474"/>
      <c r="BZ206" s="1492"/>
      <c r="CA206" s="1096"/>
      <c r="DR206" s="1096"/>
      <c r="DT206" s="1514"/>
      <c r="DU206" s="1569"/>
      <c r="DV206" s="1570"/>
      <c r="DW206" s="1567"/>
      <c r="DX206" s="1568"/>
      <c r="DY206" s="1513"/>
      <c r="DZ206" s="1096"/>
      <c r="EA206" s="1660">
        <f t="shared" si="3"/>
        <v>1</v>
      </c>
    </row>
    <row r="207" spans="1:132" x14ac:dyDescent="0.2">
      <c r="A207" s="1096"/>
      <c r="B207" s="1096"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97"/>
      <c r="D207" s="1643" t="s">
        <v>2310</v>
      </c>
      <c r="E207" s="1140"/>
      <c r="F207" s="1176"/>
      <c r="G207" s="1146" t="str">
        <f>IF(E207=0,"",VLOOKUP(E207,'Tablas Técnicas'!$A$14:$V$771,3,FALSE))</f>
        <v/>
      </c>
      <c r="H207" s="1188" t="str">
        <f>IF($E207=0,"",VLOOKUP($E207,'Tablas Técnicas'!$A$14:$V$771,4,FALSE))</f>
        <v/>
      </c>
      <c r="I207" s="1144" t="s">
        <v>2234</v>
      </c>
      <c r="J207" s="1607" t="str">
        <f>IF(E207=0,"",VLOOKUP(E207,'Tablas Técnicas'!$A$14:$V$771,5,FALSE))</f>
        <v/>
      </c>
      <c r="K207" s="1190" t="str">
        <f>IF(I207="Si",IF(E207=0,"",VLOOKUP(E207,'Tablas Técnicas'!$A$14:$V$771,5,FALSE)),"")</f>
        <v/>
      </c>
      <c r="L207" s="1144" t="s">
        <v>2234</v>
      </c>
      <c r="M207" s="1607" t="str">
        <f>IF(E207=0,"",VLOOKUP(E207,'Tablas Técnicas'!$A$14:$V$771,6,FALSE))</f>
        <v/>
      </c>
      <c r="N207" s="1147" t="str">
        <f>IF(L207="Si",IF(E207=0,"",VLOOKUP(E207,'Tablas Técnicas'!$A$14:$V$771,6,FALSE)),"")</f>
        <v/>
      </c>
      <c r="O207" s="1144" t="s">
        <v>2234</v>
      </c>
      <c r="P207" s="1607" t="str">
        <f>IF(E207=0,"",VLOOKUP(E207,'Tablas Técnicas'!$A$14:$V$771,7,FALSE))</f>
        <v/>
      </c>
      <c r="Q207" s="1147" t="str">
        <f>IF(O207="Si",IF(E207=0,"",VLOOKUP(E207,'Tablas Técnicas'!$A$14:$V$771,7,FALSE)),"")</f>
        <v/>
      </c>
      <c r="R207" s="1189" t="str">
        <f>IF(E207=0,"",VLOOKUP(E207,'Tablas Técnicas'!$A$14:$V$771,8,FALSE))</f>
        <v/>
      </c>
      <c r="S207" s="1161" t="str">
        <f>IF(R207=$D$8,$D$8,IF(R207=2,2,IF(R207=3,3,R207)))</f>
        <v/>
      </c>
      <c r="T207" s="1190" t="str">
        <f>IF(E207=0,"",VLOOKUP(E207,'Tablas Técnicas'!$A$14:$V$771,9,FALSE))</f>
        <v/>
      </c>
      <c r="U207" s="1190" t="str">
        <f>IF(E207=0,"",VLOOKUP(E207,'Tablas Técnicas'!$A$14:$V$771,10,FALSE))</f>
        <v/>
      </c>
      <c r="V207" s="1191" t="str">
        <f>IF(E207=0,"",VLOOKUP(E207,'Tablas Técnicas'!$A$14:$V$771,11,FALSE))</f>
        <v/>
      </c>
      <c r="W207" s="1144"/>
      <c r="X207" s="1145" t="e">
        <f>VLOOKUP(E207,'Tablas Técnicas'!$A$14:$V$771,12,FALSE)</f>
        <v>#N/A</v>
      </c>
      <c r="Y207" s="1145" t="e">
        <f>IF(W207=X207,VLOOKUP(E207,'Tablas Técnicas'!$A$14:$V$771,13,FALSE),0)</f>
        <v>#N/A</v>
      </c>
      <c r="Z207" s="1145" t="e">
        <f>VLOOKUP(E207,'Tablas Técnicas'!$A$14:$V$771,14,FALSE)</f>
        <v>#N/A</v>
      </c>
      <c r="AA207" s="1145" t="e">
        <f>IF(W207=Z207,VLOOKUP(E207,'Tablas Técnicas'!$A$14:$V$616,15,FALSE),0)</f>
        <v>#N/A</v>
      </c>
      <c r="AB207" s="1145" t="e">
        <f>VLOOKUP(E207,'Tablas Técnicas'!$A$14:$V$771,16,FALSE)</f>
        <v>#N/A</v>
      </c>
      <c r="AC207" s="1145" t="e">
        <f>IF(W207=AB207,VLOOKUP(E207,'Tablas Técnicas'!$A$14:$V$616,17,FALSE),0)</f>
        <v>#N/A</v>
      </c>
      <c r="AD207" s="1145" t="e">
        <f>VLOOKUP(E207,'Tablas Técnicas'!$A$14:$V$771,18,FALSE)</f>
        <v>#N/A</v>
      </c>
      <c r="AE207" s="1145" t="e">
        <f>IF(W207=AD207,VLOOKUP(E207,'Tablas Técnicas'!$A$14:$V$771,19,FALSE),0)</f>
        <v>#N/A</v>
      </c>
      <c r="AF207" s="1163" t="str">
        <f>IF(E207=0,"",(Y207+AA207+AC207+AE207))</f>
        <v/>
      </c>
      <c r="AG207" s="1144"/>
      <c r="AH207" s="1162" t="e">
        <f>VLOOKUP(E207,'Tablas Técnicas'!$A$14:$V$771,12,FALSE)</f>
        <v>#N/A</v>
      </c>
      <c r="AI207" s="1162" t="e">
        <f>IF(AG207=AH207,VLOOKUP(E207,'Tablas Técnicas'!$A$14:$V$771,13,FALSE),0)</f>
        <v>#N/A</v>
      </c>
      <c r="AJ207" s="1162" t="e">
        <f>VLOOKUP(E207,'Tablas Técnicas'!$A$14:$V$771,14,FALSE)</f>
        <v>#N/A</v>
      </c>
      <c r="AK207" s="1162" t="e">
        <f>IF(AG207=AJ207,VLOOKUP(E207,'Tablas Técnicas'!$A$14:$V$771,15,FALSE),0)</f>
        <v>#N/A</v>
      </c>
      <c r="AL207" s="1162" t="e">
        <f>VLOOKUP(E207,'Tablas Técnicas'!$A$14:$V$771,16,FALSE)</f>
        <v>#N/A</v>
      </c>
      <c r="AM207" s="1162" t="e">
        <f>IF(AG207=AL207,VLOOKUP(E207,'Tablas Técnicas'!$A$14:$V$771,17,FALSE),0)</f>
        <v>#N/A</v>
      </c>
      <c r="AN207" s="1162" t="e">
        <f>VLOOKUP(E207,'Tablas Técnicas'!$A$14:$V$771,18,FALSE)</f>
        <v>#N/A</v>
      </c>
      <c r="AO207" s="1162" t="e">
        <f>IF(AG207=AN207,VLOOKUP(E207,'Tablas Técnicas'!$A$14:$V$771,19,FALSE),0)</f>
        <v>#N/A</v>
      </c>
      <c r="AP207" s="2620" t="str">
        <f>IF(E207=0,"",(AI207+AK207+AM207+AO207))</f>
        <v/>
      </c>
      <c r="AQ207" s="1144"/>
      <c r="AR207" s="1162" t="e">
        <f>VLOOKUP(E207,'Tablas Técnicas'!$A$14:$V$771,12,FALSE)</f>
        <v>#N/A</v>
      </c>
      <c r="AS207" s="1162" t="e">
        <f>IF(AQ207=AR207,VLOOKUP(E207,'Tablas Técnicas'!$A$14:$V$771,13,FALSE),0)</f>
        <v>#N/A</v>
      </c>
      <c r="AT207" s="1162" t="e">
        <f>VLOOKUP(E207,'Tablas Técnicas'!$A$14:$V$771,14,FALSE)</f>
        <v>#N/A</v>
      </c>
      <c r="AU207" s="1162" t="e">
        <f>IF(AQ207=AT207,VLOOKUP(E207,'Tablas Técnicas'!$A$14:$V$771,15,FALSE),0)</f>
        <v>#N/A</v>
      </c>
      <c r="AV207" s="1162" t="e">
        <f>VLOOKUP(E207,'Tablas Técnicas'!$A$14:$V$771,16,FALSE)</f>
        <v>#N/A</v>
      </c>
      <c r="AW207" s="1162" t="e">
        <f>IF(AQ207=AV207,VLOOKUP(E207,'Tablas Técnicas'!$A$14:$V$771,17,FALSE),0)</f>
        <v>#N/A</v>
      </c>
      <c r="AX207" s="1162" t="e">
        <f>VLOOKUP(E207,'Tablas Técnicas'!$A$14:$V$771,18,FALSE)</f>
        <v>#N/A</v>
      </c>
      <c r="AY207" s="1162" t="e">
        <f>IF(AQ207=AX207,VLOOKUP(E207,'Tablas Técnicas'!$A$14:$V$771,19,FALSE),0)</f>
        <v>#N/A</v>
      </c>
      <c r="AZ207" s="1163" t="str">
        <f>IF(E207=0,"",(AS207+AU207+AW207+AY207))</f>
        <v/>
      </c>
      <c r="BA207" s="1144"/>
      <c r="BB207" s="1162" t="e">
        <f>VLOOKUP(E207,'Tablas Técnicas'!$A$14:$V$771,12,FALSE)</f>
        <v>#N/A</v>
      </c>
      <c r="BC207" s="1162" t="e">
        <f>IF(BA207=BB207,VLOOKUP(E207,'Tablas Técnicas'!$A$14:$V$771,13,FALSE),0)</f>
        <v>#N/A</v>
      </c>
      <c r="BD207" s="1162" t="e">
        <f>VLOOKUP(E207,'Tablas Técnicas'!$A$14:$V$771,14,FALSE)</f>
        <v>#N/A</v>
      </c>
      <c r="BE207" s="1162" t="e">
        <f>IF(BA207=BD207,VLOOKUP(E207,'Tablas Técnicas'!$A$14:$V$771,15,FALSE),0)</f>
        <v>#N/A</v>
      </c>
      <c r="BF207" s="1162" t="e">
        <f>VLOOKUP(E207,'Tablas Técnicas'!$A$14:$V$771,16,FALSE)</f>
        <v>#N/A</v>
      </c>
      <c r="BG207" s="1162" t="e">
        <f>IF(BA207=BF207,VLOOKUP(E207,'Tablas Técnicas'!$A$14:$V$771,17,FALSE),0)</f>
        <v>#N/A</v>
      </c>
      <c r="BH207" s="1162" t="e">
        <f>VLOOKUP(E207,'Tablas Técnicas'!$A$14:$V$771,18,FALSE)</f>
        <v>#N/A</v>
      </c>
      <c r="BI207" s="1162" t="e">
        <f>IF(BA207=BH207,VLOOKUP(E207,'Tablas Técnicas'!$A$14:$V$771,19,FALSE),0)</f>
        <v>#N/A</v>
      </c>
      <c r="BJ207" s="2620" t="str">
        <f>IF(E207=0,"",(BC207+BE207+BG207+BI207))</f>
        <v/>
      </c>
      <c r="BK207" s="1190" t="str">
        <f>IF(E207=0,"",VLOOKUP(E207,'Tablas Técnicas'!$A$14:$V$771,20,FALSE))</f>
        <v/>
      </c>
      <c r="BL207" s="1177" t="str">
        <f>IF(E207=0,"",VLOOKUP(E207,'Tablas Técnicas'!$A$14:$V$771,21,FALSE))</f>
        <v/>
      </c>
      <c r="BM207" s="1148" t="str">
        <f>IF(E207=0,"",VLOOKUP(E207,'Tablas Técnicas'!$A$14:$V$771,22,FALSE))</f>
        <v/>
      </c>
      <c r="BN207" s="1149"/>
      <c r="BO207" s="1150"/>
      <c r="BP207" s="1135" t="str">
        <f>IF(I207="Si",VLOOKUP($D$8,'Tablas Técnicas'!$E$4:$F$6,2,FALSE),"")</f>
        <v/>
      </c>
      <c r="BQ207" s="1136" t="str">
        <f>IF(L207="Si",VLOOKUP($D$8,'Tablas Técnicas'!$I$4:$J$6,2,FALSE),"")</f>
        <v/>
      </c>
      <c r="BR207" s="1134" t="str">
        <f>IF(O207="Si",VLOOKUP($D$8,'Tablas Técnicas'!$I$7:$J$9,2,FALSE),"")</f>
        <v/>
      </c>
      <c r="BS207" s="1151"/>
      <c r="BT207" s="2609" t="s">
        <v>2226</v>
      </c>
      <c r="BU207" s="2610" t="s">
        <v>5236</v>
      </c>
      <c r="BV207" s="1128"/>
      <c r="BW207" s="2610" t="s">
        <v>5237</v>
      </c>
      <c r="BX207" s="2609" t="s">
        <v>5238</v>
      </c>
      <c r="BY207" s="1488" t="s">
        <v>5238</v>
      </c>
      <c r="BZ207" s="1492"/>
      <c r="CA207" s="1096"/>
      <c r="DR207" s="1096"/>
      <c r="DT207" s="1514"/>
      <c r="DU207" s="1569"/>
      <c r="DV207" s="1566" t="str">
        <f>IF(E207="","",", "&amp;E207)&amp;IF(I207="No",""," (Mant.)")&amp;IF(L207="No",""," (Sme)")&amp;IF(O207="No",""," (SMa)")</f>
        <v/>
      </c>
      <c r="DW207" s="1567"/>
      <c r="DX207" s="1568"/>
      <c r="DY207" s="1513"/>
      <c r="DZ207" s="1096"/>
      <c r="EA207" s="1660">
        <f t="shared" si="3"/>
        <v>1</v>
      </c>
    </row>
    <row r="208" spans="1:132" x14ac:dyDescent="0.2">
      <c r="A208" s="1096"/>
      <c r="B208" s="1096"/>
      <c r="C208" s="1497"/>
      <c r="D208" s="1642" t="s">
        <v>2310</v>
      </c>
      <c r="E208" s="1152"/>
      <c r="F208" s="1182"/>
      <c r="G208" s="1627" t="str">
        <f>IF(E208=0,"",VLOOKUP(E208,'Tablas Técnicas'!$A$14:$V$771,3,FALSE))</f>
        <v/>
      </c>
      <c r="H208" s="1155" t="str">
        <f>IF($E208=0,"",VLOOKUP($E208,'Tablas Técnicas'!$A$14:$V$771,4,FALSE))</f>
        <v/>
      </c>
      <c r="I208" s="1156" t="s">
        <v>2234</v>
      </c>
      <c r="J208" s="1605" t="str">
        <f>IF(E208=0,"",VLOOKUP(E208,'Tablas Técnicas'!$A$14:$V$771,5,FALSE))</f>
        <v/>
      </c>
      <c r="K208" s="1158" t="str">
        <f>IF(I208="Si",IF(E208=0,"",VLOOKUP(E208,'Tablas Técnicas'!$A$14:$V$771,5,FALSE)),"")</f>
        <v/>
      </c>
      <c r="L208" s="1156" t="s">
        <v>2234</v>
      </c>
      <c r="M208" s="1605" t="str">
        <f>IF(E208=0,"",VLOOKUP(E208,'Tablas Técnicas'!$A$14:$V$771,6,FALSE))</f>
        <v/>
      </c>
      <c r="N208" s="1159" t="str">
        <f>IF(L208="Si",IF(E208=0,"",VLOOKUP(E208,'Tablas Técnicas'!$A$14:$V$771,6,FALSE)),"")</f>
        <v/>
      </c>
      <c r="O208" s="1156" t="s">
        <v>2234</v>
      </c>
      <c r="P208" s="1605" t="str">
        <f>IF(E208=0,"",VLOOKUP(E208,'Tablas Técnicas'!$A$14:$V$771,7,FALSE))</f>
        <v/>
      </c>
      <c r="Q208" s="1159" t="str">
        <f>IF(O208="Si",IF(E208=0,"",VLOOKUP(E208,'Tablas Técnicas'!$A$14:$V$771,7,FALSE)),"")</f>
        <v/>
      </c>
      <c r="R208" s="1157" t="str">
        <f>IF(E208=0,"",VLOOKUP(E208,'Tablas Técnicas'!$A$14:$V$771,8,FALSE))</f>
        <v/>
      </c>
      <c r="S208" s="1155" t="str">
        <f>IF(R208=$D$8,$D$8,IF(R208=2,2,IF(R208=3,3,R208)))</f>
        <v/>
      </c>
      <c r="T208" s="4475" t="s">
        <v>5228</v>
      </c>
      <c r="U208" s="4476"/>
      <c r="V208" s="4476"/>
      <c r="W208" s="4476"/>
      <c r="X208" s="4476"/>
      <c r="Y208" s="4476"/>
      <c r="Z208" s="4476"/>
      <c r="AA208" s="4476"/>
      <c r="AB208" s="4476"/>
      <c r="AC208" s="4476"/>
      <c r="AD208" s="4476"/>
      <c r="AE208" s="4476"/>
      <c r="AF208" s="4476"/>
      <c r="AG208" s="4476"/>
      <c r="AH208" s="4476"/>
      <c r="AI208" s="4476"/>
      <c r="AJ208" s="4476"/>
      <c r="AK208" s="4476"/>
      <c r="AL208" s="4476"/>
      <c r="AM208" s="4476"/>
      <c r="AN208" s="4476"/>
      <c r="AO208" s="4476"/>
      <c r="AP208" s="4476"/>
      <c r="AQ208" s="4476"/>
      <c r="AR208" s="4476"/>
      <c r="AS208" s="4476"/>
      <c r="AT208" s="4476"/>
      <c r="AU208" s="4476"/>
      <c r="AV208" s="4476"/>
      <c r="AW208" s="4476"/>
      <c r="AX208" s="4476"/>
      <c r="AY208" s="4476"/>
      <c r="AZ208" s="4476"/>
      <c r="BA208" s="4476"/>
      <c r="BB208" s="4476"/>
      <c r="BC208" s="4476"/>
      <c r="BD208" s="4476"/>
      <c r="BE208" s="4476"/>
      <c r="BF208" s="4476"/>
      <c r="BG208" s="4476"/>
      <c r="BH208" s="4476"/>
      <c r="BI208" s="4476"/>
      <c r="BJ208" s="4476"/>
      <c r="BK208" s="4500"/>
      <c r="BL208" s="1627"/>
      <c r="BM208" s="1628"/>
      <c r="BN208" s="1149"/>
      <c r="BO208" s="1150"/>
      <c r="BP208" s="1135" t="str">
        <f>IF(I208="Si",VLOOKUP($D$8,'Tablas Técnicas'!$E$4:$F$6,2,FALSE),"")</f>
        <v/>
      </c>
      <c r="BQ208" s="1136" t="str">
        <f>IF(L208="Si",VLOOKUP($D$8,'Tablas Técnicas'!$I$4:$J$6,2,FALSE),"")</f>
        <v/>
      </c>
      <c r="BR208" s="1134" t="str">
        <f>IF(O208="Si",VLOOKUP($D$8,'Tablas Técnicas'!$I$7:$J$9,2,FALSE),"")</f>
        <v/>
      </c>
      <c r="BS208" s="1151"/>
      <c r="BT208" s="261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92"/>
      <c r="BV208" s="1128"/>
      <c r="BW208" s="1183" t="str">
        <f>IF(SUM(BT208:BU208)=0,"N/A",SUM(BT208:BU208))</f>
        <v>N/A</v>
      </c>
      <c r="BX208" s="261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83" t="str">
        <f>IF(BX208=0,"N/A",BX208)</f>
        <v>N/A</v>
      </c>
      <c r="BZ208" s="1492"/>
      <c r="CA208" s="1096"/>
      <c r="DR208" s="1096"/>
      <c r="DT208" s="1514"/>
      <c r="DU208" s="1569"/>
      <c r="DV208" s="1566" t="str">
        <f>IF(E208="",""," "&amp;E208)&amp;IF(I208="No",""," (Mant.)")&amp;IF(L208="No",""," (Sme)")&amp;IF(O208="No",""," (SMa)")</f>
        <v/>
      </c>
      <c r="DW208" s="1567"/>
      <c r="DX208" s="1568"/>
      <c r="DY208" s="1513"/>
      <c r="DZ208" s="1096"/>
      <c r="EA208" s="1660">
        <f t="shared" si="3"/>
        <v>1</v>
      </c>
    </row>
    <row r="209" spans="1:131" x14ac:dyDescent="0.2">
      <c r="A209" s="1096"/>
      <c r="B209" s="1096"/>
      <c r="C209" s="1497"/>
      <c r="D209" s="1643" t="s">
        <v>2310</v>
      </c>
      <c r="E209" s="1160"/>
      <c r="F209" s="1176"/>
      <c r="G209" s="1146" t="str">
        <f>IF(E209=0,"",VLOOKUP(E209,'Tablas Técnicas'!$A$14:$V$771,3,FALSE))</f>
        <v/>
      </c>
      <c r="H209" s="2619" t="str">
        <f>IF($E209=0,"",VLOOKUP($E209,'Tablas Técnicas'!$A$14:$V$771,4,FALSE))</f>
        <v/>
      </c>
      <c r="I209" s="1144" t="s">
        <v>2234</v>
      </c>
      <c r="J209" s="1601" t="str">
        <f>IF(E209=0,"",VLOOKUP(E209,'Tablas Técnicas'!$A$14:$V$771,5,FALSE))</f>
        <v/>
      </c>
      <c r="K209" s="1163" t="str">
        <f>IF(I209="Si",IF(E209=0,"",VLOOKUP(E209,'Tablas Técnicas'!$A$14:$V$771,5,FALSE)),"")</f>
        <v/>
      </c>
      <c r="L209" s="1144" t="s">
        <v>2234</v>
      </c>
      <c r="M209" s="1601" t="str">
        <f>IF(E209=0,"",VLOOKUP(E209,'Tablas Técnicas'!$A$14:$V$771,6,FALSE))</f>
        <v/>
      </c>
      <c r="N209" s="1147" t="str">
        <f>IF(L209="Si",IF(E209=0,"",VLOOKUP(E209,'Tablas Técnicas'!$A$14:$V$771,6,FALSE)),"")</f>
        <v/>
      </c>
      <c r="O209" s="1144" t="s">
        <v>2234</v>
      </c>
      <c r="P209" s="1601" t="str">
        <f>IF(E209=0,"",VLOOKUP(E209,'Tablas Técnicas'!$A$14:$V$771,7,FALSE))</f>
        <v/>
      </c>
      <c r="Q209" s="1147" t="str">
        <f>IF(O209="Si",IF(E209=0,"",VLOOKUP(E209,'Tablas Técnicas'!$A$14:$V$771,7,FALSE)),"")</f>
        <v/>
      </c>
      <c r="R209" s="1162" t="str">
        <f>IF(E209=0,"",VLOOKUP(E209,'Tablas Técnicas'!$A$14:$V$771,8,FALSE))</f>
        <v/>
      </c>
      <c r="S209" s="2619" t="str">
        <f>IF(R209=$D$8,$D$8,IF(R209=2,2,IF(R209=3,3,R209)))</f>
        <v/>
      </c>
      <c r="T209" s="4487"/>
      <c r="U209" s="4502"/>
      <c r="V209" s="2617" t="str">
        <f>IF(OR(V207=0,V207=""),"N/A",V207)</f>
        <v>N/A</v>
      </c>
      <c r="W209" s="4487" t="str">
        <f xml:space="preserve"> IF(OR(AF207=0,AF207=""),"N/A",W207)</f>
        <v>N/A</v>
      </c>
      <c r="X209" s="4489"/>
      <c r="Y209" s="4489"/>
      <c r="Z209" s="4489"/>
      <c r="AA209" s="4489"/>
      <c r="AB209" s="4489"/>
      <c r="AC209" s="4489"/>
      <c r="AD209" s="4489"/>
      <c r="AE209" s="4489"/>
      <c r="AF209" s="4502"/>
      <c r="AG209" s="4487" t="str">
        <f xml:space="preserve"> IF(OR(AP207="",AP207=0),"N/A",AG207)</f>
        <v>N/A</v>
      </c>
      <c r="AH209" s="4489"/>
      <c r="AI209" s="4489"/>
      <c r="AJ209" s="4489"/>
      <c r="AK209" s="4489"/>
      <c r="AL209" s="4489"/>
      <c r="AM209" s="4489"/>
      <c r="AN209" s="4489"/>
      <c r="AO209" s="4489"/>
      <c r="AP209" s="4502"/>
      <c r="AQ209" s="4487" t="str">
        <f xml:space="preserve"> IF(OR(AZ207="",AZ207=0),"N/A",AQ207)</f>
        <v>N/A</v>
      </c>
      <c r="AR209" s="4489"/>
      <c r="AS209" s="4489"/>
      <c r="AT209" s="4489"/>
      <c r="AU209" s="4489"/>
      <c r="AV209" s="4489"/>
      <c r="AW209" s="4489"/>
      <c r="AX209" s="4489"/>
      <c r="AY209" s="4489"/>
      <c r="AZ209" s="4502"/>
      <c r="BA209" s="4487" t="str">
        <f xml:space="preserve"> IF(OR(BJ207="",BJ207=0),"N/A",BA207)</f>
        <v>N/A</v>
      </c>
      <c r="BB209" s="4489"/>
      <c r="BC209" s="4489"/>
      <c r="BD209" s="4489"/>
      <c r="BE209" s="4489"/>
      <c r="BF209" s="4489"/>
      <c r="BG209" s="4489"/>
      <c r="BH209" s="4489"/>
      <c r="BI209" s="4489"/>
      <c r="BJ209" s="4502"/>
      <c r="BK209" s="1164" t="s">
        <v>5229</v>
      </c>
      <c r="BL209" s="1146"/>
      <c r="BM209" s="1181"/>
      <c r="BN209" s="1165"/>
      <c r="BO209" s="1166"/>
      <c r="BP209" s="1167" t="str">
        <f>IF(I209="Si",VLOOKUP($D$8,'Tablas Técnicas'!$E$4:$F$6,2,FALSE),"")</f>
        <v/>
      </c>
      <c r="BQ209" s="1137" t="str">
        <f>IF(L209="Si",VLOOKUP($D$8,'Tablas Técnicas'!$I$4:$J$6,2,FALSE),"")</f>
        <v/>
      </c>
      <c r="BR209" s="1168" t="str">
        <f>IF(O209="Si",VLOOKUP($D$8,'Tablas Técnicas'!$I$7:$J$9,2,FALSE),"")</f>
        <v/>
      </c>
      <c r="BS209" s="1151"/>
      <c r="BT209" s="2609" t="s">
        <v>2354</v>
      </c>
      <c r="BU209" s="2610" t="s">
        <v>5236</v>
      </c>
      <c r="BV209" s="1128"/>
      <c r="BW209" s="2610" t="s">
        <v>5237</v>
      </c>
      <c r="BX209" s="2609" t="s">
        <v>5238</v>
      </c>
      <c r="BY209" s="1489" t="s">
        <v>5238</v>
      </c>
      <c r="BZ209" s="1492"/>
      <c r="CA209" s="1096"/>
      <c r="DR209" s="1096"/>
      <c r="DT209" s="1514"/>
      <c r="DU209" s="1569"/>
      <c r="DV209" s="1566" t="str">
        <f>IF(E209="","",E209)&amp;IF(I209="No",""," (Mant.)")&amp;IF(L209="No",""," (Sme)")&amp;IF(O209="No",""," (SMa)")</f>
        <v/>
      </c>
      <c r="DW209" s="1566"/>
      <c r="DX209" s="1568"/>
      <c r="DY209" s="1513"/>
      <c r="DZ209" s="1096"/>
      <c r="EA209" s="1660">
        <f t="shared" si="3"/>
        <v>1</v>
      </c>
    </row>
    <row r="210" spans="1:131" x14ac:dyDescent="0.2">
      <c r="A210" s="1096"/>
      <c r="B210" s="1096"/>
      <c r="C210" s="1497"/>
      <c r="D210" s="1642" t="s">
        <v>2310</v>
      </c>
      <c r="E210" s="1152"/>
      <c r="F210" s="1182"/>
      <c r="G210" s="1627" t="str">
        <f>IF(E210=0,"",VLOOKUP(E210,'Tablas Técnicas'!$A$14:$V$771,3,FALSE))</f>
        <v/>
      </c>
      <c r="H210" s="1155" t="str">
        <f>IF($E210=0,"",VLOOKUP($E210,'Tablas Técnicas'!$A$14:$V$771,4,FALSE))</f>
        <v/>
      </c>
      <c r="I210" s="1156" t="s">
        <v>2234</v>
      </c>
      <c r="J210" s="1605" t="str">
        <f>IF(E210=0,"",VLOOKUP(E210,'Tablas Técnicas'!$A$14:$V$771,5,FALSE))</f>
        <v/>
      </c>
      <c r="K210" s="1158" t="str">
        <f>IF(I210="Si",IF(E210=0,"",VLOOKUP(E210,'Tablas Técnicas'!$A$14:$V$771,5,FALSE)),"")</f>
        <v/>
      </c>
      <c r="L210" s="1156" t="s">
        <v>2234</v>
      </c>
      <c r="M210" s="1605" t="str">
        <f>IF(E210=0,"",VLOOKUP(E210,'Tablas Técnicas'!$A$14:$V$771,6,FALSE))</f>
        <v/>
      </c>
      <c r="N210" s="1159" t="str">
        <f>IF(L210="Si",IF(E210=0,"",VLOOKUP(E210,'Tablas Técnicas'!$A$14:$V$771,6,FALSE)),"")</f>
        <v/>
      </c>
      <c r="O210" s="1156" t="s">
        <v>2234</v>
      </c>
      <c r="P210" s="1605" t="str">
        <f>IF(E210=0,"",VLOOKUP(E210,'Tablas Técnicas'!$A$14:$V$771,7,FALSE))</f>
        <v/>
      </c>
      <c r="Q210" s="1159" t="str">
        <f>IF(O210="Si",IF(E210=0,"",VLOOKUP(E210,'Tablas Técnicas'!$A$14:$V$771,7,FALSE)),"")</f>
        <v/>
      </c>
      <c r="R210" s="1157" t="str">
        <f>IF(E210=0,"",VLOOKUP(E210,'Tablas Técnicas'!$A$14:$V$771,8,FALSE))</f>
        <v/>
      </c>
      <c r="S210" s="1155" t="str">
        <f>IF(R210=$D$8,$D$8,IF(R210=2,2,IF(R210=3,3,R210)))</f>
        <v/>
      </c>
      <c r="T210" s="4504" t="s">
        <v>5230</v>
      </c>
      <c r="U210" s="4491"/>
      <c r="V210" s="2618"/>
      <c r="W210" s="4505"/>
      <c r="X210" s="4506"/>
      <c r="Y210" s="4506"/>
      <c r="Z210" s="4506"/>
      <c r="AA210" s="4506"/>
      <c r="AB210" s="4506"/>
      <c r="AC210" s="4506"/>
      <c r="AD210" s="4506"/>
      <c r="AE210" s="4506"/>
      <c r="AF210" s="4494"/>
      <c r="AG210" s="4505"/>
      <c r="AH210" s="4506"/>
      <c r="AI210" s="4506"/>
      <c r="AJ210" s="4506"/>
      <c r="AK210" s="4506"/>
      <c r="AL210" s="4506"/>
      <c r="AM210" s="4506"/>
      <c r="AN210" s="4506"/>
      <c r="AO210" s="4506"/>
      <c r="AP210" s="4494"/>
      <c r="AQ210" s="4505"/>
      <c r="AR210" s="4506"/>
      <c r="AS210" s="4506"/>
      <c r="AT210" s="4506"/>
      <c r="AU210" s="4506"/>
      <c r="AV210" s="4506"/>
      <c r="AW210" s="4506"/>
      <c r="AX210" s="4506"/>
      <c r="AY210" s="4506"/>
      <c r="AZ210" s="4494"/>
      <c r="BA210" s="4505"/>
      <c r="BB210" s="4506"/>
      <c r="BC210" s="4506"/>
      <c r="BD210" s="4506"/>
      <c r="BE210" s="4506"/>
      <c r="BF210" s="4506"/>
      <c r="BG210" s="4506"/>
      <c r="BH210" s="4506"/>
      <c r="BI210" s="4506"/>
      <c r="BJ210" s="4494"/>
      <c r="BK210" s="1155">
        <f>(SUM(G207:G211)+IF(AF207="",0,AF207)+IF(AP207="",0,AP207)+IF(AZ207="",0,AZ207)+IF(BJ207="",0,BJ207)+SUM(K207:K211)+SUM(N207:N211)+SUM(Q207:Q211))- SUM(V210:BA210)</f>
        <v>0</v>
      </c>
      <c r="BL210" s="1627"/>
      <c r="BM210" s="1628"/>
      <c r="BN210" s="1149"/>
      <c r="BO210" s="1150"/>
      <c r="BP210" s="1135" t="str">
        <f>IF(I210="Si",VLOOKUP($D$8,'Tablas Técnicas'!$E$4:$F$6,2,FALSE),"")</f>
        <v/>
      </c>
      <c r="BQ210" s="1136" t="str">
        <f>IF(L210="Si",VLOOKUP($D$8,'Tablas Técnicas'!$I$4:$J$6,2,FALSE),"")</f>
        <v/>
      </c>
      <c r="BR210" s="1134" t="str">
        <f>IF(O210="Si",VLOOKUP($D$8,'Tablas Técnicas'!$I$7:$J$9,2,FALSE),"")</f>
        <v/>
      </c>
      <c r="BS210" s="1151"/>
      <c r="BT210" s="261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92"/>
      <c r="BV210" s="1128"/>
      <c r="BW210" s="1183" t="str">
        <f>IF(SUM(BT210:BU210)=0,"N/A",SUM(BT210:BU210))</f>
        <v>N/A</v>
      </c>
      <c r="BX210" s="261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83" t="str">
        <f>IF(BX210=0,"N/A",BX210)</f>
        <v>N/A</v>
      </c>
      <c r="BZ210" s="1492"/>
      <c r="CA210" s="1100"/>
      <c r="DR210" s="1100"/>
      <c r="DT210" s="1515"/>
      <c r="DU210" s="1565"/>
      <c r="DV210" s="1566" t="str">
        <f>IF(E210="","",E210)&amp;IF(I210="No",""," (Mant.)")&amp;IF(L210="No",""," (Sme)")&amp;IF(O210="No",""," (SMa)")</f>
        <v/>
      </c>
      <c r="DW210" s="1566"/>
      <c r="DX210" s="1571"/>
      <c r="DY210" s="1516"/>
      <c r="DZ210" s="1100"/>
      <c r="EA210" s="1660">
        <f t="shared" si="3"/>
        <v>1</v>
      </c>
    </row>
    <row r="211" spans="1:131" x14ac:dyDescent="0.2">
      <c r="A211" s="1096"/>
      <c r="B211" s="1096"/>
      <c r="C211" s="1497"/>
      <c r="D211" s="1643" t="s">
        <v>2310</v>
      </c>
      <c r="E211" s="1160"/>
      <c r="F211" s="1176"/>
      <c r="G211" s="1146" t="str">
        <f>IF(E211=0,"",VLOOKUP(E211,'Tablas Técnicas'!$A$14:$V$771,3,FALSE))</f>
        <v/>
      </c>
      <c r="H211" s="1171" t="str">
        <f>IF($E211=0,"",VLOOKUP($E211,'Tablas Técnicas'!$A$14:$V$771,4,FALSE))</f>
        <v/>
      </c>
      <c r="I211" s="1144" t="s">
        <v>2234</v>
      </c>
      <c r="J211" s="1608" t="str">
        <f>IF(E211=0,"",VLOOKUP(E211,'Tablas Técnicas'!$A$14:$V$771,5,FALSE))</f>
        <v/>
      </c>
      <c r="K211" s="1172" t="str">
        <f>IF(I211="Si",IF(E211=0,"",VLOOKUP(E211,'Tablas Técnicas'!$A$14:$V$771,5,FALSE)),"")</f>
        <v/>
      </c>
      <c r="L211" s="1144" t="s">
        <v>2234</v>
      </c>
      <c r="M211" s="1608" t="str">
        <f>IF(E211=0,"",VLOOKUP(E211,'Tablas Técnicas'!$A$14:$V$771,6,FALSE))</f>
        <v/>
      </c>
      <c r="N211" s="1147" t="str">
        <f>IF(L211="Si",IF(E211=0,"",VLOOKUP(E211,'Tablas Técnicas'!$A$14:$V$771,6,FALSE)),"")</f>
        <v/>
      </c>
      <c r="O211" s="1144" t="s">
        <v>2234</v>
      </c>
      <c r="P211" s="1608" t="str">
        <f>IF(E211=0,"",VLOOKUP(E211,'Tablas Técnicas'!$A$14:$V$771,7,FALSE))</f>
        <v/>
      </c>
      <c r="Q211" s="1147" t="str">
        <f>IF(O211="Si",IF(E211=0,"",VLOOKUP(E211,'Tablas Técnicas'!$A$14:$V$771,7,FALSE)),"")</f>
        <v/>
      </c>
      <c r="R211" s="1193" t="str">
        <f>IF(E211=0,"",VLOOKUP(E211,'Tablas Técnicas'!$A$14:$V$771,8,FALSE))</f>
        <v/>
      </c>
      <c r="S211" s="1161" t="str">
        <f>IF(R211=$D$8,$D$8,IF(R211=2,2,IF(R211=3,3,R211)))</f>
        <v/>
      </c>
      <c r="T211" s="4482" t="s">
        <v>5232</v>
      </c>
      <c r="U211" s="4483"/>
      <c r="V211" s="2616"/>
      <c r="W211" s="4484"/>
      <c r="X211" s="4485"/>
      <c r="Y211" s="4485"/>
      <c r="Z211" s="4485"/>
      <c r="AA211" s="4485"/>
      <c r="AB211" s="4485"/>
      <c r="AC211" s="4485"/>
      <c r="AD211" s="4485"/>
      <c r="AE211" s="4485"/>
      <c r="AF211" s="4486"/>
      <c r="AG211" s="4484"/>
      <c r="AH211" s="4485"/>
      <c r="AI211" s="4485"/>
      <c r="AJ211" s="4485"/>
      <c r="AK211" s="4485"/>
      <c r="AL211" s="4485"/>
      <c r="AM211" s="4485"/>
      <c r="AN211" s="4485"/>
      <c r="AO211" s="4485"/>
      <c r="AP211" s="4486"/>
      <c r="AQ211" s="4484"/>
      <c r="AR211" s="4485"/>
      <c r="AS211" s="4485"/>
      <c r="AT211" s="4485"/>
      <c r="AU211" s="4485"/>
      <c r="AV211" s="4485"/>
      <c r="AW211" s="4485"/>
      <c r="AX211" s="4485"/>
      <c r="AY211" s="4485"/>
      <c r="AZ211" s="4486"/>
      <c r="BA211" s="4484"/>
      <c r="BB211" s="4485"/>
      <c r="BC211" s="4485"/>
      <c r="BD211" s="4485"/>
      <c r="BE211" s="4485"/>
      <c r="BF211" s="4485"/>
      <c r="BG211" s="4485"/>
      <c r="BH211" s="4485"/>
      <c r="BI211" s="4485"/>
      <c r="BJ211" s="4486"/>
      <c r="BK211" s="1171">
        <f>SUM(K207:K211)-SUM(V211:BA211)</f>
        <v>0</v>
      </c>
      <c r="BL211" s="1629"/>
      <c r="BM211" s="1630"/>
      <c r="BN211" s="1165"/>
      <c r="BO211" s="1166"/>
      <c r="BP211" s="1167" t="str">
        <f>IF(I211="Si",VLOOKUP($D$8,'Tablas Técnicas'!$E$4:$F$6,2,FALSE),"")</f>
        <v/>
      </c>
      <c r="BQ211" s="1137" t="str">
        <f>IF(L211="Si",VLOOKUP($D$8,'Tablas Técnicas'!$I$4:$J$6,2,FALSE),"")</f>
        <v/>
      </c>
      <c r="BR211" s="1168" t="str">
        <f>IF(O211="Si",VLOOKUP($D$8,'Tablas Técnicas'!$I$7:$J$9,2,FALSE),"")</f>
        <v/>
      </c>
      <c r="BS211" s="1151"/>
      <c r="BT211" s="2609" t="s">
        <v>2231</v>
      </c>
      <c r="BU211" s="2610" t="s">
        <v>5236</v>
      </c>
      <c r="BV211" s="1128"/>
      <c r="BW211" s="2610" t="s">
        <v>5237</v>
      </c>
      <c r="BX211" s="2609" t="s">
        <v>5238</v>
      </c>
      <c r="BY211" s="1489" t="s">
        <v>5238</v>
      </c>
      <c r="BZ211" s="1492"/>
      <c r="CA211" s="1096"/>
      <c r="DR211" s="1096"/>
      <c r="DT211" s="1514"/>
      <c r="DU211" s="1569"/>
      <c r="DV211" s="1566" t="str">
        <f>IF(E211="","",E211)&amp;IF(I211="No",""," (Mant.)")&amp;IF(L211="No",""," (Sme)")&amp;IF(O211="No",""," (SMa)")</f>
        <v/>
      </c>
      <c r="DW211" s="1566"/>
      <c r="DX211" s="1568"/>
      <c r="DY211" s="1513"/>
      <c r="DZ211" s="1096"/>
      <c r="EA211" s="1660">
        <f t="shared" si="3"/>
        <v>1</v>
      </c>
    </row>
    <row r="212" spans="1:131" x14ac:dyDescent="0.2">
      <c r="A212" s="1096"/>
      <c r="B212" s="159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97"/>
      <c r="D212" s="1644">
        <v>4</v>
      </c>
      <c r="E212" s="1423"/>
      <c r="F212" s="1173"/>
      <c r="G212" s="1174"/>
      <c r="H212" s="2559">
        <f>IF(AND(OR(ISNUMBER(SEARCH("Afinidad Elemental ("&amp;BK207&amp;")",Principal!$AF$30)),ISNUMBER(SEARCH("Afinidad Elemental ("&amp;BL207&amp;")",Principal!$AF$30)),ISNUMBER(SEARCH("Afinidad Elemental ("&amp;BM207&amp;")",Principal!$AF$30))),SUM(H207:H211)&gt;=5),-5,0)</f>
        <v>0</v>
      </c>
      <c r="I212" s="1603"/>
      <c r="J212" s="1606"/>
      <c r="K212" s="1174"/>
      <c r="L212" s="1603"/>
      <c r="M212" s="1606"/>
      <c r="N212" s="1174"/>
      <c r="O212" s="1603"/>
      <c r="P212" s="1606"/>
      <c r="Q212" s="1174"/>
      <c r="R212" s="1175"/>
      <c r="S212" s="1174"/>
      <c r="T212" s="1174"/>
      <c r="U212" s="1174"/>
      <c r="V212" s="1174"/>
      <c r="W212" s="1174"/>
      <c r="X212" s="1174"/>
      <c r="Y212" s="1174"/>
      <c r="Z212" s="1174"/>
      <c r="AA212" s="1174"/>
      <c r="AB212" s="1174"/>
      <c r="AC212" s="1174"/>
      <c r="AD212" s="1174"/>
      <c r="AE212" s="1174"/>
      <c r="AF212" s="1174"/>
      <c r="AG212" s="1174"/>
      <c r="AH212" s="1174"/>
      <c r="AI212" s="1174"/>
      <c r="AJ212" s="1174"/>
      <c r="AK212" s="1174"/>
      <c r="AL212" s="1174"/>
      <c r="AM212" s="1174"/>
      <c r="AN212" s="1174"/>
      <c r="AO212" s="1174"/>
      <c r="AP212" s="1174"/>
      <c r="AQ212" s="1174"/>
      <c r="AR212" s="1174"/>
      <c r="AS212" s="1174"/>
      <c r="AT212" s="1174"/>
      <c r="AU212" s="1174"/>
      <c r="AV212" s="1174"/>
      <c r="AW212" s="1174"/>
      <c r="AX212" s="1174"/>
      <c r="AY212" s="1174"/>
      <c r="AZ212" s="1174"/>
      <c r="BA212" s="1174"/>
      <c r="BB212" s="1174"/>
      <c r="BC212" s="1174"/>
      <c r="BD212" s="1174"/>
      <c r="BE212" s="1174"/>
      <c r="BF212" s="1174"/>
      <c r="BG212" s="1174"/>
      <c r="BH212" s="1174"/>
      <c r="BI212" s="1174"/>
      <c r="BJ212" s="1174"/>
      <c r="BK212" s="1174"/>
      <c r="BL212" s="1174"/>
      <c r="BM212" s="1184"/>
      <c r="BN212" s="1185">
        <f>SUM(K212:K215)</f>
        <v>0</v>
      </c>
      <c r="BO212" s="1128" t="str">
        <f>IF(E212=0,"",(AF212+AP212+AZ212+BJ212))</f>
        <v/>
      </c>
      <c r="BP212" s="1186" t="str">
        <f>IF(I212="Si",VLOOKUP($D$8,'Tablas Técnicas'!$E$4:$F$6,2,FALSE),"")</f>
        <v/>
      </c>
      <c r="BQ212" s="1187" t="str">
        <f>IF(L212="Si",VLOOKUP($D$8,'Tablas Técnicas'!$I$4:$J$6,2,FALSE),"")</f>
        <v/>
      </c>
      <c r="BR212" s="1185" t="str">
        <f>IF(O212="Si",VLOOKUP($D$8,'Tablas Técnicas'!$I$7:$J$9,2,FALSE),"")</f>
        <v/>
      </c>
      <c r="BS212" s="1151"/>
      <c r="BT212" s="261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92"/>
      <c r="BV212" s="1128"/>
      <c r="BW212" s="1183" t="str">
        <f>IF(SUM(BT212:BU212)=0,"N/A",SUM(BT212:BU212))</f>
        <v>N/A</v>
      </c>
      <c r="BX212" s="261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83" t="str">
        <f>IF(BX212=0,"N/A",BX212)</f>
        <v>N/A</v>
      </c>
      <c r="BZ212" s="1492"/>
      <c r="CA212" s="1096"/>
      <c r="DR212" s="1096"/>
      <c r="DT212" s="1514"/>
      <c r="DU212" s="1569"/>
      <c r="DV212" s="1570"/>
      <c r="DW212" s="1566"/>
      <c r="DX212" s="1568"/>
      <c r="DY212" s="1513"/>
      <c r="DZ212" s="1096"/>
      <c r="EA212" s="1660">
        <f t="shared" si="3"/>
        <v>1</v>
      </c>
    </row>
    <row r="213" spans="1:131" x14ac:dyDescent="0.2">
      <c r="A213" s="1096"/>
      <c r="B213" s="1096"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97"/>
      <c r="D213" s="1643" t="s">
        <v>2310</v>
      </c>
      <c r="E213" s="1140"/>
      <c r="F213" s="1176"/>
      <c r="G213" s="1146" t="str">
        <f>IF(E213=0,"",VLOOKUP(E213,'Tablas Técnicas'!$A$14:$V$771,3,FALSE))</f>
        <v/>
      </c>
      <c r="H213" s="1188" t="str">
        <f>IF($E213=0,"",VLOOKUP($E213,'Tablas Técnicas'!$A$14:$V$771,4,FALSE))</f>
        <v/>
      </c>
      <c r="I213" s="1144" t="s">
        <v>2234</v>
      </c>
      <c r="J213" s="1607" t="str">
        <f>IF(E213=0,"",VLOOKUP(E213,'Tablas Técnicas'!$A$14:$V$771,5,FALSE))</f>
        <v/>
      </c>
      <c r="K213" s="1190" t="str">
        <f>IF(I213="Si",IF(E213=0,"",VLOOKUP(E213,'Tablas Técnicas'!$A$14:$V$771,5,FALSE)),"")</f>
        <v/>
      </c>
      <c r="L213" s="1144" t="s">
        <v>2234</v>
      </c>
      <c r="M213" s="1607" t="str">
        <f>IF(E213=0,"",VLOOKUP(E213,'Tablas Técnicas'!$A$14:$V$771,6,FALSE))</f>
        <v/>
      </c>
      <c r="N213" s="1147" t="str">
        <f>IF(L213="Si",IF(E213=0,"",VLOOKUP(E213,'Tablas Técnicas'!$A$14:$V$771,6,FALSE)),"")</f>
        <v/>
      </c>
      <c r="O213" s="1144" t="s">
        <v>2234</v>
      </c>
      <c r="P213" s="1607" t="str">
        <f>IF(E213=0,"",VLOOKUP(E213,'Tablas Técnicas'!$A$14:$V$771,7,FALSE))</f>
        <v/>
      </c>
      <c r="Q213" s="1147" t="str">
        <f>IF(O213="Si",IF(E213=0,"",VLOOKUP(E213,'Tablas Técnicas'!$A$14:$V$771,7,FALSE)),"")</f>
        <v/>
      </c>
      <c r="R213" s="1189" t="str">
        <f>IF(E213=0,"",VLOOKUP(E213,'Tablas Técnicas'!$A$14:$V$771,8,FALSE))</f>
        <v/>
      </c>
      <c r="S213" s="1161" t="str">
        <f>IF(R213=$D$8,$D$8,IF(R213=2,2,IF(R213=3,3,R213)))</f>
        <v/>
      </c>
      <c r="T213" s="1190" t="str">
        <f>IF(E213=0,"",VLOOKUP(E213,'Tablas Técnicas'!$A$14:$V$771,9,FALSE))</f>
        <v/>
      </c>
      <c r="U213" s="1190" t="str">
        <f>IF(E213=0,"",VLOOKUP(E213,'Tablas Técnicas'!$A$14:$V$771,10,FALSE))</f>
        <v/>
      </c>
      <c r="V213" s="1191" t="str">
        <f>IF(E213=0,"",VLOOKUP(E213,'Tablas Técnicas'!$A$14:$V$771,11,FALSE))</f>
        <v/>
      </c>
      <c r="W213" s="1144"/>
      <c r="X213" s="1145" t="e">
        <f>VLOOKUP(E213,'Tablas Técnicas'!$A$14:$V$771,12,FALSE)</f>
        <v>#N/A</v>
      </c>
      <c r="Y213" s="1145" t="e">
        <f>IF(W213=X213,VLOOKUP(E213,'Tablas Técnicas'!$A$14:$V$771,13,FALSE),0)</f>
        <v>#N/A</v>
      </c>
      <c r="Z213" s="1145" t="e">
        <f>VLOOKUP(E213,'Tablas Técnicas'!$A$14:$V$771,14,FALSE)</f>
        <v>#N/A</v>
      </c>
      <c r="AA213" s="1145" t="e">
        <f>IF(W213=Z213,VLOOKUP(E213,'Tablas Técnicas'!$A$14:$V$616,15,FALSE),0)</f>
        <v>#N/A</v>
      </c>
      <c r="AB213" s="1145" t="e">
        <f>VLOOKUP(E213,'Tablas Técnicas'!$A$14:$V$771,16,FALSE)</f>
        <v>#N/A</v>
      </c>
      <c r="AC213" s="1145" t="e">
        <f>IF(W213=AB213,VLOOKUP(E213,'Tablas Técnicas'!$A$14:$V$616,17,FALSE),0)</f>
        <v>#N/A</v>
      </c>
      <c r="AD213" s="1145" t="e">
        <f>VLOOKUP(E213,'Tablas Técnicas'!$A$14:$V$771,18,FALSE)</f>
        <v>#N/A</v>
      </c>
      <c r="AE213" s="1145" t="e">
        <f>IF(W213=AD213,VLOOKUP(E213,'Tablas Técnicas'!$A$14:$V$771,19,FALSE),0)</f>
        <v>#N/A</v>
      </c>
      <c r="AF213" s="1163" t="str">
        <f>IF(E213=0,"",(Y213+AA213+AC213+AE213))</f>
        <v/>
      </c>
      <c r="AG213" s="1144"/>
      <c r="AH213" s="1162" t="e">
        <f>VLOOKUP(E213,'Tablas Técnicas'!$A$14:$V$771,12,FALSE)</f>
        <v>#N/A</v>
      </c>
      <c r="AI213" s="1162" t="e">
        <f>IF(AG213=AH213,VLOOKUP(E213,'Tablas Técnicas'!$A$14:$V$771,13,FALSE),0)</f>
        <v>#N/A</v>
      </c>
      <c r="AJ213" s="1162" t="e">
        <f>VLOOKUP(E213,'Tablas Técnicas'!$A$14:$V$771,14,FALSE)</f>
        <v>#N/A</v>
      </c>
      <c r="AK213" s="1162" t="e">
        <f>IF(AG213=AJ213,VLOOKUP(E213,'Tablas Técnicas'!$A$14:$V$771,15,FALSE),0)</f>
        <v>#N/A</v>
      </c>
      <c r="AL213" s="1162" t="e">
        <f>VLOOKUP(E213,'Tablas Técnicas'!$A$14:$V$771,16,FALSE)</f>
        <v>#N/A</v>
      </c>
      <c r="AM213" s="1162" t="e">
        <f>IF(AG213=AL213,VLOOKUP(E213,'Tablas Técnicas'!$A$14:$V$771,17,FALSE),0)</f>
        <v>#N/A</v>
      </c>
      <c r="AN213" s="1162" t="e">
        <f>VLOOKUP(E213,'Tablas Técnicas'!$A$14:$V$771,18,FALSE)</f>
        <v>#N/A</v>
      </c>
      <c r="AO213" s="1162" t="e">
        <f>IF(AG213=AN213,VLOOKUP(E213,'Tablas Técnicas'!$A$14:$V$771,19,FALSE),0)</f>
        <v>#N/A</v>
      </c>
      <c r="AP213" s="2620" t="str">
        <f>IF(E213=0,"",(AI213+AK213+AM213+AO213))</f>
        <v/>
      </c>
      <c r="AQ213" s="1144"/>
      <c r="AR213" s="1162" t="e">
        <f>VLOOKUP(E213,'Tablas Técnicas'!$A$14:$V$771,12,FALSE)</f>
        <v>#N/A</v>
      </c>
      <c r="AS213" s="1162" t="e">
        <f>IF(AQ213=AR213,VLOOKUP(E213,'Tablas Técnicas'!$A$14:$V$771,13,FALSE),0)</f>
        <v>#N/A</v>
      </c>
      <c r="AT213" s="1162" t="e">
        <f>VLOOKUP(E213,'Tablas Técnicas'!$A$14:$V$771,14,FALSE)</f>
        <v>#N/A</v>
      </c>
      <c r="AU213" s="1162" t="e">
        <f>IF(AQ213=AT213,VLOOKUP(E213,'Tablas Técnicas'!$A$14:$V$771,15,FALSE),0)</f>
        <v>#N/A</v>
      </c>
      <c r="AV213" s="1162" t="e">
        <f>VLOOKUP(E213,'Tablas Técnicas'!$A$14:$V$771,16,FALSE)</f>
        <v>#N/A</v>
      </c>
      <c r="AW213" s="1162" t="e">
        <f>IF(AQ213=AV213,VLOOKUP(E213,'Tablas Técnicas'!$A$14:$V$771,17,FALSE),0)</f>
        <v>#N/A</v>
      </c>
      <c r="AX213" s="1162" t="e">
        <f>VLOOKUP(E213,'Tablas Técnicas'!$A$14:$V$771,18,FALSE)</f>
        <v>#N/A</v>
      </c>
      <c r="AY213" s="1162" t="e">
        <f>IF(AQ213=AX213,VLOOKUP(E213,'Tablas Técnicas'!$A$14:$V$771,19,FALSE),0)</f>
        <v>#N/A</v>
      </c>
      <c r="AZ213" s="1163" t="str">
        <f>IF(E213=0,"",(AS213+AU213+AW213+AY213))</f>
        <v/>
      </c>
      <c r="BA213" s="1144"/>
      <c r="BB213" s="1162" t="e">
        <f>VLOOKUP(E213,'Tablas Técnicas'!$A$14:$V$771,12,FALSE)</f>
        <v>#N/A</v>
      </c>
      <c r="BC213" s="1162" t="e">
        <f>IF(BA213=BB213,VLOOKUP(E213,'Tablas Técnicas'!$A$14:$V$771,13,FALSE),0)</f>
        <v>#N/A</v>
      </c>
      <c r="BD213" s="1162" t="e">
        <f>VLOOKUP(E213,'Tablas Técnicas'!$A$14:$V$771,14,FALSE)</f>
        <v>#N/A</v>
      </c>
      <c r="BE213" s="1162" t="e">
        <f>IF(BA213=BD213,VLOOKUP(E213,'Tablas Técnicas'!$A$14:$V$771,15,FALSE),0)</f>
        <v>#N/A</v>
      </c>
      <c r="BF213" s="1162" t="e">
        <f>VLOOKUP(E213,'Tablas Técnicas'!$A$14:$V$771,16,FALSE)</f>
        <v>#N/A</v>
      </c>
      <c r="BG213" s="1162" t="e">
        <f>IF(BA213=BF213,VLOOKUP(E213,'Tablas Técnicas'!$A$14:$V$771,17,FALSE),0)</f>
        <v>#N/A</v>
      </c>
      <c r="BH213" s="1162" t="e">
        <f>VLOOKUP(E213,'Tablas Técnicas'!$A$14:$V$771,18,FALSE)</f>
        <v>#N/A</v>
      </c>
      <c r="BI213" s="1162" t="e">
        <f>IF(BA213=BH213,VLOOKUP(E213,'Tablas Técnicas'!$A$14:$V$771,19,FALSE),0)</f>
        <v>#N/A</v>
      </c>
      <c r="BJ213" s="2620" t="str">
        <f>IF(E213=0,"",(BC213+BE213+BG213+BI213))</f>
        <v/>
      </c>
      <c r="BK213" s="1190" t="str">
        <f>IF(E213=0,"",VLOOKUP(E213,'Tablas Técnicas'!$A$14:$V$771,20,FALSE))</f>
        <v/>
      </c>
      <c r="BL213" s="1177" t="str">
        <f>IF(E213=0,"",VLOOKUP(E213,'Tablas Técnicas'!$A$14:$V$771,21,FALSE))</f>
        <v/>
      </c>
      <c r="BM213" s="1148" t="str">
        <f>IF(E213=0,"",VLOOKUP(E213,'Tablas Técnicas'!$A$14:$V$771,22,FALSE))</f>
        <v/>
      </c>
      <c r="BN213" s="1149"/>
      <c r="BO213" s="1150"/>
      <c r="BP213" s="1135" t="str">
        <f>IF(I213="Si",VLOOKUP($D$8,'Tablas Técnicas'!$E$4:$F$6,2,FALSE),"")</f>
        <v/>
      </c>
      <c r="BQ213" s="1136" t="str">
        <f>IF(L213="Si",VLOOKUP($D$8,'Tablas Técnicas'!$I$4:$J$6,2,FALSE),"")</f>
        <v/>
      </c>
      <c r="BR213" s="1134" t="str">
        <f>IF(O213="Si",VLOOKUP($D$8,'Tablas Técnicas'!$I$7:$J$9,2,FALSE),"")</f>
        <v/>
      </c>
      <c r="BS213" s="1151"/>
      <c r="BT213" s="2609" t="s">
        <v>2236</v>
      </c>
      <c r="BU213" s="2610" t="s">
        <v>5236</v>
      </c>
      <c r="BV213" s="1128"/>
      <c r="BW213" s="2610" t="s">
        <v>5237</v>
      </c>
      <c r="BX213" s="2609" t="s">
        <v>5238</v>
      </c>
      <c r="BY213" s="1489" t="s">
        <v>5238</v>
      </c>
      <c r="BZ213" s="1492"/>
      <c r="CA213" s="1096"/>
      <c r="DR213" s="1096"/>
      <c r="DT213" s="1514"/>
      <c r="DU213" s="1569"/>
      <c r="DV213" s="1566" t="str">
        <f>IF(E213="","",", "&amp;E213)&amp;IF(I213="No",""," (Mant.)")&amp;IF(L213="No",""," (Sme)")&amp;IF(O213="No",""," (SMa)")</f>
        <v/>
      </c>
      <c r="DW213" s="1566"/>
      <c r="DX213" s="1568"/>
      <c r="DY213" s="1513"/>
      <c r="DZ213" s="1096"/>
      <c r="EA213" s="1660">
        <f t="shared" si="3"/>
        <v>1</v>
      </c>
    </row>
    <row r="214" spans="1:131" x14ac:dyDescent="0.2">
      <c r="A214" s="1096"/>
      <c r="B214" s="1096"/>
      <c r="C214" s="1497"/>
      <c r="D214" s="1642" t="s">
        <v>2310</v>
      </c>
      <c r="E214" s="1152"/>
      <c r="F214" s="1182"/>
      <c r="G214" s="1627" t="str">
        <f>IF(E214=0,"",VLOOKUP(E214,'Tablas Técnicas'!$A$14:$V$771,3,FALSE))</f>
        <v/>
      </c>
      <c r="H214" s="1155" t="str">
        <f>IF($E214=0,"",VLOOKUP($E214,'Tablas Técnicas'!$A$14:$V$771,4,FALSE))</f>
        <v/>
      </c>
      <c r="I214" s="1156" t="s">
        <v>2234</v>
      </c>
      <c r="J214" s="1605" t="str">
        <f>IF(E214=0,"",VLOOKUP(E214,'Tablas Técnicas'!$A$14:$V$771,5,FALSE))</f>
        <v/>
      </c>
      <c r="K214" s="1158" t="str">
        <f>IF(I214="Si",IF(E214=0,"",VLOOKUP(E214,'Tablas Técnicas'!$A$14:$V$771,5,FALSE)),"")</f>
        <v/>
      </c>
      <c r="L214" s="1156" t="s">
        <v>2234</v>
      </c>
      <c r="M214" s="1605" t="str">
        <f>IF(E214=0,"",VLOOKUP(E214,'Tablas Técnicas'!$A$14:$V$771,6,FALSE))</f>
        <v/>
      </c>
      <c r="N214" s="1159" t="str">
        <f>IF(L214="Si",IF(E214=0,"",VLOOKUP(E214,'Tablas Técnicas'!$A$14:$V$771,6,FALSE)),"")</f>
        <v/>
      </c>
      <c r="O214" s="1156" t="s">
        <v>2234</v>
      </c>
      <c r="P214" s="1605" t="str">
        <f>IF(E214=0,"",VLOOKUP(E214,'Tablas Técnicas'!$A$14:$V$771,7,FALSE))</f>
        <v/>
      </c>
      <c r="Q214" s="1159" t="str">
        <f>IF(O214="Si",IF(E214=0,"",VLOOKUP(E214,'Tablas Técnicas'!$A$14:$V$771,7,FALSE)),"")</f>
        <v/>
      </c>
      <c r="R214" s="1157" t="str">
        <f>IF(E214=0,"",VLOOKUP(E214,'Tablas Técnicas'!$A$14:$V$771,8,FALSE))</f>
        <v/>
      </c>
      <c r="S214" s="1155" t="str">
        <f>IF(R214=$D$8,$D$8,IF(R214=2,2,IF(R214=3,3,R214)))</f>
        <v/>
      </c>
      <c r="T214" s="4475" t="s">
        <v>5228</v>
      </c>
      <c r="U214" s="4476"/>
      <c r="V214" s="4476"/>
      <c r="W214" s="4476"/>
      <c r="X214" s="4476"/>
      <c r="Y214" s="4476"/>
      <c r="Z214" s="4476"/>
      <c r="AA214" s="4476"/>
      <c r="AB214" s="4476"/>
      <c r="AC214" s="4476"/>
      <c r="AD214" s="4476"/>
      <c r="AE214" s="4476"/>
      <c r="AF214" s="4476"/>
      <c r="AG214" s="4476"/>
      <c r="AH214" s="4476"/>
      <c r="AI214" s="4476"/>
      <c r="AJ214" s="4476"/>
      <c r="AK214" s="4476"/>
      <c r="AL214" s="4476"/>
      <c r="AM214" s="4476"/>
      <c r="AN214" s="4476"/>
      <c r="AO214" s="4476"/>
      <c r="AP214" s="4476"/>
      <c r="AQ214" s="4476"/>
      <c r="AR214" s="4476"/>
      <c r="AS214" s="4476"/>
      <c r="AT214" s="4476"/>
      <c r="AU214" s="4476"/>
      <c r="AV214" s="4476"/>
      <c r="AW214" s="4476"/>
      <c r="AX214" s="4476"/>
      <c r="AY214" s="4476"/>
      <c r="AZ214" s="4476"/>
      <c r="BA214" s="4476"/>
      <c r="BB214" s="4476"/>
      <c r="BC214" s="4476"/>
      <c r="BD214" s="4476"/>
      <c r="BE214" s="4476"/>
      <c r="BF214" s="4476"/>
      <c r="BG214" s="4476"/>
      <c r="BH214" s="4476"/>
      <c r="BI214" s="4476"/>
      <c r="BJ214" s="4476"/>
      <c r="BK214" s="4500"/>
      <c r="BL214" s="1627"/>
      <c r="BM214" s="1628"/>
      <c r="BN214" s="1149"/>
      <c r="BO214" s="1150"/>
      <c r="BP214" s="1135" t="str">
        <f>IF(I214="Si",VLOOKUP($D$8,'Tablas Técnicas'!$E$4:$F$6,2,FALSE),"")</f>
        <v/>
      </c>
      <c r="BQ214" s="1136" t="str">
        <f>IF(L214="Si",VLOOKUP($D$8,'Tablas Técnicas'!$I$4:$J$6,2,FALSE),"")</f>
        <v/>
      </c>
      <c r="BR214" s="1134" t="str">
        <f>IF(O214="Si",VLOOKUP($D$8,'Tablas Técnicas'!$I$7:$J$9,2,FALSE),"")</f>
        <v/>
      </c>
      <c r="BS214" s="1151"/>
      <c r="BT214" s="261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92"/>
      <c r="BV214" s="1128"/>
      <c r="BW214" s="1183" t="str">
        <f>IF(SUM(BT214:BU214)=0,"N/A",SUM(BT214:BU214))</f>
        <v>N/A</v>
      </c>
      <c r="BX214" s="261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83" t="str">
        <f>IF(BX214=0,"N/A",BX214)</f>
        <v>N/A</v>
      </c>
      <c r="BZ214" s="1492"/>
      <c r="CA214" s="1096"/>
      <c r="DR214" s="1096"/>
      <c r="DT214" s="1514"/>
      <c r="DU214" s="1569"/>
      <c r="DV214" s="1566" t="str">
        <f>IF(E214="",""," "&amp;E214)&amp;IF(I214="No",""," (Mant.)")&amp;IF(L214="No",""," (Sme)")&amp;IF(O214="No",""," (SMa)")</f>
        <v/>
      </c>
      <c r="DW214" s="1566"/>
      <c r="DX214" s="1568"/>
      <c r="DY214" s="1513"/>
      <c r="DZ214" s="1096"/>
      <c r="EA214" s="1660">
        <f t="shared" si="3"/>
        <v>1</v>
      </c>
    </row>
    <row r="215" spans="1:131" x14ac:dyDescent="0.2">
      <c r="A215" s="1096"/>
      <c r="B215" s="1096"/>
      <c r="C215" s="1497"/>
      <c r="D215" s="1643" t="s">
        <v>2310</v>
      </c>
      <c r="E215" s="1160"/>
      <c r="F215" s="1176"/>
      <c r="G215" s="1146" t="str">
        <f>IF(E215=0,"",VLOOKUP(E215,'Tablas Técnicas'!$A$14:$V$771,3,FALSE))</f>
        <v/>
      </c>
      <c r="H215" s="2619" t="str">
        <f>IF($E215=0,"",VLOOKUP($E215,'Tablas Técnicas'!$A$14:$V$771,4,FALSE))</f>
        <v/>
      </c>
      <c r="I215" s="1144" t="s">
        <v>2234</v>
      </c>
      <c r="J215" s="1601" t="str">
        <f>IF(E215=0,"",VLOOKUP(E215,'Tablas Técnicas'!$A$14:$V$771,5,FALSE))</f>
        <v/>
      </c>
      <c r="K215" s="1163" t="str">
        <f>IF(I215="Si",IF(E215=0,"",VLOOKUP(E215,'Tablas Técnicas'!$A$14:$V$771,5,FALSE)),"")</f>
        <v/>
      </c>
      <c r="L215" s="1144" t="s">
        <v>2234</v>
      </c>
      <c r="M215" s="1601" t="str">
        <f>IF(E215=0,"",VLOOKUP(E215,'Tablas Técnicas'!$A$14:$V$771,6,FALSE))</f>
        <v/>
      </c>
      <c r="N215" s="1147" t="str">
        <f>IF(L215="Si",IF(E215=0,"",VLOOKUP(E215,'Tablas Técnicas'!$A$14:$V$771,6,FALSE)),"")</f>
        <v/>
      </c>
      <c r="O215" s="1144" t="s">
        <v>2234</v>
      </c>
      <c r="P215" s="1601" t="str">
        <f>IF(E215=0,"",VLOOKUP(E215,'Tablas Técnicas'!$A$14:$V$771,7,FALSE))</f>
        <v/>
      </c>
      <c r="Q215" s="1147" t="str">
        <f>IF(O215="Si",IF(E215=0,"",VLOOKUP(E215,'Tablas Técnicas'!$A$14:$V$771,7,FALSE)),"")</f>
        <v/>
      </c>
      <c r="R215" s="1162" t="str">
        <f>IF(E215=0,"",VLOOKUP(E215,'Tablas Técnicas'!$A$14:$V$771,8,FALSE))</f>
        <v/>
      </c>
      <c r="S215" s="2619" t="str">
        <f>IF(R215=$D$8,$D$8,IF(R215=2,2,IF(R215=3,3,R215)))</f>
        <v/>
      </c>
      <c r="T215" s="4487"/>
      <c r="U215" s="4502"/>
      <c r="V215" s="2617" t="str">
        <f>IF(OR(V213=0,V213=""),"N/A",V213)</f>
        <v>N/A</v>
      </c>
      <c r="W215" s="4487" t="str">
        <f xml:space="preserve"> IF(OR(AF213=0,AF213=""),"N/A",W213)</f>
        <v>N/A</v>
      </c>
      <c r="X215" s="4489"/>
      <c r="Y215" s="4489"/>
      <c r="Z215" s="4489"/>
      <c r="AA215" s="4489"/>
      <c r="AB215" s="4489"/>
      <c r="AC215" s="4489"/>
      <c r="AD215" s="4489"/>
      <c r="AE215" s="4489"/>
      <c r="AF215" s="4502"/>
      <c r="AG215" s="4487" t="str">
        <f xml:space="preserve"> IF(OR(AP213="",AP213=0),"N/A",AG213)</f>
        <v>N/A</v>
      </c>
      <c r="AH215" s="4489"/>
      <c r="AI215" s="4489"/>
      <c r="AJ215" s="4489"/>
      <c r="AK215" s="4489"/>
      <c r="AL215" s="4489"/>
      <c r="AM215" s="4489"/>
      <c r="AN215" s="4489"/>
      <c r="AO215" s="4489"/>
      <c r="AP215" s="4502"/>
      <c r="AQ215" s="4487" t="str">
        <f xml:space="preserve"> IF(OR(AZ213="",AZ213=0),"N/A",AQ213)</f>
        <v>N/A</v>
      </c>
      <c r="AR215" s="4489"/>
      <c r="AS215" s="4489"/>
      <c r="AT215" s="4489"/>
      <c r="AU215" s="4489"/>
      <c r="AV215" s="4489"/>
      <c r="AW215" s="4489"/>
      <c r="AX215" s="4489"/>
      <c r="AY215" s="4489"/>
      <c r="AZ215" s="4502"/>
      <c r="BA215" s="4487" t="str">
        <f xml:space="preserve"> IF(OR(BJ213="",BJ213=0),"N/A",BA213)</f>
        <v>N/A</v>
      </c>
      <c r="BB215" s="4489"/>
      <c r="BC215" s="4489"/>
      <c r="BD215" s="4489"/>
      <c r="BE215" s="4489"/>
      <c r="BF215" s="4489"/>
      <c r="BG215" s="4489"/>
      <c r="BH215" s="4489"/>
      <c r="BI215" s="4489"/>
      <c r="BJ215" s="4502"/>
      <c r="BK215" s="1164" t="s">
        <v>5229</v>
      </c>
      <c r="BL215" s="1146"/>
      <c r="BM215" s="1181"/>
      <c r="BN215" s="1165"/>
      <c r="BO215" s="1166"/>
      <c r="BP215" s="1167" t="str">
        <f>IF(I215="Si",VLOOKUP($D$8,'Tablas Técnicas'!$E$4:$F$6,2,FALSE),"")</f>
        <v/>
      </c>
      <c r="BQ215" s="1137" t="str">
        <f>IF(L215="Si",VLOOKUP($D$8,'Tablas Técnicas'!$I$4:$J$6,2,FALSE),"")</f>
        <v/>
      </c>
      <c r="BR215" s="1168" t="str">
        <f>IF(O215="Si",VLOOKUP($D$8,'Tablas Técnicas'!$I$7:$J$9,2,FALSE),"")</f>
        <v/>
      </c>
      <c r="BS215" s="1151"/>
      <c r="BT215" s="2609" t="s">
        <v>2244</v>
      </c>
      <c r="BU215" s="2610" t="s">
        <v>5236</v>
      </c>
      <c r="BV215" s="1128"/>
      <c r="BW215" s="2610" t="s">
        <v>5237</v>
      </c>
      <c r="BX215" s="2609" t="s">
        <v>5238</v>
      </c>
      <c r="BY215" s="1489" t="s">
        <v>5238</v>
      </c>
      <c r="BZ215" s="1492"/>
      <c r="CA215" s="1096"/>
      <c r="DR215" s="1096"/>
      <c r="DT215" s="1514"/>
      <c r="DU215" s="1569"/>
      <c r="DV215" s="1566" t="str">
        <f>IF(E215="","",E215)&amp;IF(I215="No",""," (Mant.)")&amp;IF(L215="No",""," (Sme)")&amp;IF(O215="No",""," (SMa)")</f>
        <v/>
      </c>
      <c r="DW215" s="1567"/>
      <c r="DX215" s="1568"/>
      <c r="DY215" s="1513"/>
      <c r="DZ215" s="1096"/>
      <c r="EA215" s="1660">
        <f t="shared" si="3"/>
        <v>1</v>
      </c>
    </row>
    <row r="216" spans="1:131" x14ac:dyDescent="0.2">
      <c r="A216" s="1096"/>
      <c r="B216" s="1096"/>
      <c r="C216" s="1497"/>
      <c r="D216" s="1642" t="s">
        <v>2310</v>
      </c>
      <c r="E216" s="1152"/>
      <c r="F216" s="1182"/>
      <c r="G216" s="1627" t="str">
        <f>IF(E216=0,"",VLOOKUP(E216,'Tablas Técnicas'!$A$14:$V$771,3,FALSE))</f>
        <v/>
      </c>
      <c r="H216" s="1155" t="str">
        <f>IF($E216=0,"",VLOOKUP($E216,'Tablas Técnicas'!$A$14:$V$771,4,FALSE))</f>
        <v/>
      </c>
      <c r="I216" s="1156" t="s">
        <v>2234</v>
      </c>
      <c r="J216" s="1605" t="str">
        <f>IF(E216=0,"",VLOOKUP(E216,'Tablas Técnicas'!$A$14:$V$771,5,FALSE))</f>
        <v/>
      </c>
      <c r="K216" s="1158" t="str">
        <f>IF(I216="Si",IF(E216=0,"",VLOOKUP(E216,'Tablas Técnicas'!$A$14:$V$771,5,FALSE)),"")</f>
        <v/>
      </c>
      <c r="L216" s="1156" t="s">
        <v>2234</v>
      </c>
      <c r="M216" s="1605" t="str">
        <f>IF(E216=0,"",VLOOKUP(E216,'Tablas Técnicas'!$A$14:$V$771,6,FALSE))</f>
        <v/>
      </c>
      <c r="N216" s="1159" t="str">
        <f>IF(L216="Si",IF(E216=0,"",VLOOKUP(E216,'Tablas Técnicas'!$A$14:$V$771,6,FALSE)),"")</f>
        <v/>
      </c>
      <c r="O216" s="1156" t="s">
        <v>2234</v>
      </c>
      <c r="P216" s="1605" t="str">
        <f>IF(E216=0,"",VLOOKUP(E216,'Tablas Técnicas'!$A$14:$V$771,7,FALSE))</f>
        <v/>
      </c>
      <c r="Q216" s="1159" t="str">
        <f>IF(O216="Si",IF(E216=0,"",VLOOKUP(E216,'Tablas Técnicas'!$A$14:$V$771,7,FALSE)),"")</f>
        <v/>
      </c>
      <c r="R216" s="1157" t="str">
        <f>IF(E216=0,"",VLOOKUP(E216,'Tablas Técnicas'!$A$14:$V$771,8,FALSE))</f>
        <v/>
      </c>
      <c r="S216" s="1155" t="str">
        <f>IF(R216=$D$8,$D$8,IF(R216=2,2,IF(R216=3,3,R216)))</f>
        <v/>
      </c>
      <c r="T216" s="4504" t="s">
        <v>5230</v>
      </c>
      <c r="U216" s="4491"/>
      <c r="V216" s="2618"/>
      <c r="W216" s="4505"/>
      <c r="X216" s="4506"/>
      <c r="Y216" s="4506"/>
      <c r="Z216" s="4506"/>
      <c r="AA216" s="4506"/>
      <c r="AB216" s="4506"/>
      <c r="AC216" s="4506"/>
      <c r="AD216" s="4506"/>
      <c r="AE216" s="4506"/>
      <c r="AF216" s="4494"/>
      <c r="AG216" s="4505"/>
      <c r="AH216" s="4506"/>
      <c r="AI216" s="4506"/>
      <c r="AJ216" s="4506"/>
      <c r="AK216" s="4506"/>
      <c r="AL216" s="4506"/>
      <c r="AM216" s="4506"/>
      <c r="AN216" s="4506"/>
      <c r="AO216" s="4506"/>
      <c r="AP216" s="4494"/>
      <c r="AQ216" s="4505"/>
      <c r="AR216" s="4506"/>
      <c r="AS216" s="4506"/>
      <c r="AT216" s="4506"/>
      <c r="AU216" s="4506"/>
      <c r="AV216" s="4506"/>
      <c r="AW216" s="4506"/>
      <c r="AX216" s="4506"/>
      <c r="AY216" s="4506"/>
      <c r="AZ216" s="4494"/>
      <c r="BA216" s="4505"/>
      <c r="BB216" s="4506"/>
      <c r="BC216" s="4506"/>
      <c r="BD216" s="4506"/>
      <c r="BE216" s="4506"/>
      <c r="BF216" s="4506"/>
      <c r="BG216" s="4506"/>
      <c r="BH216" s="4506"/>
      <c r="BI216" s="4506"/>
      <c r="BJ216" s="4494"/>
      <c r="BK216" s="1155">
        <f>(SUM(G213:G217)+IF(AF213="",0,AF213)+IF(AP213="",0,AP213)+IF(AZ213="",0,AZ213)+IF(BJ213="",0,BJ213)+SUM(K213:K217)+SUM(N213:N217)+SUM(Q213:Q217))- SUM(V216:BA216)</f>
        <v>0</v>
      </c>
      <c r="BL216" s="1627"/>
      <c r="BM216" s="1628"/>
      <c r="BN216" s="1149"/>
      <c r="BO216" s="1150"/>
      <c r="BP216" s="1135" t="str">
        <f>IF(I216="Si",VLOOKUP($D$8,'Tablas Técnicas'!$E$4:$F$6,2,FALSE),"")</f>
        <v/>
      </c>
      <c r="BQ216" s="1136" t="str">
        <f>IF(L216="Si",VLOOKUP($D$8,'Tablas Técnicas'!$I$4:$J$6,2,FALSE),"")</f>
        <v/>
      </c>
      <c r="BR216" s="1134" t="str">
        <f>IF(O216="Si",VLOOKUP($D$8,'Tablas Técnicas'!$I$7:$J$9,2,FALSE),"")</f>
        <v/>
      </c>
      <c r="BS216" s="1151"/>
      <c r="BT216" s="261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92"/>
      <c r="BV216" s="1128"/>
      <c r="BW216" s="1183" t="str">
        <f>IF(SUM(BT216:BU216)=0,"N/A",SUM(BT216:BU216))</f>
        <v>N/A</v>
      </c>
      <c r="BX216" s="261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83" t="str">
        <f>IF(BX216=0,"N/A",BX216)</f>
        <v>N/A</v>
      </c>
      <c r="BZ216" s="1492"/>
      <c r="CA216" s="1096"/>
      <c r="DR216" s="1096"/>
      <c r="DT216" s="1514"/>
      <c r="DU216" s="1569"/>
      <c r="DV216" s="1566" t="str">
        <f>IF(E216="","",E216)&amp;IF(I216="No",""," (Mant.)")&amp;IF(L216="No",""," (Sme)")&amp;IF(O216="No",""," (SMa)")</f>
        <v/>
      </c>
      <c r="DW216" s="1567"/>
      <c r="DX216" s="1568"/>
      <c r="DY216" s="1513"/>
      <c r="DZ216" s="1096"/>
      <c r="EA216" s="1660">
        <f t="shared" si="3"/>
        <v>1</v>
      </c>
    </row>
    <row r="217" spans="1:131" x14ac:dyDescent="0.2">
      <c r="A217" s="1096"/>
      <c r="B217" s="1096"/>
      <c r="C217" s="1497"/>
      <c r="D217" s="1643" t="s">
        <v>2310</v>
      </c>
      <c r="E217" s="1160"/>
      <c r="F217" s="1176"/>
      <c r="G217" s="1146" t="str">
        <f>IF(E217=0,"",VLOOKUP(E217,'Tablas Técnicas'!$A$14:$V$771,3,FALSE))</f>
        <v/>
      </c>
      <c r="H217" s="1171" t="str">
        <f>IF($E217=0,"",VLOOKUP($E217,'Tablas Técnicas'!$A$14:$V$771,4,FALSE))</f>
        <v/>
      </c>
      <c r="I217" s="1144" t="s">
        <v>2234</v>
      </c>
      <c r="J217" s="1608" t="str">
        <f>IF(E217=0,"",VLOOKUP(E217,'Tablas Técnicas'!$A$14:$V$771,5,FALSE))</f>
        <v/>
      </c>
      <c r="K217" s="1172" t="str">
        <f>IF(I217="Si",IF(E217=0,"",VLOOKUP(E217,'Tablas Técnicas'!$A$14:$V$771,5,FALSE)),"")</f>
        <v/>
      </c>
      <c r="L217" s="1144" t="s">
        <v>2234</v>
      </c>
      <c r="M217" s="1608" t="str">
        <f>IF(E217=0,"",VLOOKUP(E217,'Tablas Técnicas'!$A$14:$V$771,6,FALSE))</f>
        <v/>
      </c>
      <c r="N217" s="1147" t="str">
        <f>IF(L217="Si",IF(E217=0,"",VLOOKUP(E217,'Tablas Técnicas'!$A$14:$V$771,6,FALSE)),"")</f>
        <v/>
      </c>
      <c r="O217" s="1144" t="s">
        <v>2234</v>
      </c>
      <c r="P217" s="1608" t="str">
        <f>IF(E217=0,"",VLOOKUP(E217,'Tablas Técnicas'!$A$14:$V$771,7,FALSE))</f>
        <v/>
      </c>
      <c r="Q217" s="1147" t="str">
        <f>IF(O217="Si",IF(E217=0,"",VLOOKUP(E217,'Tablas Técnicas'!$A$14:$V$771,7,FALSE)),"")</f>
        <v/>
      </c>
      <c r="R217" s="1193" t="str">
        <f>IF(E217=0,"",VLOOKUP(E217,'Tablas Técnicas'!$A$14:$V$771,8,FALSE))</f>
        <v/>
      </c>
      <c r="S217" s="1161" t="str">
        <f>IF(R217=$D$8,$D$8,IF(R217=2,2,IF(R217=3,3,R217)))</f>
        <v/>
      </c>
      <c r="T217" s="4482" t="s">
        <v>5232</v>
      </c>
      <c r="U217" s="4483"/>
      <c r="V217" s="2616"/>
      <c r="W217" s="4484"/>
      <c r="X217" s="4485"/>
      <c r="Y217" s="4485"/>
      <c r="Z217" s="4485"/>
      <c r="AA217" s="4485"/>
      <c r="AB217" s="4485"/>
      <c r="AC217" s="4485"/>
      <c r="AD217" s="4485"/>
      <c r="AE217" s="4485"/>
      <c r="AF217" s="4486"/>
      <c r="AG217" s="4484"/>
      <c r="AH217" s="4485"/>
      <c r="AI217" s="4485"/>
      <c r="AJ217" s="4485"/>
      <c r="AK217" s="4485"/>
      <c r="AL217" s="4485"/>
      <c r="AM217" s="4485"/>
      <c r="AN217" s="4485"/>
      <c r="AO217" s="4485"/>
      <c r="AP217" s="4486"/>
      <c r="AQ217" s="4484"/>
      <c r="AR217" s="4485"/>
      <c r="AS217" s="4485"/>
      <c r="AT217" s="4485"/>
      <c r="AU217" s="4485"/>
      <c r="AV217" s="4485"/>
      <c r="AW217" s="4485"/>
      <c r="AX217" s="4485"/>
      <c r="AY217" s="4485"/>
      <c r="AZ217" s="4486"/>
      <c r="BA217" s="4484"/>
      <c r="BB217" s="4485"/>
      <c r="BC217" s="4485"/>
      <c r="BD217" s="4485"/>
      <c r="BE217" s="4485"/>
      <c r="BF217" s="4485"/>
      <c r="BG217" s="4485"/>
      <c r="BH217" s="4485"/>
      <c r="BI217" s="4485"/>
      <c r="BJ217" s="4486"/>
      <c r="BK217" s="1171">
        <f>SUM(K213:K217)-SUM(V217:BA217)</f>
        <v>0</v>
      </c>
      <c r="BL217" s="1629"/>
      <c r="BM217" s="1630"/>
      <c r="BN217" s="1165"/>
      <c r="BO217" s="1166"/>
      <c r="BP217" s="1167" t="str">
        <f>IF(I217="Si",VLOOKUP($D$8,'Tablas Técnicas'!$E$4:$F$6,2,FALSE),"")</f>
        <v/>
      </c>
      <c r="BQ217" s="1137" t="str">
        <f>IF(L217="Si",VLOOKUP($D$8,'Tablas Técnicas'!$I$4:$J$6,2,FALSE),"")</f>
        <v/>
      </c>
      <c r="BR217" s="1168" t="str">
        <f>IF(O217="Si",VLOOKUP($D$8,'Tablas Técnicas'!$I$7:$J$9,2,FALSE),"")</f>
        <v/>
      </c>
      <c r="BS217" s="1151"/>
      <c r="BT217" s="2609" t="s">
        <v>2245</v>
      </c>
      <c r="BU217" s="2610" t="s">
        <v>5236</v>
      </c>
      <c r="BV217" s="1128"/>
      <c r="BW217" s="2610" t="s">
        <v>5237</v>
      </c>
      <c r="BX217" s="2609" t="s">
        <v>5238</v>
      </c>
      <c r="BY217" s="1489" t="s">
        <v>5238</v>
      </c>
      <c r="BZ217" s="1492"/>
      <c r="CA217" s="1096"/>
      <c r="DR217" s="1096"/>
      <c r="DT217" s="1514"/>
      <c r="DU217" s="1569"/>
      <c r="DV217" s="1566" t="str">
        <f>IF(E217="","",E217)&amp;IF(I217="No",""," (Mant.)")&amp;IF(L217="No",""," (Sme)")&amp;IF(O217="No",""," (SMa)")</f>
        <v/>
      </c>
      <c r="DW217" s="1567"/>
      <c r="DX217" s="1568"/>
      <c r="DY217" s="1513"/>
      <c r="DZ217" s="1096"/>
      <c r="EA217" s="1660">
        <f t="shared" si="3"/>
        <v>1</v>
      </c>
    </row>
    <row r="218" spans="1:131" x14ac:dyDescent="0.2">
      <c r="A218" s="1096"/>
      <c r="B218" s="159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97"/>
      <c r="D218" s="1644">
        <v>5</v>
      </c>
      <c r="E218" s="1423"/>
      <c r="F218" s="1173"/>
      <c r="G218" s="1174"/>
      <c r="H218" s="2559">
        <f>IF(AND(OR(ISNUMBER(SEARCH("Afinidad Elemental ("&amp;BK213&amp;")",Principal!$AF$30)),ISNUMBER(SEARCH("Afinidad Elemental ("&amp;BL213&amp;")",Principal!$AF$30)),ISNUMBER(SEARCH("Afinidad Elemental ("&amp;BM213&amp;")",Principal!$AF$30))),SUM(H213:H217)&gt;=5),-5,0)</f>
        <v>0</v>
      </c>
      <c r="I218" s="1603"/>
      <c r="J218" s="1606"/>
      <c r="K218" s="1174"/>
      <c r="L218" s="1603"/>
      <c r="M218" s="1606"/>
      <c r="N218" s="1174"/>
      <c r="O218" s="1603"/>
      <c r="P218" s="1606"/>
      <c r="Q218" s="1174"/>
      <c r="R218" s="1175"/>
      <c r="S218" s="1174"/>
      <c r="T218" s="1174"/>
      <c r="U218" s="1174"/>
      <c r="V218" s="1174"/>
      <c r="W218" s="1174"/>
      <c r="X218" s="1174"/>
      <c r="Y218" s="1174"/>
      <c r="Z218" s="1174"/>
      <c r="AA218" s="1174"/>
      <c r="AB218" s="1174"/>
      <c r="AC218" s="1174"/>
      <c r="AD218" s="1174"/>
      <c r="AE218" s="1174"/>
      <c r="AF218" s="1174"/>
      <c r="AG218" s="1174"/>
      <c r="AH218" s="1174"/>
      <c r="AI218" s="1174"/>
      <c r="AJ218" s="1174"/>
      <c r="AK218" s="1174"/>
      <c r="AL218" s="1174"/>
      <c r="AM218" s="1174"/>
      <c r="AN218" s="1174"/>
      <c r="AO218" s="1174"/>
      <c r="AP218" s="1174"/>
      <c r="AQ218" s="1174"/>
      <c r="AR218" s="1174"/>
      <c r="AS218" s="1174"/>
      <c r="AT218" s="1174"/>
      <c r="AU218" s="1174"/>
      <c r="AV218" s="1174"/>
      <c r="AW218" s="1174"/>
      <c r="AX218" s="1174"/>
      <c r="AY218" s="1174"/>
      <c r="AZ218" s="1174"/>
      <c r="BA218" s="1174"/>
      <c r="BB218" s="1174"/>
      <c r="BC218" s="1174"/>
      <c r="BD218" s="1174"/>
      <c r="BE218" s="1174"/>
      <c r="BF218" s="1174"/>
      <c r="BG218" s="1174"/>
      <c r="BH218" s="1174"/>
      <c r="BI218" s="1174"/>
      <c r="BJ218" s="1174"/>
      <c r="BK218" s="1174"/>
      <c r="BL218" s="1174"/>
      <c r="BM218" s="1184"/>
      <c r="BN218" s="1185">
        <f>SUM(K218:K221)</f>
        <v>0</v>
      </c>
      <c r="BO218" s="1128" t="str">
        <f>IF(E218=0,"",(AF218+AP218+AZ218+BJ218))</f>
        <v/>
      </c>
      <c r="BP218" s="1186" t="str">
        <f>IF(I218="Si",VLOOKUP($D$8,'Tablas Técnicas'!$E$4:$F$6,2,FALSE),"")</f>
        <v/>
      </c>
      <c r="BQ218" s="1187" t="str">
        <f>IF(L218="Si",VLOOKUP($D$8,'Tablas Técnicas'!$I$4:$J$6,2,FALSE),"")</f>
        <v/>
      </c>
      <c r="BR218" s="1185" t="str">
        <f>IF(O218="Si",VLOOKUP($D$8,'Tablas Técnicas'!$I$7:$J$9,2,FALSE),"")</f>
        <v/>
      </c>
      <c r="BS218" s="1151"/>
      <c r="BT218" s="261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92"/>
      <c r="BV218" s="1128"/>
      <c r="BW218" s="1183" t="str">
        <f>IF(SUM(BT218:BU218)=0,"N/A",SUM(BT218:BU218))</f>
        <v>N/A</v>
      </c>
      <c r="BX218" s="261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83" t="str">
        <f>IF(BX218=0,"N/A",BX218)</f>
        <v>N/A</v>
      </c>
      <c r="BZ218" s="1492"/>
      <c r="CA218" s="1096"/>
      <c r="DR218" s="1096"/>
      <c r="DT218" s="1514"/>
      <c r="DU218" s="1569"/>
      <c r="DV218" s="1570"/>
      <c r="DW218" s="1567"/>
      <c r="DX218" s="1568"/>
      <c r="DY218" s="1513"/>
      <c r="DZ218" s="1096"/>
      <c r="EA218" s="1660">
        <f t="shared" si="3"/>
        <v>1</v>
      </c>
    </row>
    <row r="219" spans="1:131" ht="12" thickBot="1" x14ac:dyDescent="0.25">
      <c r="A219" s="1096"/>
      <c r="B219" s="1096"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97"/>
      <c r="D219" s="1643" t="s">
        <v>2310</v>
      </c>
      <c r="E219" s="1140"/>
      <c r="F219" s="1176"/>
      <c r="G219" s="1146" t="str">
        <f>IF(E219=0,"",VLOOKUP(E219,'Tablas Técnicas'!$A$14:$V$771,3,FALSE))</f>
        <v/>
      </c>
      <c r="H219" s="1188" t="str">
        <f>IF($E219=0,"",VLOOKUP($E219,'Tablas Técnicas'!$A$14:$V$771,4,FALSE))</f>
        <v/>
      </c>
      <c r="I219" s="1144" t="s">
        <v>2234</v>
      </c>
      <c r="J219" s="1607" t="str">
        <f>IF(E219=0,"",VLOOKUP(E219,'Tablas Técnicas'!$A$14:$V$771,5,FALSE))</f>
        <v/>
      </c>
      <c r="K219" s="1190" t="str">
        <f>IF(I219="Si",IF(E219=0,"",VLOOKUP(E219,'Tablas Técnicas'!$A$14:$V$771,5,FALSE)),"")</f>
        <v/>
      </c>
      <c r="L219" s="1144" t="s">
        <v>2234</v>
      </c>
      <c r="M219" s="1607" t="str">
        <f>IF(E219=0,"",VLOOKUP(E219,'Tablas Técnicas'!$A$14:$V$771,6,FALSE))</f>
        <v/>
      </c>
      <c r="N219" s="1147" t="str">
        <f>IF(L219="Si",IF(E219=0,"",VLOOKUP(E219,'Tablas Técnicas'!$A$14:$V$771,6,FALSE)),"")</f>
        <v/>
      </c>
      <c r="O219" s="1144" t="s">
        <v>2234</v>
      </c>
      <c r="P219" s="1607" t="str">
        <f>IF(E219=0,"",VLOOKUP(E219,'Tablas Técnicas'!$A$14:$V$771,7,FALSE))</f>
        <v/>
      </c>
      <c r="Q219" s="1147" t="str">
        <f>IF(O219="Si",IF(E219=0,"",VLOOKUP(E219,'Tablas Técnicas'!$A$14:$V$771,7,FALSE)),"")</f>
        <v/>
      </c>
      <c r="R219" s="1189" t="str">
        <f>IF(E219=0,"",VLOOKUP(E219,'Tablas Técnicas'!$A$14:$V$771,8,FALSE))</f>
        <v/>
      </c>
      <c r="S219" s="1161" t="str">
        <f>IF(R219=$D$8,$D$8,IF(R219=2,2,IF(R219=3,3,R219)))</f>
        <v/>
      </c>
      <c r="T219" s="1190" t="str">
        <f>IF(E219=0,"",VLOOKUP(E219,'Tablas Técnicas'!$A$14:$V$771,9,FALSE))</f>
        <v/>
      </c>
      <c r="U219" s="1190" t="str">
        <f>IF(E219=0,"",VLOOKUP(E219,'Tablas Técnicas'!$A$14:$V$771,10,FALSE))</f>
        <v/>
      </c>
      <c r="V219" s="1191" t="str">
        <f>IF(E219=0,"",VLOOKUP(E219,'Tablas Técnicas'!$A$14:$V$771,11,FALSE))</f>
        <v/>
      </c>
      <c r="W219" s="1144"/>
      <c r="X219" s="1145" t="e">
        <f>VLOOKUP(E219,'Tablas Técnicas'!$A$14:$V$771,12,FALSE)</f>
        <v>#N/A</v>
      </c>
      <c r="Y219" s="1145" t="e">
        <f>IF(W219=X219,VLOOKUP(E219,'Tablas Técnicas'!$A$14:$V$771,13,FALSE),0)</f>
        <v>#N/A</v>
      </c>
      <c r="Z219" s="1145" t="e">
        <f>VLOOKUP(E219,'Tablas Técnicas'!$A$14:$V$771,14,FALSE)</f>
        <v>#N/A</v>
      </c>
      <c r="AA219" s="1145" t="e">
        <f>IF(W219=Z219,VLOOKUP(E219,'Tablas Técnicas'!$A$14:$V$616,15,FALSE),0)</f>
        <v>#N/A</v>
      </c>
      <c r="AB219" s="1145" t="e">
        <f>VLOOKUP(E219,'Tablas Técnicas'!$A$14:$V$771,16,FALSE)</f>
        <v>#N/A</v>
      </c>
      <c r="AC219" s="1145" t="e">
        <f>IF(W219=AB219,VLOOKUP(E219,'Tablas Técnicas'!$A$14:$V$616,17,FALSE),0)</f>
        <v>#N/A</v>
      </c>
      <c r="AD219" s="1145" t="e">
        <f>VLOOKUP(E219,'Tablas Técnicas'!$A$14:$V$771,18,FALSE)</f>
        <v>#N/A</v>
      </c>
      <c r="AE219" s="1145" t="e">
        <f>IF(W219=AD219,VLOOKUP(E219,'Tablas Técnicas'!$A$14:$V$771,19,FALSE),0)</f>
        <v>#N/A</v>
      </c>
      <c r="AF219" s="1163" t="str">
        <f>IF(E219=0,"",(Y219+AA219+AC219+AE219))</f>
        <v/>
      </c>
      <c r="AG219" s="1144"/>
      <c r="AH219" s="1162" t="e">
        <f>VLOOKUP(E219,'Tablas Técnicas'!$A$14:$V$771,12,FALSE)</f>
        <v>#N/A</v>
      </c>
      <c r="AI219" s="1162" t="e">
        <f>IF(AG219=AH219,VLOOKUP(E219,'Tablas Técnicas'!$A$14:$V$771,13,FALSE),0)</f>
        <v>#N/A</v>
      </c>
      <c r="AJ219" s="1162" t="e">
        <f>VLOOKUP(E219,'Tablas Técnicas'!$A$14:$V$771,14,FALSE)</f>
        <v>#N/A</v>
      </c>
      <c r="AK219" s="1162" t="e">
        <f>IF(AG219=AJ219,VLOOKUP(E219,'Tablas Técnicas'!$A$14:$V$771,15,FALSE),0)</f>
        <v>#N/A</v>
      </c>
      <c r="AL219" s="1162" t="e">
        <f>VLOOKUP(E219,'Tablas Técnicas'!$A$14:$V$771,16,FALSE)</f>
        <v>#N/A</v>
      </c>
      <c r="AM219" s="1162" t="e">
        <f>IF(AG219=AL219,VLOOKUP(E219,'Tablas Técnicas'!$A$14:$V$771,17,FALSE),0)</f>
        <v>#N/A</v>
      </c>
      <c r="AN219" s="1162" t="e">
        <f>VLOOKUP(E219,'Tablas Técnicas'!$A$14:$V$771,18,FALSE)</f>
        <v>#N/A</v>
      </c>
      <c r="AO219" s="1162" t="e">
        <f>IF(AG219=AN219,VLOOKUP(E219,'Tablas Técnicas'!$A$14:$V$771,19,FALSE),0)</f>
        <v>#N/A</v>
      </c>
      <c r="AP219" s="2620" t="str">
        <f>IF(E219=0,"",(AI219+AK219+AM219+AO219))</f>
        <v/>
      </c>
      <c r="AQ219" s="1144"/>
      <c r="AR219" s="1162" t="e">
        <f>VLOOKUP(E219,'Tablas Técnicas'!$A$14:$V$771,12,FALSE)</f>
        <v>#N/A</v>
      </c>
      <c r="AS219" s="1162" t="e">
        <f>IF(AQ219=AR219,VLOOKUP(E219,'Tablas Técnicas'!$A$14:$V$771,13,FALSE),0)</f>
        <v>#N/A</v>
      </c>
      <c r="AT219" s="1162" t="e">
        <f>VLOOKUP(E219,'Tablas Técnicas'!$A$14:$V$771,14,FALSE)</f>
        <v>#N/A</v>
      </c>
      <c r="AU219" s="1162" t="e">
        <f>IF(AQ219=AT219,VLOOKUP(E219,'Tablas Técnicas'!$A$14:$V$771,15,FALSE),0)</f>
        <v>#N/A</v>
      </c>
      <c r="AV219" s="1162" t="e">
        <f>VLOOKUP(E219,'Tablas Técnicas'!$A$14:$V$771,16,FALSE)</f>
        <v>#N/A</v>
      </c>
      <c r="AW219" s="1162" t="e">
        <f>IF(AQ219=AV219,VLOOKUP(E219,'Tablas Técnicas'!$A$14:$V$771,17,FALSE),0)</f>
        <v>#N/A</v>
      </c>
      <c r="AX219" s="1162" t="e">
        <f>VLOOKUP(E219,'Tablas Técnicas'!$A$14:$V$771,18,FALSE)</f>
        <v>#N/A</v>
      </c>
      <c r="AY219" s="1162" t="e">
        <f>IF(AQ219=AX219,VLOOKUP(E219,'Tablas Técnicas'!$A$14:$V$771,19,FALSE),0)</f>
        <v>#N/A</v>
      </c>
      <c r="AZ219" s="1163" t="str">
        <f>IF(E219=0,"",(AS219+AU219+AW219+AY219))</f>
        <v/>
      </c>
      <c r="BA219" s="1144"/>
      <c r="BB219" s="1162" t="e">
        <f>VLOOKUP(E219,'Tablas Técnicas'!$A$14:$V$771,12,FALSE)</f>
        <v>#N/A</v>
      </c>
      <c r="BC219" s="1162" t="e">
        <f>IF(BA219=BB219,VLOOKUP(E219,'Tablas Técnicas'!$A$14:$V$771,13,FALSE),0)</f>
        <v>#N/A</v>
      </c>
      <c r="BD219" s="1162" t="e">
        <f>VLOOKUP(E219,'Tablas Técnicas'!$A$14:$V$771,14,FALSE)</f>
        <v>#N/A</v>
      </c>
      <c r="BE219" s="1162" t="e">
        <f>IF(BA219=BD219,VLOOKUP(E219,'Tablas Técnicas'!$A$14:$V$771,15,FALSE),0)</f>
        <v>#N/A</v>
      </c>
      <c r="BF219" s="1162" t="e">
        <f>VLOOKUP(E219,'Tablas Técnicas'!$A$14:$V$771,16,FALSE)</f>
        <v>#N/A</v>
      </c>
      <c r="BG219" s="1162" t="e">
        <f>IF(BA219=BF219,VLOOKUP(E219,'Tablas Técnicas'!$A$14:$V$771,17,FALSE),0)</f>
        <v>#N/A</v>
      </c>
      <c r="BH219" s="1162" t="e">
        <f>VLOOKUP(E219,'Tablas Técnicas'!$A$14:$V$771,18,FALSE)</f>
        <v>#N/A</v>
      </c>
      <c r="BI219" s="1162" t="e">
        <f>IF(BA219=BH219,VLOOKUP(E219,'Tablas Técnicas'!$A$14:$V$771,19,FALSE),0)</f>
        <v>#N/A</v>
      </c>
      <c r="BJ219" s="2620" t="str">
        <f>IF(E219=0,"",(BC219+BE219+BG219+BI219))</f>
        <v/>
      </c>
      <c r="BK219" s="1190" t="str">
        <f>IF(E219=0,"",VLOOKUP(E219,'Tablas Técnicas'!$A$14:$V$771,20,FALSE))</f>
        <v/>
      </c>
      <c r="BL219" s="1177" t="str">
        <f>IF(E219=0,"",VLOOKUP(E219,'Tablas Técnicas'!$A$14:$V$771,21,FALSE))</f>
        <v/>
      </c>
      <c r="BM219" s="1148" t="str">
        <f>IF(E219=0,"",VLOOKUP(E219,'Tablas Técnicas'!$A$14:$V$771,22,FALSE))</f>
        <v/>
      </c>
      <c r="BN219" s="1149"/>
      <c r="BO219" s="1150"/>
      <c r="BP219" s="1135" t="str">
        <f>IF(I219="Si",VLOOKUP($D$8,'Tablas Técnicas'!$E$4:$F$6,2,FALSE),"")</f>
        <v/>
      </c>
      <c r="BQ219" s="1136" t="str">
        <f>IF(L219="Si",VLOOKUP($D$8,'Tablas Técnicas'!$I$4:$J$6,2,FALSE),"")</f>
        <v/>
      </c>
      <c r="BR219" s="1134" t="str">
        <f>IF(O219="Si",VLOOKUP($D$8,'Tablas Técnicas'!$I$7:$J$9,2,FALSE),"")</f>
        <v/>
      </c>
      <c r="BS219" s="1151"/>
      <c r="BU219" s="4442"/>
      <c r="BV219" s="4442"/>
      <c r="BW219" s="4442"/>
      <c r="BX219" s="1108"/>
      <c r="BY219" s="1475"/>
      <c r="BZ219" s="1492"/>
      <c r="CA219" s="1096"/>
      <c r="DR219" s="1096"/>
      <c r="DT219" s="1515"/>
      <c r="DU219" s="1618" t="str">
        <f>DU195&amp;DU196&amp;DU197&amp;DU198&amp;DU199&amp;DU200</f>
        <v/>
      </c>
      <c r="DV219" s="1619" t="str">
        <f>DV195&amp;DV196&amp;DV197&amp;DV198&amp;DV199&amp;DV201&amp;DV202&amp;DV203&amp;DV204&amp;DV205&amp;DV207&amp;DV208&amp;DV209&amp;DV210&amp;DV211&amp;DV213&amp;DV214&amp;DV215&amp;DV216&amp;DV217</f>
        <v/>
      </c>
      <c r="DW219" s="1620" t="str">
        <f>DW195&amp;DW196&amp;DW197</f>
        <v/>
      </c>
      <c r="DX219" s="1621" t="str">
        <f>IF(DX201="",DX195,DX201)</f>
        <v/>
      </c>
      <c r="DY219" s="1516"/>
      <c r="DZ219" s="1096"/>
      <c r="EA219" s="1660">
        <f t="shared" si="3"/>
        <v>1</v>
      </c>
    </row>
    <row r="220" spans="1:131" x14ac:dyDescent="0.2">
      <c r="A220" s="1096"/>
      <c r="B220" s="1096"/>
      <c r="C220" s="1497"/>
      <c r="D220" s="1642" t="s">
        <v>2310</v>
      </c>
      <c r="E220" s="1152"/>
      <c r="F220" s="1182"/>
      <c r="G220" s="1627" t="str">
        <f>IF(E220=0,"",VLOOKUP(E220,'Tablas Técnicas'!$A$14:$V$771,3,FALSE))</f>
        <v/>
      </c>
      <c r="H220" s="1155" t="str">
        <f>IF($E220=0,"",VLOOKUP($E220,'Tablas Técnicas'!$A$14:$V$771,4,FALSE))</f>
        <v/>
      </c>
      <c r="I220" s="1156" t="s">
        <v>2234</v>
      </c>
      <c r="J220" s="1605" t="str">
        <f>IF(E220=0,"",VLOOKUP(E220,'Tablas Técnicas'!$A$14:$V$771,5,FALSE))</f>
        <v/>
      </c>
      <c r="K220" s="1158" t="str">
        <f>IF(I220="Si",IF(E220=0,"",VLOOKUP(E220,'Tablas Técnicas'!$A$14:$V$771,5,FALSE)),"")</f>
        <v/>
      </c>
      <c r="L220" s="1156" t="s">
        <v>2234</v>
      </c>
      <c r="M220" s="1605" t="str">
        <f>IF(E220=0,"",VLOOKUP(E220,'Tablas Técnicas'!$A$14:$V$771,6,FALSE))</f>
        <v/>
      </c>
      <c r="N220" s="1159" t="str">
        <f>IF(L220="Si",IF(E220=0,"",VLOOKUP(E220,'Tablas Técnicas'!$A$14:$V$771,6,FALSE)),"")</f>
        <v/>
      </c>
      <c r="O220" s="1156" t="s">
        <v>2234</v>
      </c>
      <c r="P220" s="1605" t="str">
        <f>IF(E220=0,"",VLOOKUP(E220,'Tablas Técnicas'!$A$14:$V$771,7,FALSE))</f>
        <v/>
      </c>
      <c r="Q220" s="1159" t="str">
        <f>IF(O220="Si",IF(E220=0,"",VLOOKUP(E220,'Tablas Técnicas'!$A$14:$V$771,7,FALSE)),"")</f>
        <v/>
      </c>
      <c r="R220" s="1157" t="str">
        <f>IF(E220=0,"",VLOOKUP(E220,'Tablas Técnicas'!$A$14:$V$771,8,FALSE))</f>
        <v/>
      </c>
      <c r="S220" s="1155" t="str">
        <f>IF(R220=$D$8,$D$8,IF(R220=2,2,IF(R220=3,3,R220)))</f>
        <v/>
      </c>
      <c r="T220" s="4475" t="s">
        <v>5228</v>
      </c>
      <c r="U220" s="4476"/>
      <c r="V220" s="4476"/>
      <c r="W220" s="4476"/>
      <c r="X220" s="4476"/>
      <c r="Y220" s="4476"/>
      <c r="Z220" s="4476"/>
      <c r="AA220" s="4476"/>
      <c r="AB220" s="4476"/>
      <c r="AC220" s="4476"/>
      <c r="AD220" s="4476"/>
      <c r="AE220" s="4476"/>
      <c r="AF220" s="4476"/>
      <c r="AG220" s="4476"/>
      <c r="AH220" s="4476"/>
      <c r="AI220" s="4476"/>
      <c r="AJ220" s="4476"/>
      <c r="AK220" s="4476"/>
      <c r="AL220" s="4476"/>
      <c r="AM220" s="4476"/>
      <c r="AN220" s="4476"/>
      <c r="AO220" s="4476"/>
      <c r="AP220" s="4476"/>
      <c r="AQ220" s="4476"/>
      <c r="AR220" s="4476"/>
      <c r="AS220" s="4476"/>
      <c r="AT220" s="4476"/>
      <c r="AU220" s="4476"/>
      <c r="AV220" s="4476"/>
      <c r="AW220" s="4476"/>
      <c r="AX220" s="4476"/>
      <c r="AY220" s="4476"/>
      <c r="AZ220" s="4476"/>
      <c r="BA220" s="4476"/>
      <c r="BB220" s="4476"/>
      <c r="BC220" s="4476"/>
      <c r="BD220" s="4476"/>
      <c r="BE220" s="4476"/>
      <c r="BF220" s="4476"/>
      <c r="BG220" s="4476"/>
      <c r="BH220" s="4476"/>
      <c r="BI220" s="4476"/>
      <c r="BJ220" s="4476"/>
      <c r="BK220" s="4500"/>
      <c r="BL220" s="1627"/>
      <c r="BM220" s="1628"/>
      <c r="BN220" s="1149"/>
      <c r="BO220" s="1150"/>
      <c r="BP220" s="1135" t="str">
        <f>IF(I220="Si",VLOOKUP($D$8,'Tablas Técnicas'!$E$4:$F$6,2,FALSE),"")</f>
        <v/>
      </c>
      <c r="BQ220" s="1136" t="str">
        <f>IF(L220="Si",VLOOKUP($D$8,'Tablas Técnicas'!$I$4:$J$6,2,FALSE),"")</f>
        <v/>
      </c>
      <c r="BR220" s="1134" t="str">
        <f>IF(O220="Si",VLOOKUP($D$8,'Tablas Técnicas'!$I$7:$J$9,2,FALSE),"")</f>
        <v/>
      </c>
      <c r="BS220" s="1151"/>
      <c r="BT220" s="1194"/>
      <c r="BU220" s="1232"/>
      <c r="BV220" s="1232"/>
      <c r="BW220" s="1232"/>
      <c r="BX220" s="1108"/>
      <c r="BY220" s="1474"/>
      <c r="BZ220" s="1492"/>
      <c r="CA220" s="1096"/>
      <c r="DR220" s="1096"/>
      <c r="DT220" s="1514"/>
      <c r="DU220" s="1567"/>
      <c r="DV220" s="1566" t="str">
        <f>IF(E220="","",E220)&amp;IF(I220="No",""," (Mant.)")&amp;IF(L220="No",""," (Sme)")&amp;IF(O220="No",""," (SMa)")</f>
        <v/>
      </c>
      <c r="DW220" s="1567"/>
      <c r="DX220" s="1567"/>
      <c r="DY220" s="1513"/>
      <c r="DZ220" s="1096"/>
      <c r="EA220" s="1660">
        <f t="shared" si="3"/>
        <v>1</v>
      </c>
    </row>
    <row r="221" spans="1:131" x14ac:dyDescent="0.2">
      <c r="A221" s="1096"/>
      <c r="B221" s="1096"/>
      <c r="C221" s="1497"/>
      <c r="D221" s="1643" t="s">
        <v>2310</v>
      </c>
      <c r="E221" s="1160"/>
      <c r="F221" s="1176"/>
      <c r="G221" s="1146" t="str">
        <f>IF(E221=0,"",VLOOKUP(E221,'Tablas Técnicas'!$A$14:$V$771,3,FALSE))</f>
        <v/>
      </c>
      <c r="H221" s="2619" t="str">
        <f>IF($E221=0,"",VLOOKUP($E221,'Tablas Técnicas'!$A$14:$V$771,4,FALSE))</f>
        <v/>
      </c>
      <c r="I221" s="1144" t="s">
        <v>2234</v>
      </c>
      <c r="J221" s="1601" t="str">
        <f>IF(E221=0,"",VLOOKUP(E221,'Tablas Técnicas'!$A$14:$V$771,5,FALSE))</f>
        <v/>
      </c>
      <c r="K221" s="1163" t="str">
        <f>IF(I221="Si",IF(E221=0,"",VLOOKUP(E221,'Tablas Técnicas'!$A$14:$V$771,5,FALSE)),"")</f>
        <v/>
      </c>
      <c r="L221" s="1144" t="s">
        <v>2234</v>
      </c>
      <c r="M221" s="1601" t="str">
        <f>IF(E221=0,"",VLOOKUP(E221,'Tablas Técnicas'!$A$14:$V$771,6,FALSE))</f>
        <v/>
      </c>
      <c r="N221" s="1147" t="str">
        <f>IF(L221="Si",IF(E221=0,"",VLOOKUP(E221,'Tablas Técnicas'!$A$14:$V$771,6,FALSE)),"")</f>
        <v/>
      </c>
      <c r="O221" s="1144" t="s">
        <v>2234</v>
      </c>
      <c r="P221" s="1601" t="str">
        <f>IF(E221=0,"",VLOOKUP(E221,'Tablas Técnicas'!$A$14:$V$771,7,FALSE))</f>
        <v/>
      </c>
      <c r="Q221" s="1147" t="str">
        <f>IF(O221="Si",IF(E221=0,"",VLOOKUP(E221,'Tablas Técnicas'!$A$14:$V$771,7,FALSE)),"")</f>
        <v/>
      </c>
      <c r="R221" s="1162" t="str">
        <f>IF(E221=0,"",VLOOKUP(E221,'Tablas Técnicas'!$A$14:$V$771,8,FALSE))</f>
        <v/>
      </c>
      <c r="S221" s="2619" t="str">
        <f>IF(R221=$D$8,$D$8,IF(R221=2,2,IF(R221=3,3,R221)))</f>
        <v/>
      </c>
      <c r="T221" s="4487"/>
      <c r="U221" s="4502"/>
      <c r="V221" s="2617" t="str">
        <f>IF(OR(V219=0,V219=""),"N/A",V219)</f>
        <v>N/A</v>
      </c>
      <c r="W221" s="4487" t="str">
        <f xml:space="preserve"> IF(OR(AF219=0,AF219=""),"N/A",W219)</f>
        <v>N/A</v>
      </c>
      <c r="X221" s="4489"/>
      <c r="Y221" s="4489"/>
      <c r="Z221" s="4489"/>
      <c r="AA221" s="4489"/>
      <c r="AB221" s="4489"/>
      <c r="AC221" s="4489"/>
      <c r="AD221" s="4489"/>
      <c r="AE221" s="4489"/>
      <c r="AF221" s="4502"/>
      <c r="AG221" s="4487" t="str">
        <f xml:space="preserve"> IF(OR(AP219="",AP219=0),"N/A",AG219)</f>
        <v>N/A</v>
      </c>
      <c r="AH221" s="4489"/>
      <c r="AI221" s="4489"/>
      <c r="AJ221" s="4489"/>
      <c r="AK221" s="4489"/>
      <c r="AL221" s="4489"/>
      <c r="AM221" s="4489"/>
      <c r="AN221" s="4489"/>
      <c r="AO221" s="4489"/>
      <c r="AP221" s="4502"/>
      <c r="AQ221" s="4487" t="str">
        <f xml:space="preserve"> IF(OR(AZ219="",AZ219=0),"N/A",AQ219)</f>
        <v>N/A</v>
      </c>
      <c r="AR221" s="4489"/>
      <c r="AS221" s="4489"/>
      <c r="AT221" s="4489"/>
      <c r="AU221" s="4489"/>
      <c r="AV221" s="4489"/>
      <c r="AW221" s="4489"/>
      <c r="AX221" s="4489"/>
      <c r="AY221" s="4489"/>
      <c r="AZ221" s="4502"/>
      <c r="BA221" s="4487" t="str">
        <f xml:space="preserve"> IF(OR(BJ219="",BJ219=0),"N/A",BA219)</f>
        <v>N/A</v>
      </c>
      <c r="BB221" s="4489"/>
      <c r="BC221" s="4489"/>
      <c r="BD221" s="4489"/>
      <c r="BE221" s="4489"/>
      <c r="BF221" s="4489"/>
      <c r="BG221" s="4489"/>
      <c r="BH221" s="4489"/>
      <c r="BI221" s="4489"/>
      <c r="BJ221" s="4502"/>
      <c r="BK221" s="1164" t="s">
        <v>5229</v>
      </c>
      <c r="BL221" s="1146"/>
      <c r="BM221" s="1181"/>
      <c r="BN221" s="1165"/>
      <c r="BO221" s="1166"/>
      <c r="BP221" s="1167" t="str">
        <f>IF(I221="Si",VLOOKUP($D$8,'Tablas Técnicas'!$E$4:$F$6,2,FALSE),"")</f>
        <v/>
      </c>
      <c r="BQ221" s="1137" t="str">
        <f>IF(L221="Si",VLOOKUP($D$8,'Tablas Técnicas'!$I$4:$J$6,2,FALSE),"")</f>
        <v/>
      </c>
      <c r="BR221" s="1168" t="str">
        <f>IF(O221="Si",VLOOKUP($D$8,'Tablas Técnicas'!$I$7:$J$9,2,FALSE),"")</f>
        <v/>
      </c>
      <c r="BS221" s="1151"/>
      <c r="BU221" s="4443"/>
      <c r="BV221" s="4443"/>
      <c r="BW221" s="4443"/>
      <c r="BX221" s="1108"/>
      <c r="BY221" s="1474"/>
      <c r="BZ221" s="1492"/>
      <c r="CA221" s="1096"/>
      <c r="DR221" s="1096"/>
      <c r="DT221" s="1514"/>
      <c r="DU221" s="1567"/>
      <c r="DV221" s="1566" t="str">
        <f>IF(E221="","",E221)&amp;IF(I221="No",""," (Mant.)")&amp;IF(L221="No",""," (Sme)")&amp;IF(O221="No",""," (SMa)")</f>
        <v/>
      </c>
      <c r="DW221" s="1567"/>
      <c r="DX221" s="1567"/>
      <c r="DY221" s="1513"/>
      <c r="DZ221" s="1096"/>
      <c r="EA221" s="1660">
        <f t="shared" si="3"/>
        <v>1</v>
      </c>
    </row>
    <row r="222" spans="1:131" x14ac:dyDescent="0.2">
      <c r="A222" s="1096"/>
      <c r="B222" s="1096"/>
      <c r="C222" s="1497"/>
      <c r="D222" s="1642" t="s">
        <v>2310</v>
      </c>
      <c r="E222" s="1152"/>
      <c r="F222" s="1182"/>
      <c r="G222" s="1627" t="str">
        <f>IF(E222=0,"",VLOOKUP(E222,'Tablas Técnicas'!$A$14:$V$771,3,FALSE))</f>
        <v/>
      </c>
      <c r="H222" s="1155" t="str">
        <f>IF($E222=0,"",VLOOKUP($E222,'Tablas Técnicas'!$A$14:$V$771,4,FALSE))</f>
        <v/>
      </c>
      <c r="I222" s="1156" t="s">
        <v>2234</v>
      </c>
      <c r="J222" s="1605" t="str">
        <f>IF(E222=0,"",VLOOKUP(E222,'Tablas Técnicas'!$A$14:$V$771,5,FALSE))</f>
        <v/>
      </c>
      <c r="K222" s="1158" t="str">
        <f>IF(I222="Si",IF(E222=0,"",VLOOKUP(E222,'Tablas Técnicas'!$A$14:$V$771,5,FALSE)),"")</f>
        <v/>
      </c>
      <c r="L222" s="1156" t="s">
        <v>2234</v>
      </c>
      <c r="M222" s="1605" t="str">
        <f>IF(E222=0,"",VLOOKUP(E222,'Tablas Técnicas'!$A$14:$V$771,6,FALSE))</f>
        <v/>
      </c>
      <c r="N222" s="1159" t="str">
        <f>IF(L222="Si",IF(E222=0,"",VLOOKUP(E222,'Tablas Técnicas'!$A$14:$V$771,6,FALSE)),"")</f>
        <v/>
      </c>
      <c r="O222" s="1156" t="s">
        <v>2234</v>
      </c>
      <c r="P222" s="1605" t="str">
        <f>IF(E222=0,"",VLOOKUP(E222,'Tablas Técnicas'!$A$14:$V$771,7,FALSE))</f>
        <v/>
      </c>
      <c r="Q222" s="1159" t="str">
        <f>IF(O222="Si",IF(E222=0,"",VLOOKUP(E222,'Tablas Técnicas'!$A$14:$V$771,7,FALSE)),"")</f>
        <v/>
      </c>
      <c r="R222" s="1157" t="str">
        <f>IF(E222=0,"",VLOOKUP(E222,'Tablas Técnicas'!$A$14:$V$771,8,FALSE))</f>
        <v/>
      </c>
      <c r="S222" s="1155" t="str">
        <f>IF(R222=$D$8,$D$8,IF(R222=2,2,IF(R222=3,3,R222)))</f>
        <v/>
      </c>
      <c r="T222" s="4504" t="s">
        <v>5230</v>
      </c>
      <c r="U222" s="4491"/>
      <c r="V222" s="2618"/>
      <c r="W222" s="4505"/>
      <c r="X222" s="4506"/>
      <c r="Y222" s="4506"/>
      <c r="Z222" s="4506"/>
      <c r="AA222" s="4506"/>
      <c r="AB222" s="4506"/>
      <c r="AC222" s="4506"/>
      <c r="AD222" s="4506"/>
      <c r="AE222" s="4506"/>
      <c r="AF222" s="4494"/>
      <c r="AG222" s="4505"/>
      <c r="AH222" s="4506"/>
      <c r="AI222" s="4506"/>
      <c r="AJ222" s="4506"/>
      <c r="AK222" s="4506"/>
      <c r="AL222" s="4506"/>
      <c r="AM222" s="4506"/>
      <c r="AN222" s="4506"/>
      <c r="AO222" s="4506"/>
      <c r="AP222" s="4494"/>
      <c r="AQ222" s="4505"/>
      <c r="AR222" s="4506"/>
      <c r="AS222" s="4506"/>
      <c r="AT222" s="4506"/>
      <c r="AU222" s="4506"/>
      <c r="AV222" s="4506"/>
      <c r="AW222" s="4506"/>
      <c r="AX222" s="4506"/>
      <c r="AY222" s="4506"/>
      <c r="AZ222" s="4494"/>
      <c r="BA222" s="4505"/>
      <c r="BB222" s="4506"/>
      <c r="BC222" s="4506"/>
      <c r="BD222" s="4506"/>
      <c r="BE222" s="4506"/>
      <c r="BF222" s="4506"/>
      <c r="BG222" s="4506"/>
      <c r="BH222" s="4506"/>
      <c r="BI222" s="4506"/>
      <c r="BJ222" s="4494"/>
      <c r="BK222" s="1155">
        <f>(SUM(G219:G223)+IF(AF219="",0,AF219)+IF(AP219="",0,AP219)+IF(AZ219="",0,AZ219)+IF(BJ219="",0,BJ219)+SUM(K219:K223)+SUM(N219:N223)+SUM(Q219:Q223))- SUM(V222:BA222)</f>
        <v>0</v>
      </c>
      <c r="BL222" s="1627"/>
      <c r="BM222" s="1628"/>
      <c r="BN222" s="1149"/>
      <c r="BO222" s="1150"/>
      <c r="BP222" s="1135" t="str">
        <f>IF(I222="Si",VLOOKUP($D$8,'Tablas Técnicas'!$E$4:$F$6,2,FALSE),"")</f>
        <v/>
      </c>
      <c r="BQ222" s="1136" t="str">
        <f>IF(L222="Si",VLOOKUP($D$8,'Tablas Técnicas'!$I$4:$J$6,2,FALSE),"")</f>
        <v/>
      </c>
      <c r="BR222" s="1134" t="str">
        <f>IF(O222="Si",VLOOKUP($D$8,'Tablas Técnicas'!$I$7:$J$9,2,FALSE),"")</f>
        <v/>
      </c>
      <c r="BS222" s="1151"/>
      <c r="BU222" s="1232"/>
      <c r="BV222" s="1232"/>
      <c r="BW222" s="1232"/>
      <c r="BX222" s="1108"/>
      <c r="BY222" s="1474"/>
      <c r="BZ222" s="1492"/>
      <c r="CA222" s="1100"/>
      <c r="DR222" s="1100"/>
      <c r="DT222" s="1514"/>
      <c r="DU222" s="1622"/>
      <c r="DV222" s="1566" t="str">
        <f>IF(E222="","",E222)&amp;IF(I222="No",""," (Mant.)")&amp;IF(L222="No",""," (Sme)")&amp;IF(O222="No",""," (SMa)")</f>
        <v/>
      </c>
      <c r="DW222" s="1622"/>
      <c r="DX222" s="1622"/>
      <c r="DY222" s="1513"/>
      <c r="DZ222" s="1100"/>
      <c r="EA222" s="1660">
        <f t="shared" si="3"/>
        <v>1</v>
      </c>
    </row>
    <row r="223" spans="1:131" x14ac:dyDescent="0.2">
      <c r="A223" s="1096"/>
      <c r="B223" s="1096"/>
      <c r="C223" s="1497"/>
      <c r="D223" s="1643" t="s">
        <v>2310</v>
      </c>
      <c r="E223" s="1160"/>
      <c r="F223" s="1176"/>
      <c r="G223" s="1146" t="str">
        <f>IF(E223=0,"",VLOOKUP(E223,'Tablas Técnicas'!$A$14:$V$771,3,FALSE))</f>
        <v/>
      </c>
      <c r="H223" s="1161" t="str">
        <f>IF($E223=0,"",VLOOKUP($E223,'Tablas Técnicas'!$A$14:$V$771,4,FALSE))</f>
        <v/>
      </c>
      <c r="I223" s="1144" t="s">
        <v>2234</v>
      </c>
      <c r="J223" s="1601" t="str">
        <f>IF(E223=0,"",VLOOKUP(E223,'Tablas Técnicas'!$A$14:$V$771,5,FALSE))</f>
        <v/>
      </c>
      <c r="K223" s="1163" t="str">
        <f>IF(I223="Si",IF(E223=0,"",VLOOKUP(E223,'Tablas Técnicas'!$A$14:$V$771,5,FALSE)),"")</f>
        <v/>
      </c>
      <c r="L223" s="1144" t="s">
        <v>2234</v>
      </c>
      <c r="M223" s="1601" t="str">
        <f>IF(E223=0,"",VLOOKUP(E223,'Tablas Técnicas'!$A$14:$V$771,6,FALSE))</f>
        <v/>
      </c>
      <c r="N223" s="1147" t="str">
        <f>IF(L223="Si",IF(E223=0,"",VLOOKUP(E223,'Tablas Técnicas'!$A$14:$V$771,6,FALSE)),"")</f>
        <v/>
      </c>
      <c r="O223" s="1144" t="s">
        <v>2234</v>
      </c>
      <c r="P223" s="1601" t="str">
        <f>IF(E223=0,"",VLOOKUP(E223,'Tablas Técnicas'!$A$14:$V$771,7,FALSE))</f>
        <v/>
      </c>
      <c r="Q223" s="1147" t="str">
        <f>IF(O223="Si",IF(E223=0,"",VLOOKUP(E223,'Tablas Técnicas'!$A$14:$V$771,7,FALSE)),"")</f>
        <v/>
      </c>
      <c r="R223" s="1162" t="str">
        <f>IF(E223=0,"",VLOOKUP(E223,'Tablas Técnicas'!$A$14:$V$771,8,FALSE))</f>
        <v/>
      </c>
      <c r="S223" s="1161" t="str">
        <f>IF(R223=$D$8,$D$8,IF(R223=2,2,IF(R223=3,3,R223)))</f>
        <v/>
      </c>
      <c r="T223" s="4482" t="s">
        <v>5232</v>
      </c>
      <c r="U223" s="4483"/>
      <c r="V223" s="2621"/>
      <c r="W223" s="4484"/>
      <c r="X223" s="4485"/>
      <c r="Y223" s="4485"/>
      <c r="Z223" s="4485"/>
      <c r="AA223" s="4485"/>
      <c r="AB223" s="4485"/>
      <c r="AC223" s="4485"/>
      <c r="AD223" s="4485"/>
      <c r="AE223" s="4485"/>
      <c r="AF223" s="4486"/>
      <c r="AG223" s="4484"/>
      <c r="AH223" s="4485"/>
      <c r="AI223" s="4485"/>
      <c r="AJ223" s="4485"/>
      <c r="AK223" s="4485"/>
      <c r="AL223" s="4485"/>
      <c r="AM223" s="4485"/>
      <c r="AN223" s="4485"/>
      <c r="AO223" s="4485"/>
      <c r="AP223" s="4486"/>
      <c r="AQ223" s="4484"/>
      <c r="AR223" s="4485"/>
      <c r="AS223" s="4485"/>
      <c r="AT223" s="4485"/>
      <c r="AU223" s="4485"/>
      <c r="AV223" s="4485"/>
      <c r="AW223" s="4485"/>
      <c r="AX223" s="4485"/>
      <c r="AY223" s="4485"/>
      <c r="AZ223" s="4486"/>
      <c r="BA223" s="4484"/>
      <c r="BB223" s="4485"/>
      <c r="BC223" s="4485"/>
      <c r="BD223" s="4485"/>
      <c r="BE223" s="4485"/>
      <c r="BF223" s="4485"/>
      <c r="BG223" s="4485"/>
      <c r="BH223" s="4485"/>
      <c r="BI223" s="4485"/>
      <c r="BJ223" s="4486"/>
      <c r="BK223" s="1161">
        <f>SUM(K219:K223)-SUM(V223:BA223)</f>
        <v>0</v>
      </c>
      <c r="BL223" s="1146"/>
      <c r="BM223" s="1181"/>
      <c r="BN223" s="1165"/>
      <c r="BO223" s="1166"/>
      <c r="BP223" s="1167" t="str">
        <f>IF(I223="Si",VLOOKUP($D$8,'Tablas Técnicas'!$E$4:$F$6,2,FALSE),"")</f>
        <v/>
      </c>
      <c r="BQ223" s="1137" t="str">
        <f>IF(L223="Si",VLOOKUP($D$8,'Tablas Técnicas'!$I$4:$J$6,2,FALSE),"")</f>
        <v/>
      </c>
      <c r="BR223" s="1168" t="str">
        <f>IF(O223="Si",VLOOKUP($D$8,'Tablas Técnicas'!$I$7:$J$9,2,FALSE),"")</f>
        <v/>
      </c>
      <c r="BS223" s="1151"/>
      <c r="BU223" s="1232"/>
      <c r="BV223" s="1232"/>
      <c r="BW223" s="1232"/>
      <c r="BX223" s="1108"/>
      <c r="BY223" s="1474"/>
      <c r="BZ223" s="1492"/>
      <c r="CA223" s="1096"/>
      <c r="DR223" s="1096"/>
      <c r="DT223" s="1514"/>
      <c r="DU223" s="1567"/>
      <c r="DV223" s="1566" t="str">
        <f>IF(E223="","",E223)&amp;IF(I223="No",""," (Mant.)")&amp;IF(L223="No",""," (Sme)")&amp;IF(O223="No",""," (SMa)")</f>
        <v/>
      </c>
      <c r="DW223" s="1567"/>
      <c r="DX223" s="1567"/>
      <c r="DY223" s="1513"/>
      <c r="DZ223" s="1096"/>
      <c r="EA223" s="1660">
        <f t="shared" si="3"/>
        <v>1</v>
      </c>
    </row>
    <row r="224" spans="1:131" x14ac:dyDescent="0.2">
      <c r="A224" s="1096"/>
      <c r="B224" s="1096"/>
      <c r="C224" s="1497"/>
      <c r="D224" s="1645"/>
      <c r="E224" s="1594" t="s">
        <v>5239</v>
      </c>
      <c r="F224" s="1173"/>
      <c r="G224" s="1174"/>
      <c r="H224" s="2559">
        <f>IF(AND(OR(ISNUMBER(SEARCH("Afinidad Elemental ("&amp;BK219&amp;")",Principal!$AF$30)),ISNUMBER(SEARCH("Afinidad Elemental ("&amp;BL219&amp;")",Principal!$AF$30)),ISNUMBER(SEARCH("Afinidad Elemental ("&amp;BM219&amp;")",Principal!$AF$30))),SUM(H219:H223)&gt;=5),-5,0)</f>
        <v>0</v>
      </c>
      <c r="I224" s="1174"/>
      <c r="J224" s="1175"/>
      <c r="K224" s="1174"/>
      <c r="L224" s="1174"/>
      <c r="M224" s="1175"/>
      <c r="N224" s="1174"/>
      <c r="O224" s="1174"/>
      <c r="P224" s="1175"/>
      <c r="Q224" s="1174"/>
      <c r="R224" s="1175"/>
      <c r="S224" s="1174"/>
      <c r="T224" s="1174"/>
      <c r="U224" s="1195"/>
      <c r="V224" s="1195"/>
      <c r="W224" s="1195"/>
      <c r="X224" s="1195"/>
      <c r="Y224" s="1195"/>
      <c r="Z224" s="1195"/>
      <c r="AA224" s="1195"/>
      <c r="AB224" s="1195"/>
      <c r="AC224" s="1195"/>
      <c r="AD224" s="1195"/>
      <c r="AE224" s="1195"/>
      <c r="AF224" s="1195"/>
      <c r="AG224" s="1195"/>
      <c r="AH224" s="1195"/>
      <c r="AI224" s="1195"/>
      <c r="AJ224" s="1195"/>
      <c r="AK224" s="1195"/>
      <c r="AL224" s="1195"/>
      <c r="AM224" s="1195"/>
      <c r="AN224" s="1195"/>
      <c r="AO224" s="1195"/>
      <c r="AP224" s="1195"/>
      <c r="AQ224" s="1195"/>
      <c r="AR224" s="1195"/>
      <c r="AS224" s="1195"/>
      <c r="AT224" s="1195"/>
      <c r="AU224" s="1195"/>
      <c r="AV224" s="1195"/>
      <c r="AW224" s="1195"/>
      <c r="AX224" s="1195"/>
      <c r="AY224" s="1195"/>
      <c r="AZ224" s="1195"/>
      <c r="BA224" s="1195"/>
      <c r="BB224" s="1195"/>
      <c r="BC224" s="1195"/>
      <c r="BD224" s="1195"/>
      <c r="BE224" s="1195"/>
      <c r="BF224" s="1195"/>
      <c r="BG224" s="1195"/>
      <c r="BH224" s="1195"/>
      <c r="BI224" s="1195"/>
      <c r="BJ224" s="1195"/>
      <c r="BK224" s="4481"/>
      <c r="BL224" s="4481"/>
      <c r="BM224" s="4455"/>
      <c r="BN224" s="1134">
        <f>SUM(K224:K227)</f>
        <v>0</v>
      </c>
      <c r="BO224" s="1128">
        <f>IF(E224=0,"",(AF224+AP224+AZ224+BJ224))</f>
        <v>0</v>
      </c>
      <c r="BP224" s="1135" t="str">
        <f>IF(I224="Si",VLOOKUP($D$8,'Tablas Técnicas'!$E$4:$F$6,2,FALSE),"")</f>
        <v/>
      </c>
      <c r="BQ224" s="1136" t="str">
        <f>IF(L224="Si",VLOOKUP($D$8,'Tablas Técnicas'!$I$4:$J$6,2,FALSE),"")</f>
        <v/>
      </c>
      <c r="BR224" s="1134" t="str">
        <f>IF(O224="Si",VLOOKUP($D$8,'Tablas Técnicas'!$I$7:$J$9,2,FALSE),"")</f>
        <v/>
      </c>
      <c r="BS224" s="1151"/>
      <c r="BT224" s="4444" t="s">
        <v>5241</v>
      </c>
      <c r="BU224" s="4455"/>
      <c r="BV224" s="1128"/>
      <c r="BW224" s="1108"/>
      <c r="BX224" s="1108"/>
      <c r="BY224" s="1474"/>
      <c r="BZ224" s="1492"/>
      <c r="CA224" s="1096"/>
      <c r="DR224" s="1096"/>
      <c r="DT224" s="1514"/>
      <c r="DU224" s="1567"/>
      <c r="DV224" s="1567"/>
      <c r="DW224" s="1567"/>
      <c r="DX224" s="1567"/>
      <c r="DY224" s="1513"/>
      <c r="DZ224" s="1096"/>
      <c r="EA224" s="1660">
        <f t="shared" si="3"/>
        <v>1</v>
      </c>
    </row>
    <row r="225" spans="1:132" ht="12" x14ac:dyDescent="0.2">
      <c r="A225" s="1096"/>
      <c r="B225" s="1096"/>
      <c r="C225" s="1497"/>
      <c r="D225" s="1646" t="s">
        <v>5240</v>
      </c>
      <c r="E225" s="1140"/>
      <c r="F225" s="1163"/>
      <c r="G225" s="1163"/>
      <c r="H225" s="1161" t="str">
        <f>IF(D193=0,"",IF(E225=0,"",VLOOKUP(E225,'Tablas Técnicas'!$A$14:$V$771,4,FALSE)))</f>
        <v/>
      </c>
      <c r="I225" s="1163"/>
      <c r="J225" s="1163"/>
      <c r="K225" s="1196"/>
      <c r="L225" s="1163"/>
      <c r="M225" s="1163"/>
      <c r="N225" s="1196"/>
      <c r="O225" s="1163"/>
      <c r="P225" s="1163"/>
      <c r="Q225" s="1163"/>
      <c r="R225" s="1162" t="str">
        <f>IF(E225=0,"",VLOOKUP(E225,'Tablas Técnicas'!$A$14:$V$771,8,FALSE))</f>
        <v/>
      </c>
      <c r="S225" s="1188" t="str">
        <f>IF(R225=$D$8,$D$8,IF(R225=2,2,IF(R225=3,3,R225)))</f>
        <v/>
      </c>
      <c r="T225" s="1163" t="str">
        <f>IF(E225=0,"",VLOOKUP(E225,'Tablas Técnicas'!$A$14:$V$771,9,FALSE))</f>
        <v/>
      </c>
      <c r="U225" s="1190" t="str">
        <f>IF(E225=0,"",VLOOKUP(E225,'Tablas Técnicas'!$A$14:$V$771,10,FALSE))</f>
        <v/>
      </c>
      <c r="V225" s="1191"/>
      <c r="W225" s="1191"/>
      <c r="X225" s="1190"/>
      <c r="Y225" s="1190"/>
      <c r="Z225" s="1190"/>
      <c r="AA225" s="1190"/>
      <c r="AB225" s="1190"/>
      <c r="AC225" s="1190"/>
      <c r="AD225" s="1190"/>
      <c r="AE225" s="1190"/>
      <c r="AF225" s="1190"/>
      <c r="AG225" s="4478" t="str">
        <f>IF(OR(E225='Tablas Técnicas'!A$678,E225='Tablas Técnicas'!A$679,E226='Tablas Técnicas'!A$678,E226='Tablas Técnicas'!A$679,E227='Tablas Técnicas'!A$678,E227='Tablas Técnicas'!A$679),"Selecciona la atadura elemental:","")</f>
        <v/>
      </c>
      <c r="AH225" s="4479"/>
      <c r="AI225" s="4479"/>
      <c r="AJ225" s="4479"/>
      <c r="AK225" s="4479"/>
      <c r="AL225" s="4479"/>
      <c r="AM225" s="4479"/>
      <c r="AN225" s="4479"/>
      <c r="AO225" s="4479"/>
      <c r="AP225" s="4479"/>
      <c r="AQ225" s="4479"/>
      <c r="AR225" s="4479"/>
      <c r="AS225" s="4479"/>
      <c r="AT225" s="4479"/>
      <c r="AU225" s="4479"/>
      <c r="AV225" s="4479"/>
      <c r="AW225" s="4479"/>
      <c r="AX225" s="4479"/>
      <c r="AY225" s="4479"/>
      <c r="AZ225" s="4479"/>
      <c r="BA225" s="4479"/>
      <c r="BB225" s="4479"/>
      <c r="BC225" s="4479"/>
      <c r="BD225" s="4479"/>
      <c r="BE225" s="4479"/>
      <c r="BF225" s="4479"/>
      <c r="BG225" s="4479"/>
      <c r="BH225" s="4479"/>
      <c r="BI225" s="4479"/>
      <c r="BJ225" s="4479"/>
      <c r="BK225" s="4507"/>
      <c r="BL225" s="1631"/>
      <c r="BM225" s="1631"/>
      <c r="BN225" s="1163"/>
      <c r="BO225" s="1163"/>
      <c r="BP225" s="1196"/>
      <c r="BQ225" s="1163"/>
      <c r="BR225" s="1163"/>
      <c r="BS225" s="1163"/>
      <c r="BT225" s="4446">
        <f>D193</f>
        <v>1</v>
      </c>
      <c r="BU225" s="4508"/>
      <c r="BV225" s="1128">
        <f>IF(BV224=0,0,VLOOKUP(BV224,'Tablas Técnicas'!$M$4:$N$7,2,FALSE))</f>
        <v>0</v>
      </c>
      <c r="BW225" s="1108"/>
      <c r="BX225" s="1108"/>
      <c r="BY225" s="1474"/>
      <c r="BZ225" s="1492"/>
      <c r="CA225" s="1096"/>
      <c r="DR225" s="1096"/>
      <c r="DT225" s="1514"/>
      <c r="DU225" s="1567"/>
      <c r="DV225" s="1567"/>
      <c r="DW225" s="1567"/>
      <c r="DX225" s="1567"/>
      <c r="DY225" s="1513"/>
      <c r="DZ225" s="1096"/>
      <c r="EA225" s="1660">
        <f t="shared" si="3"/>
        <v>1</v>
      </c>
    </row>
    <row r="226" spans="1:132" x14ac:dyDescent="0.2">
      <c r="A226" s="1096"/>
      <c r="B226" s="1096"/>
      <c r="C226" s="1497"/>
      <c r="D226" s="1642" t="s">
        <v>5242</v>
      </c>
      <c r="E226" s="1197"/>
      <c r="F226" s="1595"/>
      <c r="G226" s="1596"/>
      <c r="H226" s="1153" t="str">
        <f>IF(VALUE(D193)&gt;1,IF(E226=0,"",VLOOKUP(E226,'Tablas Técnicas'!$A$14:$V$771,4,FALSE)),"")</f>
        <v/>
      </c>
      <c r="I226" s="1595"/>
      <c r="J226" s="1596"/>
      <c r="K226" s="1596"/>
      <c r="L226" s="1595"/>
      <c r="M226" s="1596"/>
      <c r="N226" s="1597"/>
      <c r="O226" s="1596"/>
      <c r="P226" s="1596"/>
      <c r="Q226" s="1596"/>
      <c r="R226" s="1157" t="str">
        <f>IF(E226=0,"",VLOOKUP(E226,'Tablas Técnicas'!$A$14:$V$771,8,FALSE))</f>
        <v/>
      </c>
      <c r="S226" s="1155" t="str">
        <f>IF(R226=$D$8,$D$8,IF(R226=2,2,IF(R226=3,3,R226)))</f>
        <v/>
      </c>
      <c r="T226" s="1158" t="str">
        <f>IF(E226=0,"",VLOOKUP(E226,'Tablas Técnicas'!$A$14:$V$771,9,FALSE))</f>
        <v/>
      </c>
      <c r="U226" s="1158" t="str">
        <f>IF(E226=0,"",VLOOKUP(E226,'Tablas Técnicas'!$A$14:$V$771,10,FALSE))</f>
        <v/>
      </c>
      <c r="V226" s="1595"/>
      <c r="W226" s="1595"/>
      <c r="X226" s="1596"/>
      <c r="Y226" s="1596"/>
      <c r="Z226" s="1596"/>
      <c r="AA226" s="1596"/>
      <c r="AB226" s="1596"/>
      <c r="AC226" s="1596"/>
      <c r="AD226" s="1596"/>
      <c r="AE226" s="1596"/>
      <c r="AF226" s="1596"/>
      <c r="AG226" s="1598"/>
      <c r="AH226" s="1599"/>
      <c r="AI226" s="1599"/>
      <c r="AJ226" s="1599"/>
      <c r="AK226" s="1599"/>
      <c r="AL226" s="1599"/>
      <c r="AM226" s="1599"/>
      <c r="AN226" s="1599"/>
      <c r="AO226" s="1599"/>
      <c r="AP226" s="1597"/>
      <c r="AQ226" s="1599"/>
      <c r="AR226" s="1599"/>
      <c r="AS226" s="1599"/>
      <c r="AT226" s="1599"/>
      <c r="AU226" s="1599"/>
      <c r="AV226" s="1599"/>
      <c r="AW226" s="1599"/>
      <c r="AX226" s="1599"/>
      <c r="AY226" s="1599"/>
      <c r="AZ226" s="1600"/>
      <c r="BA226" s="1596"/>
      <c r="BB226" s="1596"/>
      <c r="BC226" s="1596"/>
      <c r="BD226" s="1596"/>
      <c r="BE226" s="1596"/>
      <c r="BF226" s="1596"/>
      <c r="BG226" s="1596"/>
      <c r="BH226" s="1596"/>
      <c r="BI226" s="1596"/>
      <c r="BJ226" s="1597"/>
      <c r="BK226" s="1596"/>
      <c r="BL226" s="1632"/>
      <c r="BM226" s="1633"/>
      <c r="BN226" s="1596"/>
      <c r="BO226" s="1596"/>
      <c r="BP226" s="1597"/>
      <c r="BQ226" s="1596"/>
      <c r="BR226" s="1596"/>
      <c r="BS226" s="1596"/>
      <c r="BU226" s="2608"/>
      <c r="BV226" s="1128"/>
      <c r="BW226" s="1108"/>
      <c r="BX226" s="1108"/>
      <c r="BY226" s="1474"/>
      <c r="BZ226" s="1492"/>
      <c r="CA226" s="1096"/>
      <c r="DR226" s="1096"/>
      <c r="DT226" s="1514"/>
      <c r="DU226" s="1567"/>
      <c r="DV226" s="1567"/>
      <c r="DW226" s="1567"/>
      <c r="DX226" s="1567"/>
      <c r="DY226" s="1513"/>
      <c r="DZ226" s="1096"/>
      <c r="EA226" s="1660">
        <f t="shared" si="3"/>
        <v>1</v>
      </c>
    </row>
    <row r="227" spans="1:132" x14ac:dyDescent="0.2">
      <c r="A227" s="1096"/>
      <c r="B227" s="1096"/>
      <c r="C227" s="1497"/>
      <c r="D227" s="1647" t="s">
        <v>5243</v>
      </c>
      <c r="E227" s="1198"/>
      <c r="F227" s="2614"/>
      <c r="G227" s="1172"/>
      <c r="H227" s="1171" t="str">
        <f>IF(VALUE(D193)=3,IF(E227=0,"",VLOOKUP(E227,'Tablas Técnicas'!$A$14:$V$771,4,FALSE)),"")</f>
        <v/>
      </c>
      <c r="I227" s="1172"/>
      <c r="J227" s="1172"/>
      <c r="K227" s="1172"/>
      <c r="L227" s="2614"/>
      <c r="M227" s="1172"/>
      <c r="N227" s="1172"/>
      <c r="O227" s="2614"/>
      <c r="P227" s="1172"/>
      <c r="Q227" s="1172"/>
      <c r="R227" s="1193" t="str">
        <f>IF(E227=0,"",VLOOKUP(E227,'Tablas Técnicas'!$A$14:$V$771,8,FALSE))</f>
        <v/>
      </c>
      <c r="S227" s="1171" t="str">
        <f>IF(R227=$D$8,$D$8,IF(R227=2,2,IF(R227=3,3,R227)))</f>
        <v/>
      </c>
      <c r="T227" s="1172" t="str">
        <f>IF(E227=0,"",VLOOKUP(E227,'Tablas Técnicas'!$A$14:$V$771,9,FALSE))</f>
        <v/>
      </c>
      <c r="U227" s="1172" t="str">
        <f>IF(E227=0,"",VLOOKUP(E227,'Tablas Técnicas'!$A$14:$V$771,10,FALSE))</f>
        <v/>
      </c>
      <c r="V227" s="2614"/>
      <c r="W227" s="1486"/>
      <c r="X227" s="1486"/>
      <c r="Y227" s="1486"/>
      <c r="Z227" s="1486"/>
      <c r="AA227" s="1486"/>
      <c r="AB227" s="1486"/>
      <c r="AC227" s="1486"/>
      <c r="AD227" s="1486"/>
      <c r="AE227" s="1486"/>
      <c r="AF227" s="1487"/>
      <c r="AG227" s="2614"/>
      <c r="AH227" s="1172"/>
      <c r="AI227" s="1172"/>
      <c r="AJ227" s="1172"/>
      <c r="AK227" s="1172"/>
      <c r="AL227" s="1172"/>
      <c r="AM227" s="1172"/>
      <c r="AN227" s="1172"/>
      <c r="AO227" s="1172"/>
      <c r="AP227" s="2615"/>
      <c r="AQ227" s="1172"/>
      <c r="AR227" s="1172"/>
      <c r="AS227" s="1172"/>
      <c r="AT227" s="1172"/>
      <c r="AU227" s="1172"/>
      <c r="AV227" s="1172"/>
      <c r="AW227" s="1172"/>
      <c r="AX227" s="1172"/>
      <c r="AY227" s="1172"/>
      <c r="AZ227" s="2615"/>
      <c r="BA227" s="1172"/>
      <c r="BB227" s="1172"/>
      <c r="BC227" s="1172"/>
      <c r="BD227" s="1172"/>
      <c r="BE227" s="1172"/>
      <c r="BF227" s="1172"/>
      <c r="BG227" s="1172"/>
      <c r="BH227" s="1172"/>
      <c r="BI227" s="1172"/>
      <c r="BJ227" s="2615"/>
      <c r="BK227" s="1172"/>
      <c r="BL227" s="1629"/>
      <c r="BM227" s="1634"/>
      <c r="BN227" s="1172"/>
      <c r="BO227" s="1172"/>
      <c r="BP227" s="1172"/>
      <c r="BQ227" s="2614"/>
      <c r="BR227" s="1172"/>
      <c r="BS227" s="1172"/>
      <c r="BT227" s="2608"/>
      <c r="BU227" s="2608"/>
      <c r="BV227" s="1128">
        <f>IF(BV226=0,0,VLOOKUP(BV226,'Tablas Técnicas'!$M$4:$N$7,2,FALSE))</f>
        <v>0</v>
      </c>
      <c r="BW227" s="1108"/>
      <c r="BX227" s="1108"/>
      <c r="BY227" s="1474"/>
      <c r="BZ227" s="1492"/>
      <c r="CA227" s="1100"/>
      <c r="DR227" s="1100"/>
      <c r="DT227" s="1517"/>
      <c r="DU227" s="1623"/>
      <c r="DV227" s="1623"/>
      <c r="DW227" s="1623"/>
      <c r="DX227" s="1623"/>
      <c r="DY227" s="1518"/>
      <c r="DZ227" s="1100"/>
      <c r="EA227" s="1660">
        <f t="shared" si="3"/>
        <v>1</v>
      </c>
    </row>
    <row r="228" spans="1:132" x14ac:dyDescent="0.2">
      <c r="A228" s="1100"/>
      <c r="B228" s="1100"/>
      <c r="C228" s="1497"/>
      <c r="D228" s="1648"/>
      <c r="E228" s="1113"/>
      <c r="F228" s="1108"/>
      <c r="G228" s="1113"/>
      <c r="H228" s="1113"/>
      <c r="I228" s="1108"/>
      <c r="J228" s="1113"/>
      <c r="K228" s="1113"/>
      <c r="L228" s="1113"/>
      <c r="M228" s="1113"/>
      <c r="N228" s="1113"/>
      <c r="O228" s="1113"/>
      <c r="P228" s="1113"/>
      <c r="Q228" s="1113"/>
      <c r="R228" s="1113"/>
      <c r="S228" s="1113"/>
      <c r="T228" s="1113"/>
      <c r="U228" s="1113"/>
      <c r="V228" s="1113"/>
      <c r="W228" s="1113"/>
      <c r="X228" s="1113"/>
      <c r="Y228" s="1113"/>
      <c r="Z228" s="1113"/>
      <c r="AA228" s="1113"/>
      <c r="AB228" s="1113"/>
      <c r="AC228" s="1113"/>
      <c r="AD228" s="1113"/>
      <c r="AE228" s="1113"/>
      <c r="AF228" s="1113"/>
      <c r="AG228" s="1113"/>
      <c r="AH228" s="1113"/>
      <c r="AI228" s="1113"/>
      <c r="AJ228" s="1113"/>
      <c r="AK228" s="1113"/>
      <c r="AL228" s="1113"/>
      <c r="AM228" s="1113"/>
      <c r="AN228" s="1113"/>
      <c r="AO228" s="1113"/>
      <c r="AP228" s="1113"/>
      <c r="AQ228" s="1113"/>
      <c r="AR228" s="1113"/>
      <c r="AS228" s="1113"/>
      <c r="AT228" s="1113"/>
      <c r="AU228" s="1113"/>
      <c r="AV228" s="1113"/>
      <c r="AW228" s="1113"/>
      <c r="AX228" s="1113"/>
      <c r="AY228" s="1113"/>
      <c r="AZ228" s="1113"/>
      <c r="BA228" s="1113"/>
      <c r="BB228" s="1113"/>
      <c r="BC228" s="1113"/>
      <c r="BD228" s="1113"/>
      <c r="BE228" s="1113"/>
      <c r="BF228" s="1113"/>
      <c r="BG228" s="1113"/>
      <c r="BH228" s="1113"/>
      <c r="BI228" s="1113"/>
      <c r="BJ228" s="1113"/>
      <c r="BK228" s="1113"/>
      <c r="BL228" s="1592"/>
      <c r="BM228" s="1592"/>
      <c r="BN228" s="1101">
        <f>SUM(BN233:BN248)</f>
        <v>0</v>
      </c>
      <c r="BO228" s="1101">
        <f>SUM(BO233:BO248)</f>
        <v>0</v>
      </c>
      <c r="BP228" s="1101">
        <f>SUM(BP233:BP248)</f>
        <v>0</v>
      </c>
      <c r="BQ228" s="1101">
        <f>SUM(BQ233:BQ248)</f>
        <v>0</v>
      </c>
      <c r="BR228" s="1101">
        <f>SUM(BR233:BR248)</f>
        <v>0</v>
      </c>
      <c r="BS228" s="1199"/>
      <c r="BU228" s="1113"/>
      <c r="BW228" s="1108"/>
      <c r="BX228" s="1108"/>
      <c r="BY228" s="1117"/>
      <c r="BZ228" s="1492"/>
      <c r="CA228" s="1096"/>
      <c r="DR228" s="1096"/>
      <c r="DT228" s="1514"/>
      <c r="DU228" s="1567"/>
      <c r="DV228" s="1567"/>
      <c r="DW228" s="1567"/>
      <c r="DX228" s="1567"/>
      <c r="DY228" s="1513"/>
      <c r="DZ228" s="1096"/>
      <c r="EA228" s="1660">
        <f t="shared" si="3"/>
        <v>1</v>
      </c>
    </row>
    <row r="229" spans="1:132" x14ac:dyDescent="0.2">
      <c r="A229" s="1096"/>
      <c r="B229" s="1096"/>
      <c r="C229" s="1497"/>
      <c r="D229" s="1640" t="s">
        <v>8726</v>
      </c>
      <c r="E229" s="1114"/>
      <c r="F229" s="1114"/>
      <c r="G229" s="1114"/>
      <c r="H229" s="1114"/>
      <c r="I229" s="1114"/>
      <c r="J229" s="1115"/>
      <c r="K229" s="1114"/>
      <c r="L229" s="1114"/>
      <c r="M229" s="1115"/>
      <c r="N229" s="1114"/>
      <c r="O229" s="1114"/>
      <c r="P229" s="1115"/>
      <c r="Q229" s="1114"/>
      <c r="R229" s="1115"/>
      <c r="S229" s="1114"/>
      <c r="T229" s="1114"/>
      <c r="U229" s="1114"/>
      <c r="V229" s="1114"/>
      <c r="W229" s="1108"/>
      <c r="X229" s="1115"/>
      <c r="Y229" s="1115"/>
      <c r="Z229" s="1115"/>
      <c r="AA229" s="1115"/>
      <c r="AB229" s="1115"/>
      <c r="AC229" s="1115"/>
      <c r="AD229" s="1115"/>
      <c r="AE229" s="1115"/>
      <c r="AF229" s="1114"/>
      <c r="AG229" s="1108"/>
      <c r="AH229" s="1115"/>
      <c r="AI229" s="1115"/>
      <c r="AJ229" s="1115"/>
      <c r="AK229" s="1115"/>
      <c r="AL229" s="1115"/>
      <c r="AM229" s="1115"/>
      <c r="AN229" s="1115"/>
      <c r="AO229" s="1115"/>
      <c r="AP229" s="1108"/>
      <c r="AQ229" s="1108"/>
      <c r="AR229" s="1115"/>
      <c r="AS229" s="1115"/>
      <c r="AT229" s="1115"/>
      <c r="AU229" s="1115"/>
      <c r="AV229" s="1115"/>
      <c r="AW229" s="1115"/>
      <c r="AX229" s="1115"/>
      <c r="AY229" s="1115"/>
      <c r="AZ229" s="1108"/>
      <c r="BA229" s="1108"/>
      <c r="BB229" s="1115"/>
      <c r="BC229" s="1115"/>
      <c r="BD229" s="1115"/>
      <c r="BE229" s="1115"/>
      <c r="BF229" s="1115"/>
      <c r="BG229" s="1115"/>
      <c r="BH229" s="1115"/>
      <c r="BI229" s="1115"/>
      <c r="BJ229" s="1108"/>
      <c r="BK229" s="1108"/>
      <c r="BL229" s="1108"/>
      <c r="BM229" s="1108"/>
      <c r="BN229" s="1101">
        <f>SUM(BN231:BN264)</f>
        <v>0</v>
      </c>
      <c r="BO229" s="1101">
        <f>SUM(BO231:BO264)</f>
        <v>0</v>
      </c>
      <c r="BP229" s="1101">
        <f>MAX(BP231:BP264)</f>
        <v>0</v>
      </c>
      <c r="BQ229" s="1101">
        <f>MAX(BQ231:BQ264)</f>
        <v>0</v>
      </c>
      <c r="BR229" s="1101">
        <f>MAX(BR231:BR264)</f>
        <v>0</v>
      </c>
      <c r="BS229" s="1116"/>
      <c r="BU229" s="2608"/>
      <c r="BV229" s="1118"/>
      <c r="BW229" s="1108"/>
      <c r="BX229" s="1108"/>
      <c r="BY229" s="1474"/>
      <c r="BZ229" s="1492"/>
      <c r="CA229" s="1096"/>
      <c r="DR229" s="1096"/>
      <c r="DT229" s="1514"/>
      <c r="DU229" s="1567"/>
      <c r="DV229" s="1567"/>
      <c r="DW229" s="1567"/>
      <c r="DX229" s="1567"/>
      <c r="DY229" s="1513"/>
      <c r="DZ229" s="1096"/>
      <c r="EA229" s="1660">
        <f t="shared" si="3"/>
        <v>1</v>
      </c>
    </row>
    <row r="230" spans="1:132" ht="12" thickBot="1" x14ac:dyDescent="0.25">
      <c r="A230" s="1096"/>
      <c r="B230" s="1096"/>
      <c r="C230" s="1497"/>
      <c r="D230" s="1641">
        <v>1</v>
      </c>
      <c r="E230" s="1119" t="s">
        <v>9094</v>
      </c>
      <c r="F230" s="1120" t="s">
        <v>2333</v>
      </c>
      <c r="G230" s="1121" t="s">
        <v>2334</v>
      </c>
      <c r="H230" s="1121" t="s">
        <v>2356</v>
      </c>
      <c r="I230" s="1122" t="s">
        <v>4020</v>
      </c>
      <c r="J230" s="1123"/>
      <c r="K230" s="1124"/>
      <c r="L230" s="1122" t="s">
        <v>4021</v>
      </c>
      <c r="M230" s="1123"/>
      <c r="N230" s="1124"/>
      <c r="O230" s="1122" t="s">
        <v>4022</v>
      </c>
      <c r="P230" s="1123"/>
      <c r="Q230" s="1124"/>
      <c r="R230" s="1125" t="s">
        <v>5219</v>
      </c>
      <c r="S230" s="1121" t="s">
        <v>3990</v>
      </c>
      <c r="T230" s="2613" t="s">
        <v>2252</v>
      </c>
      <c r="U230" s="2613" t="s">
        <v>2223</v>
      </c>
      <c r="V230" s="2613" t="s">
        <v>4023</v>
      </c>
      <c r="W230" s="4473" t="s">
        <v>4024</v>
      </c>
      <c r="X230" s="4473"/>
      <c r="Y230" s="4473"/>
      <c r="Z230" s="4473"/>
      <c r="AA230" s="4473"/>
      <c r="AB230" s="4473"/>
      <c r="AC230" s="4473"/>
      <c r="AD230" s="4473"/>
      <c r="AE230" s="4473"/>
      <c r="AF230" s="4473"/>
      <c r="AG230" s="4473"/>
      <c r="AH230" s="4473"/>
      <c r="AI230" s="4473"/>
      <c r="AJ230" s="4473"/>
      <c r="AK230" s="4473"/>
      <c r="AL230" s="4473"/>
      <c r="AM230" s="4473"/>
      <c r="AN230" s="4473"/>
      <c r="AO230" s="4473"/>
      <c r="AP230" s="4473"/>
      <c r="AQ230" s="4473"/>
      <c r="AR230" s="4473"/>
      <c r="AS230" s="4473"/>
      <c r="AT230" s="4473"/>
      <c r="AU230" s="4473"/>
      <c r="AV230" s="4473"/>
      <c r="AW230" s="4473"/>
      <c r="AX230" s="4473"/>
      <c r="AY230" s="4473"/>
      <c r="AZ230" s="4473"/>
      <c r="BA230" s="4473"/>
      <c r="BB230" s="4473"/>
      <c r="BC230" s="4473"/>
      <c r="BD230" s="4473"/>
      <c r="BE230" s="4473"/>
      <c r="BF230" s="4473"/>
      <c r="BG230" s="4473"/>
      <c r="BH230" s="4473"/>
      <c r="BI230" s="4473"/>
      <c r="BJ230" s="4473"/>
      <c r="BK230" s="4473" t="s">
        <v>4025</v>
      </c>
      <c r="BL230" s="4473"/>
      <c r="BM230" s="4474"/>
      <c r="BN230" s="1126" t="s">
        <v>5220</v>
      </c>
      <c r="BO230" s="1126" t="s">
        <v>5221</v>
      </c>
      <c r="BP230" s="1126" t="s">
        <v>5222</v>
      </c>
      <c r="BQ230" s="1126" t="s">
        <v>5223</v>
      </c>
      <c r="BR230" s="1126" t="s">
        <v>5224</v>
      </c>
      <c r="BS230" s="1127" t="s">
        <v>5225</v>
      </c>
      <c r="BT230" s="4448" t="s">
        <v>5226</v>
      </c>
      <c r="BU230" s="4449"/>
      <c r="BV230" s="1128"/>
      <c r="BW230" s="1108"/>
      <c r="BX230" s="1108"/>
      <c r="BY230" s="1474"/>
      <c r="BZ230" s="1492"/>
      <c r="CA230" s="1096"/>
      <c r="DR230" s="1096"/>
      <c r="DT230" s="1514"/>
      <c r="DU230" s="1567"/>
      <c r="DV230" s="1567"/>
      <c r="DW230" s="1567"/>
      <c r="DX230" s="1567"/>
      <c r="DY230" s="1513"/>
      <c r="DZ230" s="1096"/>
      <c r="EB230" s="2558">
        <f>D230</f>
        <v>1</v>
      </c>
    </row>
    <row r="231" spans="1:132" x14ac:dyDescent="0.2">
      <c r="A231" s="1129"/>
      <c r="B231" s="159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98"/>
      <c r="D231" s="1642">
        <v>1</v>
      </c>
      <c r="E231" s="1423"/>
      <c r="F231" s="1130"/>
      <c r="G231" s="1131"/>
      <c r="H231" s="1131"/>
      <c r="I231" s="1131"/>
      <c r="J231" s="1132"/>
      <c r="K231" s="1131"/>
      <c r="L231" s="1131"/>
      <c r="M231" s="1132"/>
      <c r="N231" s="1131"/>
      <c r="O231" s="1131"/>
      <c r="P231" s="1132"/>
      <c r="Q231" s="1131"/>
      <c r="R231" s="1132"/>
      <c r="S231" s="1131"/>
      <c r="T231" s="1131"/>
      <c r="U231" s="1131"/>
      <c r="V231" s="1131"/>
      <c r="W231" s="1131"/>
      <c r="X231" s="1131"/>
      <c r="Y231" s="1131"/>
      <c r="Z231" s="1131"/>
      <c r="AA231" s="1131"/>
      <c r="AB231" s="1131"/>
      <c r="AC231" s="1131"/>
      <c r="AD231" s="1131"/>
      <c r="AE231" s="1131"/>
      <c r="AF231" s="1131"/>
      <c r="AG231" s="1131"/>
      <c r="AH231" s="1131"/>
      <c r="AI231" s="1131"/>
      <c r="AJ231" s="1131"/>
      <c r="AK231" s="1131"/>
      <c r="AL231" s="1131"/>
      <c r="AM231" s="1131"/>
      <c r="AN231" s="1131"/>
      <c r="AO231" s="1131"/>
      <c r="AP231" s="1131"/>
      <c r="AQ231" s="1131"/>
      <c r="AR231" s="1131"/>
      <c r="AS231" s="1131"/>
      <c r="AT231" s="1131"/>
      <c r="AU231" s="1131"/>
      <c r="AV231" s="1131"/>
      <c r="AW231" s="1131"/>
      <c r="AX231" s="1131"/>
      <c r="AY231" s="1131"/>
      <c r="AZ231" s="1131"/>
      <c r="BA231" s="1131"/>
      <c r="BB231" s="1131"/>
      <c r="BC231" s="1131"/>
      <c r="BD231" s="1131"/>
      <c r="BE231" s="1131"/>
      <c r="BF231" s="1131"/>
      <c r="BG231" s="1131"/>
      <c r="BH231" s="1131"/>
      <c r="BI231" s="1131"/>
      <c r="BJ231" s="1131"/>
      <c r="BK231" s="1131"/>
      <c r="BL231" s="1131"/>
      <c r="BM231" s="1133"/>
      <c r="BN231" s="1134">
        <f>SUM(K231:K234)</f>
        <v>0</v>
      </c>
      <c r="BO231" s="1128" t="str">
        <f>IF(E231=0,"",(AF231+AP231+AZ231+BJ231))</f>
        <v/>
      </c>
      <c r="BP231" s="1135" t="str">
        <f>IF(I231="Si",VLOOKUP($D$8,'Tablas Técnicas'!$E$4:$F$6,2,FALSE),"")</f>
        <v/>
      </c>
      <c r="BQ231" s="1136" t="str">
        <f>IF(L231="Si",VLOOKUP($D$8,'Tablas Técnicas'!$I$4:$J$6,2,FALSE),"")</f>
        <v/>
      </c>
      <c r="BR231" s="1134" t="str">
        <f>IF(O231="Si",VLOOKUP($D$8,'Tablas Técnicas'!$I$7:$J$9,2,FALSE),"")</f>
        <v/>
      </c>
      <c r="BS231" s="1137">
        <f>VLOOKUP(D230,'Tablas Técnicas'!$P$6:$R$8,3)</f>
        <v>50</v>
      </c>
      <c r="BT231" s="1138">
        <f>VLOOKUP(D230,'Tablas Técnicas'!$P$6:$R$8,3,FALSE)</f>
        <v>50</v>
      </c>
      <c r="BU231" s="1139">
        <f>VLOOKUP(D230,'Tablas Técnicas'!$P$6:$R$8,2,FALSE)</f>
        <v>20</v>
      </c>
      <c r="BV231" s="1128">
        <f>IF(D230=0,"",VLOOKUP(D230,'Tablas Técnicas'!$L$4:$N$7,2,FALSE))</f>
        <v>3</v>
      </c>
      <c r="BW231" s="1108"/>
      <c r="BX231" s="1108"/>
      <c r="BY231" s="1474"/>
      <c r="BZ231" s="1492"/>
      <c r="CA231" s="1096"/>
      <c r="DR231" s="1096"/>
      <c r="DT231" s="1514"/>
      <c r="DU231" s="1614" t="s">
        <v>2345</v>
      </c>
      <c r="DV231" s="1615" t="s">
        <v>4001</v>
      </c>
      <c r="DW231" s="1615" t="s">
        <v>3987</v>
      </c>
      <c r="DX231" s="1616" t="s">
        <v>8729</v>
      </c>
      <c r="DY231" s="1513"/>
      <c r="DZ231" s="1096"/>
      <c r="EA231" s="1660">
        <f>EB230</f>
        <v>1</v>
      </c>
    </row>
    <row r="232" spans="1:132" x14ac:dyDescent="0.2">
      <c r="A232" s="1096"/>
      <c r="B232" s="1096"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97"/>
      <c r="D232" s="1643" t="s">
        <v>2310</v>
      </c>
      <c r="E232" s="1140"/>
      <c r="F232" s="1141" t="str">
        <f>IF(E232=0,"",VLOOKUP(E232,'Tablas Técnicas'!$A$14:$V$771,2,FALSE))</f>
        <v/>
      </c>
      <c r="G232" s="1142"/>
      <c r="H232" s="1143" t="str">
        <f>IF($E232=0,"",VLOOKUP($E232,'Tablas Técnicas'!$A$14:$V$771,4,FALSE))</f>
        <v/>
      </c>
      <c r="I232" s="1144" t="s">
        <v>2234</v>
      </c>
      <c r="J232" s="1602" t="str">
        <f>IF(E232=0,"",VLOOKUP(E232,'Tablas Técnicas'!$A$14:$V$771,5,FALSE))</f>
        <v/>
      </c>
      <c r="K232" s="1146" t="str">
        <f>IF(I232="Si",IF(E232=0,"",VLOOKUP(E232,'Tablas Técnicas'!$A$14:$V$771,5,FALSE)),"")</f>
        <v/>
      </c>
      <c r="L232" s="1144" t="s">
        <v>2234</v>
      </c>
      <c r="M232" s="1602" t="str">
        <f>IF(E232=0,"",VLOOKUP(E232,'Tablas Técnicas'!$A$14:$V$771,6,FALSE))</f>
        <v/>
      </c>
      <c r="N232" s="1147" t="str">
        <f>IF(L232="Si",IF(E232=0,"",VLOOKUP(E232,'Tablas Técnicas'!$A$14:$V$771,6,FALSE)),"")</f>
        <v/>
      </c>
      <c r="O232" s="1144" t="s">
        <v>2234</v>
      </c>
      <c r="P232" s="1602" t="str">
        <f>IF(E232=0,"",VLOOKUP(E232,'Tablas Técnicas'!$A$14:$V$771,7,FALSE))</f>
        <v/>
      </c>
      <c r="Q232" s="1147" t="str">
        <f>IF(O232="Si",IF(E232=0,"",VLOOKUP(E232,'Tablas Técnicas'!$A$14:$V$771,7,FALSE)),"")</f>
        <v/>
      </c>
      <c r="R232" s="1145" t="str">
        <f>IF(E232=0,"",VLOOKUP(E232,'Tablas Técnicas'!$A$14:$V$771,8,FALSE))</f>
        <v/>
      </c>
      <c r="S232" s="1143" t="str">
        <f>IF(R232=$D$8,$D$8,IF(R232=2,2,IF(R232=3,3,R232)))</f>
        <v/>
      </c>
      <c r="T232" s="1146" t="str">
        <f>IF(E232=0,"",VLOOKUP(E232,'Tablas Técnicas'!$A$14:$V$771,9,FALSE))</f>
        <v/>
      </c>
      <c r="U232" s="1146" t="str">
        <f>IF(E232=0,"",VLOOKUP(E232,'Tablas Técnicas'!$A$14:$V$771,10,FALSE))</f>
        <v/>
      </c>
      <c r="V232" s="1141" t="str">
        <f>IF(E232=0,"",VLOOKUP(E232,'Tablas Técnicas'!$A$14:$V$771,11,FALSE))</f>
        <v/>
      </c>
      <c r="W232" s="1144"/>
      <c r="X232" s="1145" t="e">
        <f>VLOOKUP(E232,'Tablas Técnicas'!$A$14:$V$771,12,FALSE)</f>
        <v>#N/A</v>
      </c>
      <c r="Y232" s="1145" t="e">
        <f>IF(W232=X232,VLOOKUP(E232,'Tablas Técnicas'!$A$14:$V$771,13,FALSE),0)</f>
        <v>#N/A</v>
      </c>
      <c r="Z232" s="1145" t="e">
        <f>VLOOKUP(E232,'Tablas Técnicas'!$A$14:$V$771,14,FALSE)</f>
        <v>#N/A</v>
      </c>
      <c r="AA232" s="1145" t="e">
        <f>IF(W232=Z232,VLOOKUP(E232,'Tablas Técnicas'!$A$14:$V$616,15,FALSE),0)</f>
        <v>#N/A</v>
      </c>
      <c r="AB232" s="1145" t="e">
        <f>VLOOKUP(E232,'Tablas Técnicas'!$A$14:$V$771,16,FALSE)</f>
        <v>#N/A</v>
      </c>
      <c r="AC232" s="1145" t="e">
        <f>IF(W232=AB232,VLOOKUP(E232,'Tablas Técnicas'!$A$14:$V$616,17,FALSE),0)</f>
        <v>#N/A</v>
      </c>
      <c r="AD232" s="1145" t="e">
        <f>VLOOKUP(E232,'Tablas Técnicas'!$A$14:$V$771,18,FALSE)</f>
        <v>#N/A</v>
      </c>
      <c r="AE232" s="1145" t="e">
        <f>IF(W232=AD232,VLOOKUP(E232,'Tablas Técnicas'!$A$14:$V$771,19,FALSE),0)</f>
        <v>#N/A</v>
      </c>
      <c r="AF232" s="1147" t="str">
        <f>IF(E232=0,"",(Y232+AA232+AC232+AE232))</f>
        <v/>
      </c>
      <c r="AG232" s="1144"/>
      <c r="AH232" s="1145" t="e">
        <f>VLOOKUP(E232,'Tablas Técnicas'!$A$14:$V$771,12,FALSE)</f>
        <v>#N/A</v>
      </c>
      <c r="AI232" s="1145" t="e">
        <f>IF(AG232=AH232,VLOOKUP(E232,'Tablas Técnicas'!$A$14:$V$771,13,FALSE),0)</f>
        <v>#N/A</v>
      </c>
      <c r="AJ232" s="1145" t="e">
        <f>VLOOKUP(E232,'Tablas Técnicas'!$A$14:$V$771,14,FALSE)</f>
        <v>#N/A</v>
      </c>
      <c r="AK232" s="1145" t="e">
        <f>IF(AG232=AJ232,VLOOKUP(E232,'Tablas Técnicas'!$A$14:$V$771,15,FALSE),0)</f>
        <v>#N/A</v>
      </c>
      <c r="AL232" s="1145" t="e">
        <f>VLOOKUP(E232,'Tablas Técnicas'!$A$14:$V$771,16,FALSE)</f>
        <v>#N/A</v>
      </c>
      <c r="AM232" s="1145" t="e">
        <f>IF(AG232=AL232,VLOOKUP(E232,'Tablas Técnicas'!$A$14:$V$771,17,FALSE),0)</f>
        <v>#N/A</v>
      </c>
      <c r="AN232" s="1145" t="e">
        <f>VLOOKUP(E232,'Tablas Técnicas'!$A$14:$V$771,18,FALSE)</f>
        <v>#N/A</v>
      </c>
      <c r="AO232" s="1145" t="e">
        <f>IF(AG232=AN232,VLOOKUP(E232,'Tablas Técnicas'!$A$14:$V$771,19,FALSE),0)</f>
        <v>#N/A</v>
      </c>
      <c r="AP232" s="1147" t="str">
        <f>IF(E232=0,"",(AI232+AK232+AM232+AO232))</f>
        <v/>
      </c>
      <c r="AQ232" s="1144"/>
      <c r="AR232" s="1145" t="e">
        <f>VLOOKUP(E232,'Tablas Técnicas'!$A$14:$V$771,12,FALSE)</f>
        <v>#N/A</v>
      </c>
      <c r="AS232" s="1145" t="e">
        <f>IF(AQ232=AR232,VLOOKUP(E232,'Tablas Técnicas'!$A$14:$V$771,13,FALSE),0)</f>
        <v>#N/A</v>
      </c>
      <c r="AT232" s="1145" t="e">
        <f>VLOOKUP(E232,'Tablas Técnicas'!$A$14:$V$771,14,FALSE)</f>
        <v>#N/A</v>
      </c>
      <c r="AU232" s="1145" t="e">
        <f>IF(AQ232=AT232,VLOOKUP(E232,'Tablas Técnicas'!$A$14:$V$771,15,FALSE),0)</f>
        <v>#N/A</v>
      </c>
      <c r="AV232" s="1145" t="e">
        <f>VLOOKUP(E232,'Tablas Técnicas'!$A$14:$V$771,16,FALSE)</f>
        <v>#N/A</v>
      </c>
      <c r="AW232" s="1145" t="e">
        <f>IF(AQ232=AV232,VLOOKUP(E232,'Tablas Técnicas'!$A$14:$V$771,17,FALSE),0)</f>
        <v>#N/A</v>
      </c>
      <c r="AX232" s="1145" t="e">
        <f>VLOOKUP(E232,'Tablas Técnicas'!$A$14:$V$771,18,FALSE)</f>
        <v>#N/A</v>
      </c>
      <c r="AY232" s="1145" t="e">
        <f>IF(AQ232=AX232,VLOOKUP(E232,'Tablas Técnicas'!$A$14:$V$771,19,FALSE),0)</f>
        <v>#N/A</v>
      </c>
      <c r="AZ232" s="1146" t="str">
        <f>IF(E232=0,"",(AS232+AU232+AW232+AY232))</f>
        <v/>
      </c>
      <c r="BA232" s="1144"/>
      <c r="BB232" s="1145" t="e">
        <f>VLOOKUP(E232,'Tablas Técnicas'!$A$14:$V$771,12,FALSE)</f>
        <v>#N/A</v>
      </c>
      <c r="BC232" s="1145" t="e">
        <f>IF(BA232=BB232,VLOOKUP(E232,'Tablas Técnicas'!$A$14:$V$771,13,FALSE),0)</f>
        <v>#N/A</v>
      </c>
      <c r="BD232" s="1145" t="e">
        <f>VLOOKUP(E232,'Tablas Técnicas'!$A$14:$V$771,14,FALSE)</f>
        <v>#N/A</v>
      </c>
      <c r="BE232" s="1145" t="e">
        <f>IF(BA232=BD232,VLOOKUP(E232,'Tablas Técnicas'!$A$14:$V$771,15,FALSE),0)</f>
        <v>#N/A</v>
      </c>
      <c r="BF232" s="1145" t="e">
        <f>VLOOKUP(E232,'Tablas Técnicas'!$A$14:$V$771,16,FALSE)</f>
        <v>#N/A</v>
      </c>
      <c r="BG232" s="1145" t="e">
        <f>IF(BA232=BF232,VLOOKUP(E232,'Tablas Técnicas'!$A$14:$V$771,17,FALSE),0)</f>
        <v>#N/A</v>
      </c>
      <c r="BH232" s="1145" t="e">
        <f>VLOOKUP(E232,'Tablas Técnicas'!$A$14:$V$771,18,FALSE)</f>
        <v>#N/A</v>
      </c>
      <c r="BI232" s="1145" t="e">
        <f>IF(BA232=BH232,VLOOKUP(E232,'Tablas Técnicas'!$A$14:$V$771,19,FALSE),0)</f>
        <v>#N/A</v>
      </c>
      <c r="BJ232" s="1147" t="str">
        <f>IF(E232=0,"",(BC232+BE232+BG232+BI232))</f>
        <v/>
      </c>
      <c r="BK232" s="1146" t="str">
        <f>IF(E232=0,"",VLOOKUP(E232,'Tablas Técnicas'!$A$14:$V$771,20,FALSE))</f>
        <v/>
      </c>
      <c r="BL232" s="1146" t="str">
        <f>IF(E232=0,"",VLOOKUP(E232,'Tablas Técnicas'!$A$14:$V$771,21,FALSE))</f>
        <v/>
      </c>
      <c r="BM232" s="1148" t="str">
        <f>IF(E232=0,"",VLOOKUP(E232,'Tablas Técnicas'!$A$14:$V$771,22,FALSE))</f>
        <v/>
      </c>
      <c r="BN232" s="1149"/>
      <c r="BO232" s="1150"/>
      <c r="BP232" s="1135" t="str">
        <f>IF(I232="Si",VLOOKUP($D$8,'Tablas Técnicas'!$E$4:$F$6,2,FALSE),"")</f>
        <v/>
      </c>
      <c r="BQ232" s="1136" t="str">
        <f>IF(L232="Si",VLOOKUP($D$8,'Tablas Técnicas'!$I$4:$J$6,2,FALSE),"")</f>
        <v/>
      </c>
      <c r="BR232" s="1134" t="str">
        <f>IF(O232="Si",VLOOKUP($D$8,'Tablas Técnicas'!$I$7:$J$9,2,FALSE),"")</f>
        <v/>
      </c>
      <c r="BS232" s="1151"/>
      <c r="BT232" s="4448" t="s">
        <v>5227</v>
      </c>
      <c r="BU232" s="4449"/>
      <c r="BV232" s="1128"/>
      <c r="BW232" s="1108"/>
      <c r="BX232" s="1108"/>
      <c r="BY232" s="1474"/>
      <c r="BZ232" s="1492"/>
      <c r="CA232" s="1096"/>
      <c r="DR232" s="1096"/>
      <c r="DT232" s="1514"/>
      <c r="DU232" s="1565" t="str">
        <f>IF(BW245="N/A","",BT244&amp;" "&amp;BW245&amp;IF(BY245="N/A"," "," ("&amp;BY245&amp;") "))</f>
        <v/>
      </c>
      <c r="DV232" s="1566" t="str">
        <f>IF(E232="","",E232)&amp;IF(I232="No",""," (Mant.)")&amp;IF(L232="No",""," (Sme)")&amp;IF(O232="No",""," (SMa)")</f>
        <v/>
      </c>
      <c r="DW232" s="1567" t="str">
        <f>IF(E262="","",E262)</f>
        <v/>
      </c>
      <c r="DX232" s="445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13"/>
      <c r="DZ232" s="1096"/>
      <c r="EA232" s="1660">
        <f t="shared" si="3"/>
        <v>1</v>
      </c>
    </row>
    <row r="233" spans="1:132" ht="12.75" customHeight="1" x14ac:dyDescent="0.2">
      <c r="A233" s="1096"/>
      <c r="B233" s="1096"/>
      <c r="C233" s="1497"/>
      <c r="D233" s="1642" t="s">
        <v>2310</v>
      </c>
      <c r="E233" s="1152"/>
      <c r="F233" s="1153" t="str">
        <f>IF(E233=0,"",VLOOKUP(E233,'Tablas Técnicas'!$A$14:$V$771,2,FALSE))</f>
        <v/>
      </c>
      <c r="G233" s="1154"/>
      <c r="H233" s="1155" t="str">
        <f>IF($E233=0,"",VLOOKUP($E233,'Tablas Técnicas'!$A$14:$V$771,4,FALSE))</f>
        <v/>
      </c>
      <c r="I233" s="1156" t="s">
        <v>2234</v>
      </c>
      <c r="J233" s="1605" t="str">
        <f>IF(E233=0,"",VLOOKUP(E233,'Tablas Técnicas'!$A$14:$V$771,5,FALSE))</f>
        <v/>
      </c>
      <c r="K233" s="1158" t="str">
        <f>IF(I233="Si",IF(E233=0,"",VLOOKUP(E233,'Tablas Técnicas'!$A$14:$V$771,5,FALSE)),"")</f>
        <v/>
      </c>
      <c r="L233" s="1156" t="s">
        <v>2234</v>
      </c>
      <c r="M233" s="1605" t="str">
        <f>IF(E233=0,"",VLOOKUP(E233,'Tablas Técnicas'!$A$14:$V$771,6,FALSE))</f>
        <v/>
      </c>
      <c r="N233" s="1159" t="str">
        <f>IF(L233="Si",IF(E233=0,"",VLOOKUP(E233,'Tablas Técnicas'!$A$14:$V$771,6,FALSE)),"")</f>
        <v/>
      </c>
      <c r="O233" s="1156" t="s">
        <v>2234</v>
      </c>
      <c r="P233" s="1605" t="str">
        <f>IF(E233=0,"",VLOOKUP(E233,'Tablas Técnicas'!$A$14:$V$771,7,FALSE))</f>
        <v/>
      </c>
      <c r="Q233" s="1159" t="str">
        <f>IF(O233="Si",IF(E233=0,"",VLOOKUP(E233,'Tablas Técnicas'!$A$14:$V$771,7,FALSE)),"")</f>
        <v/>
      </c>
      <c r="R233" s="1157" t="str">
        <f>IF(E233=0,"",VLOOKUP(E233,'Tablas Técnicas'!$A$14:$V$771,8,FALSE))</f>
        <v/>
      </c>
      <c r="S233" s="1155" t="str">
        <f>IF(R233=$D$8,$D$8,IF(R233=2,2,IF(R233=3,3,R233)))</f>
        <v/>
      </c>
      <c r="T233" s="4475" t="s">
        <v>5228</v>
      </c>
      <c r="U233" s="4476"/>
      <c r="V233" s="4476"/>
      <c r="W233" s="4476"/>
      <c r="X233" s="4476"/>
      <c r="Y233" s="4476"/>
      <c r="Z233" s="4476"/>
      <c r="AA233" s="4476"/>
      <c r="AB233" s="4476"/>
      <c r="AC233" s="4476"/>
      <c r="AD233" s="4476"/>
      <c r="AE233" s="4476"/>
      <c r="AF233" s="4476"/>
      <c r="AG233" s="4476"/>
      <c r="AH233" s="4476"/>
      <c r="AI233" s="4476"/>
      <c r="AJ233" s="4476"/>
      <c r="AK233" s="4476"/>
      <c r="AL233" s="4476"/>
      <c r="AM233" s="4476"/>
      <c r="AN233" s="4476"/>
      <c r="AO233" s="4476"/>
      <c r="AP233" s="4476"/>
      <c r="AQ233" s="4476"/>
      <c r="AR233" s="4476"/>
      <c r="AS233" s="4476"/>
      <c r="AT233" s="4476"/>
      <c r="AU233" s="4476"/>
      <c r="AV233" s="4476"/>
      <c r="AW233" s="4476"/>
      <c r="AX233" s="4476"/>
      <c r="AY233" s="4476"/>
      <c r="AZ233" s="4476"/>
      <c r="BA233" s="4476"/>
      <c r="BB233" s="4476"/>
      <c r="BC233" s="4476"/>
      <c r="BD233" s="4476"/>
      <c r="BE233" s="4476"/>
      <c r="BF233" s="4476"/>
      <c r="BG233" s="4476"/>
      <c r="BH233" s="4476"/>
      <c r="BI233" s="4476"/>
      <c r="BJ233" s="4476"/>
      <c r="BK233" s="4477"/>
      <c r="BL233" s="1627"/>
      <c r="BM233" s="1628"/>
      <c r="BN233" s="1149"/>
      <c r="BO233" s="1150"/>
      <c r="BP233" s="1135" t="str">
        <f>IF(I233="Si",VLOOKUP($D$8,'Tablas Técnicas'!$E$4:$F$6,2,FALSE),"")</f>
        <v/>
      </c>
      <c r="BQ233" s="1136" t="str">
        <f>IF(L233="Si",VLOOKUP($D$8,'Tablas Técnicas'!$I$4:$J$6,2,FALSE),"")</f>
        <v/>
      </c>
      <c r="BR233" s="1134" t="str">
        <f>IF(O233="Si",VLOOKUP($D$8,'Tablas Técnicas'!$I$7:$J$9,2,FALSE),"")</f>
        <v/>
      </c>
      <c r="BS233" s="1151"/>
      <c r="BT233" s="445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51"/>
      <c r="BV233" s="1128"/>
      <c r="BW233" s="1108"/>
      <c r="BX233" s="1108"/>
      <c r="BY233" s="1474"/>
      <c r="BZ233" s="1492"/>
      <c r="CA233" s="1096"/>
      <c r="DR233" s="1096"/>
      <c r="DT233" s="1514"/>
      <c r="DU233" s="1565" t="str">
        <f>IF(BW247="N/A","",BT246&amp;" "&amp;BW247&amp;IF(BY247="N/A"," "," ("&amp;BY247&amp;") "))</f>
        <v/>
      </c>
      <c r="DV233" s="1566" t="str">
        <f>IF(E233="",""," "&amp;E233)&amp;IF(I233="No",""," (Mant.)")&amp;IF(L233="No",""," (Sme)")&amp;IF(O233="No",""," (SMa)")</f>
        <v/>
      </c>
      <c r="DW233" s="1567" t="str">
        <f>IF(E263="","",", "&amp;E263)</f>
        <v/>
      </c>
      <c r="DX233" s="4454"/>
      <c r="DY233" s="1513"/>
      <c r="DZ233" s="1096"/>
      <c r="EA233" s="1660">
        <f t="shared" si="3"/>
        <v>1</v>
      </c>
    </row>
    <row r="234" spans="1:132" x14ac:dyDescent="0.2">
      <c r="A234" s="1096"/>
      <c r="B234" s="1096"/>
      <c r="C234" s="1497"/>
      <c r="D234" s="1643" t="s">
        <v>2310</v>
      </c>
      <c r="E234" s="1160"/>
      <c r="F234" s="2619" t="str">
        <f>IF(E234=0,"",VLOOKUP(E234,'Tablas Técnicas'!$A$14:$V$771,2,FALSE))</f>
        <v/>
      </c>
      <c r="G234" s="1142"/>
      <c r="H234" s="1161" t="str">
        <f>IF($E234=0,"",VLOOKUP($E234,'Tablas Técnicas'!$A$14:$V$771,4,FALSE))</f>
        <v/>
      </c>
      <c r="I234" s="1144" t="s">
        <v>2234</v>
      </c>
      <c r="J234" s="1601" t="str">
        <f>IF(E234=0,"",VLOOKUP(E234,'Tablas Técnicas'!$A$14:$V$771,5,FALSE))</f>
        <v/>
      </c>
      <c r="K234" s="1163" t="str">
        <f>IF(I234="Si",IF(E234=0,"",VLOOKUP(E234,'Tablas Técnicas'!$A$14:$V$771,5,FALSE)),"")</f>
        <v/>
      </c>
      <c r="L234" s="1144" t="s">
        <v>2234</v>
      </c>
      <c r="M234" s="1601" t="str">
        <f>IF(E234=0,"",VLOOKUP(E234,'Tablas Técnicas'!$A$14:$V$771,6,FALSE))</f>
        <v/>
      </c>
      <c r="N234" s="1147" t="str">
        <f>IF(L234="Si",IF(E234=0,"",VLOOKUP(E234,'Tablas Técnicas'!$A$14:$V$771,6,FALSE)),"")</f>
        <v/>
      </c>
      <c r="O234" s="1144" t="s">
        <v>2234</v>
      </c>
      <c r="P234" s="1601" t="str">
        <f>IF(E234=0,"",VLOOKUP(E234,'Tablas Técnicas'!$A$14:$V$771,7,FALSE))</f>
        <v/>
      </c>
      <c r="Q234" s="1147" t="str">
        <f>IF(O234="Si",IF(E234=0,"",VLOOKUP(E234,'Tablas Técnicas'!$A$14:$V$771,7,FALSE)),"")</f>
        <v/>
      </c>
      <c r="R234" s="1162" t="str">
        <f>IF(E234=0,"",VLOOKUP(E234,'Tablas Técnicas'!$A$14:$V$771,8,FALSE))</f>
        <v/>
      </c>
      <c r="S234" s="2619" t="str">
        <f>IF(R234=$D$8,$D$8,IF(R234=2,2,IF(R234=3,3,R234)))</f>
        <v/>
      </c>
      <c r="T234" s="4487"/>
      <c r="U234" s="4488"/>
      <c r="V234" s="2617" t="str">
        <f>IF(OR(V232=0,V232=""),"N/A",V232)</f>
        <v>N/A</v>
      </c>
      <c r="W234" s="4487" t="str">
        <f xml:space="preserve"> IF(OR(AF232=0,AF232=""),"N/A",W232)</f>
        <v>N/A</v>
      </c>
      <c r="X234" s="4489"/>
      <c r="Y234" s="4489"/>
      <c r="Z234" s="4489"/>
      <c r="AA234" s="4489"/>
      <c r="AB234" s="4489"/>
      <c r="AC234" s="4489"/>
      <c r="AD234" s="4489"/>
      <c r="AE234" s="4489"/>
      <c r="AF234" s="4488"/>
      <c r="AG234" s="4487" t="str">
        <f xml:space="preserve"> IF(OR(AP232="",AP232=0),"N/A",AG232)</f>
        <v>N/A</v>
      </c>
      <c r="AH234" s="4489"/>
      <c r="AI234" s="4489"/>
      <c r="AJ234" s="4489"/>
      <c r="AK234" s="4489"/>
      <c r="AL234" s="4489"/>
      <c r="AM234" s="4489"/>
      <c r="AN234" s="4489"/>
      <c r="AO234" s="4489"/>
      <c r="AP234" s="4488"/>
      <c r="AQ234" s="4487" t="str">
        <f xml:space="preserve"> IF(OR(AZ232="",AZ232=0),"N/A",AQ232)</f>
        <v>N/A</v>
      </c>
      <c r="AR234" s="4489"/>
      <c r="AS234" s="4489"/>
      <c r="AT234" s="4489"/>
      <c r="AU234" s="4489"/>
      <c r="AV234" s="4489"/>
      <c r="AW234" s="4489"/>
      <c r="AX234" s="4489"/>
      <c r="AY234" s="4489"/>
      <c r="AZ234" s="4488"/>
      <c r="BA234" s="4487" t="str">
        <f xml:space="preserve"> IF(OR(BJ232="",BJ232=0),"N/A",BA232)</f>
        <v>N/A</v>
      </c>
      <c r="BB234" s="4489"/>
      <c r="BC234" s="4489"/>
      <c r="BD234" s="4489"/>
      <c r="BE234" s="4489"/>
      <c r="BF234" s="4489"/>
      <c r="BG234" s="4489"/>
      <c r="BH234" s="4489"/>
      <c r="BI234" s="4489"/>
      <c r="BJ234" s="4488"/>
      <c r="BK234" s="1164" t="s">
        <v>5229</v>
      </c>
      <c r="BL234" s="1146"/>
      <c r="BM234" s="1181"/>
      <c r="BN234" s="1165"/>
      <c r="BO234" s="1166"/>
      <c r="BP234" s="1167" t="str">
        <f>IF(I234="Si",VLOOKUP($D$8,'Tablas Técnicas'!$E$4:$F$6,2,FALSE),"")</f>
        <v/>
      </c>
      <c r="BQ234" s="1137" t="str">
        <f>IF(L234="Si",VLOOKUP($D$8,'Tablas Técnicas'!$I$4:$J$6,2,FALSE),"")</f>
        <v/>
      </c>
      <c r="BR234" s="1168" t="str">
        <f>IF(O234="Si",VLOOKUP($D$8,'Tablas Técnicas'!$I$7:$J$9,2,FALSE),"")</f>
        <v/>
      </c>
      <c r="BS234" s="1169"/>
      <c r="BU234" s="2608"/>
      <c r="BV234" s="1128"/>
      <c r="BW234" s="1108"/>
      <c r="BX234" s="1108"/>
      <c r="BY234" s="1474"/>
      <c r="BZ234" s="1492"/>
      <c r="CA234" s="1096"/>
      <c r="DR234" s="1096"/>
      <c r="DT234" s="1514"/>
      <c r="DU234" s="1565" t="str">
        <f>IF(BW249="N/A","",BT248&amp;" "&amp;BW249&amp;IF(BY249="N/A"," "," ("&amp;BY249&amp;") "))</f>
        <v/>
      </c>
      <c r="DV234" s="1566" t="str">
        <f>IF(E234="","",E234)&amp;IF(I234="No",""," (Mant.)")&amp;IF(L234="No",""," (Sme)")&amp;IF(O234="No",""," (SMa)")</f>
        <v/>
      </c>
      <c r="DW234" s="1567" t="str">
        <f>IF(E264="","",", "&amp;E264)</f>
        <v/>
      </c>
      <c r="DX234" s="4454"/>
      <c r="DY234" s="1513"/>
      <c r="DZ234" s="1096"/>
      <c r="EA234" s="1660">
        <f t="shared" si="3"/>
        <v>1</v>
      </c>
    </row>
    <row r="235" spans="1:132" x14ac:dyDescent="0.2">
      <c r="A235" s="1096"/>
      <c r="B235" s="1096"/>
      <c r="C235" s="1497"/>
      <c r="D235" s="1642" t="s">
        <v>2310</v>
      </c>
      <c r="E235" s="1152"/>
      <c r="F235" s="1153" t="str">
        <f>IF(E235=0,"",VLOOKUP(E235,'Tablas Técnicas'!$A$14:$V$771,2,FALSE))</f>
        <v/>
      </c>
      <c r="G235" s="1154"/>
      <c r="H235" s="1155" t="str">
        <f>IF($E235=0,"",VLOOKUP($E235,'Tablas Técnicas'!$A$14:$V$771,4,FALSE))</f>
        <v/>
      </c>
      <c r="I235" s="1156" t="s">
        <v>2234</v>
      </c>
      <c r="J235" s="1605" t="str">
        <f>IF(E235=0,"",VLOOKUP(E235,'Tablas Técnicas'!$A$14:$V$771,5,FALSE))</f>
        <v/>
      </c>
      <c r="K235" s="1158" t="str">
        <f>IF(I235="Si",IF(E235=0,"",VLOOKUP(E235,'Tablas Técnicas'!$A$14:$V$771,5,FALSE)),"")</f>
        <v/>
      </c>
      <c r="L235" s="1156" t="s">
        <v>2234</v>
      </c>
      <c r="M235" s="1605" t="str">
        <f>IF(E235=0,"",VLOOKUP(E235,'Tablas Técnicas'!$A$14:$V$771,6,FALSE))</f>
        <v/>
      </c>
      <c r="N235" s="1159" t="str">
        <f>IF(L235="Si",IF(E235=0,"",VLOOKUP(E235,'Tablas Técnicas'!$A$14:$V$771,6,FALSE)),"")</f>
        <v/>
      </c>
      <c r="O235" s="1156" t="s">
        <v>2234</v>
      </c>
      <c r="P235" s="1605" t="str">
        <f>IF(E235=0,"",VLOOKUP(E235,'Tablas Técnicas'!$A$14:$V$771,7,FALSE))</f>
        <v/>
      </c>
      <c r="Q235" s="1159" t="str">
        <f>IF(O235="Si",IF(E235=0,"",VLOOKUP(E235,'Tablas Técnicas'!$A$14:$V$771,7,FALSE)),"")</f>
        <v/>
      </c>
      <c r="R235" s="1157" t="str">
        <f>IF(E235=0,"",VLOOKUP(E235,'Tablas Técnicas'!$A$14:$V$771,8,FALSE))</f>
        <v/>
      </c>
      <c r="S235" s="1155" t="str">
        <f>IF(R235=$D$8,$D$8,IF(R235=2,2,IF(R235=3,3,R235)))</f>
        <v/>
      </c>
      <c r="T235" s="4490" t="s">
        <v>5230</v>
      </c>
      <c r="U235" s="4491"/>
      <c r="V235" s="2618"/>
      <c r="W235" s="4492"/>
      <c r="X235" s="4493"/>
      <c r="Y235" s="4493"/>
      <c r="Z235" s="4493"/>
      <c r="AA235" s="4493"/>
      <c r="AB235" s="4493"/>
      <c r="AC235" s="4493"/>
      <c r="AD235" s="4493"/>
      <c r="AE235" s="4493"/>
      <c r="AF235" s="4494"/>
      <c r="AG235" s="4492"/>
      <c r="AH235" s="4493"/>
      <c r="AI235" s="4493"/>
      <c r="AJ235" s="4493"/>
      <c r="AK235" s="4493"/>
      <c r="AL235" s="4493"/>
      <c r="AM235" s="4493"/>
      <c r="AN235" s="4493"/>
      <c r="AO235" s="4493"/>
      <c r="AP235" s="4494"/>
      <c r="AQ235" s="4492"/>
      <c r="AR235" s="4493"/>
      <c r="AS235" s="4493"/>
      <c r="AT235" s="4493"/>
      <c r="AU235" s="4493"/>
      <c r="AV235" s="4493"/>
      <c r="AW235" s="4493"/>
      <c r="AX235" s="4493"/>
      <c r="AY235" s="4493"/>
      <c r="AZ235" s="4494"/>
      <c r="BA235" s="4492"/>
      <c r="BB235" s="4493"/>
      <c r="BC235" s="4493"/>
      <c r="BD235" s="4493"/>
      <c r="BE235" s="4493"/>
      <c r="BF235" s="4493"/>
      <c r="BG235" s="4493"/>
      <c r="BH235" s="4493"/>
      <c r="BI235" s="4493"/>
      <c r="BJ235" s="4494"/>
      <c r="BK235" s="1155">
        <f>(SUM(F232:F236)+IF(AF232="",0,AF232)+IF(AP232="",0,AP232)+IF(AZ232="",0,AZ232)+IF(BJ232="",0,BJ232)+SUM(K232:K236)+SUM(N232:N236)+SUM(Q232:Q236))- SUM(V235:BA235)</f>
        <v>0</v>
      </c>
      <c r="BL235" s="1627"/>
      <c r="BM235" s="1628"/>
      <c r="BN235" s="1149"/>
      <c r="BO235" s="1150"/>
      <c r="BP235" s="1135" t="str">
        <f>IF(I235="Si",VLOOKUP($D$8,'Tablas Técnicas'!$E$4:$F$6,2,FALSE),"")</f>
        <v/>
      </c>
      <c r="BQ235" s="1136" t="str">
        <f>IF(L235="Si",VLOOKUP($D$8,'Tablas Técnicas'!$I$4:$J$6,2,FALSE),"")</f>
        <v/>
      </c>
      <c r="BR235" s="1134" t="str">
        <f>IF(O235="Si",VLOOKUP($D$8,'Tablas Técnicas'!$I$7:$J$9,2,FALSE),"")</f>
        <v/>
      </c>
      <c r="BS235" s="1151"/>
      <c r="BT235" s="4448" t="s">
        <v>5231</v>
      </c>
      <c r="BU235" s="4449"/>
      <c r="BV235" s="1128"/>
      <c r="BW235" s="1108"/>
      <c r="BX235" s="1108"/>
      <c r="BY235" s="1474"/>
      <c r="BZ235" s="1492"/>
      <c r="CA235" s="1096"/>
      <c r="DR235" s="1096"/>
      <c r="DT235" s="1514"/>
      <c r="DU235" s="1565" t="str">
        <f>IF(BW251="N/A","",BT250&amp;" "&amp;BW251&amp;IF(BY251="N/A"," "," ("&amp;BY251&amp;") "))</f>
        <v/>
      </c>
      <c r="DV235" s="1566" t="str">
        <f>IF(E235="","",E235)&amp;IF(I235="No",""," (Mant.)")&amp;IF(L235="No",""," (Sme)")&amp;IF(O235="No",""," (SMa)")</f>
        <v/>
      </c>
      <c r="DW235" s="1567"/>
      <c r="DX235" s="4454"/>
      <c r="DY235" s="1513"/>
      <c r="DZ235" s="1096"/>
      <c r="EA235" s="1660">
        <f t="shared" si="3"/>
        <v>1</v>
      </c>
    </row>
    <row r="236" spans="1:132" x14ac:dyDescent="0.2">
      <c r="A236" s="1096"/>
      <c r="B236" s="1096"/>
      <c r="C236" s="1497"/>
      <c r="D236" s="1643" t="s">
        <v>2310</v>
      </c>
      <c r="E236" s="1160"/>
      <c r="F236" s="2619" t="str">
        <f>IF(E236=0,"",VLOOKUP(E236,'Tablas Técnicas'!$A$14:$V$771,2,FALSE))</f>
        <v/>
      </c>
      <c r="G236" s="1142"/>
      <c r="H236" s="1161" t="str">
        <f>IF($E236=0,"",VLOOKUP($E236,'Tablas Técnicas'!$A$14:$V$771,4,FALSE))</f>
        <v/>
      </c>
      <c r="I236" s="1144" t="s">
        <v>2234</v>
      </c>
      <c r="J236" s="1601" t="str">
        <f>IF(E236=0,"",VLOOKUP(E236,'Tablas Técnicas'!$A$14:$V$771,5,FALSE))</f>
        <v/>
      </c>
      <c r="K236" s="1163" t="str">
        <f>IF(I236="Si",IF(E236=0,"",VLOOKUP(E236,'Tablas Técnicas'!$A$14:$V$771,5,FALSE)),"")</f>
        <v/>
      </c>
      <c r="L236" s="1144" t="s">
        <v>2234</v>
      </c>
      <c r="M236" s="1601" t="str">
        <f>IF(E236=0,"",VLOOKUP(E236,'Tablas Técnicas'!$A$14:$V$771,6,FALSE))</f>
        <v/>
      </c>
      <c r="N236" s="1147" t="str">
        <f>IF(L236="Si",IF(E236=0,"",VLOOKUP(E236,'Tablas Técnicas'!$A$14:$V$771,6,FALSE)),"")</f>
        <v/>
      </c>
      <c r="O236" s="1144" t="s">
        <v>2234</v>
      </c>
      <c r="P236" s="1601" t="str">
        <f>IF(E236=0,"",VLOOKUP(E236,'Tablas Técnicas'!$A$14:$V$771,7,FALSE))</f>
        <v/>
      </c>
      <c r="Q236" s="1147" t="str">
        <f>IF(O236="Si",IF(E236=0,"",VLOOKUP(E236,'Tablas Técnicas'!$A$14:$V$771,7,FALSE)),"")</f>
        <v/>
      </c>
      <c r="R236" s="1162" t="str">
        <f>IF(E236=0,"",VLOOKUP(E236,'Tablas Técnicas'!$A$14:$V$771,8,FALSE))</f>
        <v/>
      </c>
      <c r="S236" s="1161" t="str">
        <f>IF(R236=$D$8,$D$8,IF(R236=2,2,IF(R236=3,3,R236)))</f>
        <v/>
      </c>
      <c r="T236" s="4482" t="s">
        <v>5232</v>
      </c>
      <c r="U236" s="4483"/>
      <c r="V236" s="2616"/>
      <c r="W236" s="4484"/>
      <c r="X236" s="4485"/>
      <c r="Y236" s="4485"/>
      <c r="Z236" s="4485"/>
      <c r="AA236" s="4485"/>
      <c r="AB236" s="4485"/>
      <c r="AC236" s="4485"/>
      <c r="AD236" s="4485"/>
      <c r="AE236" s="4485"/>
      <c r="AF236" s="4486"/>
      <c r="AG236" s="4484"/>
      <c r="AH236" s="4485"/>
      <c r="AI236" s="4485"/>
      <c r="AJ236" s="4485"/>
      <c r="AK236" s="4485"/>
      <c r="AL236" s="4485"/>
      <c r="AM236" s="4485"/>
      <c r="AN236" s="4485"/>
      <c r="AO236" s="4485"/>
      <c r="AP236" s="4486"/>
      <c r="AQ236" s="4484"/>
      <c r="AR236" s="4485"/>
      <c r="AS236" s="4485"/>
      <c r="AT236" s="4485"/>
      <c r="AU236" s="4485"/>
      <c r="AV236" s="4485"/>
      <c r="AW236" s="4485"/>
      <c r="AX236" s="4485"/>
      <c r="AY236" s="4485"/>
      <c r="AZ236" s="4486"/>
      <c r="BA236" s="4484"/>
      <c r="BB236" s="4485"/>
      <c r="BC236" s="4485"/>
      <c r="BD236" s="4485"/>
      <c r="BE236" s="4485"/>
      <c r="BF236" s="4485"/>
      <c r="BG236" s="4485"/>
      <c r="BH236" s="4485"/>
      <c r="BI236" s="4485"/>
      <c r="BJ236" s="4486"/>
      <c r="BK236" s="1171">
        <f>SUM(K232:K236)-SUM(V236:BA236)</f>
        <v>0</v>
      </c>
      <c r="BL236" s="1629"/>
      <c r="BM236" s="1630"/>
      <c r="BN236" s="1165"/>
      <c r="BO236" s="1166"/>
      <c r="BP236" s="1167" t="str">
        <f>IF(I236="Si",VLOOKUP($D$8,'Tablas Técnicas'!$E$4:$F$6,2,FALSE),"")</f>
        <v/>
      </c>
      <c r="BQ236" s="1137" t="str">
        <f>IF(L236="Si",VLOOKUP($D$8,'Tablas Técnicas'!$I$4:$J$6,2,FALSE),"")</f>
        <v/>
      </c>
      <c r="BR236" s="1168" t="str">
        <f>IF(O236="Si",VLOOKUP($D$8,'Tablas Técnicas'!$I$7:$J$9,2,FALSE),"")</f>
        <v/>
      </c>
      <c r="BS236" s="1169"/>
      <c r="BT236" s="4452" t="s">
        <v>2234</v>
      </c>
      <c r="BU236" s="4453"/>
      <c r="BV236" s="1128"/>
      <c r="BW236" s="1108"/>
      <c r="BX236" s="1108"/>
      <c r="BY236" s="1474"/>
      <c r="BZ236" s="1492"/>
      <c r="CA236" s="1096"/>
      <c r="DR236" s="1096"/>
      <c r="DT236" s="1514"/>
      <c r="DU236" s="1565" t="str">
        <f>IF(BW253="N/A","",BT252&amp;" "&amp;BW253&amp;IF(BY253="N/A"," "," ("&amp;BY253&amp;") "))</f>
        <v/>
      </c>
      <c r="DV236" s="1566" t="str">
        <f>IF(E236="","",E236)&amp;IF(I236="No",""," (Mant.)")&amp;IF(L236="No",""," (Sme)")&amp;IF(O236="No",""," (SMa)")</f>
        <v/>
      </c>
      <c r="DW236" s="1567"/>
      <c r="DX236" s="4454"/>
      <c r="DY236" s="1513"/>
      <c r="DZ236" s="1096"/>
      <c r="EA236" s="1660">
        <f t="shared" si="3"/>
        <v>1</v>
      </c>
    </row>
    <row r="237" spans="1:132" x14ac:dyDescent="0.2">
      <c r="A237" s="1096"/>
      <c r="B237" s="159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97"/>
      <c r="D237" s="1644">
        <v>2</v>
      </c>
      <c r="E237" s="1423"/>
      <c r="F237" s="1173"/>
      <c r="G237" s="1174"/>
      <c r="H237" s="2559">
        <f>IF(AND(OR(ISNUMBER(SEARCH("Afinidad Elemental ("&amp;BK232&amp;")",Principal!$AF$30)),ISNUMBER(SEARCH("Afinidad Elemental ("&amp;BL232&amp;")",Principal!$AF$30)),ISNUMBER(SEARCH("Afinidad Elemental ("&amp;BM232&amp;")",Principal!$AF$30))),SUM(H232:H236)&gt;=5),-5,0)</f>
        <v>0</v>
      </c>
      <c r="I237" s="1603"/>
      <c r="J237" s="1606"/>
      <c r="K237" s="1174"/>
      <c r="L237" s="1603"/>
      <c r="M237" s="1606"/>
      <c r="N237" s="1174"/>
      <c r="O237" s="1603"/>
      <c r="P237" s="1606"/>
      <c r="Q237" s="1174"/>
      <c r="R237" s="1175"/>
      <c r="S237" s="1174"/>
      <c r="T237" s="1174"/>
      <c r="U237" s="1131"/>
      <c r="V237" s="1131"/>
      <c r="W237" s="1131"/>
      <c r="X237" s="1131"/>
      <c r="Y237" s="1131"/>
      <c r="Z237" s="1131"/>
      <c r="AA237" s="1131"/>
      <c r="AB237" s="1131"/>
      <c r="AC237" s="1131"/>
      <c r="AD237" s="1131"/>
      <c r="AE237" s="1131"/>
      <c r="AF237" s="1131"/>
      <c r="AG237" s="1131"/>
      <c r="AH237" s="1131"/>
      <c r="AI237" s="1131"/>
      <c r="AJ237" s="1131"/>
      <c r="AK237" s="1131"/>
      <c r="AL237" s="1131"/>
      <c r="AM237" s="1131"/>
      <c r="AN237" s="1131"/>
      <c r="AO237" s="1131"/>
      <c r="AP237" s="1131"/>
      <c r="AQ237" s="1131"/>
      <c r="AR237" s="1131"/>
      <c r="AS237" s="1131"/>
      <c r="AT237" s="1131"/>
      <c r="AU237" s="1131"/>
      <c r="AV237" s="1131"/>
      <c r="AW237" s="1131"/>
      <c r="AX237" s="1131"/>
      <c r="AY237" s="1131"/>
      <c r="AZ237" s="1131"/>
      <c r="BA237" s="1131"/>
      <c r="BB237" s="1131"/>
      <c r="BC237" s="1131"/>
      <c r="BD237" s="1131"/>
      <c r="BE237" s="1131"/>
      <c r="BF237" s="1131"/>
      <c r="BG237" s="1131"/>
      <c r="BH237" s="1131"/>
      <c r="BI237" s="1131"/>
      <c r="BJ237" s="1131"/>
      <c r="BK237" s="1131"/>
      <c r="BL237" s="1131"/>
      <c r="BM237" s="1133"/>
      <c r="BN237" s="1134">
        <f>SUM(K237:K240)</f>
        <v>0</v>
      </c>
      <c r="BO237" s="1128" t="str">
        <f>IF(E237=0,"",(AF237+AP237+AZ237+BJ237))</f>
        <v/>
      </c>
      <c r="BP237" s="1135" t="str">
        <f>IF(I237="Si",VLOOKUP($D$8,'Tablas Técnicas'!$E$4:$F$6,2,FALSE),"")</f>
        <v/>
      </c>
      <c r="BQ237" s="1136" t="str">
        <f>IF(L237="Si",VLOOKUP($D$8,'Tablas Técnicas'!$I$4:$J$6,2,FALSE),"")</f>
        <v/>
      </c>
      <c r="BR237" s="1134" t="str">
        <f>IF(O237="Si",VLOOKUP($D$8,'Tablas Técnicas'!$I$7:$J$9,2,FALSE),"")</f>
        <v/>
      </c>
      <c r="BS237" s="1151"/>
      <c r="BT237" s="4448" t="s">
        <v>5233</v>
      </c>
      <c r="BU237" s="4449"/>
      <c r="BV237" s="1128"/>
      <c r="BW237" s="1108"/>
      <c r="BX237" s="1108"/>
      <c r="BY237" s="1474"/>
      <c r="BZ237" s="1492"/>
      <c r="CA237" s="1096"/>
      <c r="DR237" s="1096"/>
      <c r="DT237" s="1514"/>
      <c r="DU237" s="1565" t="str">
        <f>IF(BW255="N/A","",BT254&amp;" "&amp;BW255&amp;IF(BY255="N/A"," "," ("&amp;BY255&amp;") "))</f>
        <v/>
      </c>
      <c r="DV237" s="1570"/>
      <c r="DW237" s="1567"/>
      <c r="DX237" s="1617" t="s">
        <v>2373</v>
      </c>
      <c r="DY237" s="1513"/>
      <c r="DZ237" s="1096"/>
      <c r="EA237" s="1660">
        <f t="shared" si="3"/>
        <v>1</v>
      </c>
    </row>
    <row r="238" spans="1:132" x14ac:dyDescent="0.2">
      <c r="A238" s="1096"/>
      <c r="B238" s="1096"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97"/>
      <c r="D238" s="1643" t="s">
        <v>2310</v>
      </c>
      <c r="E238" s="1140"/>
      <c r="F238" s="1176"/>
      <c r="G238" s="1146" t="str">
        <f>IF(E238=0,"",VLOOKUP(E238,'Tablas Técnicas'!$A$14:$V$771,3,FALSE))</f>
        <v/>
      </c>
      <c r="H238" s="1178" t="str">
        <f>IF($E238=0,"",VLOOKUP($E238,'Tablas Técnicas'!$A$14:$V$771,4,FALSE))</f>
        <v/>
      </c>
      <c r="I238" s="1144" t="s">
        <v>2234</v>
      </c>
      <c r="J238" s="1604" t="str">
        <f>IF(E238=0,"",VLOOKUP(E238,'Tablas Técnicas'!$A$14:$V$771,5,FALSE))</f>
        <v/>
      </c>
      <c r="K238" s="1177" t="str">
        <f>IF(I238="Si",IF(E238=0,"",VLOOKUP(E238,'Tablas Técnicas'!$A$14:$V$771,5,FALSE)),"")</f>
        <v/>
      </c>
      <c r="L238" s="1144" t="s">
        <v>2234</v>
      </c>
      <c r="M238" s="1604" t="str">
        <f>IF(E238=0,"",VLOOKUP(E238,'Tablas Técnicas'!$A$14:$V$771,6,FALSE))</f>
        <v/>
      </c>
      <c r="N238" s="1147" t="str">
        <f>IF(L238="Si",IF(E238=0,"",VLOOKUP(E238,'Tablas Técnicas'!$A$14:$V$771,6,FALSE)),"")</f>
        <v/>
      </c>
      <c r="O238" s="1144" t="s">
        <v>2234</v>
      </c>
      <c r="P238" s="1604" t="str">
        <f>IF(E238=0,"",VLOOKUP(E238,'Tablas Técnicas'!$A$14:$V$771,7,FALSE))</f>
        <v/>
      </c>
      <c r="Q238" s="1147" t="str">
        <f>IF(O238="Si",IF(E238=0,"",VLOOKUP(E238,'Tablas Técnicas'!$A$14:$V$771,7,FALSE)),"")</f>
        <v/>
      </c>
      <c r="R238" s="1179" t="str">
        <f>IF(E238=0,"",VLOOKUP(E238,'Tablas Técnicas'!$A$14:$V$771,8,FALSE))</f>
        <v/>
      </c>
      <c r="S238" s="1178" t="str">
        <f>IF(R238=$D$8,$D$8,IF(R238=2,2,IF(R238=3,3,R238)))</f>
        <v/>
      </c>
      <c r="T238" s="1146" t="str">
        <f>IF(E238=0,"",VLOOKUP(E238,'Tablas Técnicas'!$A$14:$V$771,9,FALSE))</f>
        <v/>
      </c>
      <c r="U238" s="1146" t="str">
        <f>IF(E238=0,"",VLOOKUP(E238,'Tablas Técnicas'!$A$14:$V$771,10,FALSE))</f>
        <v/>
      </c>
      <c r="V238" s="1141" t="str">
        <f>IF(E238=0,"",VLOOKUP(E238,'Tablas Técnicas'!$A$14:$V$771,11,FALSE))</f>
        <v/>
      </c>
      <c r="W238" s="1144"/>
      <c r="X238" s="1145" t="e">
        <f>VLOOKUP(E238,'Tablas Técnicas'!$A$14:$V$771,12,FALSE)</f>
        <v>#N/A</v>
      </c>
      <c r="Y238" s="1145" t="e">
        <f>IF(W238=X238,VLOOKUP(E238,'Tablas Técnicas'!$A$14:$V$771,13,FALSE),0)</f>
        <v>#N/A</v>
      </c>
      <c r="Z238" s="1145" t="e">
        <f>VLOOKUP(E238,'Tablas Técnicas'!$A$14:$V$771,14,FALSE)</f>
        <v>#N/A</v>
      </c>
      <c r="AA238" s="1145" t="e">
        <f>IF(W238=Z238,VLOOKUP(E238,'Tablas Técnicas'!$A$14:$V$616,15,FALSE),0)</f>
        <v>#N/A</v>
      </c>
      <c r="AB238" s="1145" t="e">
        <f>VLOOKUP(E238,'Tablas Técnicas'!$A$14:$V$771,16,FALSE)</f>
        <v>#N/A</v>
      </c>
      <c r="AC238" s="1145" t="e">
        <f>IF(W238=AB238,VLOOKUP(E238,'Tablas Técnicas'!$A$14:$V$616,17,FALSE),0)</f>
        <v>#N/A</v>
      </c>
      <c r="AD238" s="1145" t="e">
        <f>VLOOKUP(E238,'Tablas Técnicas'!$A$14:$V$771,18,FALSE)</f>
        <v>#N/A</v>
      </c>
      <c r="AE238" s="1145" t="e">
        <f>IF(W238=AD238,VLOOKUP(E238,'Tablas Técnicas'!$A$14:$V$771,19,FALSE),0)</f>
        <v>#N/A</v>
      </c>
      <c r="AF238" s="1146" t="str">
        <f>IF(E238=0,"",(Y238+AA238+AC238+AE238))</f>
        <v/>
      </c>
      <c r="AG238" s="1144"/>
      <c r="AH238" s="1179" t="e">
        <f>VLOOKUP(E238,'Tablas Técnicas'!$A$14:$V$771,12,FALSE)</f>
        <v>#N/A</v>
      </c>
      <c r="AI238" s="1179" t="e">
        <f>IF(AG238=AH238,VLOOKUP(E238,'Tablas Técnicas'!$A$14:$V$771,13,FALSE),0)</f>
        <v>#N/A</v>
      </c>
      <c r="AJ238" s="1179" t="e">
        <f>VLOOKUP(E238,'Tablas Técnicas'!$A$14:$V$771,14,FALSE)</f>
        <v>#N/A</v>
      </c>
      <c r="AK238" s="1179" t="e">
        <f>IF(AG238=AJ238,VLOOKUP(E238,'Tablas Técnicas'!$A$14:$V$771,15,FALSE),0)</f>
        <v>#N/A</v>
      </c>
      <c r="AL238" s="1179" t="e">
        <f>VLOOKUP(E238,'Tablas Técnicas'!$A$14:$V$771,16,FALSE)</f>
        <v>#N/A</v>
      </c>
      <c r="AM238" s="1179" t="e">
        <f>IF(AG238=AL238,VLOOKUP(E238,'Tablas Técnicas'!$A$14:$V$771,17,FALSE),0)</f>
        <v>#N/A</v>
      </c>
      <c r="AN238" s="1179" t="e">
        <f>VLOOKUP(E238,'Tablas Técnicas'!$A$14:$V$771,18,FALSE)</f>
        <v>#N/A</v>
      </c>
      <c r="AO238" s="1179" t="e">
        <f>IF(AG238=AN238,VLOOKUP(E238,'Tablas Técnicas'!$A$14:$V$771,19,FALSE),0)</f>
        <v>#N/A</v>
      </c>
      <c r="AP238" s="1180" t="str">
        <f>IF(E238=0,"",(AI238+AK238+AM238+AO238))</f>
        <v/>
      </c>
      <c r="AQ238" s="1144"/>
      <c r="AR238" s="1145" t="e">
        <f>VLOOKUP(E238,'Tablas Técnicas'!$A$14:$V$771,12,FALSE)</f>
        <v>#N/A</v>
      </c>
      <c r="AS238" s="1145" t="e">
        <f>IF(AQ238=AR238,VLOOKUP(E238,'Tablas Técnicas'!$A$14:$V$771,13,FALSE),0)</f>
        <v>#N/A</v>
      </c>
      <c r="AT238" s="1145" t="e">
        <f>VLOOKUP(E238,'Tablas Técnicas'!$A$14:$V$771,14,FALSE)</f>
        <v>#N/A</v>
      </c>
      <c r="AU238" s="1145" t="e">
        <f>IF(AQ238=AT238,VLOOKUP(E238,'Tablas Técnicas'!$A$14:$V$771,15,FALSE),0)</f>
        <v>#N/A</v>
      </c>
      <c r="AV238" s="1145" t="e">
        <f>VLOOKUP(E238,'Tablas Técnicas'!$A$14:$V$771,16,FALSE)</f>
        <v>#N/A</v>
      </c>
      <c r="AW238" s="1145" t="e">
        <f>IF(AQ238=AV238,VLOOKUP(E238,'Tablas Técnicas'!$A$14:$V$771,17,FALSE),0)</f>
        <v>#N/A</v>
      </c>
      <c r="AX238" s="1145" t="e">
        <f>VLOOKUP(E238,'Tablas Técnicas'!$A$14:$V$771,18,FALSE)</f>
        <v>#N/A</v>
      </c>
      <c r="AY238" s="1145" t="e">
        <f>IF(AQ238=AX238,VLOOKUP(E238,'Tablas Técnicas'!$A$14:$V$771,19,FALSE),0)</f>
        <v>#N/A</v>
      </c>
      <c r="AZ238" s="1146" t="str">
        <f>IF(E238=0,"",(AS238+AU238+AW238+AY238))</f>
        <v/>
      </c>
      <c r="BA238" s="1144"/>
      <c r="BB238" s="1145" t="e">
        <f>VLOOKUP(E238,'Tablas Técnicas'!$A$14:$V$771,12,FALSE)</f>
        <v>#N/A</v>
      </c>
      <c r="BC238" s="1145" t="e">
        <f>IF(BA238=BB238,VLOOKUP(E238,'Tablas Técnicas'!$A$14:$V$771,13,FALSE),0)</f>
        <v>#N/A</v>
      </c>
      <c r="BD238" s="1145" t="e">
        <f>VLOOKUP(E238,'Tablas Técnicas'!$A$14:$V$771,14,FALSE)</f>
        <v>#N/A</v>
      </c>
      <c r="BE238" s="1145" t="e">
        <f>IF(BA238=BD238,VLOOKUP(E238,'Tablas Técnicas'!$A$14:$V$771,15,FALSE),0)</f>
        <v>#N/A</v>
      </c>
      <c r="BF238" s="1145" t="e">
        <f>VLOOKUP(E238,'Tablas Técnicas'!$A$14:$V$771,16,FALSE)</f>
        <v>#N/A</v>
      </c>
      <c r="BG238" s="1145" t="e">
        <f>IF(BA238=BF238,VLOOKUP(E238,'Tablas Técnicas'!$A$14:$V$771,17,FALSE),0)</f>
        <v>#N/A</v>
      </c>
      <c r="BH238" s="1145" t="e">
        <f>VLOOKUP(E238,'Tablas Técnicas'!$A$14:$V$771,18,FALSE)</f>
        <v>#N/A</v>
      </c>
      <c r="BI238" s="1145" t="e">
        <f>IF(BA238=BH238,VLOOKUP(E238,'Tablas Técnicas'!$A$14:$V$771,19,FALSE),0)</f>
        <v>#N/A</v>
      </c>
      <c r="BJ238" s="1147" t="str">
        <f>IF(E238=0,"",(BC238+BE238+BG238+BI238))</f>
        <v/>
      </c>
      <c r="BK238" s="1146" t="str">
        <f>IF(E238=0,"",VLOOKUP(E238,'Tablas Técnicas'!$A$14:$V$771,20,FALSE))</f>
        <v/>
      </c>
      <c r="BL238" s="1146" t="str">
        <f>IF(E238=0,"",VLOOKUP(E238,'Tablas Técnicas'!$A$14:$V$771,21,FALSE))</f>
        <v/>
      </c>
      <c r="BM238" s="1181" t="str">
        <f>IF(E238=0,"",VLOOKUP(E238,'Tablas Técnicas'!$A$14:$V$771,22,FALSE))</f>
        <v/>
      </c>
      <c r="BN238" s="1149"/>
      <c r="BO238" s="1150"/>
      <c r="BP238" s="1135" t="str">
        <f>IF(I238="Si",VLOOKUP($D$8,'Tablas Técnicas'!$E$4:$F$6,2,FALSE),"")</f>
        <v/>
      </c>
      <c r="BQ238" s="1136" t="str">
        <f>IF(L238="Si",VLOOKUP($D$8,'Tablas Técnicas'!$I$4:$J$6,2,FALSE),"")</f>
        <v/>
      </c>
      <c r="BR238" s="1134" t="str">
        <f>IF(O238="Si",VLOOKUP($D$8,'Tablas Técnicas'!$I$7:$J$9,2,FALSE),"")</f>
        <v/>
      </c>
      <c r="BS238" s="1151"/>
      <c r="BT238" s="4452" t="s">
        <v>5213</v>
      </c>
      <c r="BU238" s="4453"/>
      <c r="BV238" s="1128"/>
      <c r="BW238" s="1108"/>
      <c r="BX238" s="1108"/>
      <c r="BY238" s="1474"/>
      <c r="BZ238" s="1492"/>
      <c r="CA238" s="1096"/>
      <c r="DR238" s="1096"/>
      <c r="DT238" s="1515"/>
      <c r="DU238" s="1569"/>
      <c r="DV238" s="1566" t="str">
        <f>IF(E238="","",", "&amp;E238)&amp;IF(I238="No",""," (Mant.)")&amp;IF(L238="No",""," (Sme)")&amp;IF(O238="No",""," (SMa)")</f>
        <v/>
      </c>
      <c r="DW238" s="1567"/>
      <c r="DX238" s="1568" t="str">
        <f>IF(ISNUMBER(FIND('Tablas Técnicas'!A$678,DW256)),BL262&amp;BM262,IF(ISNUMBER(FIND('Tablas Técnicas'!A$679,DW256)),BL262&amp;" "&amp;BM262,""))</f>
        <v/>
      </c>
      <c r="DY238" s="1516"/>
      <c r="DZ238" s="1096"/>
      <c r="EA238" s="1660">
        <f t="shared" si="3"/>
        <v>1</v>
      </c>
    </row>
    <row r="239" spans="1:132" x14ac:dyDescent="0.2">
      <c r="A239" s="1096"/>
      <c r="B239" s="1096"/>
      <c r="C239" s="1497"/>
      <c r="D239" s="1642" t="s">
        <v>2310</v>
      </c>
      <c r="E239" s="1152"/>
      <c r="F239" s="1182"/>
      <c r="G239" s="1627" t="str">
        <f>IF(E239=0,"",VLOOKUP(E239,'Tablas Técnicas'!$A$14:$V$771,3,FALSE))</f>
        <v/>
      </c>
      <c r="H239" s="1155" t="str">
        <f>IF($E239=0,"",VLOOKUP($E239,'Tablas Técnicas'!$A$14:$V$771,4,FALSE))</f>
        <v/>
      </c>
      <c r="I239" s="1156" t="s">
        <v>2234</v>
      </c>
      <c r="J239" s="1605" t="str">
        <f>IF(E239=0,"",VLOOKUP(E239,'Tablas Técnicas'!$A$14:$V$771,5,FALSE))</f>
        <v/>
      </c>
      <c r="K239" s="1158" t="str">
        <f>IF(I239="Si",IF(E239=0,"",VLOOKUP(E239,'Tablas Técnicas'!$A$14:$V$771,5,FALSE)),"")</f>
        <v/>
      </c>
      <c r="L239" s="1156" t="s">
        <v>2234</v>
      </c>
      <c r="M239" s="1605" t="str">
        <f>IF(E239=0,"",VLOOKUP(E239,'Tablas Técnicas'!$A$14:$V$771,6,FALSE))</f>
        <v/>
      </c>
      <c r="N239" s="1159" t="str">
        <f>IF(L239="Si",IF(E239=0,"",VLOOKUP(E239,'Tablas Técnicas'!$A$14:$V$771,6,FALSE)),"")</f>
        <v/>
      </c>
      <c r="O239" s="1156" t="s">
        <v>2234</v>
      </c>
      <c r="P239" s="1605" t="str">
        <f>IF(E239=0,"",VLOOKUP(E239,'Tablas Técnicas'!$A$14:$V$771,7,FALSE))</f>
        <v/>
      </c>
      <c r="Q239" s="1159" t="str">
        <f>IF(O239="Si",IF(E239=0,"",VLOOKUP(E239,'Tablas Técnicas'!$A$14:$V$771,7,FALSE)),"")</f>
        <v/>
      </c>
      <c r="R239" s="1157" t="str">
        <f>IF(E239=0,"",VLOOKUP(E239,'Tablas Técnicas'!$A$14:$V$771,8,FALSE))</f>
        <v/>
      </c>
      <c r="S239" s="1155" t="str">
        <f>IF(R239=$D$8,$D$8,IF(R239=2,2,IF(R239=3,3,R239)))</f>
        <v/>
      </c>
      <c r="T239" s="4475" t="s">
        <v>5228</v>
      </c>
      <c r="U239" s="4476"/>
      <c r="V239" s="4476"/>
      <c r="W239" s="4476"/>
      <c r="X239" s="4476"/>
      <c r="Y239" s="4476"/>
      <c r="Z239" s="4476"/>
      <c r="AA239" s="4476"/>
      <c r="AB239" s="4476"/>
      <c r="AC239" s="4476"/>
      <c r="AD239" s="4476"/>
      <c r="AE239" s="4476"/>
      <c r="AF239" s="4476"/>
      <c r="AG239" s="4476"/>
      <c r="AH239" s="4476"/>
      <c r="AI239" s="4476"/>
      <c r="AJ239" s="4476"/>
      <c r="AK239" s="4476"/>
      <c r="AL239" s="4476"/>
      <c r="AM239" s="4476"/>
      <c r="AN239" s="4476"/>
      <c r="AO239" s="4476"/>
      <c r="AP239" s="4476"/>
      <c r="AQ239" s="4476"/>
      <c r="AR239" s="4476"/>
      <c r="AS239" s="4476"/>
      <c r="AT239" s="4476"/>
      <c r="AU239" s="4476"/>
      <c r="AV239" s="4476"/>
      <c r="AW239" s="4476"/>
      <c r="AX239" s="4476"/>
      <c r="AY239" s="4476"/>
      <c r="AZ239" s="4476"/>
      <c r="BA239" s="4476"/>
      <c r="BB239" s="4476"/>
      <c r="BC239" s="4476"/>
      <c r="BD239" s="4476"/>
      <c r="BE239" s="4476"/>
      <c r="BF239" s="4476"/>
      <c r="BG239" s="4476"/>
      <c r="BH239" s="4476"/>
      <c r="BI239" s="4476"/>
      <c r="BJ239" s="4476"/>
      <c r="BK239" s="4477"/>
      <c r="BL239" s="1627"/>
      <c r="BM239" s="1628"/>
      <c r="BN239" s="1149"/>
      <c r="BO239" s="1150"/>
      <c r="BP239" s="1135" t="str">
        <f>IF(I239="Si",VLOOKUP($D$8,'Tablas Técnicas'!$E$4:$F$6,2,FALSE),"")</f>
        <v/>
      </c>
      <c r="BQ239" s="1136" t="str">
        <f>IF(L239="Si",VLOOKUP($D$8,'Tablas Técnicas'!$I$4:$J$6,2,FALSE),"")</f>
        <v/>
      </c>
      <c r="BR239" s="1134" t="str">
        <f>IF(O239="Si",VLOOKUP($D$8,'Tablas Técnicas'!$I$7:$J$9,2,FALSE),"")</f>
        <v/>
      </c>
      <c r="BS239" s="1151"/>
      <c r="BT239" s="4448" t="s">
        <v>5234</v>
      </c>
      <c r="BU239" s="4449"/>
      <c r="BV239" s="1128"/>
      <c r="BW239" s="1108"/>
      <c r="BX239" s="1108"/>
      <c r="BY239" s="1474"/>
      <c r="BZ239" s="1492"/>
      <c r="CA239" s="1096"/>
      <c r="DR239" s="1096"/>
      <c r="DT239" s="1514"/>
      <c r="DU239" s="1565"/>
      <c r="DV239" s="1566" t="str">
        <f>IF(E239="",""," "&amp;E239)&amp;IF(I239="No",""," (Mant.)")&amp;IF(L239="No",""," (Sme)")&amp;IF(O239="No",""," (SMa)")</f>
        <v/>
      </c>
      <c r="DW239" s="1567"/>
      <c r="DX239" s="1568"/>
      <c r="DY239" s="1513"/>
      <c r="DZ239" s="1096"/>
      <c r="EA239" s="1660">
        <f t="shared" si="3"/>
        <v>1</v>
      </c>
    </row>
    <row r="240" spans="1:132" x14ac:dyDescent="0.2">
      <c r="A240" s="1096"/>
      <c r="B240" s="1096"/>
      <c r="C240" s="1497"/>
      <c r="D240" s="1643" t="s">
        <v>2310</v>
      </c>
      <c r="E240" s="1160"/>
      <c r="F240" s="1176"/>
      <c r="G240" s="1146" t="str">
        <f>IF(E240=0,"",VLOOKUP(E240,'Tablas Técnicas'!$A$14:$V$771,3,FALSE))</f>
        <v/>
      </c>
      <c r="H240" s="2619" t="str">
        <f>IF($E240=0,"",VLOOKUP($E240,'Tablas Técnicas'!$A$14:$V$771,4,FALSE))</f>
        <v/>
      </c>
      <c r="I240" s="1144" t="s">
        <v>2234</v>
      </c>
      <c r="J240" s="1601" t="str">
        <f>IF(E240=0,"",VLOOKUP(E240,'Tablas Técnicas'!$A$14:$V$771,5,FALSE))</f>
        <v/>
      </c>
      <c r="K240" s="1163" t="str">
        <f>IF(I240="Si",IF(E240=0,"",VLOOKUP(E240,'Tablas Técnicas'!$A$14:$V$771,5,FALSE)),"")</f>
        <v/>
      </c>
      <c r="L240" s="1144" t="s">
        <v>2234</v>
      </c>
      <c r="M240" s="1601" t="str">
        <f>IF(E240=0,"",VLOOKUP(E240,'Tablas Técnicas'!$A$14:$V$771,6,FALSE))</f>
        <v/>
      </c>
      <c r="N240" s="1147" t="str">
        <f>IF(L240="Si",IF(E240=0,"",VLOOKUP(E240,'Tablas Técnicas'!$A$14:$V$771,6,FALSE)),"")</f>
        <v/>
      </c>
      <c r="O240" s="1144" t="s">
        <v>2234</v>
      </c>
      <c r="P240" s="1601" t="str">
        <f>IF(E240=0,"",VLOOKUP(E240,'Tablas Técnicas'!$A$14:$V$771,7,FALSE))</f>
        <v/>
      </c>
      <c r="Q240" s="1147" t="str">
        <f>IF(O240="Si",IF(E240=0,"",VLOOKUP(E240,'Tablas Técnicas'!$A$14:$V$771,7,FALSE)),"")</f>
        <v/>
      </c>
      <c r="R240" s="1162" t="str">
        <f>IF(E240=0,"",VLOOKUP(E240,'Tablas Técnicas'!$A$14:$V$771,8,FALSE))</f>
        <v/>
      </c>
      <c r="S240" s="2619" t="str">
        <f>IF(R240=$D$8,$D$8,IF(R240=2,2,IF(R240=3,3,R240)))</f>
        <v/>
      </c>
      <c r="T240" s="4487"/>
      <c r="U240" s="4488"/>
      <c r="V240" s="2617" t="str">
        <f>IF(OR(V238=0,V238=""),"N/A",V238)</f>
        <v>N/A</v>
      </c>
      <c r="W240" s="4487" t="str">
        <f xml:space="preserve"> IF(OR(AF238=0,AF238=""),"N/A",W238)</f>
        <v>N/A</v>
      </c>
      <c r="X240" s="4489"/>
      <c r="Y240" s="4489"/>
      <c r="Z240" s="4489"/>
      <c r="AA240" s="4489"/>
      <c r="AB240" s="4489"/>
      <c r="AC240" s="4489"/>
      <c r="AD240" s="4489"/>
      <c r="AE240" s="4489"/>
      <c r="AF240" s="4488"/>
      <c r="AG240" s="4487" t="str">
        <f xml:space="preserve"> IF(OR(AP238="",AP238=0),"N/A",AG238)</f>
        <v>N/A</v>
      </c>
      <c r="AH240" s="4489"/>
      <c r="AI240" s="4489"/>
      <c r="AJ240" s="4489"/>
      <c r="AK240" s="4489"/>
      <c r="AL240" s="4489"/>
      <c r="AM240" s="4489"/>
      <c r="AN240" s="4489"/>
      <c r="AO240" s="4489"/>
      <c r="AP240" s="4488"/>
      <c r="AQ240" s="4487" t="str">
        <f xml:space="preserve"> IF(OR(AZ238="",AZ238=0),"N/A",AQ238)</f>
        <v>N/A</v>
      </c>
      <c r="AR240" s="4489"/>
      <c r="AS240" s="4489"/>
      <c r="AT240" s="4489"/>
      <c r="AU240" s="4489"/>
      <c r="AV240" s="4489"/>
      <c r="AW240" s="4489"/>
      <c r="AX240" s="4489"/>
      <c r="AY240" s="4489"/>
      <c r="AZ240" s="4488"/>
      <c r="BA240" s="4487" t="str">
        <f xml:space="preserve"> IF(OR(BJ238="",BJ238=0),"N/A",BA238)</f>
        <v>N/A</v>
      </c>
      <c r="BB240" s="4489"/>
      <c r="BC240" s="4489"/>
      <c r="BD240" s="4489"/>
      <c r="BE240" s="4489"/>
      <c r="BF240" s="4489"/>
      <c r="BG240" s="4489"/>
      <c r="BH240" s="4489"/>
      <c r="BI240" s="4489"/>
      <c r="BJ240" s="4488"/>
      <c r="BK240" s="1164" t="s">
        <v>5229</v>
      </c>
      <c r="BL240" s="1146"/>
      <c r="BM240" s="1181"/>
      <c r="BN240" s="1149"/>
      <c r="BO240" s="1166"/>
      <c r="BP240" s="1135" t="str">
        <f>IF(I240="Si",VLOOKUP($D$8,'Tablas Técnicas'!$E$4:$F$6,2,FALSE),"")</f>
        <v/>
      </c>
      <c r="BQ240" s="1136" t="str">
        <f>IF(L240="Si",VLOOKUP($D$8,'Tablas Técnicas'!$I$4:$J$6,2,FALSE),"")</f>
        <v/>
      </c>
      <c r="BR240" s="1134" t="str">
        <f>IF(O240="Si",VLOOKUP($D$8,'Tablas Técnicas'!$I$7:$J$9,2,FALSE),"")</f>
        <v/>
      </c>
      <c r="BS240" s="1151"/>
      <c r="BT240" s="4452" t="s">
        <v>5207</v>
      </c>
      <c r="BU240" s="4453"/>
      <c r="BV240" s="1128"/>
      <c r="BW240" s="1108"/>
      <c r="BX240" s="1108"/>
      <c r="BY240" s="1474"/>
      <c r="BZ240" s="1492"/>
      <c r="CA240" s="1096"/>
      <c r="DR240" s="1096"/>
      <c r="DT240" s="1514"/>
      <c r="DU240" s="1569"/>
      <c r="DV240" s="1566" t="str">
        <f>IF(E240="","",E240)&amp;IF(I240="No",""," (Mant.)")&amp;IF(L240="No",""," (Sme)")&amp;IF(O240="No",""," (SMa)")</f>
        <v/>
      </c>
      <c r="DW240" s="1567"/>
      <c r="DX240" s="1568"/>
      <c r="DY240" s="1513"/>
      <c r="DZ240" s="1096"/>
      <c r="EA240" s="1660">
        <f t="shared" si="3"/>
        <v>1</v>
      </c>
    </row>
    <row r="241" spans="1:131" x14ac:dyDescent="0.2">
      <c r="A241" s="1096"/>
      <c r="B241" s="1096"/>
      <c r="C241" s="1497"/>
      <c r="D241" s="1642" t="s">
        <v>2310</v>
      </c>
      <c r="E241" s="1152"/>
      <c r="F241" s="1182"/>
      <c r="G241" s="1627" t="str">
        <f>IF(E241=0,"",VLOOKUP(E241,'Tablas Técnicas'!$A$14:$V$771,3,FALSE))</f>
        <v/>
      </c>
      <c r="H241" s="1155" t="str">
        <f>IF($E241=0,"",VLOOKUP($E241,'Tablas Técnicas'!$A$14:$V$771,4,FALSE))</f>
        <v/>
      </c>
      <c r="I241" s="1156" t="s">
        <v>2234</v>
      </c>
      <c r="J241" s="1605" t="str">
        <f>IF(E241=0,"",VLOOKUP(E241,'Tablas Técnicas'!$A$14:$V$771,5,FALSE))</f>
        <v/>
      </c>
      <c r="K241" s="1158" t="str">
        <f>IF(I241="Si",IF(E241=0,"",VLOOKUP(E241,'Tablas Técnicas'!$A$14:$V$771,5,FALSE)),"")</f>
        <v/>
      </c>
      <c r="L241" s="1156" t="s">
        <v>2234</v>
      </c>
      <c r="M241" s="1605" t="str">
        <f>IF(E241=0,"",VLOOKUP(E241,'Tablas Técnicas'!$A$14:$V$771,6,FALSE))</f>
        <v/>
      </c>
      <c r="N241" s="1159" t="str">
        <f>IF(L241="Si",IF(E241=0,"",VLOOKUP(E241,'Tablas Técnicas'!$A$14:$V$771,6,FALSE)),"")</f>
        <v/>
      </c>
      <c r="O241" s="1156" t="s">
        <v>2234</v>
      </c>
      <c r="P241" s="1605" t="str">
        <f>IF(E241=0,"",VLOOKUP(E241,'Tablas Técnicas'!$A$14:$V$771,7,FALSE))</f>
        <v/>
      </c>
      <c r="Q241" s="1159" t="str">
        <f>IF(O241="Si",IF(E241=0,"",VLOOKUP(E241,'Tablas Técnicas'!$A$14:$V$771,7,FALSE)),"")</f>
        <v/>
      </c>
      <c r="R241" s="1157" t="str">
        <f>IF(E241=0,"",VLOOKUP(E241,'Tablas Técnicas'!$A$14:$V$771,8,FALSE))</f>
        <v/>
      </c>
      <c r="S241" s="1155" t="str">
        <f>IF(R241=$D$8,$D$8,IF(R241=2,2,IF(R241=3,3,R241)))</f>
        <v/>
      </c>
      <c r="T241" s="4490" t="s">
        <v>5230</v>
      </c>
      <c r="U241" s="4491"/>
      <c r="V241" s="2618"/>
      <c r="W241" s="4492"/>
      <c r="X241" s="4493"/>
      <c r="Y241" s="4493"/>
      <c r="Z241" s="4493"/>
      <c r="AA241" s="4493"/>
      <c r="AB241" s="4493"/>
      <c r="AC241" s="4493"/>
      <c r="AD241" s="4493"/>
      <c r="AE241" s="4493"/>
      <c r="AF241" s="4494"/>
      <c r="AG241" s="4492"/>
      <c r="AH241" s="4493"/>
      <c r="AI241" s="4493"/>
      <c r="AJ241" s="4493"/>
      <c r="AK241" s="4493"/>
      <c r="AL241" s="4493"/>
      <c r="AM241" s="4493"/>
      <c r="AN241" s="4493"/>
      <c r="AO241" s="4493"/>
      <c r="AP241" s="4494"/>
      <c r="AQ241" s="4492"/>
      <c r="AR241" s="4493"/>
      <c r="AS241" s="4493"/>
      <c r="AT241" s="4493"/>
      <c r="AU241" s="4493"/>
      <c r="AV241" s="4493"/>
      <c r="AW241" s="4493"/>
      <c r="AX241" s="4493"/>
      <c r="AY241" s="4493"/>
      <c r="AZ241" s="4494"/>
      <c r="BA241" s="4492"/>
      <c r="BB241" s="4493"/>
      <c r="BC241" s="4493"/>
      <c r="BD241" s="4493"/>
      <c r="BE241" s="4493"/>
      <c r="BF241" s="4493"/>
      <c r="BG241" s="4493"/>
      <c r="BH241" s="4493"/>
      <c r="BI241" s="4493"/>
      <c r="BJ241" s="4494"/>
      <c r="BK241" s="1155">
        <f>(SUM(G238:G242)+IF(AF238="",0,AF238)+IF(AP238="",0,AP238)+IF(AZ238="",0,AZ238)+IF(BJ238="",0,BJ238)+SUM(K238:K242)+SUM(N238:N242)+SUM(Q238:Q242))- SUM(V241:BA241)</f>
        <v>0</v>
      </c>
      <c r="BL241" s="1627"/>
      <c r="BM241" s="1628"/>
      <c r="BN241" s="1149"/>
      <c r="BO241" s="1150"/>
      <c r="BP241" s="1135" t="str">
        <f>IF(I241="Si",VLOOKUP($D$8,'Tablas Técnicas'!$E$4:$F$6,2,FALSE),"")</f>
        <v/>
      </c>
      <c r="BQ241" s="1136" t="str">
        <f>IF(L241="Si",VLOOKUP($D$8,'Tablas Técnicas'!$I$4:$J$6,2,FALSE),"")</f>
        <v/>
      </c>
      <c r="BR241" s="1134" t="str">
        <f>IF(O241="Si",VLOOKUP($D$8,'Tablas Técnicas'!$I$7:$J$9,2,FALSE),"")</f>
        <v/>
      </c>
      <c r="BS241" s="1151"/>
      <c r="BT241" s="4444" t="s">
        <v>5235</v>
      </c>
      <c r="BU241" s="4445"/>
      <c r="BV241" s="1128"/>
      <c r="BW241" s="1108"/>
      <c r="BX241" s="1108"/>
      <c r="BY241" s="1474"/>
      <c r="BZ241" s="1492"/>
      <c r="CA241" s="1096"/>
      <c r="DR241" s="1096"/>
      <c r="DT241" s="1514"/>
      <c r="DU241" s="1565"/>
      <c r="DV241" s="1566" t="str">
        <f>IF(E241="","",E241)&amp;IF(I241="No",""," (Mant.)")&amp;IF(L241="No",""," (Sme)")&amp;IF(O241="No",""," (SMa)")</f>
        <v/>
      </c>
      <c r="DW241" s="1567"/>
      <c r="DX241" s="1568"/>
      <c r="DY241" s="1513"/>
      <c r="DZ241" s="1096"/>
      <c r="EA241" s="1660">
        <f t="shared" si="3"/>
        <v>1</v>
      </c>
    </row>
    <row r="242" spans="1:131" x14ac:dyDescent="0.2">
      <c r="A242" s="1096"/>
      <c r="B242" s="1096"/>
      <c r="C242" s="1497"/>
      <c r="D242" s="1643" t="s">
        <v>2310</v>
      </c>
      <c r="E242" s="1160"/>
      <c r="F242" s="1176"/>
      <c r="G242" s="1146" t="str">
        <f>IF(E242=0,"",VLOOKUP(E242,'Tablas Técnicas'!$A$14:$V$771,3,FALSE))</f>
        <v/>
      </c>
      <c r="H242" s="1161" t="str">
        <f>IF($E242=0,"",VLOOKUP($E242,'Tablas Técnicas'!$A$14:$V$771,4,FALSE))</f>
        <v/>
      </c>
      <c r="I242" s="1144" t="s">
        <v>2234</v>
      </c>
      <c r="J242" s="1601" t="str">
        <f>IF(E242=0,"",VLOOKUP(E242,'Tablas Técnicas'!$A$14:$V$771,5,FALSE))</f>
        <v/>
      </c>
      <c r="K242" s="1163" t="str">
        <f>IF(I242="Si",IF(E242=0,"",VLOOKUP(E242,'Tablas Técnicas'!$A$14:$V$771,5,FALSE)),"")</f>
        <v/>
      </c>
      <c r="L242" s="1144" t="s">
        <v>2234</v>
      </c>
      <c r="M242" s="1601" t="str">
        <f>IF(E242=0,"",VLOOKUP(E242,'Tablas Técnicas'!$A$14:$V$771,6,FALSE))</f>
        <v/>
      </c>
      <c r="N242" s="1147" t="str">
        <f>IF(L242="Si",IF(E242=0,"",VLOOKUP(E242,'Tablas Técnicas'!$A$14:$V$771,6,FALSE)),"")</f>
        <v/>
      </c>
      <c r="O242" s="1144" t="s">
        <v>2234</v>
      </c>
      <c r="P242" s="1601" t="str">
        <f>IF(E242=0,"",VLOOKUP(E242,'Tablas Técnicas'!$A$14:$V$771,7,FALSE))</f>
        <v/>
      </c>
      <c r="Q242" s="1147" t="str">
        <f>IF(O242="Si",IF(E242=0,"",VLOOKUP(E242,'Tablas Técnicas'!$A$14:$V$771,7,FALSE)),"")</f>
        <v/>
      </c>
      <c r="R242" s="1162" t="str">
        <f>IF(E242=0,"",VLOOKUP(E242,'Tablas Técnicas'!$A$14:$V$771,8,FALSE))</f>
        <v/>
      </c>
      <c r="S242" s="1161" t="str">
        <f>IF(R242=$D$8,$D$8,IF(R242=2,2,IF(R242=3,3,R242)))</f>
        <v/>
      </c>
      <c r="T242" s="4482" t="s">
        <v>5232</v>
      </c>
      <c r="U242" s="4483"/>
      <c r="V242" s="2616"/>
      <c r="W242" s="4484"/>
      <c r="X242" s="4485"/>
      <c r="Y242" s="4485"/>
      <c r="Z242" s="4485"/>
      <c r="AA242" s="4485"/>
      <c r="AB242" s="4485"/>
      <c r="AC242" s="4485"/>
      <c r="AD242" s="4485"/>
      <c r="AE242" s="4485"/>
      <c r="AF242" s="4486"/>
      <c r="AG242" s="4484"/>
      <c r="AH242" s="4485"/>
      <c r="AI242" s="4485"/>
      <c r="AJ242" s="4485"/>
      <c r="AK242" s="4485"/>
      <c r="AL242" s="4485"/>
      <c r="AM242" s="4485"/>
      <c r="AN242" s="4485"/>
      <c r="AO242" s="4485"/>
      <c r="AP242" s="4486"/>
      <c r="AQ242" s="4484"/>
      <c r="AR242" s="4485"/>
      <c r="AS242" s="4485"/>
      <c r="AT242" s="4485"/>
      <c r="AU242" s="4485"/>
      <c r="AV242" s="4485"/>
      <c r="AW242" s="4485"/>
      <c r="AX242" s="4485"/>
      <c r="AY242" s="4485"/>
      <c r="AZ242" s="4486"/>
      <c r="BA242" s="4484"/>
      <c r="BB242" s="4485"/>
      <c r="BC242" s="4485"/>
      <c r="BD242" s="4485"/>
      <c r="BE242" s="4485"/>
      <c r="BF242" s="4485"/>
      <c r="BG242" s="4485"/>
      <c r="BH242" s="4485"/>
      <c r="BI242" s="4485"/>
      <c r="BJ242" s="4486"/>
      <c r="BK242" s="1171">
        <f>SUM(K238:K242)-SUM(V242:BA242)</f>
        <v>0</v>
      </c>
      <c r="BL242" s="1629"/>
      <c r="BM242" s="1630"/>
      <c r="BN242" s="1149"/>
      <c r="BO242" s="1166"/>
      <c r="BP242" s="1135" t="str">
        <f>IF(I242="Si",VLOOKUP($D$8,'Tablas Técnicas'!$E$4:$F$6,2,FALSE),"")</f>
        <v/>
      </c>
      <c r="BQ242" s="1136" t="str">
        <f>IF(L242="Si",VLOOKUP($D$8,'Tablas Técnicas'!$I$4:$J$6,2,FALSE),"")</f>
        <v/>
      </c>
      <c r="BR242" s="1134" t="str">
        <f>IF(O242="Si",VLOOKUP($D$8,'Tablas Técnicas'!$I$7:$J$9,2,FALSE),"")</f>
        <v/>
      </c>
      <c r="BS242" s="1151"/>
      <c r="BT242" s="1183">
        <f>IF(BT236="No",0,IF(D230=0,0,VLOOKUP(D230,'Tablas Técnicas'!$L$4:$N$7,2,FALSE)))+IF(BT238="Bajar coste de CM",0,IF(BT238="-5 CM",2,IF(BT238="-10 CM",4,IF(BT238="-15 CM",6,IF(BT238="-20 CM",8,0)))))+IF(BT240="Bajar coste de Ki",0,IF(BT240="-1 Ki",-1,IF(BT240="-2 Ki",-2,IF(BT240="-3 Ki",-3,IF(BT240="-4 Ki",-4,IF(BT240="-5 Ki",-5,0))))))-BU245-BU247-BU249-BU251-BU253-BU255</f>
        <v>0</v>
      </c>
      <c r="BU242" s="2612">
        <f>IF(BT236="No",0,IF(D230=0,0,VLOOKUP(D230,'Tablas Técnicas'!$L$4:$N$7,2,FALSE)))+IF(BT238="Bajar coste de CM",0,IF(BT238="-5 CM",2,IF(BT238="-10 CM",4,IF(BT238="-15 CM",6,IF(BT238="-20 CM",8,0)))))+IF(BT240="Bajar coste de Ki",0,IF(BT240="-1 Ki",-1,IF(BT240="-2 Ki",-2,IF(BT240="-3 Ki",-3,IF(BT240="-4 Ki",-4,IF(BT240="-5 Ki",-5,0))))))</f>
        <v>0</v>
      </c>
      <c r="BV242" s="1128"/>
      <c r="BW242" s="1108"/>
      <c r="BX242" s="1108"/>
      <c r="BY242" s="1474"/>
      <c r="BZ242" s="1492"/>
      <c r="CA242" s="1096"/>
      <c r="DR242" s="1096"/>
      <c r="DT242" s="1514"/>
      <c r="DU242" s="1569"/>
      <c r="DV242" s="1566" t="str">
        <f>IF(E242="","",E242)&amp;IF(I242="No",""," (Mant.)")&amp;IF(L242="No",""," (Sme)")&amp;IF(O242="No",""," (SMa)")</f>
        <v/>
      </c>
      <c r="DW242" s="1567"/>
      <c r="DX242" s="1568"/>
      <c r="DY242" s="1513"/>
      <c r="DZ242" s="1096"/>
      <c r="EA242" s="1660">
        <f t="shared" si="3"/>
        <v>1</v>
      </c>
    </row>
    <row r="243" spans="1:131" x14ac:dyDescent="0.2">
      <c r="A243" s="1096"/>
      <c r="B243" s="159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97"/>
      <c r="D243" s="1644">
        <v>3</v>
      </c>
      <c r="E243" s="1423"/>
      <c r="F243" s="1173"/>
      <c r="G243" s="1174"/>
      <c r="H243" s="2559">
        <f>IF(AND(OR(ISNUMBER(SEARCH("Afinidad Elemental ("&amp;BK238&amp;")",Principal!$AF$30)),ISNUMBER(SEARCH("Afinidad Elemental ("&amp;BL238&amp;")",Principal!$AF$30)),ISNUMBER(SEARCH("Afinidad Elemental ("&amp;BM238&amp;")",Principal!$AF$30))),SUM(H238:H242)&gt;=5),-5,0)</f>
        <v>0</v>
      </c>
      <c r="I243" s="1603"/>
      <c r="J243" s="1606"/>
      <c r="K243" s="1174"/>
      <c r="L243" s="1603"/>
      <c r="M243" s="1606"/>
      <c r="N243" s="1174"/>
      <c r="O243" s="1603"/>
      <c r="P243" s="1606"/>
      <c r="Q243" s="1174"/>
      <c r="R243" s="1175"/>
      <c r="S243" s="1174"/>
      <c r="T243" s="1174"/>
      <c r="U243" s="1174"/>
      <c r="V243" s="1174"/>
      <c r="W243" s="1174"/>
      <c r="X243" s="1174"/>
      <c r="Y243" s="1174"/>
      <c r="Z243" s="1174"/>
      <c r="AA243" s="1174"/>
      <c r="AB243" s="1174"/>
      <c r="AC243" s="1174"/>
      <c r="AD243" s="1174"/>
      <c r="AE243" s="1174"/>
      <c r="AF243" s="1174"/>
      <c r="AG243" s="1174"/>
      <c r="AH243" s="1174"/>
      <c r="AI243" s="1174"/>
      <c r="AJ243" s="1174"/>
      <c r="AK243" s="1174"/>
      <c r="AL243" s="1174"/>
      <c r="AM243" s="1174"/>
      <c r="AN243" s="1174"/>
      <c r="AO243" s="1174"/>
      <c r="AP243" s="1174"/>
      <c r="AQ243" s="1174"/>
      <c r="AR243" s="1174"/>
      <c r="AS243" s="1174"/>
      <c r="AT243" s="1174"/>
      <c r="AU243" s="1174"/>
      <c r="AV243" s="1174"/>
      <c r="AW243" s="1174"/>
      <c r="AX243" s="1174"/>
      <c r="AY243" s="1174"/>
      <c r="AZ243" s="1174"/>
      <c r="BA243" s="1174"/>
      <c r="BB243" s="1174"/>
      <c r="BC243" s="1174"/>
      <c r="BD243" s="1174"/>
      <c r="BE243" s="1174"/>
      <c r="BF243" s="1174"/>
      <c r="BG243" s="1174"/>
      <c r="BH243" s="1174"/>
      <c r="BI243" s="1174"/>
      <c r="BJ243" s="1174"/>
      <c r="BK243" s="1174"/>
      <c r="BL243" s="1174"/>
      <c r="BM243" s="1184"/>
      <c r="BN243" s="1185">
        <f>SUM(K243:K246)</f>
        <v>0</v>
      </c>
      <c r="BO243" s="1128" t="str">
        <f>IF(E243=0,"",(AF243+AP243+AZ243+BJ243))</f>
        <v/>
      </c>
      <c r="BP243" s="1186" t="str">
        <f>IF(I243="Si",VLOOKUP($D$8,'Tablas Técnicas'!$E$4:$F$6,2,FALSE),"")</f>
        <v/>
      </c>
      <c r="BQ243" s="1187" t="str">
        <f>IF(L243="Si",VLOOKUP($D$8,'Tablas Técnicas'!$I$4:$J$6,2,FALSE),"")</f>
        <v/>
      </c>
      <c r="BR243" s="1185" t="str">
        <f>IF(O243="Si",VLOOKUP($D$8,'Tablas Técnicas'!$I$7:$J$9,2,FALSE),"")</f>
        <v/>
      </c>
      <c r="BS243" s="1151"/>
      <c r="BU243" s="2608"/>
      <c r="BV243" s="1128"/>
      <c r="BW243" s="1108"/>
      <c r="BX243" s="1108"/>
      <c r="BY243" s="1474"/>
      <c r="BZ243" s="1492"/>
      <c r="CA243" s="1096"/>
      <c r="DR243" s="1096"/>
      <c r="DT243" s="1514"/>
      <c r="DU243" s="1569"/>
      <c r="DV243" s="1570"/>
      <c r="DW243" s="1567"/>
      <c r="DX243" s="1568"/>
      <c r="DY243" s="1513"/>
      <c r="DZ243" s="1096"/>
      <c r="EA243" s="1660">
        <f t="shared" si="3"/>
        <v>1</v>
      </c>
    </row>
    <row r="244" spans="1:131" x14ac:dyDescent="0.2">
      <c r="A244" s="1096"/>
      <c r="B244" s="1096"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97"/>
      <c r="D244" s="1643" t="s">
        <v>2310</v>
      </c>
      <c r="E244" s="1140"/>
      <c r="F244" s="1176"/>
      <c r="G244" s="1146" t="str">
        <f>IF(E244=0,"",VLOOKUP(E244,'Tablas Técnicas'!$A$14:$V$771,3,FALSE))</f>
        <v/>
      </c>
      <c r="H244" s="1188" t="str">
        <f>IF($E244=0,"",VLOOKUP($E244,'Tablas Técnicas'!$A$14:$V$771,4,FALSE))</f>
        <v/>
      </c>
      <c r="I244" s="1144" t="s">
        <v>2234</v>
      </c>
      <c r="J244" s="1607" t="str">
        <f>IF(E244=0,"",VLOOKUP(E244,'Tablas Técnicas'!$A$14:$V$771,5,FALSE))</f>
        <v/>
      </c>
      <c r="K244" s="1190" t="str">
        <f>IF(I244="Si",IF(E244=0,"",VLOOKUP(E244,'Tablas Técnicas'!$A$14:$V$771,5,FALSE)),"")</f>
        <v/>
      </c>
      <c r="L244" s="1144" t="s">
        <v>2234</v>
      </c>
      <c r="M244" s="1607" t="str">
        <f>IF(E244=0,"",VLOOKUP(E244,'Tablas Técnicas'!$A$14:$V$771,6,FALSE))</f>
        <v/>
      </c>
      <c r="N244" s="1147" t="str">
        <f>IF(L244="Si",IF(E244=0,"",VLOOKUP(E244,'Tablas Técnicas'!$A$14:$V$771,6,FALSE)),"")</f>
        <v/>
      </c>
      <c r="O244" s="1144" t="s">
        <v>2234</v>
      </c>
      <c r="P244" s="1607" t="str">
        <f>IF(E244=0,"",VLOOKUP(E244,'Tablas Técnicas'!$A$14:$V$771,7,FALSE))</f>
        <v/>
      </c>
      <c r="Q244" s="1147" t="str">
        <f>IF(O244="Si",IF(E244=0,"",VLOOKUP(E244,'Tablas Técnicas'!$A$14:$V$771,7,FALSE)),"")</f>
        <v/>
      </c>
      <c r="R244" s="1189" t="str">
        <f>IF(E244=0,"",VLOOKUP(E244,'Tablas Técnicas'!$A$14:$V$771,8,FALSE))</f>
        <v/>
      </c>
      <c r="S244" s="1161" t="str">
        <f>IF(R244=$D$8,$D$8,IF(R244=2,2,IF(R244=3,3,R244)))</f>
        <v/>
      </c>
      <c r="T244" s="1190" t="str">
        <f>IF(E244=0,"",VLOOKUP(E244,'Tablas Técnicas'!$A$14:$V$771,9,FALSE))</f>
        <v/>
      </c>
      <c r="U244" s="1190" t="str">
        <f>IF(E244=0,"",VLOOKUP(E244,'Tablas Técnicas'!$A$14:$V$771,10,FALSE))</f>
        <v/>
      </c>
      <c r="V244" s="1191" t="str">
        <f>IF(E244=0,"",VLOOKUP(E244,'Tablas Técnicas'!$A$14:$V$771,11,FALSE))</f>
        <v/>
      </c>
      <c r="W244" s="1144"/>
      <c r="X244" s="1145" t="e">
        <f>VLOOKUP(E244,'Tablas Técnicas'!$A$14:$V$771,12,FALSE)</f>
        <v>#N/A</v>
      </c>
      <c r="Y244" s="1145" t="e">
        <f>IF(W244=X244,VLOOKUP(E244,'Tablas Técnicas'!$A$14:$V$771,13,FALSE),0)</f>
        <v>#N/A</v>
      </c>
      <c r="Z244" s="1145" t="e">
        <f>VLOOKUP(E244,'Tablas Técnicas'!$A$14:$V$771,14,FALSE)</f>
        <v>#N/A</v>
      </c>
      <c r="AA244" s="1145" t="e">
        <f>IF(W244=Z244,VLOOKUP(E244,'Tablas Técnicas'!$A$14:$V$616,15,FALSE),0)</f>
        <v>#N/A</v>
      </c>
      <c r="AB244" s="1145" t="e">
        <f>VLOOKUP(E244,'Tablas Técnicas'!$A$14:$V$771,16,FALSE)</f>
        <v>#N/A</v>
      </c>
      <c r="AC244" s="1145" t="e">
        <f>IF(W244=AB244,VLOOKUP(E244,'Tablas Técnicas'!$A$14:$V$616,17,FALSE),0)</f>
        <v>#N/A</v>
      </c>
      <c r="AD244" s="1145" t="e">
        <f>VLOOKUP(E244,'Tablas Técnicas'!$A$14:$V$771,18,FALSE)</f>
        <v>#N/A</v>
      </c>
      <c r="AE244" s="1145" t="e">
        <f>IF(W244=AD244,VLOOKUP(E244,'Tablas Técnicas'!$A$14:$V$771,19,FALSE),0)</f>
        <v>#N/A</v>
      </c>
      <c r="AF244" s="1163" t="str">
        <f>IF(E244=0,"",(Y244+AA244+AC244+AE244))</f>
        <v/>
      </c>
      <c r="AG244" s="1144"/>
      <c r="AH244" s="1162" t="e">
        <f>VLOOKUP(E244,'Tablas Técnicas'!$A$14:$V$771,12,FALSE)</f>
        <v>#N/A</v>
      </c>
      <c r="AI244" s="1162" t="e">
        <f>IF(AG244=AH244,VLOOKUP(E244,'Tablas Técnicas'!$A$14:$V$771,13,FALSE),0)</f>
        <v>#N/A</v>
      </c>
      <c r="AJ244" s="1162" t="e">
        <f>VLOOKUP(E244,'Tablas Técnicas'!$A$14:$V$771,14,FALSE)</f>
        <v>#N/A</v>
      </c>
      <c r="AK244" s="1162" t="e">
        <f>IF(AG244=AJ244,VLOOKUP(E244,'Tablas Técnicas'!$A$14:$V$771,15,FALSE),0)</f>
        <v>#N/A</v>
      </c>
      <c r="AL244" s="1162" t="e">
        <f>VLOOKUP(E244,'Tablas Técnicas'!$A$14:$V$771,16,FALSE)</f>
        <v>#N/A</v>
      </c>
      <c r="AM244" s="1162" t="e">
        <f>IF(AG244=AL244,VLOOKUP(E244,'Tablas Técnicas'!$A$14:$V$771,17,FALSE),0)</f>
        <v>#N/A</v>
      </c>
      <c r="AN244" s="1162" t="e">
        <f>VLOOKUP(E244,'Tablas Técnicas'!$A$14:$V$771,18,FALSE)</f>
        <v>#N/A</v>
      </c>
      <c r="AO244" s="1162" t="e">
        <f>IF(AG244=AN244,VLOOKUP(E244,'Tablas Técnicas'!$A$14:$V$771,19,FALSE),0)</f>
        <v>#N/A</v>
      </c>
      <c r="AP244" s="2620" t="str">
        <f>IF(E244=0,"",(AI244+AK244+AM244+AO244))</f>
        <v/>
      </c>
      <c r="AQ244" s="1144"/>
      <c r="AR244" s="1162" t="e">
        <f>VLOOKUP(E244,'Tablas Técnicas'!$A$14:$V$771,12,FALSE)</f>
        <v>#N/A</v>
      </c>
      <c r="AS244" s="1162" t="e">
        <f>IF(AQ244=AR244,VLOOKUP(E244,'Tablas Técnicas'!$A$14:$V$771,13,FALSE),0)</f>
        <v>#N/A</v>
      </c>
      <c r="AT244" s="1162" t="e">
        <f>VLOOKUP(E244,'Tablas Técnicas'!$A$14:$V$771,14,FALSE)</f>
        <v>#N/A</v>
      </c>
      <c r="AU244" s="1162" t="e">
        <f>IF(AQ244=AT244,VLOOKUP(E244,'Tablas Técnicas'!$A$14:$V$771,15,FALSE),0)</f>
        <v>#N/A</v>
      </c>
      <c r="AV244" s="1162" t="e">
        <f>VLOOKUP(E244,'Tablas Técnicas'!$A$14:$V$771,16,FALSE)</f>
        <v>#N/A</v>
      </c>
      <c r="AW244" s="1162" t="e">
        <f>IF(AQ244=AV244,VLOOKUP(E244,'Tablas Técnicas'!$A$14:$V$771,17,FALSE),0)</f>
        <v>#N/A</v>
      </c>
      <c r="AX244" s="1162" t="e">
        <f>VLOOKUP(E244,'Tablas Técnicas'!$A$14:$V$771,18,FALSE)</f>
        <v>#N/A</v>
      </c>
      <c r="AY244" s="1162" t="e">
        <f>IF(AQ244=AX244,VLOOKUP(E244,'Tablas Técnicas'!$A$14:$V$771,19,FALSE),0)</f>
        <v>#N/A</v>
      </c>
      <c r="AZ244" s="1163" t="str">
        <f>IF(E244=0,"",(AS244+AU244+AW244+AY244))</f>
        <v/>
      </c>
      <c r="BA244" s="1144"/>
      <c r="BB244" s="1162" t="e">
        <f>VLOOKUP(E244,'Tablas Técnicas'!$A$14:$V$771,12,FALSE)</f>
        <v>#N/A</v>
      </c>
      <c r="BC244" s="1162" t="e">
        <f>IF(BA244=BB244,VLOOKUP(E244,'Tablas Técnicas'!$A$14:$V$771,13,FALSE),0)</f>
        <v>#N/A</v>
      </c>
      <c r="BD244" s="1162" t="e">
        <f>VLOOKUP(E244,'Tablas Técnicas'!$A$14:$V$771,14,FALSE)</f>
        <v>#N/A</v>
      </c>
      <c r="BE244" s="1162" t="e">
        <f>IF(BA244=BD244,VLOOKUP(E244,'Tablas Técnicas'!$A$14:$V$771,15,FALSE),0)</f>
        <v>#N/A</v>
      </c>
      <c r="BF244" s="1162" t="e">
        <f>VLOOKUP(E244,'Tablas Técnicas'!$A$14:$V$771,16,FALSE)</f>
        <v>#N/A</v>
      </c>
      <c r="BG244" s="1162" t="e">
        <f>IF(BA244=BF244,VLOOKUP(E244,'Tablas Técnicas'!$A$14:$V$771,17,FALSE),0)</f>
        <v>#N/A</v>
      </c>
      <c r="BH244" s="1162" t="e">
        <f>VLOOKUP(E244,'Tablas Técnicas'!$A$14:$V$771,18,FALSE)</f>
        <v>#N/A</v>
      </c>
      <c r="BI244" s="1162" t="e">
        <f>IF(BA244=BH244,VLOOKUP(E244,'Tablas Técnicas'!$A$14:$V$771,19,FALSE),0)</f>
        <v>#N/A</v>
      </c>
      <c r="BJ244" s="2620" t="str">
        <f>IF(E244=0,"",(BC244+BE244+BG244+BI244))</f>
        <v/>
      </c>
      <c r="BK244" s="1190" t="str">
        <f>IF(E244=0,"",VLOOKUP(E244,'Tablas Técnicas'!$A$14:$V$771,20,FALSE))</f>
        <v/>
      </c>
      <c r="BL244" s="1177" t="str">
        <f>IF(E244=0,"",VLOOKUP(E244,'Tablas Técnicas'!$A$14:$V$771,21,FALSE))</f>
        <v/>
      </c>
      <c r="BM244" s="1148" t="str">
        <f>IF(E244=0,"",VLOOKUP(E244,'Tablas Técnicas'!$A$14:$V$771,22,FALSE))</f>
        <v/>
      </c>
      <c r="BN244" s="1149"/>
      <c r="BO244" s="1150"/>
      <c r="BP244" s="1135" t="str">
        <f>IF(I244="Si",VLOOKUP($D$8,'Tablas Técnicas'!$E$4:$F$6,2,FALSE),"")</f>
        <v/>
      </c>
      <c r="BQ244" s="1136" t="str">
        <f>IF(L244="Si",VLOOKUP($D$8,'Tablas Técnicas'!$I$4:$J$6,2,FALSE),"")</f>
        <v/>
      </c>
      <c r="BR244" s="1134" t="str">
        <f>IF(O244="Si",VLOOKUP($D$8,'Tablas Técnicas'!$I$7:$J$9,2,FALSE),"")</f>
        <v/>
      </c>
      <c r="BS244" s="1151"/>
      <c r="BT244" s="2609" t="s">
        <v>2226</v>
      </c>
      <c r="BU244" s="2610" t="s">
        <v>5236</v>
      </c>
      <c r="BV244" s="1128"/>
      <c r="BW244" s="2610" t="s">
        <v>5237</v>
      </c>
      <c r="BX244" s="2609" t="s">
        <v>5238</v>
      </c>
      <c r="BY244" s="1488" t="s">
        <v>5238</v>
      </c>
      <c r="BZ244" s="1492"/>
      <c r="CA244" s="1096"/>
      <c r="DR244" s="1096"/>
      <c r="DT244" s="1514"/>
      <c r="DU244" s="1569"/>
      <c r="DV244" s="1566" t="str">
        <f>IF(E244="","",", "&amp;E244)&amp;IF(I244="No",""," (Mant.)")&amp;IF(L244="No",""," (Sme)")&amp;IF(O244="No",""," (SMa)")</f>
        <v/>
      </c>
      <c r="DW244" s="1567"/>
      <c r="DX244" s="1568"/>
      <c r="DY244" s="1513"/>
      <c r="DZ244" s="1096"/>
      <c r="EA244" s="1660">
        <f t="shared" si="3"/>
        <v>1</v>
      </c>
    </row>
    <row r="245" spans="1:131" x14ac:dyDescent="0.2">
      <c r="A245" s="1096"/>
      <c r="B245" s="1096"/>
      <c r="C245" s="1497"/>
      <c r="D245" s="1642" t="s">
        <v>2310</v>
      </c>
      <c r="E245" s="1152"/>
      <c r="F245" s="1182"/>
      <c r="G245" s="1627" t="str">
        <f>IF(E245=0,"",VLOOKUP(E245,'Tablas Técnicas'!$A$14:$V$771,3,FALSE))</f>
        <v/>
      </c>
      <c r="H245" s="1155" t="str">
        <f>IF($E245=0,"",VLOOKUP($E245,'Tablas Técnicas'!$A$14:$V$771,4,FALSE))</f>
        <v/>
      </c>
      <c r="I245" s="1156" t="s">
        <v>2234</v>
      </c>
      <c r="J245" s="1605" t="str">
        <f>IF(E245=0,"",VLOOKUP(E245,'Tablas Técnicas'!$A$14:$V$771,5,FALSE))</f>
        <v/>
      </c>
      <c r="K245" s="1158" t="str">
        <f>IF(I245="Si",IF(E245=0,"",VLOOKUP(E245,'Tablas Técnicas'!$A$14:$V$771,5,FALSE)),"")</f>
        <v/>
      </c>
      <c r="L245" s="1156" t="s">
        <v>2234</v>
      </c>
      <c r="M245" s="1605" t="str">
        <f>IF(E245=0,"",VLOOKUP(E245,'Tablas Técnicas'!$A$14:$V$771,6,FALSE))</f>
        <v/>
      </c>
      <c r="N245" s="1159" t="str">
        <f>IF(L245="Si",IF(E245=0,"",VLOOKUP(E245,'Tablas Técnicas'!$A$14:$V$771,6,FALSE)),"")</f>
        <v/>
      </c>
      <c r="O245" s="1156" t="s">
        <v>2234</v>
      </c>
      <c r="P245" s="1605" t="str">
        <f>IF(E245=0,"",VLOOKUP(E245,'Tablas Técnicas'!$A$14:$V$771,7,FALSE))</f>
        <v/>
      </c>
      <c r="Q245" s="1159" t="str">
        <f>IF(O245="Si",IF(E245=0,"",VLOOKUP(E245,'Tablas Técnicas'!$A$14:$V$771,7,FALSE)),"")</f>
        <v/>
      </c>
      <c r="R245" s="1157" t="str">
        <f>IF(E245=0,"",VLOOKUP(E245,'Tablas Técnicas'!$A$14:$V$771,8,FALSE))</f>
        <v/>
      </c>
      <c r="S245" s="1155" t="str">
        <f>IF(R245=$D$8,$D$8,IF(R245=2,2,IF(R245=3,3,R245)))</f>
        <v/>
      </c>
      <c r="T245" s="4475" t="s">
        <v>5228</v>
      </c>
      <c r="U245" s="4476"/>
      <c r="V245" s="4476"/>
      <c r="W245" s="4476"/>
      <c r="X245" s="4476"/>
      <c r="Y245" s="4476"/>
      <c r="Z245" s="4476"/>
      <c r="AA245" s="4476"/>
      <c r="AB245" s="4476"/>
      <c r="AC245" s="4476"/>
      <c r="AD245" s="4476"/>
      <c r="AE245" s="4476"/>
      <c r="AF245" s="4476"/>
      <c r="AG245" s="4476"/>
      <c r="AH245" s="4476"/>
      <c r="AI245" s="4476"/>
      <c r="AJ245" s="4476"/>
      <c r="AK245" s="4476"/>
      <c r="AL245" s="4476"/>
      <c r="AM245" s="4476"/>
      <c r="AN245" s="4476"/>
      <c r="AO245" s="4476"/>
      <c r="AP245" s="4476"/>
      <c r="AQ245" s="4476"/>
      <c r="AR245" s="4476"/>
      <c r="AS245" s="4476"/>
      <c r="AT245" s="4476"/>
      <c r="AU245" s="4476"/>
      <c r="AV245" s="4476"/>
      <c r="AW245" s="4476"/>
      <c r="AX245" s="4476"/>
      <c r="AY245" s="4476"/>
      <c r="AZ245" s="4476"/>
      <c r="BA245" s="4476"/>
      <c r="BB245" s="4476"/>
      <c r="BC245" s="4476"/>
      <c r="BD245" s="4476"/>
      <c r="BE245" s="4476"/>
      <c r="BF245" s="4476"/>
      <c r="BG245" s="4476"/>
      <c r="BH245" s="4476"/>
      <c r="BI245" s="4476"/>
      <c r="BJ245" s="4476"/>
      <c r="BK245" s="4477"/>
      <c r="BL245" s="1627"/>
      <c r="BM245" s="1628"/>
      <c r="BN245" s="1149"/>
      <c r="BO245" s="1150"/>
      <c r="BP245" s="1135" t="str">
        <f>IF(I245="Si",VLOOKUP($D$8,'Tablas Técnicas'!$E$4:$F$6,2,FALSE),"")</f>
        <v/>
      </c>
      <c r="BQ245" s="1136" t="str">
        <f>IF(L245="Si",VLOOKUP($D$8,'Tablas Técnicas'!$I$4:$J$6,2,FALSE),"")</f>
        <v/>
      </c>
      <c r="BR245" s="1134" t="str">
        <f>IF(O245="Si",VLOOKUP($D$8,'Tablas Técnicas'!$I$7:$J$9,2,FALSE),"")</f>
        <v/>
      </c>
      <c r="BS245" s="1151"/>
      <c r="BT245" s="261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92"/>
      <c r="BV245" s="1128"/>
      <c r="BW245" s="1183" t="str">
        <f>IF(SUM(BT245:BU245)=0,"N/A",SUM(BT245:BU245))</f>
        <v>N/A</v>
      </c>
      <c r="BX245" s="261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83" t="str">
        <f>IF(BX245=0,"N/A",BX245)</f>
        <v>N/A</v>
      </c>
      <c r="BZ245" s="1492"/>
      <c r="CA245" s="1096"/>
      <c r="DR245" s="1096"/>
      <c r="DT245" s="1514"/>
      <c r="DU245" s="1569"/>
      <c r="DV245" s="1566" t="str">
        <f>IF(E245="",""," "&amp;E245)&amp;IF(I245="No",""," (Mant.)")&amp;IF(L245="No",""," (Sme)")&amp;IF(O245="No",""," (SMa)")</f>
        <v/>
      </c>
      <c r="DW245" s="1567"/>
      <c r="DX245" s="1568"/>
      <c r="DY245" s="1513"/>
      <c r="DZ245" s="1096"/>
      <c r="EA245" s="1660">
        <f t="shared" si="3"/>
        <v>1</v>
      </c>
    </row>
    <row r="246" spans="1:131" x14ac:dyDescent="0.2">
      <c r="A246" s="1096"/>
      <c r="B246" s="1096"/>
      <c r="C246" s="1497"/>
      <c r="D246" s="1643" t="s">
        <v>2310</v>
      </c>
      <c r="E246" s="1160"/>
      <c r="F246" s="1176"/>
      <c r="G246" s="1146" t="str">
        <f>IF(E246=0,"",VLOOKUP(E246,'Tablas Técnicas'!$A$14:$V$771,3,FALSE))</f>
        <v/>
      </c>
      <c r="H246" s="2619" t="str">
        <f>IF($E246=0,"",VLOOKUP($E246,'Tablas Técnicas'!$A$14:$V$771,4,FALSE))</f>
        <v/>
      </c>
      <c r="I246" s="1144" t="s">
        <v>2234</v>
      </c>
      <c r="J246" s="1601" t="str">
        <f>IF(E246=0,"",VLOOKUP(E246,'Tablas Técnicas'!$A$14:$V$771,5,FALSE))</f>
        <v/>
      </c>
      <c r="K246" s="1163" t="str">
        <f>IF(I246="Si",IF(E246=0,"",VLOOKUP(E246,'Tablas Técnicas'!$A$14:$V$771,5,FALSE)),"")</f>
        <v/>
      </c>
      <c r="L246" s="1144" t="s">
        <v>2234</v>
      </c>
      <c r="M246" s="1601" t="str">
        <f>IF(E246=0,"",VLOOKUP(E246,'Tablas Técnicas'!$A$14:$V$771,6,FALSE))</f>
        <v/>
      </c>
      <c r="N246" s="1147" t="str">
        <f>IF(L246="Si",IF(E246=0,"",VLOOKUP(E246,'Tablas Técnicas'!$A$14:$V$771,6,FALSE)),"")</f>
        <v/>
      </c>
      <c r="O246" s="1144" t="s">
        <v>2234</v>
      </c>
      <c r="P246" s="1601" t="str">
        <f>IF(E246=0,"",VLOOKUP(E246,'Tablas Técnicas'!$A$14:$V$771,7,FALSE))</f>
        <v/>
      </c>
      <c r="Q246" s="1147" t="str">
        <f>IF(O246="Si",IF(E246=0,"",VLOOKUP(E246,'Tablas Técnicas'!$A$14:$V$771,7,FALSE)),"")</f>
        <v/>
      </c>
      <c r="R246" s="1162" t="str">
        <f>IF(E246=0,"",VLOOKUP(E246,'Tablas Técnicas'!$A$14:$V$771,8,FALSE))</f>
        <v/>
      </c>
      <c r="S246" s="2619" t="str">
        <f>IF(R246=$D$8,$D$8,IF(R246=2,2,IF(R246=3,3,R246)))</f>
        <v/>
      </c>
      <c r="T246" s="4487"/>
      <c r="U246" s="4488"/>
      <c r="V246" s="2617" t="str">
        <f>IF(OR(V244=0,V244=""),"N/A",V244)</f>
        <v>N/A</v>
      </c>
      <c r="W246" s="4487" t="str">
        <f xml:space="preserve"> IF(OR(AF244=0,AF244=""),"N/A",W244)</f>
        <v>N/A</v>
      </c>
      <c r="X246" s="4489"/>
      <c r="Y246" s="4489"/>
      <c r="Z246" s="4489"/>
      <c r="AA246" s="4489"/>
      <c r="AB246" s="4489"/>
      <c r="AC246" s="4489"/>
      <c r="AD246" s="4489"/>
      <c r="AE246" s="4489"/>
      <c r="AF246" s="4488"/>
      <c r="AG246" s="4487" t="str">
        <f xml:space="preserve"> IF(OR(AP244="",AP244=0),"N/A",AG244)</f>
        <v>N/A</v>
      </c>
      <c r="AH246" s="4489"/>
      <c r="AI246" s="4489"/>
      <c r="AJ246" s="4489"/>
      <c r="AK246" s="4489"/>
      <c r="AL246" s="4489"/>
      <c r="AM246" s="4489"/>
      <c r="AN246" s="4489"/>
      <c r="AO246" s="4489"/>
      <c r="AP246" s="4488"/>
      <c r="AQ246" s="4487" t="str">
        <f xml:space="preserve"> IF(OR(AZ244="",AZ244=0),"N/A",AQ244)</f>
        <v>N/A</v>
      </c>
      <c r="AR246" s="4489"/>
      <c r="AS246" s="4489"/>
      <c r="AT246" s="4489"/>
      <c r="AU246" s="4489"/>
      <c r="AV246" s="4489"/>
      <c r="AW246" s="4489"/>
      <c r="AX246" s="4489"/>
      <c r="AY246" s="4489"/>
      <c r="AZ246" s="4488"/>
      <c r="BA246" s="4487" t="str">
        <f xml:space="preserve"> IF(OR(BJ244="",BJ244=0),"N/A",BA244)</f>
        <v>N/A</v>
      </c>
      <c r="BB246" s="4489"/>
      <c r="BC246" s="4489"/>
      <c r="BD246" s="4489"/>
      <c r="BE246" s="4489"/>
      <c r="BF246" s="4489"/>
      <c r="BG246" s="4489"/>
      <c r="BH246" s="4489"/>
      <c r="BI246" s="4489"/>
      <c r="BJ246" s="4488"/>
      <c r="BK246" s="1164" t="s">
        <v>5229</v>
      </c>
      <c r="BL246" s="1146"/>
      <c r="BM246" s="1181"/>
      <c r="BN246" s="1165"/>
      <c r="BO246" s="1166"/>
      <c r="BP246" s="1167" t="str">
        <f>IF(I246="Si",VLOOKUP($D$8,'Tablas Técnicas'!$E$4:$F$6,2,FALSE),"")</f>
        <v/>
      </c>
      <c r="BQ246" s="1137" t="str">
        <f>IF(L246="Si",VLOOKUP($D$8,'Tablas Técnicas'!$I$4:$J$6,2,FALSE),"")</f>
        <v/>
      </c>
      <c r="BR246" s="1168" t="str">
        <f>IF(O246="Si",VLOOKUP($D$8,'Tablas Técnicas'!$I$7:$J$9,2,FALSE),"")</f>
        <v/>
      </c>
      <c r="BS246" s="1151"/>
      <c r="BT246" s="2609" t="s">
        <v>2354</v>
      </c>
      <c r="BU246" s="2610" t="s">
        <v>5236</v>
      </c>
      <c r="BV246" s="1128"/>
      <c r="BW246" s="2610" t="s">
        <v>5237</v>
      </c>
      <c r="BX246" s="2609" t="s">
        <v>5238</v>
      </c>
      <c r="BY246" s="1489" t="s">
        <v>5238</v>
      </c>
      <c r="BZ246" s="1492"/>
      <c r="CA246" s="1096"/>
      <c r="DR246" s="1096"/>
      <c r="DT246" s="1514"/>
      <c r="DU246" s="1569"/>
      <c r="DV246" s="1566" t="str">
        <f>IF(E246="","",E246)&amp;IF(I246="No",""," (Mant.)")&amp;IF(L246="No",""," (Sme)")&amp;IF(O246="No",""," (SMa)")</f>
        <v/>
      </c>
      <c r="DW246" s="1566"/>
      <c r="DX246" s="1568"/>
      <c r="DY246" s="1513"/>
      <c r="DZ246" s="1096"/>
      <c r="EA246" s="1660">
        <f t="shared" si="3"/>
        <v>1</v>
      </c>
    </row>
    <row r="247" spans="1:131" x14ac:dyDescent="0.2">
      <c r="A247" s="1096"/>
      <c r="B247" s="1096"/>
      <c r="C247" s="1497"/>
      <c r="D247" s="1642" t="s">
        <v>2310</v>
      </c>
      <c r="E247" s="1152"/>
      <c r="F247" s="1182"/>
      <c r="G247" s="1627" t="str">
        <f>IF(E247=0,"",VLOOKUP(E247,'Tablas Técnicas'!$A$14:$V$771,3,FALSE))</f>
        <v/>
      </c>
      <c r="H247" s="1155" t="str">
        <f>IF($E247=0,"",VLOOKUP($E247,'Tablas Técnicas'!$A$14:$V$771,4,FALSE))</f>
        <v/>
      </c>
      <c r="I247" s="1156" t="s">
        <v>2234</v>
      </c>
      <c r="J247" s="1605" t="str">
        <f>IF(E247=0,"",VLOOKUP(E247,'Tablas Técnicas'!$A$14:$V$771,5,FALSE))</f>
        <v/>
      </c>
      <c r="K247" s="1158" t="str">
        <f>IF(I247="Si",IF(E247=0,"",VLOOKUP(E247,'Tablas Técnicas'!$A$14:$V$771,5,FALSE)),"")</f>
        <v/>
      </c>
      <c r="L247" s="1156" t="s">
        <v>2234</v>
      </c>
      <c r="M247" s="1605" t="str">
        <f>IF(E247=0,"",VLOOKUP(E247,'Tablas Técnicas'!$A$14:$V$771,6,FALSE))</f>
        <v/>
      </c>
      <c r="N247" s="1159" t="str">
        <f>IF(L247="Si",IF(E247=0,"",VLOOKUP(E247,'Tablas Técnicas'!$A$14:$V$771,6,FALSE)),"")</f>
        <v/>
      </c>
      <c r="O247" s="1156" t="s">
        <v>2234</v>
      </c>
      <c r="P247" s="1605" t="str">
        <f>IF(E247=0,"",VLOOKUP(E247,'Tablas Técnicas'!$A$14:$V$771,7,FALSE))</f>
        <v/>
      </c>
      <c r="Q247" s="1159" t="str">
        <f>IF(O247="Si",IF(E247=0,"",VLOOKUP(E247,'Tablas Técnicas'!$A$14:$V$771,7,FALSE)),"")</f>
        <v/>
      </c>
      <c r="R247" s="1157" t="str">
        <f>IF(E247=0,"",VLOOKUP(E247,'Tablas Técnicas'!$A$14:$V$771,8,FALSE))</f>
        <v/>
      </c>
      <c r="S247" s="1155" t="str">
        <f>IF(R247=$D$8,$D$8,IF(R247=2,2,IF(R247=3,3,R247)))</f>
        <v/>
      </c>
      <c r="T247" s="4490" t="s">
        <v>5230</v>
      </c>
      <c r="U247" s="4491"/>
      <c r="V247" s="2618"/>
      <c r="W247" s="4492"/>
      <c r="X247" s="4493"/>
      <c r="Y247" s="4493"/>
      <c r="Z247" s="4493"/>
      <c r="AA247" s="4493"/>
      <c r="AB247" s="4493"/>
      <c r="AC247" s="4493"/>
      <c r="AD247" s="4493"/>
      <c r="AE247" s="4493"/>
      <c r="AF247" s="4494"/>
      <c r="AG247" s="4492"/>
      <c r="AH247" s="4493"/>
      <c r="AI247" s="4493"/>
      <c r="AJ247" s="4493"/>
      <c r="AK247" s="4493"/>
      <c r="AL247" s="4493"/>
      <c r="AM247" s="4493"/>
      <c r="AN247" s="4493"/>
      <c r="AO247" s="4493"/>
      <c r="AP247" s="4494"/>
      <c r="AQ247" s="4492"/>
      <c r="AR247" s="4493"/>
      <c r="AS247" s="4493"/>
      <c r="AT247" s="4493"/>
      <c r="AU247" s="4493"/>
      <c r="AV247" s="4493"/>
      <c r="AW247" s="4493"/>
      <c r="AX247" s="4493"/>
      <c r="AY247" s="4493"/>
      <c r="AZ247" s="4494"/>
      <c r="BA247" s="4492"/>
      <c r="BB247" s="4493"/>
      <c r="BC247" s="4493"/>
      <c r="BD247" s="4493"/>
      <c r="BE247" s="4493"/>
      <c r="BF247" s="4493"/>
      <c r="BG247" s="4493"/>
      <c r="BH247" s="4493"/>
      <c r="BI247" s="4493"/>
      <c r="BJ247" s="4494"/>
      <c r="BK247" s="1155">
        <f>(SUM(G244:G248)+IF(AF244="",0,AF244)+IF(AP244="",0,AP244)+IF(AZ244="",0,AZ244)+IF(BJ244="",0,BJ244)+SUM(K244:K248)+SUM(N244:N248)+SUM(Q244:Q248))- SUM(V247:BA247)</f>
        <v>0</v>
      </c>
      <c r="BL247" s="1627"/>
      <c r="BM247" s="1628"/>
      <c r="BN247" s="1149"/>
      <c r="BO247" s="1150"/>
      <c r="BP247" s="1135" t="str">
        <f>IF(I247="Si",VLOOKUP($D$8,'Tablas Técnicas'!$E$4:$F$6,2,FALSE),"")</f>
        <v/>
      </c>
      <c r="BQ247" s="1136" t="str">
        <f>IF(L247="Si",VLOOKUP($D$8,'Tablas Técnicas'!$I$4:$J$6,2,FALSE),"")</f>
        <v/>
      </c>
      <c r="BR247" s="1134" t="str">
        <f>IF(O247="Si",VLOOKUP($D$8,'Tablas Técnicas'!$I$7:$J$9,2,FALSE),"")</f>
        <v/>
      </c>
      <c r="BS247" s="1151"/>
      <c r="BT247" s="261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92"/>
      <c r="BV247" s="1128"/>
      <c r="BW247" s="1183" t="str">
        <f>IF(SUM(BT247:BU247)=0,"N/A",SUM(BT247:BU247))</f>
        <v>N/A</v>
      </c>
      <c r="BX247" s="261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83" t="str">
        <f>IF(BX247=0,"N/A",BX247)</f>
        <v>N/A</v>
      </c>
      <c r="BZ247" s="1492"/>
      <c r="CA247" s="1100"/>
      <c r="DR247" s="1100"/>
      <c r="DT247" s="1515"/>
      <c r="DU247" s="1565"/>
      <c r="DV247" s="1566" t="str">
        <f>IF(E247="","",E247)&amp;IF(I247="No",""," (Mant.)")&amp;IF(L247="No",""," (Sme)")&amp;IF(O247="No",""," (SMa)")</f>
        <v/>
      </c>
      <c r="DW247" s="1566"/>
      <c r="DX247" s="1571"/>
      <c r="DY247" s="1516"/>
      <c r="DZ247" s="1100"/>
      <c r="EA247" s="1660">
        <f t="shared" si="3"/>
        <v>1</v>
      </c>
    </row>
    <row r="248" spans="1:131" x14ac:dyDescent="0.2">
      <c r="A248" s="1096"/>
      <c r="B248" s="1096"/>
      <c r="C248" s="1497"/>
      <c r="D248" s="1643" t="s">
        <v>2310</v>
      </c>
      <c r="E248" s="1160"/>
      <c r="F248" s="1176"/>
      <c r="G248" s="1146" t="str">
        <f>IF(E248=0,"",VLOOKUP(E248,'Tablas Técnicas'!$A$14:$V$771,3,FALSE))</f>
        <v/>
      </c>
      <c r="H248" s="1171" t="str">
        <f>IF($E248=0,"",VLOOKUP($E248,'Tablas Técnicas'!$A$14:$V$771,4,FALSE))</f>
        <v/>
      </c>
      <c r="I248" s="1144" t="s">
        <v>2234</v>
      </c>
      <c r="J248" s="1608" t="str">
        <f>IF(E248=0,"",VLOOKUP(E248,'Tablas Técnicas'!$A$14:$V$771,5,FALSE))</f>
        <v/>
      </c>
      <c r="K248" s="1172" t="str">
        <f>IF(I248="Si",IF(E248=0,"",VLOOKUP(E248,'Tablas Técnicas'!$A$14:$V$771,5,FALSE)),"")</f>
        <v/>
      </c>
      <c r="L248" s="1144" t="s">
        <v>2234</v>
      </c>
      <c r="M248" s="1608" t="str">
        <f>IF(E248=0,"",VLOOKUP(E248,'Tablas Técnicas'!$A$14:$V$771,6,FALSE))</f>
        <v/>
      </c>
      <c r="N248" s="1147" t="str">
        <f>IF(L248="Si",IF(E248=0,"",VLOOKUP(E248,'Tablas Técnicas'!$A$14:$V$771,6,FALSE)),"")</f>
        <v/>
      </c>
      <c r="O248" s="1144" t="s">
        <v>2234</v>
      </c>
      <c r="P248" s="1608" t="str">
        <f>IF(E248=0,"",VLOOKUP(E248,'Tablas Técnicas'!$A$14:$V$771,7,FALSE))</f>
        <v/>
      </c>
      <c r="Q248" s="1147" t="str">
        <f>IF(O248="Si",IF(E248=0,"",VLOOKUP(E248,'Tablas Técnicas'!$A$14:$V$771,7,FALSE)),"")</f>
        <v/>
      </c>
      <c r="R248" s="1193" t="str">
        <f>IF(E248=0,"",VLOOKUP(E248,'Tablas Técnicas'!$A$14:$V$771,8,FALSE))</f>
        <v/>
      </c>
      <c r="S248" s="1161" t="str">
        <f>IF(R248=$D$8,$D$8,IF(R248=2,2,IF(R248=3,3,R248)))</f>
        <v/>
      </c>
      <c r="T248" s="4482" t="s">
        <v>5232</v>
      </c>
      <c r="U248" s="4483"/>
      <c r="V248" s="2616"/>
      <c r="W248" s="4484"/>
      <c r="X248" s="4485"/>
      <c r="Y248" s="4485"/>
      <c r="Z248" s="4485"/>
      <c r="AA248" s="4485"/>
      <c r="AB248" s="4485"/>
      <c r="AC248" s="4485"/>
      <c r="AD248" s="4485"/>
      <c r="AE248" s="4485"/>
      <c r="AF248" s="4486"/>
      <c r="AG248" s="4484"/>
      <c r="AH248" s="4485"/>
      <c r="AI248" s="4485"/>
      <c r="AJ248" s="4485"/>
      <c r="AK248" s="4485"/>
      <c r="AL248" s="4485"/>
      <c r="AM248" s="4485"/>
      <c r="AN248" s="4485"/>
      <c r="AO248" s="4485"/>
      <c r="AP248" s="4486"/>
      <c r="AQ248" s="4484"/>
      <c r="AR248" s="4485"/>
      <c r="AS248" s="4485"/>
      <c r="AT248" s="4485"/>
      <c r="AU248" s="4485"/>
      <c r="AV248" s="4485"/>
      <c r="AW248" s="4485"/>
      <c r="AX248" s="4485"/>
      <c r="AY248" s="4485"/>
      <c r="AZ248" s="4486"/>
      <c r="BA248" s="4484"/>
      <c r="BB248" s="4485"/>
      <c r="BC248" s="4485"/>
      <c r="BD248" s="4485"/>
      <c r="BE248" s="4485"/>
      <c r="BF248" s="4485"/>
      <c r="BG248" s="4485"/>
      <c r="BH248" s="4485"/>
      <c r="BI248" s="4485"/>
      <c r="BJ248" s="4486"/>
      <c r="BK248" s="1171">
        <f>SUM(K244:K248)-SUM(V248:BA248)</f>
        <v>0</v>
      </c>
      <c r="BL248" s="1629"/>
      <c r="BM248" s="1630"/>
      <c r="BN248" s="1165"/>
      <c r="BO248" s="1166"/>
      <c r="BP248" s="1167" t="str">
        <f>IF(I248="Si",VLOOKUP($D$8,'Tablas Técnicas'!$E$4:$F$6,2,FALSE),"")</f>
        <v/>
      </c>
      <c r="BQ248" s="1137" t="str">
        <f>IF(L248="Si",VLOOKUP($D$8,'Tablas Técnicas'!$I$4:$J$6,2,FALSE),"")</f>
        <v/>
      </c>
      <c r="BR248" s="1168" t="str">
        <f>IF(O248="Si",VLOOKUP($D$8,'Tablas Técnicas'!$I$7:$J$9,2,FALSE),"")</f>
        <v/>
      </c>
      <c r="BS248" s="1151"/>
      <c r="BT248" s="2609" t="s">
        <v>2231</v>
      </c>
      <c r="BU248" s="2610" t="s">
        <v>5236</v>
      </c>
      <c r="BV248" s="1128"/>
      <c r="BW248" s="2610" t="s">
        <v>5237</v>
      </c>
      <c r="BX248" s="2609" t="s">
        <v>5238</v>
      </c>
      <c r="BY248" s="1489" t="s">
        <v>5238</v>
      </c>
      <c r="BZ248" s="1492"/>
      <c r="CA248" s="1096"/>
      <c r="DR248" s="1096"/>
      <c r="DT248" s="1514"/>
      <c r="DU248" s="1569"/>
      <c r="DV248" s="1566" t="str">
        <f>IF(E248="","",E248)&amp;IF(I248="No",""," (Mant.)")&amp;IF(L248="No",""," (Sme)")&amp;IF(O248="No",""," (SMa)")</f>
        <v/>
      </c>
      <c r="DW248" s="1566"/>
      <c r="DX248" s="1568"/>
      <c r="DY248" s="1513"/>
      <c r="DZ248" s="1096"/>
      <c r="EA248" s="1660">
        <f t="shared" si="3"/>
        <v>1</v>
      </c>
    </row>
    <row r="249" spans="1:131" x14ac:dyDescent="0.2">
      <c r="A249" s="1096"/>
      <c r="B249" s="159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97"/>
      <c r="D249" s="1644">
        <v>4</v>
      </c>
      <c r="E249" s="1423"/>
      <c r="F249" s="1173"/>
      <c r="G249" s="1174"/>
      <c r="H249" s="2559">
        <f>IF(AND(OR(ISNUMBER(SEARCH("Afinidad Elemental ("&amp;BK244&amp;")",Principal!$AF$30)),ISNUMBER(SEARCH("Afinidad Elemental ("&amp;BL244&amp;")",Principal!$AF$30)),ISNUMBER(SEARCH("Afinidad Elemental ("&amp;BM244&amp;")",Principal!$AF$30))),SUM(H244:H248)&gt;=5),-5,0)</f>
        <v>0</v>
      </c>
      <c r="I249" s="1603"/>
      <c r="J249" s="1606"/>
      <c r="K249" s="1174"/>
      <c r="L249" s="1603"/>
      <c r="M249" s="1606"/>
      <c r="N249" s="1174"/>
      <c r="O249" s="1603"/>
      <c r="P249" s="1606"/>
      <c r="Q249" s="1174"/>
      <c r="R249" s="1175"/>
      <c r="S249" s="1174"/>
      <c r="T249" s="1174"/>
      <c r="U249" s="1174"/>
      <c r="V249" s="1174"/>
      <c r="W249" s="1174"/>
      <c r="X249" s="1174"/>
      <c r="Y249" s="1174"/>
      <c r="Z249" s="1174"/>
      <c r="AA249" s="1174"/>
      <c r="AB249" s="1174"/>
      <c r="AC249" s="1174"/>
      <c r="AD249" s="1174"/>
      <c r="AE249" s="1174"/>
      <c r="AF249" s="1174"/>
      <c r="AG249" s="1174"/>
      <c r="AH249" s="1174"/>
      <c r="AI249" s="1174"/>
      <c r="AJ249" s="1174"/>
      <c r="AK249" s="1174"/>
      <c r="AL249" s="1174"/>
      <c r="AM249" s="1174"/>
      <c r="AN249" s="1174"/>
      <c r="AO249" s="1174"/>
      <c r="AP249" s="1174"/>
      <c r="AQ249" s="1174"/>
      <c r="AR249" s="1174"/>
      <c r="AS249" s="1174"/>
      <c r="AT249" s="1174"/>
      <c r="AU249" s="1174"/>
      <c r="AV249" s="1174"/>
      <c r="AW249" s="1174"/>
      <c r="AX249" s="1174"/>
      <c r="AY249" s="1174"/>
      <c r="AZ249" s="1174"/>
      <c r="BA249" s="1174"/>
      <c r="BB249" s="1174"/>
      <c r="BC249" s="1174"/>
      <c r="BD249" s="1174"/>
      <c r="BE249" s="1174"/>
      <c r="BF249" s="1174"/>
      <c r="BG249" s="1174"/>
      <c r="BH249" s="1174"/>
      <c r="BI249" s="1174"/>
      <c r="BJ249" s="1174"/>
      <c r="BK249" s="1174"/>
      <c r="BL249" s="1174"/>
      <c r="BM249" s="1184"/>
      <c r="BN249" s="1185">
        <f>SUM(K249:K252)</f>
        <v>0</v>
      </c>
      <c r="BO249" s="1128" t="str">
        <f>IF(E249=0,"",(AF249+AP249+AZ249+BJ249))</f>
        <v/>
      </c>
      <c r="BP249" s="1186" t="str">
        <f>IF(I249="Si",VLOOKUP($D$8,'Tablas Técnicas'!$E$4:$F$6,2,FALSE),"")</f>
        <v/>
      </c>
      <c r="BQ249" s="1187" t="str">
        <f>IF(L249="Si",VLOOKUP($D$8,'Tablas Técnicas'!$I$4:$J$6,2,FALSE),"")</f>
        <v/>
      </c>
      <c r="BR249" s="1185" t="str">
        <f>IF(O249="Si",VLOOKUP($D$8,'Tablas Técnicas'!$I$7:$J$9,2,FALSE),"")</f>
        <v/>
      </c>
      <c r="BS249" s="1151"/>
      <c r="BT249" s="261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92"/>
      <c r="BV249" s="1128"/>
      <c r="BW249" s="1183" t="str">
        <f>IF(SUM(BT249:BU249)=0,"N/A",SUM(BT249:BU249))</f>
        <v>N/A</v>
      </c>
      <c r="BX249" s="261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83" t="str">
        <f>IF(BX249=0,"N/A",BX249)</f>
        <v>N/A</v>
      </c>
      <c r="BZ249" s="1492"/>
      <c r="CA249" s="1096"/>
      <c r="DR249" s="1096"/>
      <c r="DT249" s="1514"/>
      <c r="DU249" s="1569"/>
      <c r="DV249" s="1570"/>
      <c r="DW249" s="1566"/>
      <c r="DX249" s="1568"/>
      <c r="DY249" s="1513"/>
      <c r="DZ249" s="1096"/>
      <c r="EA249" s="1660">
        <f t="shared" si="3"/>
        <v>1</v>
      </c>
    </row>
    <row r="250" spans="1:131" x14ac:dyDescent="0.2">
      <c r="A250" s="1096"/>
      <c r="B250" s="1096"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97"/>
      <c r="D250" s="1643" t="s">
        <v>2310</v>
      </c>
      <c r="E250" s="1140"/>
      <c r="F250" s="1176"/>
      <c r="G250" s="1146" t="str">
        <f>IF(E250=0,"",VLOOKUP(E250,'Tablas Técnicas'!$A$14:$V$771,3,FALSE))</f>
        <v/>
      </c>
      <c r="H250" s="1188" t="str">
        <f>IF($E250=0,"",VLOOKUP($E250,'Tablas Técnicas'!$A$14:$V$771,4,FALSE))</f>
        <v/>
      </c>
      <c r="I250" s="1144" t="s">
        <v>2234</v>
      </c>
      <c r="J250" s="1607" t="str">
        <f>IF(E250=0,"",VLOOKUP(E250,'Tablas Técnicas'!$A$14:$V$771,5,FALSE))</f>
        <v/>
      </c>
      <c r="K250" s="1190" t="str">
        <f>IF(I250="Si",IF(E250=0,"",VLOOKUP(E250,'Tablas Técnicas'!$A$14:$V$771,5,FALSE)),"")</f>
        <v/>
      </c>
      <c r="L250" s="1144" t="s">
        <v>2234</v>
      </c>
      <c r="M250" s="1607" t="str">
        <f>IF(E250=0,"",VLOOKUP(E250,'Tablas Técnicas'!$A$14:$V$771,6,FALSE))</f>
        <v/>
      </c>
      <c r="N250" s="1147" t="str">
        <f>IF(L250="Si",IF(E250=0,"",VLOOKUP(E250,'Tablas Técnicas'!$A$14:$V$771,6,FALSE)),"")</f>
        <v/>
      </c>
      <c r="O250" s="1144" t="s">
        <v>2234</v>
      </c>
      <c r="P250" s="1607" t="str">
        <f>IF(E250=0,"",VLOOKUP(E250,'Tablas Técnicas'!$A$14:$V$771,7,FALSE))</f>
        <v/>
      </c>
      <c r="Q250" s="1147" t="str">
        <f>IF(O250="Si",IF(E250=0,"",VLOOKUP(E250,'Tablas Técnicas'!$A$14:$V$771,7,FALSE)),"")</f>
        <v/>
      </c>
      <c r="R250" s="1189" t="str">
        <f>IF(E250=0,"",VLOOKUP(E250,'Tablas Técnicas'!$A$14:$V$771,8,FALSE))</f>
        <v/>
      </c>
      <c r="S250" s="1161" t="str">
        <f>IF(R250=$D$8,$D$8,IF(R250=2,2,IF(R250=3,3,R250)))</f>
        <v/>
      </c>
      <c r="T250" s="1190" t="str">
        <f>IF(E250=0,"",VLOOKUP(E250,'Tablas Técnicas'!$A$14:$V$771,9,FALSE))</f>
        <v/>
      </c>
      <c r="U250" s="1190" t="str">
        <f>IF(E250=0,"",VLOOKUP(E250,'Tablas Técnicas'!$A$14:$V$771,10,FALSE))</f>
        <v/>
      </c>
      <c r="V250" s="1191" t="str">
        <f>IF(E250=0,"",VLOOKUP(E250,'Tablas Técnicas'!$A$14:$V$771,11,FALSE))</f>
        <v/>
      </c>
      <c r="W250" s="1144"/>
      <c r="X250" s="1145" t="e">
        <f>VLOOKUP(E250,'Tablas Técnicas'!$A$14:$V$771,12,FALSE)</f>
        <v>#N/A</v>
      </c>
      <c r="Y250" s="1145" t="e">
        <f>IF(W250=X250,VLOOKUP(E250,'Tablas Técnicas'!$A$14:$V$771,13,FALSE),0)</f>
        <v>#N/A</v>
      </c>
      <c r="Z250" s="1145" t="e">
        <f>VLOOKUP(E250,'Tablas Técnicas'!$A$14:$V$771,14,FALSE)</f>
        <v>#N/A</v>
      </c>
      <c r="AA250" s="1145" t="e">
        <f>IF(W250=Z250,VLOOKUP(E250,'Tablas Técnicas'!$A$14:$V$616,15,FALSE),0)</f>
        <v>#N/A</v>
      </c>
      <c r="AB250" s="1145" t="e">
        <f>VLOOKUP(E250,'Tablas Técnicas'!$A$14:$V$771,16,FALSE)</f>
        <v>#N/A</v>
      </c>
      <c r="AC250" s="1145" t="e">
        <f>IF(W250=AB250,VLOOKUP(E250,'Tablas Técnicas'!$A$14:$V$616,17,FALSE),0)</f>
        <v>#N/A</v>
      </c>
      <c r="AD250" s="1145" t="e">
        <f>VLOOKUP(E250,'Tablas Técnicas'!$A$14:$V$771,18,FALSE)</f>
        <v>#N/A</v>
      </c>
      <c r="AE250" s="1145" t="e">
        <f>IF(W250=AD250,VLOOKUP(E250,'Tablas Técnicas'!$A$14:$V$771,19,FALSE),0)</f>
        <v>#N/A</v>
      </c>
      <c r="AF250" s="1163" t="str">
        <f>IF(E250=0,"",(Y250+AA250+AC250+AE250))</f>
        <v/>
      </c>
      <c r="AG250" s="1144"/>
      <c r="AH250" s="1162" t="e">
        <f>VLOOKUP(E250,'Tablas Técnicas'!$A$14:$V$771,12,FALSE)</f>
        <v>#N/A</v>
      </c>
      <c r="AI250" s="1162" t="e">
        <f>IF(AG250=AH250,VLOOKUP(E250,'Tablas Técnicas'!$A$14:$V$771,13,FALSE),0)</f>
        <v>#N/A</v>
      </c>
      <c r="AJ250" s="1162" t="e">
        <f>VLOOKUP(E250,'Tablas Técnicas'!$A$14:$V$771,14,FALSE)</f>
        <v>#N/A</v>
      </c>
      <c r="AK250" s="1162" t="e">
        <f>IF(AG250=AJ250,VLOOKUP(E250,'Tablas Técnicas'!$A$14:$V$771,15,FALSE),0)</f>
        <v>#N/A</v>
      </c>
      <c r="AL250" s="1162" t="e">
        <f>VLOOKUP(E250,'Tablas Técnicas'!$A$14:$V$771,16,FALSE)</f>
        <v>#N/A</v>
      </c>
      <c r="AM250" s="1162" t="e">
        <f>IF(AG250=AL250,VLOOKUP(E250,'Tablas Técnicas'!$A$14:$V$771,17,FALSE),0)</f>
        <v>#N/A</v>
      </c>
      <c r="AN250" s="1162" t="e">
        <f>VLOOKUP(E250,'Tablas Técnicas'!$A$14:$V$771,18,FALSE)</f>
        <v>#N/A</v>
      </c>
      <c r="AO250" s="1162" t="e">
        <f>IF(AG250=AN250,VLOOKUP(E250,'Tablas Técnicas'!$A$14:$V$771,19,FALSE),0)</f>
        <v>#N/A</v>
      </c>
      <c r="AP250" s="2620" t="str">
        <f>IF(E250=0,"",(AI250+AK250+AM250+AO250))</f>
        <v/>
      </c>
      <c r="AQ250" s="1144"/>
      <c r="AR250" s="1162" t="e">
        <f>VLOOKUP(E250,'Tablas Técnicas'!$A$14:$V$771,12,FALSE)</f>
        <v>#N/A</v>
      </c>
      <c r="AS250" s="1162" t="e">
        <f>IF(AQ250=AR250,VLOOKUP(E250,'Tablas Técnicas'!$A$14:$V$771,13,FALSE),0)</f>
        <v>#N/A</v>
      </c>
      <c r="AT250" s="1162" t="e">
        <f>VLOOKUP(E250,'Tablas Técnicas'!$A$14:$V$771,14,FALSE)</f>
        <v>#N/A</v>
      </c>
      <c r="AU250" s="1162" t="e">
        <f>IF(AQ250=AT250,VLOOKUP(E250,'Tablas Técnicas'!$A$14:$V$771,15,FALSE),0)</f>
        <v>#N/A</v>
      </c>
      <c r="AV250" s="1162" t="e">
        <f>VLOOKUP(E250,'Tablas Técnicas'!$A$14:$V$771,16,FALSE)</f>
        <v>#N/A</v>
      </c>
      <c r="AW250" s="1162" t="e">
        <f>IF(AQ250=AV250,VLOOKUP(E250,'Tablas Técnicas'!$A$14:$V$771,17,FALSE),0)</f>
        <v>#N/A</v>
      </c>
      <c r="AX250" s="1162" t="e">
        <f>VLOOKUP(E250,'Tablas Técnicas'!$A$14:$V$771,18,FALSE)</f>
        <v>#N/A</v>
      </c>
      <c r="AY250" s="1162" t="e">
        <f>IF(AQ250=AX250,VLOOKUP(E250,'Tablas Técnicas'!$A$14:$V$771,19,FALSE),0)</f>
        <v>#N/A</v>
      </c>
      <c r="AZ250" s="1163" t="str">
        <f>IF(E250=0,"",(AS250+AU250+AW250+AY250))</f>
        <v/>
      </c>
      <c r="BA250" s="1144"/>
      <c r="BB250" s="1162" t="e">
        <f>VLOOKUP(E250,'Tablas Técnicas'!$A$14:$V$771,12,FALSE)</f>
        <v>#N/A</v>
      </c>
      <c r="BC250" s="1162" t="e">
        <f>IF(BA250=BB250,VLOOKUP(E250,'Tablas Técnicas'!$A$14:$V$771,13,FALSE),0)</f>
        <v>#N/A</v>
      </c>
      <c r="BD250" s="1162" t="e">
        <f>VLOOKUP(E250,'Tablas Técnicas'!$A$14:$V$771,14,FALSE)</f>
        <v>#N/A</v>
      </c>
      <c r="BE250" s="1162" t="e">
        <f>IF(BA250=BD250,VLOOKUP(E250,'Tablas Técnicas'!$A$14:$V$771,15,FALSE),0)</f>
        <v>#N/A</v>
      </c>
      <c r="BF250" s="1162" t="e">
        <f>VLOOKUP(E250,'Tablas Técnicas'!$A$14:$V$771,16,FALSE)</f>
        <v>#N/A</v>
      </c>
      <c r="BG250" s="1162" t="e">
        <f>IF(BA250=BF250,VLOOKUP(E250,'Tablas Técnicas'!$A$14:$V$771,17,FALSE),0)</f>
        <v>#N/A</v>
      </c>
      <c r="BH250" s="1162" t="e">
        <f>VLOOKUP(E250,'Tablas Técnicas'!$A$14:$V$771,18,FALSE)</f>
        <v>#N/A</v>
      </c>
      <c r="BI250" s="1162" t="e">
        <f>IF(BA250=BH250,VLOOKUP(E250,'Tablas Técnicas'!$A$14:$V$771,19,FALSE),0)</f>
        <v>#N/A</v>
      </c>
      <c r="BJ250" s="2620" t="str">
        <f>IF(E250=0,"",(BC250+BE250+BG250+BI250))</f>
        <v/>
      </c>
      <c r="BK250" s="1190" t="str">
        <f>IF(E250=0,"",VLOOKUP(E250,'Tablas Técnicas'!$A$14:$V$771,20,FALSE))</f>
        <v/>
      </c>
      <c r="BL250" s="1177" t="str">
        <f>IF(E250=0,"",VLOOKUP(E250,'Tablas Técnicas'!$A$14:$V$771,21,FALSE))</f>
        <v/>
      </c>
      <c r="BM250" s="1148" t="str">
        <f>IF(E250=0,"",VLOOKUP(E250,'Tablas Técnicas'!$A$14:$V$771,22,FALSE))</f>
        <v/>
      </c>
      <c r="BN250" s="1149"/>
      <c r="BO250" s="1150"/>
      <c r="BP250" s="1135" t="str">
        <f>IF(I250="Si",VLOOKUP($D$8,'Tablas Técnicas'!$E$4:$F$6,2,FALSE),"")</f>
        <v/>
      </c>
      <c r="BQ250" s="1136" t="str">
        <f>IF(L250="Si",VLOOKUP($D$8,'Tablas Técnicas'!$I$4:$J$6,2,FALSE),"")</f>
        <v/>
      </c>
      <c r="BR250" s="1134" t="str">
        <f>IF(O250="Si",VLOOKUP($D$8,'Tablas Técnicas'!$I$7:$J$9,2,FALSE),"")</f>
        <v/>
      </c>
      <c r="BS250" s="1151"/>
      <c r="BT250" s="2609" t="s">
        <v>2236</v>
      </c>
      <c r="BU250" s="2610" t="s">
        <v>5236</v>
      </c>
      <c r="BV250" s="1128"/>
      <c r="BW250" s="2610" t="s">
        <v>5237</v>
      </c>
      <c r="BX250" s="2609" t="s">
        <v>5238</v>
      </c>
      <c r="BY250" s="1489" t="s">
        <v>5238</v>
      </c>
      <c r="BZ250" s="1492"/>
      <c r="CA250" s="1096"/>
      <c r="DR250" s="1096"/>
      <c r="DT250" s="1514"/>
      <c r="DU250" s="1569"/>
      <c r="DV250" s="1566" t="str">
        <f>IF(E250="","",", "&amp;E250)&amp;IF(I250="No",""," (Mant.)")&amp;IF(L250="No",""," (Sme)")&amp;IF(O250="No",""," (SMa)")</f>
        <v/>
      </c>
      <c r="DW250" s="1566"/>
      <c r="DX250" s="1568"/>
      <c r="DY250" s="1513"/>
      <c r="DZ250" s="1096"/>
      <c r="EA250" s="1660">
        <f t="shared" si="3"/>
        <v>1</v>
      </c>
    </row>
    <row r="251" spans="1:131" x14ac:dyDescent="0.2">
      <c r="A251" s="1096"/>
      <c r="B251" s="1096"/>
      <c r="C251" s="1497"/>
      <c r="D251" s="1642" t="s">
        <v>2310</v>
      </c>
      <c r="E251" s="1152"/>
      <c r="F251" s="1182"/>
      <c r="G251" s="1627" t="str">
        <f>IF(E251=0,"",VLOOKUP(E251,'Tablas Técnicas'!$A$14:$V$771,3,FALSE))</f>
        <v/>
      </c>
      <c r="H251" s="1155" t="str">
        <f>IF($E251=0,"",VLOOKUP($E251,'Tablas Técnicas'!$A$14:$V$771,4,FALSE))</f>
        <v/>
      </c>
      <c r="I251" s="1156" t="s">
        <v>2234</v>
      </c>
      <c r="J251" s="1605" t="str">
        <f>IF(E251=0,"",VLOOKUP(E251,'Tablas Técnicas'!$A$14:$V$771,5,FALSE))</f>
        <v/>
      </c>
      <c r="K251" s="1158" t="str">
        <f>IF(I251="Si",IF(E251=0,"",VLOOKUP(E251,'Tablas Técnicas'!$A$14:$V$771,5,FALSE)),"")</f>
        <v/>
      </c>
      <c r="L251" s="1156" t="s">
        <v>2234</v>
      </c>
      <c r="M251" s="1605" t="str">
        <f>IF(E251=0,"",VLOOKUP(E251,'Tablas Técnicas'!$A$14:$V$771,6,FALSE))</f>
        <v/>
      </c>
      <c r="N251" s="1159" t="str">
        <f>IF(L251="Si",IF(E251=0,"",VLOOKUP(E251,'Tablas Técnicas'!$A$14:$V$771,6,FALSE)),"")</f>
        <v/>
      </c>
      <c r="O251" s="1156" t="s">
        <v>2234</v>
      </c>
      <c r="P251" s="1605" t="str">
        <f>IF(E251=0,"",VLOOKUP(E251,'Tablas Técnicas'!$A$14:$V$771,7,FALSE))</f>
        <v/>
      </c>
      <c r="Q251" s="1159" t="str">
        <f>IF(O251="Si",IF(E251=0,"",VLOOKUP(E251,'Tablas Técnicas'!$A$14:$V$771,7,FALSE)),"")</f>
        <v/>
      </c>
      <c r="R251" s="1157" t="str">
        <f>IF(E251=0,"",VLOOKUP(E251,'Tablas Técnicas'!$A$14:$V$771,8,FALSE))</f>
        <v/>
      </c>
      <c r="S251" s="1155" t="str">
        <f>IF(R251=$D$8,$D$8,IF(R251=2,2,IF(R251=3,3,R251)))</f>
        <v/>
      </c>
      <c r="T251" s="4475" t="s">
        <v>5228</v>
      </c>
      <c r="U251" s="4476"/>
      <c r="V251" s="4476"/>
      <c r="W251" s="4476"/>
      <c r="X251" s="4476"/>
      <c r="Y251" s="4476"/>
      <c r="Z251" s="4476"/>
      <c r="AA251" s="4476"/>
      <c r="AB251" s="4476"/>
      <c r="AC251" s="4476"/>
      <c r="AD251" s="4476"/>
      <c r="AE251" s="4476"/>
      <c r="AF251" s="4476"/>
      <c r="AG251" s="4476"/>
      <c r="AH251" s="4476"/>
      <c r="AI251" s="4476"/>
      <c r="AJ251" s="4476"/>
      <c r="AK251" s="4476"/>
      <c r="AL251" s="4476"/>
      <c r="AM251" s="4476"/>
      <c r="AN251" s="4476"/>
      <c r="AO251" s="4476"/>
      <c r="AP251" s="4476"/>
      <c r="AQ251" s="4476"/>
      <c r="AR251" s="4476"/>
      <c r="AS251" s="4476"/>
      <c r="AT251" s="4476"/>
      <c r="AU251" s="4476"/>
      <c r="AV251" s="4476"/>
      <c r="AW251" s="4476"/>
      <c r="AX251" s="4476"/>
      <c r="AY251" s="4476"/>
      <c r="AZ251" s="4476"/>
      <c r="BA251" s="4476"/>
      <c r="BB251" s="4476"/>
      <c r="BC251" s="4476"/>
      <c r="BD251" s="4476"/>
      <c r="BE251" s="4476"/>
      <c r="BF251" s="4476"/>
      <c r="BG251" s="4476"/>
      <c r="BH251" s="4476"/>
      <c r="BI251" s="4476"/>
      <c r="BJ251" s="4476"/>
      <c r="BK251" s="4477"/>
      <c r="BL251" s="1627"/>
      <c r="BM251" s="1628"/>
      <c r="BN251" s="1149"/>
      <c r="BO251" s="1150"/>
      <c r="BP251" s="1135" t="str">
        <f>IF(I251="Si",VLOOKUP($D$8,'Tablas Técnicas'!$E$4:$F$6,2,FALSE),"")</f>
        <v/>
      </c>
      <c r="BQ251" s="1136" t="str">
        <f>IF(L251="Si",VLOOKUP($D$8,'Tablas Técnicas'!$I$4:$J$6,2,FALSE),"")</f>
        <v/>
      </c>
      <c r="BR251" s="1134" t="str">
        <f>IF(O251="Si",VLOOKUP($D$8,'Tablas Técnicas'!$I$7:$J$9,2,FALSE),"")</f>
        <v/>
      </c>
      <c r="BS251" s="1151"/>
      <c r="BT251" s="261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92"/>
      <c r="BV251" s="1128"/>
      <c r="BW251" s="1183" t="str">
        <f>IF(SUM(BT251:BU251)=0,"N/A",SUM(BT251:BU251))</f>
        <v>N/A</v>
      </c>
      <c r="BX251" s="261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83" t="str">
        <f>IF(BX251=0,"N/A",BX251)</f>
        <v>N/A</v>
      </c>
      <c r="BZ251" s="1492"/>
      <c r="CA251" s="1096"/>
      <c r="DR251" s="1096"/>
      <c r="DT251" s="1514"/>
      <c r="DU251" s="1569"/>
      <c r="DV251" s="1566" t="str">
        <f>IF(E251="",""," "&amp;E251)&amp;IF(I251="No",""," (Mant.)")&amp;IF(L251="No",""," (Sme)")&amp;IF(O251="No",""," (SMa)")</f>
        <v/>
      </c>
      <c r="DW251" s="1566"/>
      <c r="DX251" s="1568"/>
      <c r="DY251" s="1513"/>
      <c r="DZ251" s="1096"/>
      <c r="EA251" s="1660">
        <f t="shared" si="3"/>
        <v>1</v>
      </c>
    </row>
    <row r="252" spans="1:131" x14ac:dyDescent="0.2">
      <c r="A252" s="1096"/>
      <c r="B252" s="1096"/>
      <c r="C252" s="1497"/>
      <c r="D252" s="1643" t="s">
        <v>2310</v>
      </c>
      <c r="E252" s="1160"/>
      <c r="F252" s="1176"/>
      <c r="G252" s="1146" t="str">
        <f>IF(E252=0,"",VLOOKUP(E252,'Tablas Técnicas'!$A$14:$V$771,3,FALSE))</f>
        <v/>
      </c>
      <c r="H252" s="2619" t="str">
        <f>IF($E252=0,"",VLOOKUP($E252,'Tablas Técnicas'!$A$14:$V$771,4,FALSE))</f>
        <v/>
      </c>
      <c r="I252" s="1144" t="s">
        <v>2234</v>
      </c>
      <c r="J252" s="1601" t="str">
        <f>IF(E252=0,"",VLOOKUP(E252,'Tablas Técnicas'!$A$14:$V$771,5,FALSE))</f>
        <v/>
      </c>
      <c r="K252" s="1163" t="str">
        <f>IF(I252="Si",IF(E252=0,"",VLOOKUP(E252,'Tablas Técnicas'!$A$14:$V$771,5,FALSE)),"")</f>
        <v/>
      </c>
      <c r="L252" s="1144" t="s">
        <v>2234</v>
      </c>
      <c r="M252" s="1601" t="str">
        <f>IF(E252=0,"",VLOOKUP(E252,'Tablas Técnicas'!$A$14:$V$771,6,FALSE))</f>
        <v/>
      </c>
      <c r="N252" s="1147" t="str">
        <f>IF(L252="Si",IF(E252=0,"",VLOOKUP(E252,'Tablas Técnicas'!$A$14:$V$771,6,FALSE)),"")</f>
        <v/>
      </c>
      <c r="O252" s="1144" t="s">
        <v>2234</v>
      </c>
      <c r="P252" s="1601" t="str">
        <f>IF(E252=0,"",VLOOKUP(E252,'Tablas Técnicas'!$A$14:$V$771,7,FALSE))</f>
        <v/>
      </c>
      <c r="Q252" s="1147" t="str">
        <f>IF(O252="Si",IF(E252=0,"",VLOOKUP(E252,'Tablas Técnicas'!$A$14:$V$771,7,FALSE)),"")</f>
        <v/>
      </c>
      <c r="R252" s="1162" t="str">
        <f>IF(E252=0,"",VLOOKUP(E252,'Tablas Técnicas'!$A$14:$V$771,8,FALSE))</f>
        <v/>
      </c>
      <c r="S252" s="2619" t="str">
        <f>IF(R252=$D$8,$D$8,IF(R252=2,2,IF(R252=3,3,R252)))</f>
        <v/>
      </c>
      <c r="T252" s="4487"/>
      <c r="U252" s="4488"/>
      <c r="V252" s="2617" t="str">
        <f>IF(OR(V250=0,V250=""),"N/A",V250)</f>
        <v>N/A</v>
      </c>
      <c r="W252" s="4487" t="str">
        <f xml:space="preserve"> IF(OR(AF250=0,AF250=""),"N/A",W250)</f>
        <v>N/A</v>
      </c>
      <c r="X252" s="4489"/>
      <c r="Y252" s="4489"/>
      <c r="Z252" s="4489"/>
      <c r="AA252" s="4489"/>
      <c r="AB252" s="4489"/>
      <c r="AC252" s="4489"/>
      <c r="AD252" s="4489"/>
      <c r="AE252" s="4489"/>
      <c r="AF252" s="4488"/>
      <c r="AG252" s="4487" t="str">
        <f xml:space="preserve"> IF(OR(AP250="",AP250=0),"N/A",AG250)</f>
        <v>N/A</v>
      </c>
      <c r="AH252" s="4489"/>
      <c r="AI252" s="4489"/>
      <c r="AJ252" s="4489"/>
      <c r="AK252" s="4489"/>
      <c r="AL252" s="4489"/>
      <c r="AM252" s="4489"/>
      <c r="AN252" s="4489"/>
      <c r="AO252" s="4489"/>
      <c r="AP252" s="4488"/>
      <c r="AQ252" s="4487" t="str">
        <f xml:space="preserve"> IF(OR(AZ250="",AZ250=0),"N/A",AQ250)</f>
        <v>N/A</v>
      </c>
      <c r="AR252" s="4489"/>
      <c r="AS252" s="4489"/>
      <c r="AT252" s="4489"/>
      <c r="AU252" s="4489"/>
      <c r="AV252" s="4489"/>
      <c r="AW252" s="4489"/>
      <c r="AX252" s="4489"/>
      <c r="AY252" s="4489"/>
      <c r="AZ252" s="4488"/>
      <c r="BA252" s="4487" t="str">
        <f xml:space="preserve"> IF(OR(BJ250="",BJ250=0),"N/A",BA250)</f>
        <v>N/A</v>
      </c>
      <c r="BB252" s="4489"/>
      <c r="BC252" s="4489"/>
      <c r="BD252" s="4489"/>
      <c r="BE252" s="4489"/>
      <c r="BF252" s="4489"/>
      <c r="BG252" s="4489"/>
      <c r="BH252" s="4489"/>
      <c r="BI252" s="4489"/>
      <c r="BJ252" s="4488"/>
      <c r="BK252" s="1164" t="s">
        <v>5229</v>
      </c>
      <c r="BL252" s="1146"/>
      <c r="BM252" s="1181"/>
      <c r="BN252" s="1165"/>
      <c r="BO252" s="1166"/>
      <c r="BP252" s="1167" t="str">
        <f>IF(I252="Si",VLOOKUP($D$8,'Tablas Técnicas'!$E$4:$F$6,2,FALSE),"")</f>
        <v/>
      </c>
      <c r="BQ252" s="1137" t="str">
        <f>IF(L252="Si",VLOOKUP($D$8,'Tablas Técnicas'!$I$4:$J$6,2,FALSE),"")</f>
        <v/>
      </c>
      <c r="BR252" s="1168" t="str">
        <f>IF(O252="Si",VLOOKUP($D$8,'Tablas Técnicas'!$I$7:$J$9,2,FALSE),"")</f>
        <v/>
      </c>
      <c r="BS252" s="1151"/>
      <c r="BT252" s="2609" t="s">
        <v>2244</v>
      </c>
      <c r="BU252" s="2610" t="s">
        <v>5236</v>
      </c>
      <c r="BV252" s="1128"/>
      <c r="BW252" s="2610" t="s">
        <v>5237</v>
      </c>
      <c r="BX252" s="2609" t="s">
        <v>5238</v>
      </c>
      <c r="BY252" s="1489" t="s">
        <v>5238</v>
      </c>
      <c r="BZ252" s="1492"/>
      <c r="CA252" s="1096"/>
      <c r="DR252" s="1096"/>
      <c r="DT252" s="1514"/>
      <c r="DU252" s="1569"/>
      <c r="DV252" s="1566" t="str">
        <f>IF(E252="","",E252)&amp;IF(I252="No",""," (Mant.)")&amp;IF(L252="No",""," (Sme)")&amp;IF(O252="No",""," (SMa)")</f>
        <v/>
      </c>
      <c r="DW252" s="1567"/>
      <c r="DX252" s="1568"/>
      <c r="DY252" s="1513"/>
      <c r="DZ252" s="1096"/>
      <c r="EA252" s="1660">
        <f t="shared" si="3"/>
        <v>1</v>
      </c>
    </row>
    <row r="253" spans="1:131" x14ac:dyDescent="0.2">
      <c r="A253" s="1096"/>
      <c r="B253" s="1096"/>
      <c r="C253" s="1497"/>
      <c r="D253" s="1642" t="s">
        <v>2310</v>
      </c>
      <c r="E253" s="1152"/>
      <c r="F253" s="1182"/>
      <c r="G253" s="1627" t="str">
        <f>IF(E253=0,"",VLOOKUP(E253,'Tablas Técnicas'!$A$14:$V$771,3,FALSE))</f>
        <v/>
      </c>
      <c r="H253" s="1155" t="str">
        <f>IF($E253=0,"",VLOOKUP($E253,'Tablas Técnicas'!$A$14:$V$771,4,FALSE))</f>
        <v/>
      </c>
      <c r="I253" s="1156" t="s">
        <v>2234</v>
      </c>
      <c r="J253" s="1605" t="str">
        <f>IF(E253=0,"",VLOOKUP(E253,'Tablas Técnicas'!$A$14:$V$771,5,FALSE))</f>
        <v/>
      </c>
      <c r="K253" s="1158" t="str">
        <f>IF(I253="Si",IF(E253=0,"",VLOOKUP(E253,'Tablas Técnicas'!$A$14:$V$771,5,FALSE)),"")</f>
        <v/>
      </c>
      <c r="L253" s="1156" t="s">
        <v>2234</v>
      </c>
      <c r="M253" s="1605" t="str">
        <f>IF(E253=0,"",VLOOKUP(E253,'Tablas Técnicas'!$A$14:$V$771,6,FALSE))</f>
        <v/>
      </c>
      <c r="N253" s="1159" t="str">
        <f>IF(L253="Si",IF(E253=0,"",VLOOKUP(E253,'Tablas Técnicas'!$A$14:$V$771,6,FALSE)),"")</f>
        <v/>
      </c>
      <c r="O253" s="1156" t="s">
        <v>2234</v>
      </c>
      <c r="P253" s="1605" t="str">
        <f>IF(E253=0,"",VLOOKUP(E253,'Tablas Técnicas'!$A$14:$V$771,7,FALSE))</f>
        <v/>
      </c>
      <c r="Q253" s="1159" t="str">
        <f>IF(O253="Si",IF(E253=0,"",VLOOKUP(E253,'Tablas Técnicas'!$A$14:$V$771,7,FALSE)),"")</f>
        <v/>
      </c>
      <c r="R253" s="1157" t="str">
        <f>IF(E253=0,"",VLOOKUP(E253,'Tablas Técnicas'!$A$14:$V$771,8,FALSE))</f>
        <v/>
      </c>
      <c r="S253" s="1155" t="str">
        <f>IF(R253=$D$8,$D$8,IF(R253=2,2,IF(R253=3,3,R253)))</f>
        <v/>
      </c>
      <c r="T253" s="4490" t="s">
        <v>5230</v>
      </c>
      <c r="U253" s="4491"/>
      <c r="V253" s="2618"/>
      <c r="W253" s="4492"/>
      <c r="X253" s="4493"/>
      <c r="Y253" s="4493"/>
      <c r="Z253" s="4493"/>
      <c r="AA253" s="4493"/>
      <c r="AB253" s="4493"/>
      <c r="AC253" s="4493"/>
      <c r="AD253" s="4493"/>
      <c r="AE253" s="4493"/>
      <c r="AF253" s="4494"/>
      <c r="AG253" s="4492"/>
      <c r="AH253" s="4493"/>
      <c r="AI253" s="4493"/>
      <c r="AJ253" s="4493"/>
      <c r="AK253" s="4493"/>
      <c r="AL253" s="4493"/>
      <c r="AM253" s="4493"/>
      <c r="AN253" s="4493"/>
      <c r="AO253" s="4493"/>
      <c r="AP253" s="4494"/>
      <c r="AQ253" s="4492"/>
      <c r="AR253" s="4493"/>
      <c r="AS253" s="4493"/>
      <c r="AT253" s="4493"/>
      <c r="AU253" s="4493"/>
      <c r="AV253" s="4493"/>
      <c r="AW253" s="4493"/>
      <c r="AX253" s="4493"/>
      <c r="AY253" s="4493"/>
      <c r="AZ253" s="4494"/>
      <c r="BA253" s="4492"/>
      <c r="BB253" s="4493"/>
      <c r="BC253" s="4493"/>
      <c r="BD253" s="4493"/>
      <c r="BE253" s="4493"/>
      <c r="BF253" s="4493"/>
      <c r="BG253" s="4493"/>
      <c r="BH253" s="4493"/>
      <c r="BI253" s="4493"/>
      <c r="BJ253" s="4494"/>
      <c r="BK253" s="1155">
        <f>(SUM(G250:G254)+IF(AF250="",0,AF250)+IF(AP250="",0,AP250)+IF(AZ250="",0,AZ250)+IF(BJ250="",0,BJ250)+SUM(K250:K254)+SUM(N250:N254)+SUM(Q250:Q254))- SUM(V253:BA253)</f>
        <v>0</v>
      </c>
      <c r="BL253" s="1627"/>
      <c r="BM253" s="1628"/>
      <c r="BN253" s="1149"/>
      <c r="BO253" s="1150"/>
      <c r="BP253" s="1135" t="str">
        <f>IF(I253="Si",VLOOKUP($D$8,'Tablas Técnicas'!$E$4:$F$6,2,FALSE),"")</f>
        <v/>
      </c>
      <c r="BQ253" s="1136" t="str">
        <f>IF(L253="Si",VLOOKUP($D$8,'Tablas Técnicas'!$I$4:$J$6,2,FALSE),"")</f>
        <v/>
      </c>
      <c r="BR253" s="1134" t="str">
        <f>IF(O253="Si",VLOOKUP($D$8,'Tablas Técnicas'!$I$7:$J$9,2,FALSE),"")</f>
        <v/>
      </c>
      <c r="BS253" s="1151"/>
      <c r="BT253" s="261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92"/>
      <c r="BV253" s="1128"/>
      <c r="BW253" s="1183" t="str">
        <f>IF(SUM(BT253:BU253)=0,"N/A",SUM(BT253:BU253))</f>
        <v>N/A</v>
      </c>
      <c r="BX253" s="261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83" t="str">
        <f>IF(BX253=0,"N/A",BX253)</f>
        <v>N/A</v>
      </c>
      <c r="BZ253" s="1492"/>
      <c r="CA253" s="1096"/>
      <c r="DR253" s="1096"/>
      <c r="DT253" s="1514"/>
      <c r="DU253" s="1569"/>
      <c r="DV253" s="1566" t="str">
        <f>IF(E253="","",E253)&amp;IF(I253="No",""," (Mant.)")&amp;IF(L253="No",""," (Sme)")&amp;IF(O253="No",""," (SMa)")</f>
        <v/>
      </c>
      <c r="DW253" s="1567"/>
      <c r="DX253" s="1568"/>
      <c r="DY253" s="1513"/>
      <c r="DZ253" s="1096"/>
      <c r="EA253" s="1660">
        <f t="shared" si="3"/>
        <v>1</v>
      </c>
    </row>
    <row r="254" spans="1:131" x14ac:dyDescent="0.2">
      <c r="A254" s="1096"/>
      <c r="B254" s="1096"/>
      <c r="C254" s="1497"/>
      <c r="D254" s="1643" t="s">
        <v>2310</v>
      </c>
      <c r="E254" s="1160"/>
      <c r="F254" s="1176"/>
      <c r="G254" s="1146" t="str">
        <f>IF(E254=0,"",VLOOKUP(E254,'Tablas Técnicas'!$A$14:$V$771,3,FALSE))</f>
        <v/>
      </c>
      <c r="H254" s="1171" t="str">
        <f>IF($E254=0,"",VLOOKUP($E254,'Tablas Técnicas'!$A$14:$V$771,4,FALSE))</f>
        <v/>
      </c>
      <c r="I254" s="1144" t="s">
        <v>2234</v>
      </c>
      <c r="J254" s="1608" t="str">
        <f>IF(E254=0,"",VLOOKUP(E254,'Tablas Técnicas'!$A$14:$V$771,5,FALSE))</f>
        <v/>
      </c>
      <c r="K254" s="1172" t="str">
        <f>IF(I254="Si",IF(E254=0,"",VLOOKUP(E254,'Tablas Técnicas'!$A$14:$V$771,5,FALSE)),"")</f>
        <v/>
      </c>
      <c r="L254" s="1144" t="s">
        <v>2234</v>
      </c>
      <c r="M254" s="1608" t="str">
        <f>IF(E254=0,"",VLOOKUP(E254,'Tablas Técnicas'!$A$14:$V$771,6,FALSE))</f>
        <v/>
      </c>
      <c r="N254" s="1147" t="str">
        <f>IF(L254="Si",IF(E254=0,"",VLOOKUP(E254,'Tablas Técnicas'!$A$14:$V$771,6,FALSE)),"")</f>
        <v/>
      </c>
      <c r="O254" s="1144" t="s">
        <v>2234</v>
      </c>
      <c r="P254" s="1608" t="str">
        <f>IF(E254=0,"",VLOOKUP(E254,'Tablas Técnicas'!$A$14:$V$771,7,FALSE))</f>
        <v/>
      </c>
      <c r="Q254" s="1147" t="str">
        <f>IF(O254="Si",IF(E254=0,"",VLOOKUP(E254,'Tablas Técnicas'!$A$14:$V$771,7,FALSE)),"")</f>
        <v/>
      </c>
      <c r="R254" s="1193" t="str">
        <f>IF(E254=0,"",VLOOKUP(E254,'Tablas Técnicas'!$A$14:$V$771,8,FALSE))</f>
        <v/>
      </c>
      <c r="S254" s="1161" t="str">
        <f>IF(R254=$D$8,$D$8,IF(R254=2,2,IF(R254=3,3,R254)))</f>
        <v/>
      </c>
      <c r="T254" s="4482" t="s">
        <v>5232</v>
      </c>
      <c r="U254" s="4483"/>
      <c r="V254" s="2616"/>
      <c r="W254" s="4484"/>
      <c r="X254" s="4485"/>
      <c r="Y254" s="4485"/>
      <c r="Z254" s="4485"/>
      <c r="AA254" s="4485"/>
      <c r="AB254" s="4485"/>
      <c r="AC254" s="4485"/>
      <c r="AD254" s="4485"/>
      <c r="AE254" s="4485"/>
      <c r="AF254" s="4486"/>
      <c r="AG254" s="4484"/>
      <c r="AH254" s="4485"/>
      <c r="AI254" s="4485"/>
      <c r="AJ254" s="4485"/>
      <c r="AK254" s="4485"/>
      <c r="AL254" s="4485"/>
      <c r="AM254" s="4485"/>
      <c r="AN254" s="4485"/>
      <c r="AO254" s="4485"/>
      <c r="AP254" s="4486"/>
      <c r="AQ254" s="4484"/>
      <c r="AR254" s="4485"/>
      <c r="AS254" s="4485"/>
      <c r="AT254" s="4485"/>
      <c r="AU254" s="4485"/>
      <c r="AV254" s="4485"/>
      <c r="AW254" s="4485"/>
      <c r="AX254" s="4485"/>
      <c r="AY254" s="4485"/>
      <c r="AZ254" s="4486"/>
      <c r="BA254" s="4484"/>
      <c r="BB254" s="4485"/>
      <c r="BC254" s="4485"/>
      <c r="BD254" s="4485"/>
      <c r="BE254" s="4485"/>
      <c r="BF254" s="4485"/>
      <c r="BG254" s="4485"/>
      <c r="BH254" s="4485"/>
      <c r="BI254" s="4485"/>
      <c r="BJ254" s="4486"/>
      <c r="BK254" s="1171">
        <f>SUM(K250:K254)-SUM(V254:BA254)</f>
        <v>0</v>
      </c>
      <c r="BL254" s="1629"/>
      <c r="BM254" s="1630"/>
      <c r="BN254" s="1165"/>
      <c r="BO254" s="1166"/>
      <c r="BP254" s="1167" t="str">
        <f>IF(I254="Si",VLOOKUP($D$8,'Tablas Técnicas'!$E$4:$F$6,2,FALSE),"")</f>
        <v/>
      </c>
      <c r="BQ254" s="1137" t="str">
        <f>IF(L254="Si",VLOOKUP($D$8,'Tablas Técnicas'!$I$4:$J$6,2,FALSE),"")</f>
        <v/>
      </c>
      <c r="BR254" s="1168" t="str">
        <f>IF(O254="Si",VLOOKUP($D$8,'Tablas Técnicas'!$I$7:$J$9,2,FALSE),"")</f>
        <v/>
      </c>
      <c r="BS254" s="1151"/>
      <c r="BT254" s="2609" t="s">
        <v>2245</v>
      </c>
      <c r="BU254" s="2610" t="s">
        <v>5236</v>
      </c>
      <c r="BV254" s="1128"/>
      <c r="BW254" s="2610" t="s">
        <v>5237</v>
      </c>
      <c r="BX254" s="2609" t="s">
        <v>5238</v>
      </c>
      <c r="BY254" s="1489" t="s">
        <v>5238</v>
      </c>
      <c r="BZ254" s="1492"/>
      <c r="CA254" s="1096"/>
      <c r="DR254" s="1096"/>
      <c r="DT254" s="1514"/>
      <c r="DU254" s="1569"/>
      <c r="DV254" s="1566" t="str">
        <f>IF(E254="","",E254)&amp;IF(I254="No",""," (Mant.)")&amp;IF(L254="No",""," (Sme)")&amp;IF(O254="No",""," (SMa)")</f>
        <v/>
      </c>
      <c r="DW254" s="1567"/>
      <c r="DX254" s="1568"/>
      <c r="DY254" s="1513"/>
      <c r="DZ254" s="1096"/>
      <c r="EA254" s="1660">
        <f t="shared" si="3"/>
        <v>1</v>
      </c>
    </row>
    <row r="255" spans="1:131" x14ac:dyDescent="0.2">
      <c r="A255" s="1096"/>
      <c r="B255" s="159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97"/>
      <c r="D255" s="1644">
        <v>5</v>
      </c>
      <c r="E255" s="1423"/>
      <c r="F255" s="1173"/>
      <c r="G255" s="1174"/>
      <c r="H255" s="2559">
        <f>IF(AND(OR(ISNUMBER(SEARCH("Afinidad Elemental ("&amp;BK250&amp;")",Principal!$AF$30)),ISNUMBER(SEARCH("Afinidad Elemental ("&amp;BL250&amp;")",Principal!$AF$30)),ISNUMBER(SEARCH("Afinidad Elemental ("&amp;BM250&amp;")",Principal!$AF$30))),SUM(H250:H254)&gt;=5),-5,0)</f>
        <v>0</v>
      </c>
      <c r="I255" s="1603"/>
      <c r="J255" s="1606"/>
      <c r="K255" s="1174"/>
      <c r="L255" s="1603"/>
      <c r="M255" s="1606"/>
      <c r="N255" s="1174"/>
      <c r="O255" s="1603"/>
      <c r="P255" s="1606"/>
      <c r="Q255" s="1174"/>
      <c r="R255" s="1175"/>
      <c r="S255" s="1174"/>
      <c r="T255" s="1174"/>
      <c r="U255" s="1174"/>
      <c r="V255" s="1174"/>
      <c r="W255" s="1174"/>
      <c r="X255" s="1174"/>
      <c r="Y255" s="1174"/>
      <c r="Z255" s="1174"/>
      <c r="AA255" s="1174"/>
      <c r="AB255" s="1174"/>
      <c r="AC255" s="1174"/>
      <c r="AD255" s="1174"/>
      <c r="AE255" s="1174"/>
      <c r="AF255" s="1174"/>
      <c r="AG255" s="1174"/>
      <c r="AH255" s="1174"/>
      <c r="AI255" s="1174"/>
      <c r="AJ255" s="1174"/>
      <c r="AK255" s="1174"/>
      <c r="AL255" s="1174"/>
      <c r="AM255" s="1174"/>
      <c r="AN255" s="1174"/>
      <c r="AO255" s="1174"/>
      <c r="AP255" s="1174"/>
      <c r="AQ255" s="1174"/>
      <c r="AR255" s="1174"/>
      <c r="AS255" s="1174"/>
      <c r="AT255" s="1174"/>
      <c r="AU255" s="1174"/>
      <c r="AV255" s="1174"/>
      <c r="AW255" s="1174"/>
      <c r="AX255" s="1174"/>
      <c r="AY255" s="1174"/>
      <c r="AZ255" s="1174"/>
      <c r="BA255" s="1174"/>
      <c r="BB255" s="1174"/>
      <c r="BC255" s="1174"/>
      <c r="BD255" s="1174"/>
      <c r="BE255" s="1174"/>
      <c r="BF255" s="1174"/>
      <c r="BG255" s="1174"/>
      <c r="BH255" s="1174"/>
      <c r="BI255" s="1174"/>
      <c r="BJ255" s="1174"/>
      <c r="BK255" s="1174"/>
      <c r="BL255" s="1174"/>
      <c r="BM255" s="1184"/>
      <c r="BN255" s="1185">
        <f>SUM(K255:K258)</f>
        <v>0</v>
      </c>
      <c r="BO255" s="1128" t="str">
        <f>IF(E255=0,"",(AF255+AP255+AZ255+BJ255))</f>
        <v/>
      </c>
      <c r="BP255" s="1186" t="str">
        <f>IF(I255="Si",VLOOKUP($D$8,'Tablas Técnicas'!$E$4:$F$6,2,FALSE),"")</f>
        <v/>
      </c>
      <c r="BQ255" s="1187" t="str">
        <f>IF(L255="Si",VLOOKUP($D$8,'Tablas Técnicas'!$I$4:$J$6,2,FALSE),"")</f>
        <v/>
      </c>
      <c r="BR255" s="1185" t="str">
        <f>IF(O255="Si",VLOOKUP($D$8,'Tablas Técnicas'!$I$7:$J$9,2,FALSE),"")</f>
        <v/>
      </c>
      <c r="BS255" s="1151"/>
      <c r="BT255" s="261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92"/>
      <c r="BV255" s="1128"/>
      <c r="BW255" s="1183" t="str">
        <f>IF(SUM(BT255:BU255)=0,"N/A",SUM(BT255:BU255))</f>
        <v>N/A</v>
      </c>
      <c r="BX255" s="261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83" t="str">
        <f>IF(BX255=0,"N/A",BX255)</f>
        <v>N/A</v>
      </c>
      <c r="BZ255" s="1492"/>
      <c r="CA255" s="1096"/>
      <c r="DR255" s="1096"/>
      <c r="DT255" s="1514"/>
      <c r="DU255" s="1569"/>
      <c r="DV255" s="1570"/>
      <c r="DW255" s="1567"/>
      <c r="DX255" s="1568"/>
      <c r="DY255" s="1513"/>
      <c r="DZ255" s="1096"/>
      <c r="EA255" s="1660">
        <f t="shared" si="3"/>
        <v>1</v>
      </c>
    </row>
    <row r="256" spans="1:131" ht="12" thickBot="1" x14ac:dyDescent="0.25">
      <c r="A256" s="1096"/>
      <c r="B256" s="1096"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97"/>
      <c r="D256" s="1643" t="s">
        <v>2310</v>
      </c>
      <c r="E256" s="1140"/>
      <c r="F256" s="1176"/>
      <c r="G256" s="1146" t="str">
        <f>IF(E256=0,"",VLOOKUP(E256,'Tablas Técnicas'!$A$14:$V$771,3,FALSE))</f>
        <v/>
      </c>
      <c r="H256" s="1188" t="str">
        <f>IF($E256=0,"",VLOOKUP($E256,'Tablas Técnicas'!$A$14:$V$771,4,FALSE))</f>
        <v/>
      </c>
      <c r="I256" s="1144" t="s">
        <v>2234</v>
      </c>
      <c r="J256" s="1607" t="str">
        <f>IF(E256=0,"",VLOOKUP(E256,'Tablas Técnicas'!$A$14:$V$771,5,FALSE))</f>
        <v/>
      </c>
      <c r="K256" s="1190" t="str">
        <f>IF(I256="Si",IF(E256=0,"",VLOOKUP(E256,'Tablas Técnicas'!$A$14:$V$771,5,FALSE)),"")</f>
        <v/>
      </c>
      <c r="L256" s="1144" t="s">
        <v>2234</v>
      </c>
      <c r="M256" s="1607" t="str">
        <f>IF(E256=0,"",VLOOKUP(E256,'Tablas Técnicas'!$A$14:$V$771,6,FALSE))</f>
        <v/>
      </c>
      <c r="N256" s="1147" t="str">
        <f>IF(L256="Si",IF(E256=0,"",VLOOKUP(E256,'Tablas Técnicas'!$A$14:$V$771,6,FALSE)),"")</f>
        <v/>
      </c>
      <c r="O256" s="1144" t="s">
        <v>2234</v>
      </c>
      <c r="P256" s="1607" t="str">
        <f>IF(E256=0,"",VLOOKUP(E256,'Tablas Técnicas'!$A$14:$V$771,7,FALSE))</f>
        <v/>
      </c>
      <c r="Q256" s="1147" t="str">
        <f>IF(O256="Si",IF(E256=0,"",VLOOKUP(E256,'Tablas Técnicas'!$A$14:$V$771,7,FALSE)),"")</f>
        <v/>
      </c>
      <c r="R256" s="1189" t="str">
        <f>IF(E256=0,"",VLOOKUP(E256,'Tablas Técnicas'!$A$14:$V$771,8,FALSE))</f>
        <v/>
      </c>
      <c r="S256" s="1161" t="str">
        <f>IF(R256=$D$8,$D$8,IF(R256=2,2,IF(R256=3,3,R256)))</f>
        <v/>
      </c>
      <c r="T256" s="1190" t="str">
        <f>IF(E256=0,"",VLOOKUP(E256,'Tablas Técnicas'!$A$14:$V$771,9,FALSE))</f>
        <v/>
      </c>
      <c r="U256" s="1190" t="str">
        <f>IF(E256=0,"",VLOOKUP(E256,'Tablas Técnicas'!$A$14:$V$771,10,FALSE))</f>
        <v/>
      </c>
      <c r="V256" s="1191" t="str">
        <f>IF(E256=0,"",VLOOKUP(E256,'Tablas Técnicas'!$A$14:$V$771,11,FALSE))</f>
        <v/>
      </c>
      <c r="W256" s="1144"/>
      <c r="X256" s="1145" t="e">
        <f>VLOOKUP(E256,'Tablas Técnicas'!$A$14:$V$771,12,FALSE)</f>
        <v>#N/A</v>
      </c>
      <c r="Y256" s="1145" t="e">
        <f>IF(W256=X256,VLOOKUP(E256,'Tablas Técnicas'!$A$14:$V$771,13,FALSE),0)</f>
        <v>#N/A</v>
      </c>
      <c r="Z256" s="1145" t="e">
        <f>VLOOKUP(E256,'Tablas Técnicas'!$A$14:$V$771,14,FALSE)</f>
        <v>#N/A</v>
      </c>
      <c r="AA256" s="1145" t="e">
        <f>IF(W256=Z256,VLOOKUP(E256,'Tablas Técnicas'!$A$14:$V$616,15,FALSE),0)</f>
        <v>#N/A</v>
      </c>
      <c r="AB256" s="1145" t="e">
        <f>VLOOKUP(E256,'Tablas Técnicas'!$A$14:$V$771,16,FALSE)</f>
        <v>#N/A</v>
      </c>
      <c r="AC256" s="1145" t="e">
        <f>IF(W256=AB256,VLOOKUP(E256,'Tablas Técnicas'!$A$14:$V$616,17,FALSE),0)</f>
        <v>#N/A</v>
      </c>
      <c r="AD256" s="1145" t="e">
        <f>VLOOKUP(E256,'Tablas Técnicas'!$A$14:$V$771,18,FALSE)</f>
        <v>#N/A</v>
      </c>
      <c r="AE256" s="1145" t="e">
        <f>IF(W256=AD256,VLOOKUP(E256,'Tablas Técnicas'!$A$14:$V$771,19,FALSE),0)</f>
        <v>#N/A</v>
      </c>
      <c r="AF256" s="1163" t="str">
        <f>IF(E256=0,"",(Y256+AA256+AC256+AE256))</f>
        <v/>
      </c>
      <c r="AG256" s="1144"/>
      <c r="AH256" s="1162" t="e">
        <f>VLOOKUP(E256,'Tablas Técnicas'!$A$14:$V$771,12,FALSE)</f>
        <v>#N/A</v>
      </c>
      <c r="AI256" s="1162" t="e">
        <f>IF(AG256=AH256,VLOOKUP(E256,'Tablas Técnicas'!$A$14:$V$771,13,FALSE),0)</f>
        <v>#N/A</v>
      </c>
      <c r="AJ256" s="1162" t="e">
        <f>VLOOKUP(E256,'Tablas Técnicas'!$A$14:$V$771,14,FALSE)</f>
        <v>#N/A</v>
      </c>
      <c r="AK256" s="1162" t="e">
        <f>IF(AG256=AJ256,VLOOKUP(E256,'Tablas Técnicas'!$A$14:$V$771,15,FALSE),0)</f>
        <v>#N/A</v>
      </c>
      <c r="AL256" s="1162" t="e">
        <f>VLOOKUP(E256,'Tablas Técnicas'!$A$14:$V$771,16,FALSE)</f>
        <v>#N/A</v>
      </c>
      <c r="AM256" s="1162" t="e">
        <f>IF(AG256=AL256,VLOOKUP(E256,'Tablas Técnicas'!$A$14:$V$771,17,FALSE),0)</f>
        <v>#N/A</v>
      </c>
      <c r="AN256" s="1162" t="e">
        <f>VLOOKUP(E256,'Tablas Técnicas'!$A$14:$V$771,18,FALSE)</f>
        <v>#N/A</v>
      </c>
      <c r="AO256" s="1162" t="e">
        <f>IF(AG256=AN256,VLOOKUP(E256,'Tablas Técnicas'!$A$14:$V$771,19,FALSE),0)</f>
        <v>#N/A</v>
      </c>
      <c r="AP256" s="2620" t="str">
        <f>IF(E256=0,"",(AI256+AK256+AM256+AO256))</f>
        <v/>
      </c>
      <c r="AQ256" s="1144"/>
      <c r="AR256" s="1162" t="e">
        <f>VLOOKUP(E256,'Tablas Técnicas'!$A$14:$V$771,12,FALSE)</f>
        <v>#N/A</v>
      </c>
      <c r="AS256" s="1162" t="e">
        <f>IF(AQ256=AR256,VLOOKUP(E256,'Tablas Técnicas'!$A$14:$V$771,13,FALSE),0)</f>
        <v>#N/A</v>
      </c>
      <c r="AT256" s="1162" t="e">
        <f>VLOOKUP(E256,'Tablas Técnicas'!$A$14:$V$771,14,FALSE)</f>
        <v>#N/A</v>
      </c>
      <c r="AU256" s="1162" t="e">
        <f>IF(AQ256=AT256,VLOOKUP(E256,'Tablas Técnicas'!$A$14:$V$771,15,FALSE),0)</f>
        <v>#N/A</v>
      </c>
      <c r="AV256" s="1162" t="e">
        <f>VLOOKUP(E256,'Tablas Técnicas'!$A$14:$V$771,16,FALSE)</f>
        <v>#N/A</v>
      </c>
      <c r="AW256" s="1162" t="e">
        <f>IF(AQ256=AV256,VLOOKUP(E256,'Tablas Técnicas'!$A$14:$V$771,17,FALSE),0)</f>
        <v>#N/A</v>
      </c>
      <c r="AX256" s="1162" t="e">
        <f>VLOOKUP(E256,'Tablas Técnicas'!$A$14:$V$771,18,FALSE)</f>
        <v>#N/A</v>
      </c>
      <c r="AY256" s="1162" t="e">
        <f>IF(AQ256=AX256,VLOOKUP(E256,'Tablas Técnicas'!$A$14:$V$771,19,FALSE),0)</f>
        <v>#N/A</v>
      </c>
      <c r="AZ256" s="1163" t="str">
        <f>IF(E256=0,"",(AS256+AU256+AW256+AY256))</f>
        <v/>
      </c>
      <c r="BA256" s="1144"/>
      <c r="BB256" s="1162" t="e">
        <f>VLOOKUP(E256,'Tablas Técnicas'!$A$14:$V$771,12,FALSE)</f>
        <v>#N/A</v>
      </c>
      <c r="BC256" s="1162" t="e">
        <f>IF(BA256=BB256,VLOOKUP(E256,'Tablas Técnicas'!$A$14:$V$771,13,FALSE),0)</f>
        <v>#N/A</v>
      </c>
      <c r="BD256" s="1162" t="e">
        <f>VLOOKUP(E256,'Tablas Técnicas'!$A$14:$V$771,14,FALSE)</f>
        <v>#N/A</v>
      </c>
      <c r="BE256" s="1162" t="e">
        <f>IF(BA256=BD256,VLOOKUP(E256,'Tablas Técnicas'!$A$14:$V$771,15,FALSE),0)</f>
        <v>#N/A</v>
      </c>
      <c r="BF256" s="1162" t="e">
        <f>VLOOKUP(E256,'Tablas Técnicas'!$A$14:$V$771,16,FALSE)</f>
        <v>#N/A</v>
      </c>
      <c r="BG256" s="1162" t="e">
        <f>IF(BA256=BF256,VLOOKUP(E256,'Tablas Técnicas'!$A$14:$V$771,17,FALSE),0)</f>
        <v>#N/A</v>
      </c>
      <c r="BH256" s="1162" t="e">
        <f>VLOOKUP(E256,'Tablas Técnicas'!$A$14:$V$771,18,FALSE)</f>
        <v>#N/A</v>
      </c>
      <c r="BI256" s="1162" t="e">
        <f>IF(BA256=BH256,VLOOKUP(E256,'Tablas Técnicas'!$A$14:$V$771,19,FALSE),0)</f>
        <v>#N/A</v>
      </c>
      <c r="BJ256" s="2620" t="str">
        <f>IF(E256=0,"",(BC256+BE256+BG256+BI256))</f>
        <v/>
      </c>
      <c r="BK256" s="1190" t="str">
        <f>IF(E256=0,"",VLOOKUP(E256,'Tablas Técnicas'!$A$14:$V$771,20,FALSE))</f>
        <v/>
      </c>
      <c r="BL256" s="1177" t="str">
        <f>IF(E256=0,"",VLOOKUP(E256,'Tablas Técnicas'!$A$14:$V$771,21,FALSE))</f>
        <v/>
      </c>
      <c r="BM256" s="1148" t="str">
        <f>IF(E256=0,"",VLOOKUP(E256,'Tablas Técnicas'!$A$14:$V$771,22,FALSE))</f>
        <v/>
      </c>
      <c r="BN256" s="1149"/>
      <c r="BO256" s="1150"/>
      <c r="BP256" s="1135" t="str">
        <f>IF(I256="Si",VLOOKUP($D$8,'Tablas Técnicas'!$E$4:$F$6,2,FALSE),"")</f>
        <v/>
      </c>
      <c r="BQ256" s="1136" t="str">
        <f>IF(L256="Si",VLOOKUP($D$8,'Tablas Técnicas'!$I$4:$J$6,2,FALSE),"")</f>
        <v/>
      </c>
      <c r="BR256" s="1134" t="str">
        <f>IF(O256="Si",VLOOKUP($D$8,'Tablas Técnicas'!$I$7:$J$9,2,FALSE),"")</f>
        <v/>
      </c>
      <c r="BS256" s="1151"/>
      <c r="BU256" s="4442"/>
      <c r="BV256" s="4442"/>
      <c r="BW256" s="4442"/>
      <c r="BX256" s="1108"/>
      <c r="BY256" s="1475"/>
      <c r="BZ256" s="1492"/>
      <c r="CA256" s="1096"/>
      <c r="DR256" s="1096"/>
      <c r="DT256" s="1515"/>
      <c r="DU256" s="1618" t="str">
        <f>DU232&amp;DU233&amp;DU234&amp;DU235&amp;DU236&amp;DU237</f>
        <v/>
      </c>
      <c r="DV256" s="1619" t="str">
        <f>DV232&amp;DV233&amp;DV234&amp;DV235&amp;DV236&amp;DV238&amp;DV239&amp;DV240&amp;DV241&amp;DV242&amp;DV244&amp;DV245&amp;DV246&amp;DV247&amp;DV248&amp;DV250&amp;DV251&amp;DV252&amp;DV253&amp;DV254</f>
        <v/>
      </c>
      <c r="DW256" s="1620" t="str">
        <f>DW232&amp;DW233&amp;DW234</f>
        <v/>
      </c>
      <c r="DX256" s="1621" t="str">
        <f>IF(DX238="",DX232,DX238)</f>
        <v/>
      </c>
      <c r="DY256" s="1516"/>
      <c r="DZ256" s="1096"/>
      <c r="EA256" s="1660">
        <f t="shared" si="3"/>
        <v>1</v>
      </c>
    </row>
    <row r="257" spans="1:132" x14ac:dyDescent="0.2">
      <c r="A257" s="1096"/>
      <c r="B257" s="1096"/>
      <c r="C257" s="1497"/>
      <c r="D257" s="1642" t="s">
        <v>2310</v>
      </c>
      <c r="E257" s="1152"/>
      <c r="F257" s="1182"/>
      <c r="G257" s="1627" t="str">
        <f>IF(E257=0,"",VLOOKUP(E257,'Tablas Técnicas'!$A$14:$V$771,3,FALSE))</f>
        <v/>
      </c>
      <c r="H257" s="1155" t="str">
        <f>IF($E257=0,"",VLOOKUP($E257,'Tablas Técnicas'!$A$14:$V$771,4,FALSE))</f>
        <v/>
      </c>
      <c r="I257" s="1156" t="s">
        <v>2234</v>
      </c>
      <c r="J257" s="1605" t="str">
        <f>IF(E257=0,"",VLOOKUP(E257,'Tablas Técnicas'!$A$14:$V$771,5,FALSE))</f>
        <v/>
      </c>
      <c r="K257" s="1158" t="str">
        <f>IF(I257="Si",IF(E257=0,"",VLOOKUP(E257,'Tablas Técnicas'!$A$14:$V$771,5,FALSE)),"")</f>
        <v/>
      </c>
      <c r="L257" s="1156" t="s">
        <v>2234</v>
      </c>
      <c r="M257" s="1605" t="str">
        <f>IF(E257=0,"",VLOOKUP(E257,'Tablas Técnicas'!$A$14:$V$771,6,FALSE))</f>
        <v/>
      </c>
      <c r="N257" s="1159" t="str">
        <f>IF(L257="Si",IF(E257=0,"",VLOOKUP(E257,'Tablas Técnicas'!$A$14:$V$771,6,FALSE)),"")</f>
        <v/>
      </c>
      <c r="O257" s="1156" t="s">
        <v>2234</v>
      </c>
      <c r="P257" s="1605" t="str">
        <f>IF(E257=0,"",VLOOKUP(E257,'Tablas Técnicas'!$A$14:$V$771,7,FALSE))</f>
        <v/>
      </c>
      <c r="Q257" s="1159" t="str">
        <f>IF(O257="Si",IF(E257=0,"",VLOOKUP(E257,'Tablas Técnicas'!$A$14:$V$771,7,FALSE)),"")</f>
        <v/>
      </c>
      <c r="R257" s="1157" t="str">
        <f>IF(E257=0,"",VLOOKUP(E257,'Tablas Técnicas'!$A$14:$V$771,8,FALSE))</f>
        <v/>
      </c>
      <c r="S257" s="1155" t="str">
        <f>IF(R257=$D$8,$D$8,IF(R257=2,2,IF(R257=3,3,R257)))</f>
        <v/>
      </c>
      <c r="T257" s="4475" t="s">
        <v>5228</v>
      </c>
      <c r="U257" s="4476"/>
      <c r="V257" s="4476"/>
      <c r="W257" s="4476"/>
      <c r="X257" s="4476"/>
      <c r="Y257" s="4476"/>
      <c r="Z257" s="4476"/>
      <c r="AA257" s="4476"/>
      <c r="AB257" s="4476"/>
      <c r="AC257" s="4476"/>
      <c r="AD257" s="4476"/>
      <c r="AE257" s="4476"/>
      <c r="AF257" s="4476"/>
      <c r="AG257" s="4476"/>
      <c r="AH257" s="4476"/>
      <c r="AI257" s="4476"/>
      <c r="AJ257" s="4476"/>
      <c r="AK257" s="4476"/>
      <c r="AL257" s="4476"/>
      <c r="AM257" s="4476"/>
      <c r="AN257" s="4476"/>
      <c r="AO257" s="4476"/>
      <c r="AP257" s="4476"/>
      <c r="AQ257" s="4476"/>
      <c r="AR257" s="4476"/>
      <c r="AS257" s="4476"/>
      <c r="AT257" s="4476"/>
      <c r="AU257" s="4476"/>
      <c r="AV257" s="4476"/>
      <c r="AW257" s="4476"/>
      <c r="AX257" s="4476"/>
      <c r="AY257" s="4476"/>
      <c r="AZ257" s="4476"/>
      <c r="BA257" s="4476"/>
      <c r="BB257" s="4476"/>
      <c r="BC257" s="4476"/>
      <c r="BD257" s="4476"/>
      <c r="BE257" s="4476"/>
      <c r="BF257" s="4476"/>
      <c r="BG257" s="4476"/>
      <c r="BH257" s="4476"/>
      <c r="BI257" s="4476"/>
      <c r="BJ257" s="4476"/>
      <c r="BK257" s="4477"/>
      <c r="BL257" s="1627"/>
      <c r="BM257" s="1628"/>
      <c r="BN257" s="1149"/>
      <c r="BO257" s="1150"/>
      <c r="BP257" s="1135" t="str">
        <f>IF(I257="Si",VLOOKUP($D$8,'Tablas Técnicas'!$E$4:$F$6,2,FALSE),"")</f>
        <v/>
      </c>
      <c r="BQ257" s="1136" t="str">
        <f>IF(L257="Si",VLOOKUP($D$8,'Tablas Técnicas'!$I$4:$J$6,2,FALSE),"")</f>
        <v/>
      </c>
      <c r="BR257" s="1134" t="str">
        <f>IF(O257="Si",VLOOKUP($D$8,'Tablas Técnicas'!$I$7:$J$9,2,FALSE),"")</f>
        <v/>
      </c>
      <c r="BS257" s="1151"/>
      <c r="BT257" s="1194"/>
      <c r="BU257" s="1232"/>
      <c r="BV257" s="1232"/>
      <c r="BW257" s="1232"/>
      <c r="BX257" s="1108"/>
      <c r="BY257" s="1474"/>
      <c r="BZ257" s="1492"/>
      <c r="CA257" s="1096"/>
      <c r="DR257" s="1096"/>
      <c r="DT257" s="1514"/>
      <c r="DU257" s="1567"/>
      <c r="DV257" s="1566" t="str">
        <f>IF(E257="","",E257)&amp;IF(I257="No",""," (Mant.)")&amp;IF(L257="No",""," (Sme)")&amp;IF(O257="No",""," (SMa)")</f>
        <v/>
      </c>
      <c r="DW257" s="1567"/>
      <c r="DX257" s="1567"/>
      <c r="DY257" s="1513"/>
      <c r="DZ257" s="1096"/>
      <c r="EA257" s="1660">
        <f t="shared" si="3"/>
        <v>1</v>
      </c>
    </row>
    <row r="258" spans="1:132" x14ac:dyDescent="0.2">
      <c r="A258" s="1096"/>
      <c r="B258" s="1096"/>
      <c r="C258" s="1497"/>
      <c r="D258" s="1643" t="s">
        <v>2310</v>
      </c>
      <c r="E258" s="1160"/>
      <c r="F258" s="1176"/>
      <c r="G258" s="1146" t="str">
        <f>IF(E258=0,"",VLOOKUP(E258,'Tablas Técnicas'!$A$14:$V$771,3,FALSE))</f>
        <v/>
      </c>
      <c r="H258" s="2619" t="str">
        <f>IF($E258=0,"",VLOOKUP($E258,'Tablas Técnicas'!$A$14:$V$771,4,FALSE))</f>
        <v/>
      </c>
      <c r="I258" s="1144" t="s">
        <v>2234</v>
      </c>
      <c r="J258" s="1601" t="str">
        <f>IF(E258=0,"",VLOOKUP(E258,'Tablas Técnicas'!$A$14:$V$771,5,FALSE))</f>
        <v/>
      </c>
      <c r="K258" s="1163" t="str">
        <f>IF(I258="Si",IF(E258=0,"",VLOOKUP(E258,'Tablas Técnicas'!$A$14:$V$771,5,FALSE)),"")</f>
        <v/>
      </c>
      <c r="L258" s="1144" t="s">
        <v>2234</v>
      </c>
      <c r="M258" s="1601" t="str">
        <f>IF(E258=0,"",VLOOKUP(E258,'Tablas Técnicas'!$A$14:$V$771,6,FALSE))</f>
        <v/>
      </c>
      <c r="N258" s="1147" t="str">
        <f>IF(L258="Si",IF(E258=0,"",VLOOKUP(E258,'Tablas Técnicas'!$A$14:$V$771,6,FALSE)),"")</f>
        <v/>
      </c>
      <c r="O258" s="1144" t="s">
        <v>2234</v>
      </c>
      <c r="P258" s="1601" t="str">
        <f>IF(E258=0,"",VLOOKUP(E258,'Tablas Técnicas'!$A$14:$V$771,7,FALSE))</f>
        <v/>
      </c>
      <c r="Q258" s="1147" t="str">
        <f>IF(O258="Si",IF(E258=0,"",VLOOKUP(E258,'Tablas Técnicas'!$A$14:$V$771,7,FALSE)),"")</f>
        <v/>
      </c>
      <c r="R258" s="1162" t="str">
        <f>IF(E258=0,"",VLOOKUP(E258,'Tablas Técnicas'!$A$14:$V$771,8,FALSE))</f>
        <v/>
      </c>
      <c r="S258" s="2619" t="str">
        <f>IF(R258=$D$8,$D$8,IF(R258=2,2,IF(R258=3,3,R258)))</f>
        <v/>
      </c>
      <c r="T258" s="4487"/>
      <c r="U258" s="4488"/>
      <c r="V258" s="2617" t="str">
        <f>IF(OR(V256=0,V256=""),"N/A",V256)</f>
        <v>N/A</v>
      </c>
      <c r="W258" s="4487" t="str">
        <f xml:space="preserve"> IF(OR(AF256=0,AF256=""),"N/A",W256)</f>
        <v>N/A</v>
      </c>
      <c r="X258" s="4489"/>
      <c r="Y258" s="4489"/>
      <c r="Z258" s="4489"/>
      <c r="AA258" s="4489"/>
      <c r="AB258" s="4489"/>
      <c r="AC258" s="4489"/>
      <c r="AD258" s="4489"/>
      <c r="AE258" s="4489"/>
      <c r="AF258" s="4488"/>
      <c r="AG258" s="4487" t="str">
        <f xml:space="preserve"> IF(OR(AP256="",AP256=0),"N/A",AG256)</f>
        <v>N/A</v>
      </c>
      <c r="AH258" s="4489"/>
      <c r="AI258" s="4489"/>
      <c r="AJ258" s="4489"/>
      <c r="AK258" s="4489"/>
      <c r="AL258" s="4489"/>
      <c r="AM258" s="4489"/>
      <c r="AN258" s="4489"/>
      <c r="AO258" s="4489"/>
      <c r="AP258" s="4488"/>
      <c r="AQ258" s="4487" t="str">
        <f xml:space="preserve"> IF(OR(AZ256="",AZ256=0),"N/A",AQ256)</f>
        <v>N/A</v>
      </c>
      <c r="AR258" s="4489"/>
      <c r="AS258" s="4489"/>
      <c r="AT258" s="4489"/>
      <c r="AU258" s="4489"/>
      <c r="AV258" s="4489"/>
      <c r="AW258" s="4489"/>
      <c r="AX258" s="4489"/>
      <c r="AY258" s="4489"/>
      <c r="AZ258" s="4488"/>
      <c r="BA258" s="4487" t="str">
        <f xml:space="preserve"> IF(OR(BJ256="",BJ256=0),"N/A",BA256)</f>
        <v>N/A</v>
      </c>
      <c r="BB258" s="4489"/>
      <c r="BC258" s="4489"/>
      <c r="BD258" s="4489"/>
      <c r="BE258" s="4489"/>
      <c r="BF258" s="4489"/>
      <c r="BG258" s="4489"/>
      <c r="BH258" s="4489"/>
      <c r="BI258" s="4489"/>
      <c r="BJ258" s="4488"/>
      <c r="BK258" s="1164" t="s">
        <v>5229</v>
      </c>
      <c r="BL258" s="1146"/>
      <c r="BM258" s="1181"/>
      <c r="BN258" s="1165"/>
      <c r="BO258" s="1166"/>
      <c r="BP258" s="1167" t="str">
        <f>IF(I258="Si",VLOOKUP($D$8,'Tablas Técnicas'!$E$4:$F$6,2,FALSE),"")</f>
        <v/>
      </c>
      <c r="BQ258" s="1137" t="str">
        <f>IF(L258="Si",VLOOKUP($D$8,'Tablas Técnicas'!$I$4:$J$6,2,FALSE),"")</f>
        <v/>
      </c>
      <c r="BR258" s="1168" t="str">
        <f>IF(O258="Si",VLOOKUP($D$8,'Tablas Técnicas'!$I$7:$J$9,2,FALSE),"")</f>
        <v/>
      </c>
      <c r="BS258" s="1151"/>
      <c r="BU258" s="4443"/>
      <c r="BV258" s="4443"/>
      <c r="BW258" s="4443"/>
      <c r="BX258" s="1108"/>
      <c r="BY258" s="1474"/>
      <c r="BZ258" s="1492"/>
      <c r="CA258" s="1096"/>
      <c r="DR258" s="1096"/>
      <c r="DT258" s="1514"/>
      <c r="DU258" s="1567"/>
      <c r="DV258" s="1566" t="str">
        <f>IF(E258="","",E258)&amp;IF(I258="No",""," (Mant.)")&amp;IF(L258="No",""," (Sme)")&amp;IF(O258="No",""," (SMa)")</f>
        <v/>
      </c>
      <c r="DW258" s="1567"/>
      <c r="DX258" s="1567"/>
      <c r="DY258" s="1513"/>
      <c r="DZ258" s="1096"/>
      <c r="EA258" s="1660">
        <f t="shared" si="3"/>
        <v>1</v>
      </c>
    </row>
    <row r="259" spans="1:132" x14ac:dyDescent="0.2">
      <c r="A259" s="1096"/>
      <c r="B259" s="1096"/>
      <c r="C259" s="1497"/>
      <c r="D259" s="1642" t="s">
        <v>2310</v>
      </c>
      <c r="E259" s="1152"/>
      <c r="F259" s="1182"/>
      <c r="G259" s="1627" t="str">
        <f>IF(E259=0,"",VLOOKUP(E259,'Tablas Técnicas'!$A$14:$V$771,3,FALSE))</f>
        <v/>
      </c>
      <c r="H259" s="1155" t="str">
        <f>IF($E259=0,"",VLOOKUP($E259,'Tablas Técnicas'!$A$14:$V$771,4,FALSE))</f>
        <v/>
      </c>
      <c r="I259" s="1156" t="s">
        <v>2234</v>
      </c>
      <c r="J259" s="1605" t="str">
        <f>IF(E259=0,"",VLOOKUP(E259,'Tablas Técnicas'!$A$14:$V$771,5,FALSE))</f>
        <v/>
      </c>
      <c r="K259" s="1158" t="str">
        <f>IF(I259="Si",IF(E259=0,"",VLOOKUP(E259,'Tablas Técnicas'!$A$14:$V$771,5,FALSE)),"")</f>
        <v/>
      </c>
      <c r="L259" s="1156" t="s">
        <v>2234</v>
      </c>
      <c r="M259" s="1605" t="str">
        <f>IF(E259=0,"",VLOOKUP(E259,'Tablas Técnicas'!$A$14:$V$771,6,FALSE))</f>
        <v/>
      </c>
      <c r="N259" s="1159" t="str">
        <f>IF(L259="Si",IF(E259=0,"",VLOOKUP(E259,'Tablas Técnicas'!$A$14:$V$771,6,FALSE)),"")</f>
        <v/>
      </c>
      <c r="O259" s="1156" t="s">
        <v>2234</v>
      </c>
      <c r="P259" s="1605" t="str">
        <f>IF(E259=0,"",VLOOKUP(E259,'Tablas Técnicas'!$A$14:$V$771,7,FALSE))</f>
        <v/>
      </c>
      <c r="Q259" s="1159" t="str">
        <f>IF(O259="Si",IF(E259=0,"",VLOOKUP(E259,'Tablas Técnicas'!$A$14:$V$771,7,FALSE)),"")</f>
        <v/>
      </c>
      <c r="R259" s="1157" t="str">
        <f>IF(E259=0,"",VLOOKUP(E259,'Tablas Técnicas'!$A$14:$V$771,8,FALSE))</f>
        <v/>
      </c>
      <c r="S259" s="1155" t="str">
        <f>IF(R259=$D$8,$D$8,IF(R259=2,2,IF(R259=3,3,R259)))</f>
        <v/>
      </c>
      <c r="T259" s="4490" t="s">
        <v>5230</v>
      </c>
      <c r="U259" s="4491"/>
      <c r="V259" s="2618"/>
      <c r="W259" s="4492"/>
      <c r="X259" s="4493"/>
      <c r="Y259" s="4493"/>
      <c r="Z259" s="4493"/>
      <c r="AA259" s="4493"/>
      <c r="AB259" s="4493"/>
      <c r="AC259" s="4493"/>
      <c r="AD259" s="4493"/>
      <c r="AE259" s="4493"/>
      <c r="AF259" s="4494"/>
      <c r="AG259" s="4492"/>
      <c r="AH259" s="4493"/>
      <c r="AI259" s="4493"/>
      <c r="AJ259" s="4493"/>
      <c r="AK259" s="4493"/>
      <c r="AL259" s="4493"/>
      <c r="AM259" s="4493"/>
      <c r="AN259" s="4493"/>
      <c r="AO259" s="4493"/>
      <c r="AP259" s="4494"/>
      <c r="AQ259" s="4492"/>
      <c r="AR259" s="4493"/>
      <c r="AS259" s="4493"/>
      <c r="AT259" s="4493"/>
      <c r="AU259" s="4493"/>
      <c r="AV259" s="4493"/>
      <c r="AW259" s="4493"/>
      <c r="AX259" s="4493"/>
      <c r="AY259" s="4493"/>
      <c r="AZ259" s="4494"/>
      <c r="BA259" s="4492"/>
      <c r="BB259" s="4493"/>
      <c r="BC259" s="4493"/>
      <c r="BD259" s="4493"/>
      <c r="BE259" s="4493"/>
      <c r="BF259" s="4493"/>
      <c r="BG259" s="4493"/>
      <c r="BH259" s="4493"/>
      <c r="BI259" s="4493"/>
      <c r="BJ259" s="4494"/>
      <c r="BK259" s="1155">
        <f>(SUM(G256:G260)+IF(AF256="",0,AF256)+IF(AP256="",0,AP256)+IF(AZ256="",0,AZ256)+IF(BJ256="",0,BJ256)+SUM(K256:K260)+SUM(N256:N260)+SUM(Q256:Q260))- SUM(V259:BA259)</f>
        <v>0</v>
      </c>
      <c r="BL259" s="1627"/>
      <c r="BM259" s="1628"/>
      <c r="BN259" s="1149"/>
      <c r="BO259" s="1150"/>
      <c r="BP259" s="1135" t="str">
        <f>IF(I259="Si",VLOOKUP($D$8,'Tablas Técnicas'!$E$4:$F$6,2,FALSE),"")</f>
        <v/>
      </c>
      <c r="BQ259" s="1136" t="str">
        <f>IF(L259="Si",VLOOKUP($D$8,'Tablas Técnicas'!$I$4:$J$6,2,FALSE),"")</f>
        <v/>
      </c>
      <c r="BR259" s="1134" t="str">
        <f>IF(O259="Si",VLOOKUP($D$8,'Tablas Técnicas'!$I$7:$J$9,2,FALSE),"")</f>
        <v/>
      </c>
      <c r="BS259" s="1151"/>
      <c r="BU259" s="1232"/>
      <c r="BV259" s="1232"/>
      <c r="BW259" s="1232"/>
      <c r="BX259" s="1108"/>
      <c r="BY259" s="1474"/>
      <c r="BZ259" s="1492"/>
      <c r="CA259" s="1100"/>
      <c r="DR259" s="1100"/>
      <c r="DT259" s="1514"/>
      <c r="DU259" s="1622"/>
      <c r="DV259" s="1566" t="str">
        <f>IF(E259="","",E259)&amp;IF(I259="No",""," (Mant.)")&amp;IF(L259="No",""," (Sme)")&amp;IF(O259="No",""," (SMa)")</f>
        <v/>
      </c>
      <c r="DW259" s="1622"/>
      <c r="DX259" s="1622"/>
      <c r="DY259" s="1513"/>
      <c r="DZ259" s="1100"/>
      <c r="EA259" s="1660">
        <f t="shared" si="3"/>
        <v>1</v>
      </c>
    </row>
    <row r="260" spans="1:132" x14ac:dyDescent="0.2">
      <c r="A260" s="1096"/>
      <c r="B260" s="1096"/>
      <c r="C260" s="1497"/>
      <c r="D260" s="1643" t="s">
        <v>2310</v>
      </c>
      <c r="E260" s="1160"/>
      <c r="F260" s="1176"/>
      <c r="G260" s="1146" t="str">
        <f>IF(E260=0,"",VLOOKUP(E260,'Tablas Técnicas'!$A$14:$V$771,3,FALSE))</f>
        <v/>
      </c>
      <c r="H260" s="1161" t="str">
        <f>IF($E260=0,"",VLOOKUP($E260,'Tablas Técnicas'!$A$14:$V$771,4,FALSE))</f>
        <v/>
      </c>
      <c r="I260" s="1144" t="s">
        <v>2234</v>
      </c>
      <c r="J260" s="1601" t="str">
        <f>IF(E260=0,"",VLOOKUP(E260,'Tablas Técnicas'!$A$14:$V$771,5,FALSE))</f>
        <v/>
      </c>
      <c r="K260" s="1163" t="str">
        <f>IF(I260="Si",IF(E260=0,"",VLOOKUP(E260,'Tablas Técnicas'!$A$14:$V$771,5,FALSE)),"")</f>
        <v/>
      </c>
      <c r="L260" s="1144" t="s">
        <v>2234</v>
      </c>
      <c r="M260" s="1601" t="str">
        <f>IF(E260=0,"",VLOOKUP(E260,'Tablas Técnicas'!$A$14:$V$771,6,FALSE))</f>
        <v/>
      </c>
      <c r="N260" s="1147" t="str">
        <f>IF(L260="Si",IF(E260=0,"",VLOOKUP(E260,'Tablas Técnicas'!$A$14:$V$771,6,FALSE)),"")</f>
        <v/>
      </c>
      <c r="O260" s="1144" t="s">
        <v>2234</v>
      </c>
      <c r="P260" s="1601" t="str">
        <f>IF(E260=0,"",VLOOKUP(E260,'Tablas Técnicas'!$A$14:$V$771,7,FALSE))</f>
        <v/>
      </c>
      <c r="Q260" s="1147" t="str">
        <f>IF(O260="Si",IF(E260=0,"",VLOOKUP(E260,'Tablas Técnicas'!$A$14:$V$771,7,FALSE)),"")</f>
        <v/>
      </c>
      <c r="R260" s="1162" t="str">
        <f>IF(E260=0,"",VLOOKUP(E260,'Tablas Técnicas'!$A$14:$V$771,8,FALSE))</f>
        <v/>
      </c>
      <c r="S260" s="1161" t="str">
        <f>IF(R260=$D$8,$D$8,IF(R260=2,2,IF(R260=3,3,R260)))</f>
        <v/>
      </c>
      <c r="T260" s="4495" t="s">
        <v>5232</v>
      </c>
      <c r="U260" s="4496"/>
      <c r="V260" s="2621"/>
      <c r="W260" s="4497"/>
      <c r="X260" s="4498"/>
      <c r="Y260" s="4498"/>
      <c r="Z260" s="4498"/>
      <c r="AA260" s="4498"/>
      <c r="AB260" s="4498"/>
      <c r="AC260" s="4498"/>
      <c r="AD260" s="4498"/>
      <c r="AE260" s="4498"/>
      <c r="AF260" s="4499"/>
      <c r="AG260" s="4497"/>
      <c r="AH260" s="4498"/>
      <c r="AI260" s="4498"/>
      <c r="AJ260" s="4498"/>
      <c r="AK260" s="4498"/>
      <c r="AL260" s="4498"/>
      <c r="AM260" s="4498"/>
      <c r="AN260" s="4498"/>
      <c r="AO260" s="4498"/>
      <c r="AP260" s="4499"/>
      <c r="AQ260" s="4497"/>
      <c r="AR260" s="4498"/>
      <c r="AS260" s="4498"/>
      <c r="AT260" s="4498"/>
      <c r="AU260" s="4498"/>
      <c r="AV260" s="4498"/>
      <c r="AW260" s="4498"/>
      <c r="AX260" s="4498"/>
      <c r="AY260" s="4498"/>
      <c r="AZ260" s="4499"/>
      <c r="BA260" s="4497"/>
      <c r="BB260" s="4498"/>
      <c r="BC260" s="4498"/>
      <c r="BD260" s="4498"/>
      <c r="BE260" s="4498"/>
      <c r="BF260" s="4498"/>
      <c r="BG260" s="4498"/>
      <c r="BH260" s="4498"/>
      <c r="BI260" s="4498"/>
      <c r="BJ260" s="4499"/>
      <c r="BK260" s="1161">
        <f>SUM(K256:K260)-SUM(V260:BA260)</f>
        <v>0</v>
      </c>
      <c r="BL260" s="1146"/>
      <c r="BM260" s="1181"/>
      <c r="BN260" s="1165"/>
      <c r="BO260" s="1166"/>
      <c r="BP260" s="1167" t="str">
        <f>IF(I260="Si",VLOOKUP($D$8,'Tablas Técnicas'!$E$4:$F$6,2,FALSE),"")</f>
        <v/>
      </c>
      <c r="BQ260" s="1137" t="str">
        <f>IF(L260="Si",VLOOKUP($D$8,'Tablas Técnicas'!$I$4:$J$6,2,FALSE),"")</f>
        <v/>
      </c>
      <c r="BR260" s="1168" t="str">
        <f>IF(O260="Si",VLOOKUP($D$8,'Tablas Técnicas'!$I$7:$J$9,2,FALSE),"")</f>
        <v/>
      </c>
      <c r="BS260" s="1151"/>
      <c r="BU260" s="1232"/>
      <c r="BV260" s="1232"/>
      <c r="BW260" s="1232"/>
      <c r="BX260" s="1108"/>
      <c r="BY260" s="1474"/>
      <c r="BZ260" s="1492"/>
      <c r="CA260" s="1096"/>
      <c r="DR260" s="1096"/>
      <c r="DT260" s="1514"/>
      <c r="DU260" s="1567"/>
      <c r="DV260" s="1566" t="str">
        <f>IF(E260="","",E260)&amp;IF(I260="No",""," (Mant.)")&amp;IF(L260="No",""," (Sme)")&amp;IF(O260="No",""," (SMa)")</f>
        <v/>
      </c>
      <c r="DW260" s="1567"/>
      <c r="DX260" s="1567"/>
      <c r="DY260" s="1513"/>
      <c r="DZ260" s="1096"/>
      <c r="EA260" s="1660">
        <f t="shared" si="3"/>
        <v>1</v>
      </c>
    </row>
    <row r="261" spans="1:132" x14ac:dyDescent="0.2">
      <c r="A261" s="1096"/>
      <c r="B261" s="1096"/>
      <c r="C261" s="1497"/>
      <c r="D261" s="1645"/>
      <c r="E261" s="1594" t="s">
        <v>5239</v>
      </c>
      <c r="F261" s="1173"/>
      <c r="G261" s="1174"/>
      <c r="H261" s="2559">
        <f>IF(AND(OR(ISNUMBER(SEARCH("Afinidad Elemental ("&amp;BK256&amp;")",Principal!$AF$30)),ISNUMBER(SEARCH("Afinidad Elemental ("&amp;BL256&amp;")",Principal!$AF$30)),ISNUMBER(SEARCH("Afinidad Elemental ("&amp;BM256&amp;")",Principal!$AF$30))),SUM(H256:H260)&gt;=5),-5,0)</f>
        <v>0</v>
      </c>
      <c r="I261" s="1174"/>
      <c r="J261" s="1175"/>
      <c r="K261" s="1174"/>
      <c r="L261" s="1174"/>
      <c r="M261" s="1175"/>
      <c r="N261" s="1174"/>
      <c r="O261" s="1174"/>
      <c r="P261" s="1175"/>
      <c r="Q261" s="1174"/>
      <c r="R261" s="1175"/>
      <c r="S261" s="1174"/>
      <c r="T261" s="1174"/>
      <c r="U261" s="1195"/>
      <c r="V261" s="1195"/>
      <c r="W261" s="1195"/>
      <c r="X261" s="1195"/>
      <c r="Y261" s="1195"/>
      <c r="Z261" s="1195"/>
      <c r="AA261" s="1195"/>
      <c r="AB261" s="1195"/>
      <c r="AC261" s="1195"/>
      <c r="AD261" s="1195"/>
      <c r="AE261" s="1195"/>
      <c r="AF261" s="1195"/>
      <c r="AG261" s="1195"/>
      <c r="AH261" s="1195"/>
      <c r="AI261" s="1195"/>
      <c r="AJ261" s="1195"/>
      <c r="AK261" s="1195"/>
      <c r="AL261" s="1195"/>
      <c r="AM261" s="1195"/>
      <c r="AN261" s="1195"/>
      <c r="AO261" s="1195"/>
      <c r="AP261" s="1195"/>
      <c r="AQ261" s="1195"/>
      <c r="AR261" s="1195"/>
      <c r="AS261" s="1195"/>
      <c r="AT261" s="1195"/>
      <c r="AU261" s="1195"/>
      <c r="AV261" s="1195"/>
      <c r="AW261" s="1195"/>
      <c r="AX261" s="1195"/>
      <c r="AY261" s="1195"/>
      <c r="AZ261" s="1195"/>
      <c r="BA261" s="1195"/>
      <c r="BB261" s="1195"/>
      <c r="BC261" s="1195"/>
      <c r="BD261" s="1195"/>
      <c r="BE261" s="1195"/>
      <c r="BF261" s="1195"/>
      <c r="BG261" s="1195"/>
      <c r="BH261" s="1195"/>
      <c r="BI261" s="1195"/>
      <c r="BJ261" s="1195"/>
      <c r="BK261" s="4481"/>
      <c r="BL261" s="4481"/>
      <c r="BM261" s="4445"/>
      <c r="BN261" s="1134">
        <f>SUM(K261:K264)</f>
        <v>0</v>
      </c>
      <c r="BO261" s="1128">
        <f>IF(E261=0,"",(AF261+AP261+AZ261+BJ261))</f>
        <v>0</v>
      </c>
      <c r="BP261" s="1135" t="str">
        <f>IF(I261="Si",VLOOKUP($D$8,'Tablas Técnicas'!$E$4:$F$6,2,FALSE),"")</f>
        <v/>
      </c>
      <c r="BQ261" s="1136" t="str">
        <f>IF(L261="Si",VLOOKUP($D$8,'Tablas Técnicas'!$I$4:$J$6,2,FALSE),"")</f>
        <v/>
      </c>
      <c r="BR261" s="1134" t="str">
        <f>IF(O261="Si",VLOOKUP($D$8,'Tablas Técnicas'!$I$7:$J$9,2,FALSE),"")</f>
        <v/>
      </c>
      <c r="BS261" s="1151"/>
      <c r="BT261" s="4444" t="s">
        <v>5241</v>
      </c>
      <c r="BU261" s="4445"/>
      <c r="BV261" s="1128"/>
      <c r="BW261" s="1108"/>
      <c r="BX261" s="1108"/>
      <c r="BY261" s="1474"/>
      <c r="BZ261" s="1492"/>
      <c r="CA261" s="1096"/>
      <c r="DR261" s="1096"/>
      <c r="DT261" s="1514"/>
      <c r="DU261" s="1567"/>
      <c r="DV261" s="1567"/>
      <c r="DW261" s="1567"/>
      <c r="DX261" s="1567"/>
      <c r="DY261" s="1513"/>
      <c r="DZ261" s="1096"/>
      <c r="EA261" s="1660">
        <f t="shared" si="3"/>
        <v>1</v>
      </c>
    </row>
    <row r="262" spans="1:132" ht="12" x14ac:dyDescent="0.2">
      <c r="A262" s="1096"/>
      <c r="B262" s="1096"/>
      <c r="C262" s="1497"/>
      <c r="D262" s="1646" t="s">
        <v>5240</v>
      </c>
      <c r="E262" s="1140"/>
      <c r="F262" s="1163"/>
      <c r="G262" s="1163"/>
      <c r="H262" s="1161" t="str">
        <f>IF(D230=0,"",IF(E262=0,"",VLOOKUP(E262,'Tablas Técnicas'!$A$14:$V$771,4,FALSE)))</f>
        <v/>
      </c>
      <c r="I262" s="1163"/>
      <c r="J262" s="1163"/>
      <c r="K262" s="1196"/>
      <c r="L262" s="1163"/>
      <c r="M262" s="1163"/>
      <c r="N262" s="1196"/>
      <c r="O262" s="1163"/>
      <c r="P262" s="1163"/>
      <c r="Q262" s="1163"/>
      <c r="R262" s="1162" t="str">
        <f>IF(E262=0,"",VLOOKUP(E262,'Tablas Técnicas'!$A$14:$V$771,8,FALSE))</f>
        <v/>
      </c>
      <c r="S262" s="1188" t="str">
        <f>IF(R262=$D$8,$D$8,IF(R262=2,2,IF(R262=3,3,R262)))</f>
        <v/>
      </c>
      <c r="T262" s="1163" t="str">
        <f>IF(E262=0,"",VLOOKUP(E262,'Tablas Técnicas'!$A$14:$V$771,9,FALSE))</f>
        <v/>
      </c>
      <c r="U262" s="1190" t="str">
        <f>IF(E262=0,"",VLOOKUP(E262,'Tablas Técnicas'!$A$14:$V$771,10,FALSE))</f>
        <v/>
      </c>
      <c r="V262" s="1191"/>
      <c r="W262" s="1191"/>
      <c r="X262" s="1190"/>
      <c r="Y262" s="1190"/>
      <c r="Z262" s="1190"/>
      <c r="AA262" s="1190"/>
      <c r="AB262" s="1190"/>
      <c r="AC262" s="1190"/>
      <c r="AD262" s="1190"/>
      <c r="AE262" s="1190"/>
      <c r="AF262" s="1190"/>
      <c r="AG262" s="4478" t="str">
        <f>IF(OR(E262='Tablas Técnicas'!A$678,E262='Tablas Técnicas'!A$679,E263='Tablas Técnicas'!A$678,E263='Tablas Técnicas'!A$679,E264='Tablas Técnicas'!A$678,E264='Tablas Técnicas'!A$679),"Selecciona la atadura elemental:","")</f>
        <v/>
      </c>
      <c r="AH262" s="4479"/>
      <c r="AI262" s="4479"/>
      <c r="AJ262" s="4479"/>
      <c r="AK262" s="4479"/>
      <c r="AL262" s="4479"/>
      <c r="AM262" s="4479"/>
      <c r="AN262" s="4479"/>
      <c r="AO262" s="4479"/>
      <c r="AP262" s="4479"/>
      <c r="AQ262" s="4479"/>
      <c r="AR262" s="4479"/>
      <c r="AS262" s="4479"/>
      <c r="AT262" s="4479"/>
      <c r="AU262" s="4479"/>
      <c r="AV262" s="4479"/>
      <c r="AW262" s="4479"/>
      <c r="AX262" s="4479"/>
      <c r="AY262" s="4479"/>
      <c r="AZ262" s="4479"/>
      <c r="BA262" s="4479"/>
      <c r="BB262" s="4479"/>
      <c r="BC262" s="4479"/>
      <c r="BD262" s="4479"/>
      <c r="BE262" s="4479"/>
      <c r="BF262" s="4479"/>
      <c r="BG262" s="4479"/>
      <c r="BH262" s="4479"/>
      <c r="BI262" s="4479"/>
      <c r="BJ262" s="4479"/>
      <c r="BK262" s="4480"/>
      <c r="BL262" s="1631"/>
      <c r="BM262" s="1631"/>
      <c r="BN262" s="1163"/>
      <c r="BO262" s="1163"/>
      <c r="BP262" s="1196"/>
      <c r="BQ262" s="1163"/>
      <c r="BR262" s="1163"/>
      <c r="BS262" s="1163"/>
      <c r="BT262" s="4446">
        <f>D230</f>
        <v>1</v>
      </c>
      <c r="BU262" s="4447"/>
      <c r="BV262" s="1128">
        <f>IF(BV261=0,0,VLOOKUP(BV261,'Tablas Técnicas'!$M$4:$N$7,2,FALSE))</f>
        <v>0</v>
      </c>
      <c r="BW262" s="1108"/>
      <c r="BX262" s="1108"/>
      <c r="BY262" s="1474"/>
      <c r="BZ262" s="1492"/>
      <c r="CA262" s="1096"/>
      <c r="DR262" s="1096"/>
      <c r="DT262" s="1514"/>
      <c r="DU262" s="1567"/>
      <c r="DV262" s="1567"/>
      <c r="DW262" s="1567"/>
      <c r="DX262" s="1567"/>
      <c r="DY262" s="1513"/>
      <c r="DZ262" s="1096"/>
      <c r="EA262" s="1660">
        <f t="shared" si="3"/>
        <v>1</v>
      </c>
    </row>
    <row r="263" spans="1:132" x14ac:dyDescent="0.2">
      <c r="A263" s="1096"/>
      <c r="B263" s="1096"/>
      <c r="C263" s="1497"/>
      <c r="D263" s="1642" t="s">
        <v>5242</v>
      </c>
      <c r="E263" s="1197"/>
      <c r="F263" s="1595"/>
      <c r="G263" s="1596"/>
      <c r="H263" s="1153" t="str">
        <f>IF(VALUE(D230)&gt;1,IF(E263=0,"",VLOOKUP(E263,'Tablas Técnicas'!$A$14:$V$771,4,FALSE)),"")</f>
        <v/>
      </c>
      <c r="I263" s="1595"/>
      <c r="J263" s="1596"/>
      <c r="K263" s="1596"/>
      <c r="L263" s="1595"/>
      <c r="M263" s="1596"/>
      <c r="N263" s="1597"/>
      <c r="O263" s="1596"/>
      <c r="P263" s="1596"/>
      <c r="Q263" s="1596"/>
      <c r="R263" s="1157" t="str">
        <f>IF(E263=0,"",VLOOKUP(E263,'Tablas Técnicas'!$A$14:$V$771,8,FALSE))</f>
        <v/>
      </c>
      <c r="S263" s="1155" t="str">
        <f>IF(R263=$D$8,$D$8,IF(R263=2,2,IF(R263=3,3,R263)))</f>
        <v/>
      </c>
      <c r="T263" s="1158" t="str">
        <f>IF(E263=0,"",VLOOKUP(E263,'Tablas Técnicas'!$A$14:$V$771,9,FALSE))</f>
        <v/>
      </c>
      <c r="U263" s="1158" t="str">
        <f>IF(E263=0,"",VLOOKUP(E263,'Tablas Técnicas'!$A$14:$V$771,10,FALSE))</f>
        <v/>
      </c>
      <c r="V263" s="1595"/>
      <c r="W263" s="1595"/>
      <c r="X263" s="1596"/>
      <c r="Y263" s="1596"/>
      <c r="Z263" s="1596"/>
      <c r="AA263" s="1596"/>
      <c r="AB263" s="1596"/>
      <c r="AC263" s="1596"/>
      <c r="AD263" s="1596"/>
      <c r="AE263" s="1596"/>
      <c r="AF263" s="1596"/>
      <c r="AG263" s="1598"/>
      <c r="AH263" s="1599"/>
      <c r="AI263" s="1599"/>
      <c r="AJ263" s="1599"/>
      <c r="AK263" s="1599"/>
      <c r="AL263" s="1599"/>
      <c r="AM263" s="1599"/>
      <c r="AN263" s="1599"/>
      <c r="AO263" s="1599"/>
      <c r="AP263" s="1597"/>
      <c r="AQ263" s="1599"/>
      <c r="AR263" s="1599"/>
      <c r="AS263" s="1599"/>
      <c r="AT263" s="1599"/>
      <c r="AU263" s="1599"/>
      <c r="AV263" s="1599"/>
      <c r="AW263" s="1599"/>
      <c r="AX263" s="1599"/>
      <c r="AY263" s="1599"/>
      <c r="AZ263" s="1600"/>
      <c r="BA263" s="1596"/>
      <c r="BB263" s="1596"/>
      <c r="BC263" s="1596"/>
      <c r="BD263" s="1596"/>
      <c r="BE263" s="1596"/>
      <c r="BF263" s="1596"/>
      <c r="BG263" s="1596"/>
      <c r="BH263" s="1596"/>
      <c r="BI263" s="1596"/>
      <c r="BJ263" s="1597"/>
      <c r="BK263" s="1596"/>
      <c r="BL263" s="1632"/>
      <c r="BM263" s="1633"/>
      <c r="BN263" s="1596"/>
      <c r="BO263" s="1596"/>
      <c r="BP263" s="1597"/>
      <c r="BQ263" s="1596"/>
      <c r="BR263" s="1596"/>
      <c r="BS263" s="1596"/>
      <c r="BU263" s="2608"/>
      <c r="BV263" s="1128"/>
      <c r="BW263" s="1108"/>
      <c r="BX263" s="1108"/>
      <c r="BY263" s="1474"/>
      <c r="BZ263" s="1492"/>
      <c r="CA263" s="1096"/>
      <c r="DR263" s="1096"/>
      <c r="DT263" s="1514"/>
      <c r="DU263" s="1567"/>
      <c r="DV263" s="1567"/>
      <c r="DW263" s="1567"/>
      <c r="DX263" s="1567"/>
      <c r="DY263" s="1513"/>
      <c r="DZ263" s="1096"/>
      <c r="EA263" s="1660">
        <f t="shared" si="3"/>
        <v>1</v>
      </c>
    </row>
    <row r="264" spans="1:132" x14ac:dyDescent="0.2">
      <c r="A264" s="1096"/>
      <c r="B264" s="1096"/>
      <c r="C264" s="1497"/>
      <c r="D264" s="1647" t="s">
        <v>5243</v>
      </c>
      <c r="E264" s="1198"/>
      <c r="F264" s="2614"/>
      <c r="G264" s="1172"/>
      <c r="H264" s="1171" t="str">
        <f>IF(VALUE(D230)=3,IF(E264=0,"",VLOOKUP(E264,'Tablas Técnicas'!$A$14:$V$771,4,FALSE)),"")</f>
        <v/>
      </c>
      <c r="I264" s="1172"/>
      <c r="J264" s="1172"/>
      <c r="K264" s="1172"/>
      <c r="L264" s="2614"/>
      <c r="M264" s="1172"/>
      <c r="N264" s="1172"/>
      <c r="O264" s="2614"/>
      <c r="P264" s="1172"/>
      <c r="Q264" s="1172"/>
      <c r="R264" s="1193" t="str">
        <f>IF(E264=0,"",VLOOKUP(E264,'Tablas Técnicas'!$A$14:$V$771,8,FALSE))</f>
        <v/>
      </c>
      <c r="S264" s="1171" t="str">
        <f>IF(R264=$D$8,$D$8,IF(R264=2,2,IF(R264=3,3,R264)))</f>
        <v/>
      </c>
      <c r="T264" s="1172" t="str">
        <f>IF(E264=0,"",VLOOKUP(E264,'Tablas Técnicas'!$A$14:$V$771,9,FALSE))</f>
        <v/>
      </c>
      <c r="U264" s="1172" t="str">
        <f>IF(E264=0,"",VLOOKUP(E264,'Tablas Técnicas'!$A$14:$V$771,10,FALSE))</f>
        <v/>
      </c>
      <c r="V264" s="2614"/>
      <c r="W264" s="1486"/>
      <c r="X264" s="1486"/>
      <c r="Y264" s="1486"/>
      <c r="Z264" s="1486"/>
      <c r="AA264" s="1486"/>
      <c r="AB264" s="1486"/>
      <c r="AC264" s="1486"/>
      <c r="AD264" s="1486"/>
      <c r="AE264" s="1486"/>
      <c r="AF264" s="1487"/>
      <c r="AG264" s="2614"/>
      <c r="AH264" s="1172"/>
      <c r="AI264" s="1172"/>
      <c r="AJ264" s="1172"/>
      <c r="AK264" s="1172"/>
      <c r="AL264" s="1172"/>
      <c r="AM264" s="1172"/>
      <c r="AN264" s="1172"/>
      <c r="AO264" s="1172"/>
      <c r="AP264" s="2615"/>
      <c r="AQ264" s="1172"/>
      <c r="AR264" s="1172"/>
      <c r="AS264" s="1172"/>
      <c r="AT264" s="1172"/>
      <c r="AU264" s="1172"/>
      <c r="AV264" s="1172"/>
      <c r="AW264" s="1172"/>
      <c r="AX264" s="1172"/>
      <c r="AY264" s="1172"/>
      <c r="AZ264" s="2615"/>
      <c r="BA264" s="1172"/>
      <c r="BB264" s="1172"/>
      <c r="BC264" s="1172"/>
      <c r="BD264" s="1172"/>
      <c r="BE264" s="1172"/>
      <c r="BF264" s="1172"/>
      <c r="BG264" s="1172"/>
      <c r="BH264" s="1172"/>
      <c r="BI264" s="1172"/>
      <c r="BJ264" s="2615"/>
      <c r="BK264" s="1172"/>
      <c r="BL264" s="1629"/>
      <c r="BM264" s="1634"/>
      <c r="BN264" s="1172"/>
      <c r="BO264" s="1172"/>
      <c r="BP264" s="1172"/>
      <c r="BQ264" s="2614"/>
      <c r="BR264" s="1172"/>
      <c r="BS264" s="1172"/>
      <c r="BT264" s="2608"/>
      <c r="BU264" s="2608"/>
      <c r="BV264" s="1128">
        <f>IF(BV263=0,0,VLOOKUP(BV263,'Tablas Técnicas'!$M$4:$N$7,2,FALSE))</f>
        <v>0</v>
      </c>
      <c r="BW264" s="1108"/>
      <c r="BX264" s="1108"/>
      <c r="BY264" s="1474"/>
      <c r="BZ264" s="1492"/>
      <c r="CA264" s="1100"/>
      <c r="DR264" s="1100"/>
      <c r="DT264" s="1517"/>
      <c r="DU264" s="1623"/>
      <c r="DV264" s="1623"/>
      <c r="DW264" s="1623"/>
      <c r="DX264" s="1623"/>
      <c r="DY264" s="1518"/>
      <c r="DZ264" s="1100"/>
      <c r="EA264" s="1660">
        <f t="shared" si="3"/>
        <v>1</v>
      </c>
    </row>
    <row r="265" spans="1:132" x14ac:dyDescent="0.2">
      <c r="A265" s="1100"/>
      <c r="B265" s="1100"/>
      <c r="C265" s="1497"/>
      <c r="D265" s="1648"/>
      <c r="E265" s="2350"/>
      <c r="F265" s="1108"/>
      <c r="G265" s="2350"/>
      <c r="H265" s="2350"/>
      <c r="I265" s="1108"/>
      <c r="J265" s="2350"/>
      <c r="K265" s="2350"/>
      <c r="L265" s="2350"/>
      <c r="M265" s="2350"/>
      <c r="N265" s="2350"/>
      <c r="O265" s="2350"/>
      <c r="P265" s="2350"/>
      <c r="Q265" s="2350"/>
      <c r="R265" s="2350"/>
      <c r="S265" s="2350"/>
      <c r="T265" s="2350"/>
      <c r="U265" s="2350"/>
      <c r="V265" s="2350"/>
      <c r="W265" s="2350"/>
      <c r="X265" s="2350"/>
      <c r="Y265" s="2350"/>
      <c r="Z265" s="2350"/>
      <c r="AA265" s="2350"/>
      <c r="AB265" s="2350"/>
      <c r="AC265" s="2350"/>
      <c r="AD265" s="2350"/>
      <c r="AE265" s="2350"/>
      <c r="AF265" s="2350"/>
      <c r="AG265" s="2350"/>
      <c r="AH265" s="2350"/>
      <c r="AI265" s="2350"/>
      <c r="AJ265" s="2350"/>
      <c r="AK265" s="2350"/>
      <c r="AL265" s="2350"/>
      <c r="AM265" s="2350"/>
      <c r="AN265" s="2350"/>
      <c r="AO265" s="2350"/>
      <c r="AP265" s="2350"/>
      <c r="AQ265" s="2350"/>
      <c r="AR265" s="2350"/>
      <c r="AS265" s="2350"/>
      <c r="AT265" s="2350"/>
      <c r="AU265" s="2350"/>
      <c r="AV265" s="2350"/>
      <c r="AW265" s="2350"/>
      <c r="AX265" s="2350"/>
      <c r="AY265" s="2350"/>
      <c r="AZ265" s="2350"/>
      <c r="BA265" s="2350"/>
      <c r="BB265" s="2350"/>
      <c r="BC265" s="2350"/>
      <c r="BD265" s="2350"/>
      <c r="BE265" s="2350"/>
      <c r="BF265" s="2350"/>
      <c r="BG265" s="2350"/>
      <c r="BH265" s="2350"/>
      <c r="BI265" s="2350"/>
      <c r="BJ265" s="2350"/>
      <c r="BK265" s="2350"/>
      <c r="BL265" s="2350"/>
      <c r="BM265" s="2350"/>
      <c r="BN265" s="1101">
        <f>SUM(BN270:BN285)</f>
        <v>0</v>
      </c>
      <c r="BO265" s="1101">
        <f>SUM(BO270:BO285)</f>
        <v>0</v>
      </c>
      <c r="BP265" s="1101">
        <f>SUM(BP270:BP285)</f>
        <v>0</v>
      </c>
      <c r="BQ265" s="1101">
        <f>SUM(BQ270:BQ285)</f>
        <v>0</v>
      </c>
      <c r="BR265" s="1101">
        <f>SUM(BR270:BR285)</f>
        <v>0</v>
      </c>
      <c r="BS265" s="1199"/>
      <c r="BU265" s="2350"/>
      <c r="BW265" s="1108"/>
      <c r="BX265" s="1108"/>
      <c r="BY265" s="1117"/>
      <c r="BZ265" s="1492"/>
      <c r="CA265" s="1096"/>
      <c r="DR265" s="1096"/>
      <c r="DT265" s="1514"/>
      <c r="DU265" s="1567"/>
      <c r="DV265" s="1567"/>
      <c r="DW265" s="1567"/>
      <c r="DX265" s="1567"/>
      <c r="DY265" s="1513"/>
      <c r="DZ265" s="1096"/>
      <c r="EA265" s="1660">
        <f t="shared" si="3"/>
        <v>1</v>
      </c>
    </row>
    <row r="266" spans="1:132" x14ac:dyDescent="0.2">
      <c r="A266" s="1096"/>
      <c r="B266" s="1096"/>
      <c r="C266" s="1497"/>
      <c r="D266" s="1640" t="s">
        <v>8726</v>
      </c>
      <c r="E266" s="1114"/>
      <c r="F266" s="1114"/>
      <c r="G266" s="1114"/>
      <c r="H266" s="1114"/>
      <c r="I266" s="1114"/>
      <c r="J266" s="1115"/>
      <c r="K266" s="1114"/>
      <c r="L266" s="1114"/>
      <c r="M266" s="1115"/>
      <c r="N266" s="1114"/>
      <c r="O266" s="1114"/>
      <c r="P266" s="1115"/>
      <c r="Q266" s="1114"/>
      <c r="R266" s="1115"/>
      <c r="S266" s="1114"/>
      <c r="T266" s="1114"/>
      <c r="U266" s="1114"/>
      <c r="V266" s="1114"/>
      <c r="W266" s="1108"/>
      <c r="X266" s="1115"/>
      <c r="Y266" s="1115"/>
      <c r="Z266" s="1115"/>
      <c r="AA266" s="1115"/>
      <c r="AB266" s="1115"/>
      <c r="AC266" s="1115"/>
      <c r="AD266" s="1115"/>
      <c r="AE266" s="1115"/>
      <c r="AF266" s="1114"/>
      <c r="AG266" s="1108"/>
      <c r="AH266" s="1115"/>
      <c r="AI266" s="1115"/>
      <c r="AJ266" s="1115"/>
      <c r="AK266" s="1115"/>
      <c r="AL266" s="1115"/>
      <c r="AM266" s="1115"/>
      <c r="AN266" s="1115"/>
      <c r="AO266" s="1115"/>
      <c r="AP266" s="1108"/>
      <c r="AQ266" s="1108"/>
      <c r="AR266" s="1115"/>
      <c r="AS266" s="1115"/>
      <c r="AT266" s="1115"/>
      <c r="AU266" s="1115"/>
      <c r="AV266" s="1115"/>
      <c r="AW266" s="1115"/>
      <c r="AX266" s="1115"/>
      <c r="AY266" s="1115"/>
      <c r="AZ266" s="1108"/>
      <c r="BA266" s="1108"/>
      <c r="BB266" s="1115"/>
      <c r="BC266" s="1115"/>
      <c r="BD266" s="1115"/>
      <c r="BE266" s="1115"/>
      <c r="BF266" s="1115"/>
      <c r="BG266" s="1115"/>
      <c r="BH266" s="1115"/>
      <c r="BI266" s="1115"/>
      <c r="BJ266" s="1108"/>
      <c r="BK266" s="1108"/>
      <c r="BL266" s="1108"/>
      <c r="BM266" s="1108"/>
      <c r="BN266" s="1101">
        <f>SUM(BN268:BN301)</f>
        <v>0</v>
      </c>
      <c r="BO266" s="1101">
        <f>SUM(BO268:BO301)</f>
        <v>0</v>
      </c>
      <c r="BP266" s="1101">
        <f>MAX(BP268:BP301)</f>
        <v>0</v>
      </c>
      <c r="BQ266" s="1101">
        <f>MAX(BQ268:BQ301)</f>
        <v>0</v>
      </c>
      <c r="BR266" s="1101">
        <f>MAX(BR268:BR301)</f>
        <v>0</v>
      </c>
      <c r="BS266" s="1116"/>
      <c r="BU266" s="2608"/>
      <c r="BV266" s="1118"/>
      <c r="BW266" s="1108"/>
      <c r="BX266" s="1108"/>
      <c r="BY266" s="1474"/>
      <c r="BZ266" s="1492"/>
      <c r="CA266" s="1096"/>
      <c r="DR266" s="1096"/>
      <c r="DT266" s="1514"/>
      <c r="DU266" s="1567"/>
      <c r="DV266" s="1567"/>
      <c r="DW266" s="1567"/>
      <c r="DX266" s="1567"/>
      <c r="DY266" s="1513"/>
      <c r="DZ266" s="1096"/>
      <c r="EA266" s="1660">
        <f t="shared" ref="EA266:EA329" si="4">EA265</f>
        <v>1</v>
      </c>
    </row>
    <row r="267" spans="1:132" ht="12" thickBot="1" x14ac:dyDescent="0.25">
      <c r="A267" s="1096"/>
      <c r="B267" s="1096"/>
      <c r="C267" s="1497"/>
      <c r="D267" s="1641">
        <v>1</v>
      </c>
      <c r="E267" s="1119" t="s">
        <v>9094</v>
      </c>
      <c r="F267" s="1120" t="s">
        <v>2333</v>
      </c>
      <c r="G267" s="1121" t="s">
        <v>2334</v>
      </c>
      <c r="H267" s="1121" t="s">
        <v>2356</v>
      </c>
      <c r="I267" s="1122" t="s">
        <v>4020</v>
      </c>
      <c r="J267" s="1123"/>
      <c r="K267" s="1124"/>
      <c r="L267" s="1122" t="s">
        <v>4021</v>
      </c>
      <c r="M267" s="1123"/>
      <c r="N267" s="1124"/>
      <c r="O267" s="1122" t="s">
        <v>4022</v>
      </c>
      <c r="P267" s="1123"/>
      <c r="Q267" s="1124"/>
      <c r="R267" s="1125" t="s">
        <v>5219</v>
      </c>
      <c r="S267" s="1121" t="s">
        <v>3990</v>
      </c>
      <c r="T267" s="2613" t="s">
        <v>2252</v>
      </c>
      <c r="U267" s="2613" t="s">
        <v>2223</v>
      </c>
      <c r="V267" s="2613" t="s">
        <v>4023</v>
      </c>
      <c r="W267" s="4473" t="s">
        <v>4024</v>
      </c>
      <c r="X267" s="4473"/>
      <c r="Y267" s="4473"/>
      <c r="Z267" s="4473"/>
      <c r="AA267" s="4473"/>
      <c r="AB267" s="4473"/>
      <c r="AC267" s="4473"/>
      <c r="AD267" s="4473"/>
      <c r="AE267" s="4473"/>
      <c r="AF267" s="4473"/>
      <c r="AG267" s="4473"/>
      <c r="AH267" s="4473"/>
      <c r="AI267" s="4473"/>
      <c r="AJ267" s="4473"/>
      <c r="AK267" s="4473"/>
      <c r="AL267" s="4473"/>
      <c r="AM267" s="4473"/>
      <c r="AN267" s="4473"/>
      <c r="AO267" s="4473"/>
      <c r="AP267" s="4473"/>
      <c r="AQ267" s="4473"/>
      <c r="AR267" s="4473"/>
      <c r="AS267" s="4473"/>
      <c r="AT267" s="4473"/>
      <c r="AU267" s="4473"/>
      <c r="AV267" s="4473"/>
      <c r="AW267" s="4473"/>
      <c r="AX267" s="4473"/>
      <c r="AY267" s="4473"/>
      <c r="AZ267" s="4473"/>
      <c r="BA267" s="4473"/>
      <c r="BB267" s="4473"/>
      <c r="BC267" s="4473"/>
      <c r="BD267" s="4473"/>
      <c r="BE267" s="4473"/>
      <c r="BF267" s="4473"/>
      <c r="BG267" s="4473"/>
      <c r="BH267" s="4473"/>
      <c r="BI267" s="4473"/>
      <c r="BJ267" s="4473"/>
      <c r="BK267" s="4473" t="s">
        <v>4025</v>
      </c>
      <c r="BL267" s="4473"/>
      <c r="BM267" s="4474"/>
      <c r="BN267" s="1126" t="s">
        <v>5220</v>
      </c>
      <c r="BO267" s="1126" t="s">
        <v>5221</v>
      </c>
      <c r="BP267" s="1126" t="s">
        <v>5222</v>
      </c>
      <c r="BQ267" s="1126" t="s">
        <v>5223</v>
      </c>
      <c r="BR267" s="1126" t="s">
        <v>5224</v>
      </c>
      <c r="BS267" s="1127" t="s">
        <v>5225</v>
      </c>
      <c r="BT267" s="4448" t="s">
        <v>5226</v>
      </c>
      <c r="BU267" s="4449"/>
      <c r="BV267" s="1128"/>
      <c r="BW267" s="1108"/>
      <c r="BX267" s="1108"/>
      <c r="BY267" s="1474"/>
      <c r="BZ267" s="1492"/>
      <c r="CA267" s="1096"/>
      <c r="DR267" s="1096"/>
      <c r="DT267" s="1514"/>
      <c r="DU267" s="1567"/>
      <c r="DV267" s="1567"/>
      <c r="DW267" s="1567"/>
      <c r="DX267" s="1567"/>
      <c r="DY267" s="1513"/>
      <c r="DZ267" s="1096"/>
      <c r="EB267" s="2558">
        <f>D267</f>
        <v>1</v>
      </c>
    </row>
    <row r="268" spans="1:132" x14ac:dyDescent="0.2">
      <c r="A268" s="1129"/>
      <c r="B268" s="159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98"/>
      <c r="D268" s="1642">
        <v>1</v>
      </c>
      <c r="E268" s="1423"/>
      <c r="F268" s="1130"/>
      <c r="G268" s="1131"/>
      <c r="H268" s="1131"/>
      <c r="I268" s="1131"/>
      <c r="J268" s="1132"/>
      <c r="K268" s="1131"/>
      <c r="L268" s="1131"/>
      <c r="M268" s="1132"/>
      <c r="N268" s="1131"/>
      <c r="O268" s="1131"/>
      <c r="P268" s="1132"/>
      <c r="Q268" s="1131"/>
      <c r="R268" s="1132"/>
      <c r="S268" s="1131"/>
      <c r="T268" s="1131"/>
      <c r="U268" s="1131"/>
      <c r="V268" s="1131"/>
      <c r="W268" s="1131"/>
      <c r="X268" s="1131"/>
      <c r="Y268" s="1131"/>
      <c r="Z268" s="1131"/>
      <c r="AA268" s="1131"/>
      <c r="AB268" s="1131"/>
      <c r="AC268" s="1131"/>
      <c r="AD268" s="1131"/>
      <c r="AE268" s="1131"/>
      <c r="AF268" s="1131"/>
      <c r="AG268" s="1131"/>
      <c r="AH268" s="1131"/>
      <c r="AI268" s="1131"/>
      <c r="AJ268" s="1131"/>
      <c r="AK268" s="1131"/>
      <c r="AL268" s="1131"/>
      <c r="AM268" s="1131"/>
      <c r="AN268" s="1131"/>
      <c r="AO268" s="1131"/>
      <c r="AP268" s="1131"/>
      <c r="AQ268" s="1131"/>
      <c r="AR268" s="1131"/>
      <c r="AS268" s="1131"/>
      <c r="AT268" s="1131"/>
      <c r="AU268" s="1131"/>
      <c r="AV268" s="1131"/>
      <c r="AW268" s="1131"/>
      <c r="AX268" s="1131"/>
      <c r="AY268" s="1131"/>
      <c r="AZ268" s="1131"/>
      <c r="BA268" s="1131"/>
      <c r="BB268" s="1131"/>
      <c r="BC268" s="1131"/>
      <c r="BD268" s="1131"/>
      <c r="BE268" s="1131"/>
      <c r="BF268" s="1131"/>
      <c r="BG268" s="1131"/>
      <c r="BH268" s="1131"/>
      <c r="BI268" s="1131"/>
      <c r="BJ268" s="1131"/>
      <c r="BK268" s="1131"/>
      <c r="BL268" s="1131"/>
      <c r="BM268" s="1133"/>
      <c r="BN268" s="1134">
        <f>SUM(K268:K271)</f>
        <v>0</v>
      </c>
      <c r="BO268" s="1128" t="str">
        <f>IF(E268=0,"",(AF268+AP268+AZ268+BJ268))</f>
        <v/>
      </c>
      <c r="BP268" s="1135" t="str">
        <f>IF(I268="Si",VLOOKUP($D$8,'Tablas Técnicas'!$E$4:$F$6,2,FALSE),"")</f>
        <v/>
      </c>
      <c r="BQ268" s="1136" t="str">
        <f>IF(L268="Si",VLOOKUP($D$8,'Tablas Técnicas'!$I$4:$J$6,2,FALSE),"")</f>
        <v/>
      </c>
      <c r="BR268" s="1134" t="str">
        <f>IF(O268="Si",VLOOKUP($D$8,'Tablas Técnicas'!$I$7:$J$9,2,FALSE),"")</f>
        <v/>
      </c>
      <c r="BS268" s="1137">
        <f>VLOOKUP(D267,'Tablas Técnicas'!$P$6:$R$8,3)</f>
        <v>50</v>
      </c>
      <c r="BT268" s="1138">
        <f>VLOOKUP(D267,'Tablas Técnicas'!$P$6:$R$8,3,FALSE)</f>
        <v>50</v>
      </c>
      <c r="BU268" s="1139">
        <f>VLOOKUP(D267,'Tablas Técnicas'!$P$6:$R$8,2,FALSE)</f>
        <v>20</v>
      </c>
      <c r="BV268" s="1128">
        <f>IF(D267=0,"",VLOOKUP(D267,'Tablas Técnicas'!$L$4:$N$7,2,FALSE))</f>
        <v>3</v>
      </c>
      <c r="BW268" s="1108"/>
      <c r="BX268" s="1108"/>
      <c r="BY268" s="1474"/>
      <c r="BZ268" s="1492"/>
      <c r="CA268" s="1096"/>
      <c r="DR268" s="1096"/>
      <c r="DT268" s="1514"/>
      <c r="DU268" s="1614" t="s">
        <v>2345</v>
      </c>
      <c r="DV268" s="1615" t="s">
        <v>4001</v>
      </c>
      <c r="DW268" s="1615" t="s">
        <v>3987</v>
      </c>
      <c r="DX268" s="1616" t="s">
        <v>8729</v>
      </c>
      <c r="DY268" s="1513"/>
      <c r="DZ268" s="1096"/>
      <c r="EA268" s="1660">
        <f>EB267</f>
        <v>1</v>
      </c>
    </row>
    <row r="269" spans="1:132" x14ac:dyDescent="0.2">
      <c r="A269" s="1096"/>
      <c r="B269" s="1096"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97"/>
      <c r="D269" s="1643" t="s">
        <v>2310</v>
      </c>
      <c r="E269" s="1140"/>
      <c r="F269" s="1141" t="str">
        <f>IF(E269=0,"",VLOOKUP(E269,'Tablas Técnicas'!$A$14:$V$771,2,FALSE))</f>
        <v/>
      </c>
      <c r="G269" s="1142"/>
      <c r="H269" s="1143" t="str">
        <f>IF($E269=0,"",VLOOKUP($E269,'Tablas Técnicas'!$A$14:$V$771,4,FALSE))</f>
        <v/>
      </c>
      <c r="I269" s="1144" t="s">
        <v>2234</v>
      </c>
      <c r="J269" s="1602" t="str">
        <f>IF(E269=0,"",VLOOKUP(E269,'Tablas Técnicas'!$A$14:$V$771,5,FALSE))</f>
        <v/>
      </c>
      <c r="K269" s="1146" t="str">
        <f>IF(I269="Si",IF(E269=0,"",VLOOKUP(E269,'Tablas Técnicas'!$A$14:$V$771,5,FALSE)),"")</f>
        <v/>
      </c>
      <c r="L269" s="1144" t="s">
        <v>2234</v>
      </c>
      <c r="M269" s="1602" t="str">
        <f>IF(E269=0,"",VLOOKUP(E269,'Tablas Técnicas'!$A$14:$V$771,6,FALSE))</f>
        <v/>
      </c>
      <c r="N269" s="1147" t="str">
        <f>IF(L269="Si",IF(E269=0,"",VLOOKUP(E269,'Tablas Técnicas'!$A$14:$V$771,6,FALSE)),"")</f>
        <v/>
      </c>
      <c r="O269" s="1144" t="s">
        <v>2234</v>
      </c>
      <c r="P269" s="1602" t="str">
        <f>IF(E269=0,"",VLOOKUP(E269,'Tablas Técnicas'!$A$14:$V$771,7,FALSE))</f>
        <v/>
      </c>
      <c r="Q269" s="1147" t="str">
        <f>IF(O269="Si",IF(E269=0,"",VLOOKUP(E269,'Tablas Técnicas'!$A$14:$V$771,7,FALSE)),"")</f>
        <v/>
      </c>
      <c r="R269" s="1145" t="str">
        <f>IF(E269=0,"",VLOOKUP(E269,'Tablas Técnicas'!$A$14:$V$771,8,FALSE))</f>
        <v/>
      </c>
      <c r="S269" s="1143" t="str">
        <f>IF(R269=$D$8,$D$8,IF(R269=2,2,IF(R269=3,3,R269)))</f>
        <v/>
      </c>
      <c r="T269" s="1146" t="str">
        <f>IF(E269=0,"",VLOOKUP(E269,'Tablas Técnicas'!$A$14:$V$771,9,FALSE))</f>
        <v/>
      </c>
      <c r="U269" s="1146" t="str">
        <f>IF(E269=0,"",VLOOKUP(E269,'Tablas Técnicas'!$A$14:$V$771,10,FALSE))</f>
        <v/>
      </c>
      <c r="V269" s="1141" t="str">
        <f>IF(E269=0,"",VLOOKUP(E269,'Tablas Técnicas'!$A$14:$V$771,11,FALSE))</f>
        <v/>
      </c>
      <c r="W269" s="1144"/>
      <c r="X269" s="1145" t="e">
        <f>VLOOKUP(E269,'Tablas Técnicas'!$A$14:$V$771,12,FALSE)</f>
        <v>#N/A</v>
      </c>
      <c r="Y269" s="1145" t="e">
        <f>IF(W269=X269,VLOOKUP(E269,'Tablas Técnicas'!$A$14:$V$771,13,FALSE),0)</f>
        <v>#N/A</v>
      </c>
      <c r="Z269" s="1145" t="e">
        <f>VLOOKUP(E269,'Tablas Técnicas'!$A$14:$V$771,14,FALSE)</f>
        <v>#N/A</v>
      </c>
      <c r="AA269" s="1145" t="e">
        <f>IF(W269=Z269,VLOOKUP(E269,'Tablas Técnicas'!$A$14:$V$616,15,FALSE),0)</f>
        <v>#N/A</v>
      </c>
      <c r="AB269" s="1145" t="e">
        <f>VLOOKUP(E269,'Tablas Técnicas'!$A$14:$V$771,16,FALSE)</f>
        <v>#N/A</v>
      </c>
      <c r="AC269" s="1145" t="e">
        <f>IF(W269=AB269,VLOOKUP(E269,'Tablas Técnicas'!$A$14:$V$616,17,FALSE),0)</f>
        <v>#N/A</v>
      </c>
      <c r="AD269" s="1145" t="e">
        <f>VLOOKUP(E269,'Tablas Técnicas'!$A$14:$V$771,18,FALSE)</f>
        <v>#N/A</v>
      </c>
      <c r="AE269" s="1145" t="e">
        <f>IF(W269=AD269,VLOOKUP(E269,'Tablas Técnicas'!$A$14:$V$771,19,FALSE),0)</f>
        <v>#N/A</v>
      </c>
      <c r="AF269" s="1147" t="str">
        <f>IF(E269=0,"",(Y269+AA269+AC269+AE269))</f>
        <v/>
      </c>
      <c r="AG269" s="1144"/>
      <c r="AH269" s="1145" t="e">
        <f>VLOOKUP(E269,'Tablas Técnicas'!$A$14:$V$771,12,FALSE)</f>
        <v>#N/A</v>
      </c>
      <c r="AI269" s="1145" t="e">
        <f>IF(AG269=AH269,VLOOKUP(E269,'Tablas Técnicas'!$A$14:$V$771,13,FALSE),0)</f>
        <v>#N/A</v>
      </c>
      <c r="AJ269" s="1145" t="e">
        <f>VLOOKUP(E269,'Tablas Técnicas'!$A$14:$V$771,14,FALSE)</f>
        <v>#N/A</v>
      </c>
      <c r="AK269" s="1145" t="e">
        <f>IF(AG269=AJ269,VLOOKUP(E269,'Tablas Técnicas'!$A$14:$V$771,15,FALSE),0)</f>
        <v>#N/A</v>
      </c>
      <c r="AL269" s="1145" t="e">
        <f>VLOOKUP(E269,'Tablas Técnicas'!$A$14:$V$771,16,FALSE)</f>
        <v>#N/A</v>
      </c>
      <c r="AM269" s="1145" t="e">
        <f>IF(AG269=AL269,VLOOKUP(E269,'Tablas Técnicas'!$A$14:$V$771,17,FALSE),0)</f>
        <v>#N/A</v>
      </c>
      <c r="AN269" s="1145" t="e">
        <f>VLOOKUP(E269,'Tablas Técnicas'!$A$14:$V$771,18,FALSE)</f>
        <v>#N/A</v>
      </c>
      <c r="AO269" s="1145" t="e">
        <f>IF(AG269=AN269,VLOOKUP(E269,'Tablas Técnicas'!$A$14:$V$771,19,FALSE),0)</f>
        <v>#N/A</v>
      </c>
      <c r="AP269" s="1147" t="str">
        <f>IF(E269=0,"",(AI269+AK269+AM269+AO269))</f>
        <v/>
      </c>
      <c r="AQ269" s="1144"/>
      <c r="AR269" s="1145" t="e">
        <f>VLOOKUP(E269,'Tablas Técnicas'!$A$14:$V$771,12,FALSE)</f>
        <v>#N/A</v>
      </c>
      <c r="AS269" s="1145" t="e">
        <f>IF(AQ269=AR269,VLOOKUP(E269,'Tablas Técnicas'!$A$14:$V$771,13,FALSE),0)</f>
        <v>#N/A</v>
      </c>
      <c r="AT269" s="1145" t="e">
        <f>VLOOKUP(E269,'Tablas Técnicas'!$A$14:$V$771,14,FALSE)</f>
        <v>#N/A</v>
      </c>
      <c r="AU269" s="1145" t="e">
        <f>IF(AQ269=AT269,VLOOKUP(E269,'Tablas Técnicas'!$A$14:$V$771,15,FALSE),0)</f>
        <v>#N/A</v>
      </c>
      <c r="AV269" s="1145" t="e">
        <f>VLOOKUP(E269,'Tablas Técnicas'!$A$14:$V$771,16,FALSE)</f>
        <v>#N/A</v>
      </c>
      <c r="AW269" s="1145" t="e">
        <f>IF(AQ269=AV269,VLOOKUP(E269,'Tablas Técnicas'!$A$14:$V$771,17,FALSE),0)</f>
        <v>#N/A</v>
      </c>
      <c r="AX269" s="1145" t="e">
        <f>VLOOKUP(E269,'Tablas Técnicas'!$A$14:$V$771,18,FALSE)</f>
        <v>#N/A</v>
      </c>
      <c r="AY269" s="1145" t="e">
        <f>IF(AQ269=AX269,VLOOKUP(E269,'Tablas Técnicas'!$A$14:$V$771,19,FALSE),0)</f>
        <v>#N/A</v>
      </c>
      <c r="AZ269" s="1146" t="str">
        <f>IF(E269=0,"",(AS269+AU269+AW269+AY269))</f>
        <v/>
      </c>
      <c r="BA269" s="1144"/>
      <c r="BB269" s="1145" t="e">
        <f>VLOOKUP(E269,'Tablas Técnicas'!$A$14:$V$771,12,FALSE)</f>
        <v>#N/A</v>
      </c>
      <c r="BC269" s="1145" t="e">
        <f>IF(BA269=BB269,VLOOKUP(E269,'Tablas Técnicas'!$A$14:$V$771,13,FALSE),0)</f>
        <v>#N/A</v>
      </c>
      <c r="BD269" s="1145" t="e">
        <f>VLOOKUP(E269,'Tablas Técnicas'!$A$14:$V$771,14,FALSE)</f>
        <v>#N/A</v>
      </c>
      <c r="BE269" s="1145" t="e">
        <f>IF(BA269=BD269,VLOOKUP(E269,'Tablas Técnicas'!$A$14:$V$771,15,FALSE),0)</f>
        <v>#N/A</v>
      </c>
      <c r="BF269" s="1145" t="e">
        <f>VLOOKUP(E269,'Tablas Técnicas'!$A$14:$V$771,16,FALSE)</f>
        <v>#N/A</v>
      </c>
      <c r="BG269" s="1145" t="e">
        <f>IF(BA269=BF269,VLOOKUP(E269,'Tablas Técnicas'!$A$14:$V$771,17,FALSE),0)</f>
        <v>#N/A</v>
      </c>
      <c r="BH269" s="1145" t="e">
        <f>VLOOKUP(E269,'Tablas Técnicas'!$A$14:$V$771,18,FALSE)</f>
        <v>#N/A</v>
      </c>
      <c r="BI269" s="1145" t="e">
        <f>IF(BA269=BH269,VLOOKUP(E269,'Tablas Técnicas'!$A$14:$V$771,19,FALSE),0)</f>
        <v>#N/A</v>
      </c>
      <c r="BJ269" s="1147" t="str">
        <f>IF(E269=0,"",(BC269+BE269+BG269+BI269))</f>
        <v/>
      </c>
      <c r="BK269" s="1146" t="str">
        <f>IF(E269=0,"",VLOOKUP(E269,'Tablas Técnicas'!$A$14:$V$771,20,FALSE))</f>
        <v/>
      </c>
      <c r="BL269" s="1146" t="str">
        <f>IF(E269=0,"",VLOOKUP(E269,'Tablas Técnicas'!$A$14:$V$771,21,FALSE))</f>
        <v/>
      </c>
      <c r="BM269" s="1148" t="str">
        <f>IF(E269=0,"",VLOOKUP(E269,'Tablas Técnicas'!$A$14:$V$771,22,FALSE))</f>
        <v/>
      </c>
      <c r="BN269" s="1149"/>
      <c r="BO269" s="1150"/>
      <c r="BP269" s="1135" t="str">
        <f>IF(I269="Si",VLOOKUP($D$8,'Tablas Técnicas'!$E$4:$F$6,2,FALSE),"")</f>
        <v/>
      </c>
      <c r="BQ269" s="1136" t="str">
        <f>IF(L269="Si",VLOOKUP($D$8,'Tablas Técnicas'!$I$4:$J$6,2,FALSE),"")</f>
        <v/>
      </c>
      <c r="BR269" s="1134" t="str">
        <f>IF(O269="Si",VLOOKUP($D$8,'Tablas Técnicas'!$I$7:$J$9,2,FALSE),"")</f>
        <v/>
      </c>
      <c r="BS269" s="1151"/>
      <c r="BT269" s="4448" t="s">
        <v>5227</v>
      </c>
      <c r="BU269" s="4449"/>
      <c r="BV269" s="1128"/>
      <c r="BW269" s="1108"/>
      <c r="BX269" s="1108"/>
      <c r="BY269" s="1474"/>
      <c r="BZ269" s="1492"/>
      <c r="CA269" s="1096"/>
      <c r="DR269" s="1096"/>
      <c r="DT269" s="1514"/>
      <c r="DU269" s="1565" t="str">
        <f>IF(BW282="N/A","",BT281&amp;" "&amp;BW282&amp;IF(BY282="N/A"," "," ("&amp;BY282&amp;") "))</f>
        <v/>
      </c>
      <c r="DV269" s="1566" t="str">
        <f>IF(E269="","",E269)&amp;IF(I269="No",""," (Mant.)")&amp;IF(L269="No",""," (Sme)")&amp;IF(O269="No",""," (SMa)")</f>
        <v/>
      </c>
      <c r="DW269" s="1567" t="str">
        <f>IF(E299="","",E299)</f>
        <v/>
      </c>
      <c r="DX269" s="445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13"/>
      <c r="DZ269" s="1096"/>
      <c r="EA269" s="1660">
        <f t="shared" si="4"/>
        <v>1</v>
      </c>
    </row>
    <row r="270" spans="1:132" ht="12" customHeight="1" x14ac:dyDescent="0.2">
      <c r="A270" s="1096"/>
      <c r="B270" s="1096"/>
      <c r="C270" s="1497"/>
      <c r="D270" s="1642" t="s">
        <v>2310</v>
      </c>
      <c r="E270" s="1152"/>
      <c r="F270" s="1153" t="str">
        <f>IF(E270=0,"",VLOOKUP(E270,'Tablas Técnicas'!$A$14:$V$771,2,FALSE))</f>
        <v/>
      </c>
      <c r="G270" s="1154"/>
      <c r="H270" s="1155" t="str">
        <f>IF($E270=0,"",VLOOKUP($E270,'Tablas Técnicas'!$A$14:$V$771,4,FALSE))</f>
        <v/>
      </c>
      <c r="I270" s="1156" t="s">
        <v>2234</v>
      </c>
      <c r="J270" s="1605" t="str">
        <f>IF(E270=0,"",VLOOKUP(E270,'Tablas Técnicas'!$A$14:$V$771,5,FALSE))</f>
        <v/>
      </c>
      <c r="K270" s="1158" t="str">
        <f>IF(I270="Si",IF(E270=0,"",VLOOKUP(E270,'Tablas Técnicas'!$A$14:$V$771,5,FALSE)),"")</f>
        <v/>
      </c>
      <c r="L270" s="1156" t="s">
        <v>2234</v>
      </c>
      <c r="M270" s="1605" t="str">
        <f>IF(E270=0,"",VLOOKUP(E270,'Tablas Técnicas'!$A$14:$V$771,6,FALSE))</f>
        <v/>
      </c>
      <c r="N270" s="1159" t="str">
        <f>IF(L270="Si",IF(E270=0,"",VLOOKUP(E270,'Tablas Técnicas'!$A$14:$V$771,6,FALSE)),"")</f>
        <v/>
      </c>
      <c r="O270" s="1156" t="s">
        <v>2234</v>
      </c>
      <c r="P270" s="1605" t="str">
        <f>IF(E270=0,"",VLOOKUP(E270,'Tablas Técnicas'!$A$14:$V$771,7,FALSE))</f>
        <v/>
      </c>
      <c r="Q270" s="1159" t="str">
        <f>IF(O270="Si",IF(E270=0,"",VLOOKUP(E270,'Tablas Técnicas'!$A$14:$V$771,7,FALSE)),"")</f>
        <v/>
      </c>
      <c r="R270" s="1157" t="str">
        <f>IF(E270=0,"",VLOOKUP(E270,'Tablas Técnicas'!$A$14:$V$771,8,FALSE))</f>
        <v/>
      </c>
      <c r="S270" s="1155" t="str">
        <f>IF(R270=$D$8,$D$8,IF(R270=2,2,IF(R270=3,3,R270)))</f>
        <v/>
      </c>
      <c r="T270" s="4475" t="s">
        <v>5228</v>
      </c>
      <c r="U270" s="4476"/>
      <c r="V270" s="4476"/>
      <c r="W270" s="4476"/>
      <c r="X270" s="4476"/>
      <c r="Y270" s="4476"/>
      <c r="Z270" s="4476"/>
      <c r="AA270" s="4476"/>
      <c r="AB270" s="4476"/>
      <c r="AC270" s="4476"/>
      <c r="AD270" s="4476"/>
      <c r="AE270" s="4476"/>
      <c r="AF270" s="4476"/>
      <c r="AG270" s="4476"/>
      <c r="AH270" s="4476"/>
      <c r="AI270" s="4476"/>
      <c r="AJ270" s="4476"/>
      <c r="AK270" s="4476"/>
      <c r="AL270" s="4476"/>
      <c r="AM270" s="4476"/>
      <c r="AN270" s="4476"/>
      <c r="AO270" s="4476"/>
      <c r="AP270" s="4476"/>
      <c r="AQ270" s="4476"/>
      <c r="AR270" s="4476"/>
      <c r="AS270" s="4476"/>
      <c r="AT270" s="4476"/>
      <c r="AU270" s="4476"/>
      <c r="AV270" s="4476"/>
      <c r="AW270" s="4476"/>
      <c r="AX270" s="4476"/>
      <c r="AY270" s="4476"/>
      <c r="AZ270" s="4476"/>
      <c r="BA270" s="4476"/>
      <c r="BB270" s="4476"/>
      <c r="BC270" s="4476"/>
      <c r="BD270" s="4476"/>
      <c r="BE270" s="4476"/>
      <c r="BF270" s="4476"/>
      <c r="BG270" s="4476"/>
      <c r="BH270" s="4476"/>
      <c r="BI270" s="4476"/>
      <c r="BJ270" s="4476"/>
      <c r="BK270" s="4477"/>
      <c r="BL270" s="1627"/>
      <c r="BM270" s="1628"/>
      <c r="BN270" s="1149"/>
      <c r="BO270" s="1150"/>
      <c r="BP270" s="1135" t="str">
        <f>IF(I270="Si",VLOOKUP($D$8,'Tablas Técnicas'!$E$4:$F$6,2,FALSE),"")</f>
        <v/>
      </c>
      <c r="BQ270" s="1136" t="str">
        <f>IF(L270="Si",VLOOKUP($D$8,'Tablas Técnicas'!$I$4:$J$6,2,FALSE),"")</f>
        <v/>
      </c>
      <c r="BR270" s="1134" t="str">
        <f>IF(O270="Si",VLOOKUP($D$8,'Tablas Técnicas'!$I$7:$J$9,2,FALSE),"")</f>
        <v/>
      </c>
      <c r="BS270" s="1151"/>
      <c r="BT270" s="445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51"/>
      <c r="BV270" s="1128"/>
      <c r="BW270" s="1108"/>
      <c r="BX270" s="1108"/>
      <c r="BY270" s="1474"/>
      <c r="BZ270" s="1492"/>
      <c r="CA270" s="1096"/>
      <c r="DR270" s="1096"/>
      <c r="DT270" s="1514"/>
      <c r="DU270" s="1565" t="str">
        <f>IF(BW284="N/A","",BT283&amp;" "&amp;BW284&amp;IF(BY284="N/A"," "," ("&amp;BY284&amp;") "))</f>
        <v/>
      </c>
      <c r="DV270" s="1566" t="str">
        <f>IF(E270="",""," "&amp;E270)&amp;IF(I270="No",""," (Mant.)")&amp;IF(L270="No",""," (Sme)")&amp;IF(O270="No",""," (SMa)")</f>
        <v/>
      </c>
      <c r="DW270" s="1567" t="str">
        <f>IF(E300="","",", "&amp;E300)</f>
        <v/>
      </c>
      <c r="DX270" s="4454"/>
      <c r="DY270" s="1513"/>
      <c r="DZ270" s="1096"/>
      <c r="EA270" s="1660">
        <f t="shared" si="4"/>
        <v>1</v>
      </c>
    </row>
    <row r="271" spans="1:132" x14ac:dyDescent="0.2">
      <c r="A271" s="1096"/>
      <c r="B271" s="1096"/>
      <c r="C271" s="1497"/>
      <c r="D271" s="1643" t="s">
        <v>2310</v>
      </c>
      <c r="E271" s="1160"/>
      <c r="F271" s="2619" t="str">
        <f>IF(E271=0,"",VLOOKUP(E271,'Tablas Técnicas'!$A$14:$V$771,2,FALSE))</f>
        <v/>
      </c>
      <c r="G271" s="1142"/>
      <c r="H271" s="1161" t="str">
        <f>IF($E271=0,"",VLOOKUP($E271,'Tablas Técnicas'!$A$14:$V$771,4,FALSE))</f>
        <v/>
      </c>
      <c r="I271" s="1144" t="s">
        <v>2234</v>
      </c>
      <c r="J271" s="1601" t="str">
        <f>IF(E271=0,"",VLOOKUP(E271,'Tablas Técnicas'!$A$14:$V$771,5,FALSE))</f>
        <v/>
      </c>
      <c r="K271" s="1163" t="str">
        <f>IF(I271="Si",IF(E271=0,"",VLOOKUP(E271,'Tablas Técnicas'!$A$14:$V$771,5,FALSE)),"")</f>
        <v/>
      </c>
      <c r="L271" s="1144" t="s">
        <v>2234</v>
      </c>
      <c r="M271" s="1601" t="str">
        <f>IF(E271=0,"",VLOOKUP(E271,'Tablas Técnicas'!$A$14:$V$771,6,FALSE))</f>
        <v/>
      </c>
      <c r="N271" s="1147" t="str">
        <f>IF(L271="Si",IF(E271=0,"",VLOOKUP(E271,'Tablas Técnicas'!$A$14:$V$771,6,FALSE)),"")</f>
        <v/>
      </c>
      <c r="O271" s="1144" t="s">
        <v>2234</v>
      </c>
      <c r="P271" s="1601" t="str">
        <f>IF(E271=0,"",VLOOKUP(E271,'Tablas Técnicas'!$A$14:$V$771,7,FALSE))</f>
        <v/>
      </c>
      <c r="Q271" s="1147" t="str">
        <f>IF(O271="Si",IF(E271=0,"",VLOOKUP(E271,'Tablas Técnicas'!$A$14:$V$771,7,FALSE)),"")</f>
        <v/>
      </c>
      <c r="R271" s="1162" t="str">
        <f>IF(E271=0,"",VLOOKUP(E271,'Tablas Técnicas'!$A$14:$V$771,8,FALSE))</f>
        <v/>
      </c>
      <c r="S271" s="2619" t="str">
        <f>IF(R271=$D$8,$D$8,IF(R271=2,2,IF(R271=3,3,R271)))</f>
        <v/>
      </c>
      <c r="T271" s="4487"/>
      <c r="U271" s="4488"/>
      <c r="V271" s="2617" t="str">
        <f>IF(OR(V269=0,V269=""),"N/A",V269)</f>
        <v>N/A</v>
      </c>
      <c r="W271" s="4487" t="str">
        <f xml:space="preserve"> IF(OR(AF269=0,AF269=""),"N/A",W269)</f>
        <v>N/A</v>
      </c>
      <c r="X271" s="4489"/>
      <c r="Y271" s="4489"/>
      <c r="Z271" s="4489"/>
      <c r="AA271" s="4489"/>
      <c r="AB271" s="4489"/>
      <c r="AC271" s="4489"/>
      <c r="AD271" s="4489"/>
      <c r="AE271" s="4489"/>
      <c r="AF271" s="4488"/>
      <c r="AG271" s="4487" t="str">
        <f xml:space="preserve"> IF(OR(AP269="",AP269=0),"N/A",AG269)</f>
        <v>N/A</v>
      </c>
      <c r="AH271" s="4489"/>
      <c r="AI271" s="4489"/>
      <c r="AJ271" s="4489"/>
      <c r="AK271" s="4489"/>
      <c r="AL271" s="4489"/>
      <c r="AM271" s="4489"/>
      <c r="AN271" s="4489"/>
      <c r="AO271" s="4489"/>
      <c r="AP271" s="4488"/>
      <c r="AQ271" s="4487" t="str">
        <f xml:space="preserve"> IF(OR(AZ269="",AZ269=0),"N/A",AQ269)</f>
        <v>N/A</v>
      </c>
      <c r="AR271" s="4489"/>
      <c r="AS271" s="4489"/>
      <c r="AT271" s="4489"/>
      <c r="AU271" s="4489"/>
      <c r="AV271" s="4489"/>
      <c r="AW271" s="4489"/>
      <c r="AX271" s="4489"/>
      <c r="AY271" s="4489"/>
      <c r="AZ271" s="4488"/>
      <c r="BA271" s="4487" t="str">
        <f xml:space="preserve"> IF(OR(BJ269="",BJ269=0),"N/A",BA269)</f>
        <v>N/A</v>
      </c>
      <c r="BB271" s="4489"/>
      <c r="BC271" s="4489"/>
      <c r="BD271" s="4489"/>
      <c r="BE271" s="4489"/>
      <c r="BF271" s="4489"/>
      <c r="BG271" s="4489"/>
      <c r="BH271" s="4489"/>
      <c r="BI271" s="4489"/>
      <c r="BJ271" s="4488"/>
      <c r="BK271" s="1164" t="s">
        <v>5229</v>
      </c>
      <c r="BL271" s="1146"/>
      <c r="BM271" s="1181"/>
      <c r="BN271" s="1165"/>
      <c r="BO271" s="1166"/>
      <c r="BP271" s="1167" t="str">
        <f>IF(I271="Si",VLOOKUP($D$8,'Tablas Técnicas'!$E$4:$F$6,2,FALSE),"")</f>
        <v/>
      </c>
      <c r="BQ271" s="1137" t="str">
        <f>IF(L271="Si",VLOOKUP($D$8,'Tablas Técnicas'!$I$4:$J$6,2,FALSE),"")</f>
        <v/>
      </c>
      <c r="BR271" s="1168" t="str">
        <f>IF(O271="Si",VLOOKUP($D$8,'Tablas Técnicas'!$I$7:$J$9,2,FALSE),"")</f>
        <v/>
      </c>
      <c r="BS271" s="1169"/>
      <c r="BU271" s="2608"/>
      <c r="BV271" s="1128"/>
      <c r="BW271" s="1108"/>
      <c r="BX271" s="1108"/>
      <c r="BY271" s="1474"/>
      <c r="BZ271" s="1492"/>
      <c r="CA271" s="1096"/>
      <c r="DR271" s="1096"/>
      <c r="DT271" s="1514"/>
      <c r="DU271" s="1565" t="str">
        <f>IF(BW286="N/A","",BT285&amp;" "&amp;BW286&amp;IF(BY286="N/A"," "," ("&amp;BY286&amp;") "))</f>
        <v/>
      </c>
      <c r="DV271" s="1566" t="str">
        <f>IF(E271="","",E271)&amp;IF(I271="No",""," (Mant.)")&amp;IF(L271="No",""," (Sme)")&amp;IF(O271="No",""," (SMa)")</f>
        <v/>
      </c>
      <c r="DW271" s="1567" t="str">
        <f>IF(E301="","",", "&amp;E301)</f>
        <v/>
      </c>
      <c r="DX271" s="4454"/>
      <c r="DY271" s="1513"/>
      <c r="DZ271" s="1096"/>
      <c r="EA271" s="1660">
        <f t="shared" si="4"/>
        <v>1</v>
      </c>
    </row>
    <row r="272" spans="1:132" x14ac:dyDescent="0.2">
      <c r="A272" s="1096"/>
      <c r="B272" s="1096"/>
      <c r="C272" s="1497"/>
      <c r="D272" s="1642" t="s">
        <v>2310</v>
      </c>
      <c r="E272" s="1152"/>
      <c r="F272" s="1153" t="str">
        <f>IF(E272=0,"",VLOOKUP(E272,'Tablas Técnicas'!$A$14:$V$771,2,FALSE))</f>
        <v/>
      </c>
      <c r="G272" s="1154"/>
      <c r="H272" s="1155" t="str">
        <f>IF($E272=0,"",VLOOKUP($E272,'Tablas Técnicas'!$A$14:$V$771,4,FALSE))</f>
        <v/>
      </c>
      <c r="I272" s="1156" t="s">
        <v>2234</v>
      </c>
      <c r="J272" s="1605" t="str">
        <f>IF(E272=0,"",VLOOKUP(E272,'Tablas Técnicas'!$A$14:$V$771,5,FALSE))</f>
        <v/>
      </c>
      <c r="K272" s="1158" t="str">
        <f>IF(I272="Si",IF(E272=0,"",VLOOKUP(E272,'Tablas Técnicas'!$A$14:$V$771,5,FALSE)),"")</f>
        <v/>
      </c>
      <c r="L272" s="1156" t="s">
        <v>2234</v>
      </c>
      <c r="M272" s="1605" t="str">
        <f>IF(E272=0,"",VLOOKUP(E272,'Tablas Técnicas'!$A$14:$V$771,6,FALSE))</f>
        <v/>
      </c>
      <c r="N272" s="1159" t="str">
        <f>IF(L272="Si",IF(E272=0,"",VLOOKUP(E272,'Tablas Técnicas'!$A$14:$V$771,6,FALSE)),"")</f>
        <v/>
      </c>
      <c r="O272" s="1156" t="s">
        <v>2234</v>
      </c>
      <c r="P272" s="1605" t="str">
        <f>IF(E272=0,"",VLOOKUP(E272,'Tablas Técnicas'!$A$14:$V$771,7,FALSE))</f>
        <v/>
      </c>
      <c r="Q272" s="1159" t="str">
        <f>IF(O272="Si",IF(E272=0,"",VLOOKUP(E272,'Tablas Técnicas'!$A$14:$V$771,7,FALSE)),"")</f>
        <v/>
      </c>
      <c r="R272" s="1157" t="str">
        <f>IF(E272=0,"",VLOOKUP(E272,'Tablas Técnicas'!$A$14:$V$771,8,FALSE))</f>
        <v/>
      </c>
      <c r="S272" s="1155" t="str">
        <f>IF(R272=$D$8,$D$8,IF(R272=2,2,IF(R272=3,3,R272)))</f>
        <v/>
      </c>
      <c r="T272" s="4490" t="s">
        <v>5230</v>
      </c>
      <c r="U272" s="4491"/>
      <c r="V272" s="2618"/>
      <c r="W272" s="4492"/>
      <c r="X272" s="4493"/>
      <c r="Y272" s="4493"/>
      <c r="Z272" s="4493"/>
      <c r="AA272" s="4493"/>
      <c r="AB272" s="4493"/>
      <c r="AC272" s="4493"/>
      <c r="AD272" s="4493"/>
      <c r="AE272" s="4493"/>
      <c r="AF272" s="4494"/>
      <c r="AG272" s="4492"/>
      <c r="AH272" s="4493"/>
      <c r="AI272" s="4493"/>
      <c r="AJ272" s="4493"/>
      <c r="AK272" s="4493"/>
      <c r="AL272" s="4493"/>
      <c r="AM272" s="4493"/>
      <c r="AN272" s="4493"/>
      <c r="AO272" s="4493"/>
      <c r="AP272" s="4494"/>
      <c r="AQ272" s="4492"/>
      <c r="AR272" s="4493"/>
      <c r="AS272" s="4493"/>
      <c r="AT272" s="4493"/>
      <c r="AU272" s="4493"/>
      <c r="AV272" s="4493"/>
      <c r="AW272" s="4493"/>
      <c r="AX272" s="4493"/>
      <c r="AY272" s="4493"/>
      <c r="AZ272" s="4494"/>
      <c r="BA272" s="4492"/>
      <c r="BB272" s="4493"/>
      <c r="BC272" s="4493"/>
      <c r="BD272" s="4493"/>
      <c r="BE272" s="4493"/>
      <c r="BF272" s="4493"/>
      <c r="BG272" s="4493"/>
      <c r="BH272" s="4493"/>
      <c r="BI272" s="4493"/>
      <c r="BJ272" s="4494"/>
      <c r="BK272" s="1155">
        <f>(SUM(F269:F273)+IF(AF269="",0,AF269)+IF(AP269="",0,AP269)+IF(AZ269="",0,AZ269)+IF(BJ269="",0,BJ269)+SUM(K269:K273)+SUM(N269:N273)+SUM(Q269:Q273))- SUM(V272:BA272)</f>
        <v>0</v>
      </c>
      <c r="BL272" s="1627"/>
      <c r="BM272" s="1628"/>
      <c r="BN272" s="1149"/>
      <c r="BO272" s="1150"/>
      <c r="BP272" s="1135" t="str">
        <f>IF(I272="Si",VLOOKUP($D$8,'Tablas Técnicas'!$E$4:$F$6,2,FALSE),"")</f>
        <v/>
      </c>
      <c r="BQ272" s="1136" t="str">
        <f>IF(L272="Si",VLOOKUP($D$8,'Tablas Técnicas'!$I$4:$J$6,2,FALSE),"")</f>
        <v/>
      </c>
      <c r="BR272" s="1134" t="str">
        <f>IF(O272="Si",VLOOKUP($D$8,'Tablas Técnicas'!$I$7:$J$9,2,FALSE),"")</f>
        <v/>
      </c>
      <c r="BS272" s="1151"/>
      <c r="BT272" s="4448" t="s">
        <v>5231</v>
      </c>
      <c r="BU272" s="4449"/>
      <c r="BV272" s="1128"/>
      <c r="BW272" s="1108"/>
      <c r="BX272" s="1108"/>
      <c r="BY272" s="1474"/>
      <c r="BZ272" s="1492"/>
      <c r="CA272" s="1096"/>
      <c r="DR272" s="1096"/>
      <c r="DT272" s="1514"/>
      <c r="DU272" s="1565" t="str">
        <f>IF(BW288="N/A","",BT287&amp;" "&amp;BW288&amp;IF(BY288="N/A"," "," ("&amp;BY288&amp;") "))</f>
        <v/>
      </c>
      <c r="DV272" s="1566" t="str">
        <f>IF(E272="","",E272)&amp;IF(I272="No",""," (Mant.)")&amp;IF(L272="No",""," (Sme)")&amp;IF(O272="No",""," (SMa)")</f>
        <v/>
      </c>
      <c r="DW272" s="1567"/>
      <c r="DX272" s="4454"/>
      <c r="DY272" s="1513"/>
      <c r="DZ272" s="1096"/>
      <c r="EA272" s="1660">
        <f t="shared" si="4"/>
        <v>1</v>
      </c>
    </row>
    <row r="273" spans="1:131" x14ac:dyDescent="0.2">
      <c r="A273" s="1096"/>
      <c r="B273" s="1096"/>
      <c r="C273" s="1497"/>
      <c r="D273" s="1643" t="s">
        <v>2310</v>
      </c>
      <c r="E273" s="1160"/>
      <c r="F273" s="2619" t="str">
        <f>IF(E273=0,"",VLOOKUP(E273,'Tablas Técnicas'!$A$14:$V$771,2,FALSE))</f>
        <v/>
      </c>
      <c r="G273" s="1142"/>
      <c r="H273" s="1161" t="str">
        <f>IF($E273=0,"",VLOOKUP($E273,'Tablas Técnicas'!$A$14:$V$771,4,FALSE))</f>
        <v/>
      </c>
      <c r="I273" s="1144" t="s">
        <v>2234</v>
      </c>
      <c r="J273" s="1601" t="str">
        <f>IF(E273=0,"",VLOOKUP(E273,'Tablas Técnicas'!$A$14:$V$771,5,FALSE))</f>
        <v/>
      </c>
      <c r="K273" s="1163" t="str">
        <f>IF(I273="Si",IF(E273=0,"",VLOOKUP(E273,'Tablas Técnicas'!$A$14:$V$771,5,FALSE)),"")</f>
        <v/>
      </c>
      <c r="L273" s="1144" t="s">
        <v>2234</v>
      </c>
      <c r="M273" s="1601" t="str">
        <f>IF(E273=0,"",VLOOKUP(E273,'Tablas Técnicas'!$A$14:$V$771,6,FALSE))</f>
        <v/>
      </c>
      <c r="N273" s="1147" t="str">
        <f>IF(L273="Si",IF(E273=0,"",VLOOKUP(E273,'Tablas Técnicas'!$A$14:$V$771,6,FALSE)),"")</f>
        <v/>
      </c>
      <c r="O273" s="1144" t="s">
        <v>2234</v>
      </c>
      <c r="P273" s="1601" t="str">
        <f>IF(E273=0,"",VLOOKUP(E273,'Tablas Técnicas'!$A$14:$V$771,7,FALSE))</f>
        <v/>
      </c>
      <c r="Q273" s="1147" t="str">
        <f>IF(O273="Si",IF(E273=0,"",VLOOKUP(E273,'Tablas Técnicas'!$A$14:$V$771,7,FALSE)),"")</f>
        <v/>
      </c>
      <c r="R273" s="1162" t="str">
        <f>IF(E273=0,"",VLOOKUP(E273,'Tablas Técnicas'!$A$14:$V$771,8,FALSE))</f>
        <v/>
      </c>
      <c r="S273" s="1161" t="str">
        <f>IF(R273=$D$8,$D$8,IF(R273=2,2,IF(R273=3,3,R273)))</f>
        <v/>
      </c>
      <c r="T273" s="4482" t="s">
        <v>5232</v>
      </c>
      <c r="U273" s="4483"/>
      <c r="V273" s="2616"/>
      <c r="W273" s="4484"/>
      <c r="X273" s="4485"/>
      <c r="Y273" s="4485"/>
      <c r="Z273" s="4485"/>
      <c r="AA273" s="4485"/>
      <c r="AB273" s="4485"/>
      <c r="AC273" s="4485"/>
      <c r="AD273" s="4485"/>
      <c r="AE273" s="4485"/>
      <c r="AF273" s="4486"/>
      <c r="AG273" s="4484"/>
      <c r="AH273" s="4485"/>
      <c r="AI273" s="4485"/>
      <c r="AJ273" s="4485"/>
      <c r="AK273" s="4485"/>
      <c r="AL273" s="4485"/>
      <c r="AM273" s="4485"/>
      <c r="AN273" s="4485"/>
      <c r="AO273" s="4485"/>
      <c r="AP273" s="4486"/>
      <c r="AQ273" s="4484"/>
      <c r="AR273" s="4485"/>
      <c r="AS273" s="4485"/>
      <c r="AT273" s="4485"/>
      <c r="AU273" s="4485"/>
      <c r="AV273" s="4485"/>
      <c r="AW273" s="4485"/>
      <c r="AX273" s="4485"/>
      <c r="AY273" s="4485"/>
      <c r="AZ273" s="4486"/>
      <c r="BA273" s="4484"/>
      <c r="BB273" s="4485"/>
      <c r="BC273" s="4485"/>
      <c r="BD273" s="4485"/>
      <c r="BE273" s="4485"/>
      <c r="BF273" s="4485"/>
      <c r="BG273" s="4485"/>
      <c r="BH273" s="4485"/>
      <c r="BI273" s="4485"/>
      <c r="BJ273" s="4486"/>
      <c r="BK273" s="1171">
        <f>SUM(K269:K273)-SUM(V273:BA273)</f>
        <v>0</v>
      </c>
      <c r="BL273" s="1629"/>
      <c r="BM273" s="1630"/>
      <c r="BN273" s="1165"/>
      <c r="BO273" s="1166"/>
      <c r="BP273" s="1167" t="str">
        <f>IF(I273="Si",VLOOKUP($D$8,'Tablas Técnicas'!$E$4:$F$6,2,FALSE),"")</f>
        <v/>
      </c>
      <c r="BQ273" s="1137" t="str">
        <f>IF(L273="Si",VLOOKUP($D$8,'Tablas Técnicas'!$I$4:$J$6,2,FALSE),"")</f>
        <v/>
      </c>
      <c r="BR273" s="1168" t="str">
        <f>IF(O273="Si",VLOOKUP($D$8,'Tablas Técnicas'!$I$7:$J$9,2,FALSE),"")</f>
        <v/>
      </c>
      <c r="BS273" s="1169"/>
      <c r="BT273" s="4452" t="s">
        <v>2234</v>
      </c>
      <c r="BU273" s="4453"/>
      <c r="BV273" s="1128"/>
      <c r="BW273" s="1108"/>
      <c r="BX273" s="1108"/>
      <c r="BY273" s="1474"/>
      <c r="BZ273" s="1492"/>
      <c r="CA273" s="1096"/>
      <c r="DR273" s="1096"/>
      <c r="DT273" s="1514"/>
      <c r="DU273" s="1565" t="str">
        <f>IF(BW290="N/A","",BT289&amp;" "&amp;BW290&amp;IF(BY290="N/A"," "," ("&amp;BY290&amp;") "))</f>
        <v/>
      </c>
      <c r="DV273" s="1566" t="str">
        <f>IF(E273="","",E273)&amp;IF(I273="No",""," (Mant.)")&amp;IF(L273="No",""," (Sme)")&amp;IF(O273="No",""," (SMa)")</f>
        <v/>
      </c>
      <c r="DW273" s="1567"/>
      <c r="DX273" s="4454"/>
      <c r="DY273" s="1513"/>
      <c r="DZ273" s="1096"/>
      <c r="EA273" s="1660">
        <f t="shared" si="4"/>
        <v>1</v>
      </c>
    </row>
    <row r="274" spans="1:131" x14ac:dyDescent="0.2">
      <c r="A274" s="1096"/>
      <c r="B274" s="159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97"/>
      <c r="D274" s="1644">
        <v>2</v>
      </c>
      <c r="E274" s="1423"/>
      <c r="F274" s="1173"/>
      <c r="G274" s="1174"/>
      <c r="H274" s="2559">
        <f>IF(AND(OR(ISNUMBER(SEARCH("Afinidad Elemental ("&amp;BK269&amp;")",Principal!$AF$30)),ISNUMBER(SEARCH("Afinidad Elemental ("&amp;BL269&amp;")",Principal!$AF$30)),ISNUMBER(SEARCH("Afinidad Elemental ("&amp;BM269&amp;")",Principal!$AF$30))),SUM(H269:H273)&gt;=5),-5,0)</f>
        <v>0</v>
      </c>
      <c r="I274" s="1603"/>
      <c r="J274" s="1606"/>
      <c r="K274" s="1174"/>
      <c r="L274" s="1603"/>
      <c r="M274" s="1606"/>
      <c r="N274" s="1174"/>
      <c r="O274" s="1603"/>
      <c r="P274" s="1606"/>
      <c r="Q274" s="1174"/>
      <c r="R274" s="1175"/>
      <c r="S274" s="1174"/>
      <c r="T274" s="1174"/>
      <c r="U274" s="1131"/>
      <c r="V274" s="1131"/>
      <c r="W274" s="1131"/>
      <c r="X274" s="1131"/>
      <c r="Y274" s="1131"/>
      <c r="Z274" s="1131"/>
      <c r="AA274" s="1131"/>
      <c r="AB274" s="1131"/>
      <c r="AC274" s="1131"/>
      <c r="AD274" s="1131"/>
      <c r="AE274" s="1131"/>
      <c r="AF274" s="1131"/>
      <c r="AG274" s="1131"/>
      <c r="AH274" s="1131"/>
      <c r="AI274" s="1131"/>
      <c r="AJ274" s="1131"/>
      <c r="AK274" s="1131"/>
      <c r="AL274" s="1131"/>
      <c r="AM274" s="1131"/>
      <c r="AN274" s="1131"/>
      <c r="AO274" s="1131"/>
      <c r="AP274" s="1131"/>
      <c r="AQ274" s="1131"/>
      <c r="AR274" s="1131"/>
      <c r="AS274" s="1131"/>
      <c r="AT274" s="1131"/>
      <c r="AU274" s="1131"/>
      <c r="AV274" s="1131"/>
      <c r="AW274" s="1131"/>
      <c r="AX274" s="1131"/>
      <c r="AY274" s="1131"/>
      <c r="AZ274" s="1131"/>
      <c r="BA274" s="1131"/>
      <c r="BB274" s="1131"/>
      <c r="BC274" s="1131"/>
      <c r="BD274" s="1131"/>
      <c r="BE274" s="1131"/>
      <c r="BF274" s="1131"/>
      <c r="BG274" s="1131"/>
      <c r="BH274" s="1131"/>
      <c r="BI274" s="1131"/>
      <c r="BJ274" s="1131"/>
      <c r="BK274" s="1131"/>
      <c r="BL274" s="1131"/>
      <c r="BM274" s="1133"/>
      <c r="BN274" s="1134">
        <f>SUM(K274:K277)</f>
        <v>0</v>
      </c>
      <c r="BO274" s="1128" t="str">
        <f>IF(E274=0,"",(AF274+AP274+AZ274+BJ274))</f>
        <v/>
      </c>
      <c r="BP274" s="1135" t="str">
        <f>IF(I274="Si",VLOOKUP($D$8,'Tablas Técnicas'!$E$4:$F$6,2,FALSE),"")</f>
        <v/>
      </c>
      <c r="BQ274" s="1136" t="str">
        <f>IF(L274="Si",VLOOKUP($D$8,'Tablas Técnicas'!$I$4:$J$6,2,FALSE),"")</f>
        <v/>
      </c>
      <c r="BR274" s="1134" t="str">
        <f>IF(O274="Si",VLOOKUP($D$8,'Tablas Técnicas'!$I$7:$J$9,2,FALSE),"")</f>
        <v/>
      </c>
      <c r="BS274" s="1151"/>
      <c r="BT274" s="4448" t="s">
        <v>5233</v>
      </c>
      <c r="BU274" s="4449"/>
      <c r="BV274" s="1128"/>
      <c r="BW274" s="1108"/>
      <c r="BX274" s="1108"/>
      <c r="BY274" s="1474"/>
      <c r="BZ274" s="1492"/>
      <c r="CA274" s="1096"/>
      <c r="DR274" s="1096"/>
      <c r="DT274" s="1514"/>
      <c r="DU274" s="1565" t="str">
        <f>IF(BW292="N/A","",BT291&amp;" "&amp;BW292&amp;IF(BY292="N/A"," "," ("&amp;BY292&amp;") "))</f>
        <v/>
      </c>
      <c r="DV274" s="1570"/>
      <c r="DW274" s="1567"/>
      <c r="DX274" s="1617" t="s">
        <v>2373</v>
      </c>
      <c r="DY274" s="1513"/>
      <c r="DZ274" s="1096"/>
      <c r="EA274" s="1660">
        <f t="shared" si="4"/>
        <v>1</v>
      </c>
    </row>
    <row r="275" spans="1:131" x14ac:dyDescent="0.2">
      <c r="A275" s="1096"/>
      <c r="B275" s="1096"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97"/>
      <c r="D275" s="1643" t="s">
        <v>2310</v>
      </c>
      <c r="E275" s="1140"/>
      <c r="F275" s="1176"/>
      <c r="G275" s="1146" t="str">
        <f>IF(E275=0,"",VLOOKUP(E275,'Tablas Técnicas'!$A$14:$V$771,3,FALSE))</f>
        <v/>
      </c>
      <c r="H275" s="1178" t="str">
        <f>IF($E275=0,"",VLOOKUP($E275,'Tablas Técnicas'!$A$14:$V$771,4,FALSE))</f>
        <v/>
      </c>
      <c r="I275" s="1144" t="s">
        <v>2234</v>
      </c>
      <c r="J275" s="1604" t="str">
        <f>IF(E275=0,"",VLOOKUP(E275,'Tablas Técnicas'!$A$14:$V$771,5,FALSE))</f>
        <v/>
      </c>
      <c r="K275" s="1177" t="str">
        <f>IF(I275="Si",IF(E275=0,"",VLOOKUP(E275,'Tablas Técnicas'!$A$14:$V$771,5,FALSE)),"")</f>
        <v/>
      </c>
      <c r="L275" s="1144" t="s">
        <v>2234</v>
      </c>
      <c r="M275" s="1604" t="str">
        <f>IF(E275=0,"",VLOOKUP(E275,'Tablas Técnicas'!$A$14:$V$771,6,FALSE))</f>
        <v/>
      </c>
      <c r="N275" s="1147" t="str">
        <f>IF(L275="Si",IF(E275=0,"",VLOOKUP(E275,'Tablas Técnicas'!$A$14:$V$771,6,FALSE)),"")</f>
        <v/>
      </c>
      <c r="O275" s="1144" t="s">
        <v>2234</v>
      </c>
      <c r="P275" s="1604" t="str">
        <f>IF(E275=0,"",VLOOKUP(E275,'Tablas Técnicas'!$A$14:$V$771,7,FALSE))</f>
        <v/>
      </c>
      <c r="Q275" s="1147" t="str">
        <f>IF(O275="Si",IF(E275=0,"",VLOOKUP(E275,'Tablas Técnicas'!$A$14:$V$771,7,FALSE)),"")</f>
        <v/>
      </c>
      <c r="R275" s="1179" t="str">
        <f>IF(E275=0,"",VLOOKUP(E275,'Tablas Técnicas'!$A$14:$V$771,8,FALSE))</f>
        <v/>
      </c>
      <c r="S275" s="1178" t="str">
        <f>IF(R275=$D$8,$D$8,IF(R275=2,2,IF(R275=3,3,R275)))</f>
        <v/>
      </c>
      <c r="T275" s="1146" t="str">
        <f>IF(E275=0,"",VLOOKUP(E275,'Tablas Técnicas'!$A$14:$V$771,9,FALSE))</f>
        <v/>
      </c>
      <c r="U275" s="1146" t="str">
        <f>IF(E275=0,"",VLOOKUP(E275,'Tablas Técnicas'!$A$14:$V$771,10,FALSE))</f>
        <v/>
      </c>
      <c r="V275" s="1141" t="str">
        <f>IF(E275=0,"",VLOOKUP(E275,'Tablas Técnicas'!$A$14:$V$771,11,FALSE))</f>
        <v/>
      </c>
      <c r="W275" s="1144"/>
      <c r="X275" s="1145" t="e">
        <f>VLOOKUP(E275,'Tablas Técnicas'!$A$14:$V$771,12,FALSE)</f>
        <v>#N/A</v>
      </c>
      <c r="Y275" s="1145" t="e">
        <f>IF(W275=X275,VLOOKUP(E275,'Tablas Técnicas'!$A$14:$V$771,13,FALSE),0)</f>
        <v>#N/A</v>
      </c>
      <c r="Z275" s="1145" t="e">
        <f>VLOOKUP(E275,'Tablas Técnicas'!$A$14:$V$771,14,FALSE)</f>
        <v>#N/A</v>
      </c>
      <c r="AA275" s="1145" t="e">
        <f>IF(W275=Z275,VLOOKUP(E275,'Tablas Técnicas'!$A$14:$V$616,15,FALSE),0)</f>
        <v>#N/A</v>
      </c>
      <c r="AB275" s="1145" t="e">
        <f>VLOOKUP(E275,'Tablas Técnicas'!$A$14:$V$771,16,FALSE)</f>
        <v>#N/A</v>
      </c>
      <c r="AC275" s="1145" t="e">
        <f>IF(W275=AB275,VLOOKUP(E275,'Tablas Técnicas'!$A$14:$V$616,17,FALSE),0)</f>
        <v>#N/A</v>
      </c>
      <c r="AD275" s="1145" t="e">
        <f>VLOOKUP(E275,'Tablas Técnicas'!$A$14:$V$771,18,FALSE)</f>
        <v>#N/A</v>
      </c>
      <c r="AE275" s="1145" t="e">
        <f>IF(W275=AD275,VLOOKUP(E275,'Tablas Técnicas'!$A$14:$V$771,19,FALSE),0)</f>
        <v>#N/A</v>
      </c>
      <c r="AF275" s="1146" t="str">
        <f>IF(E275=0,"",(Y275+AA275+AC275+AE275))</f>
        <v/>
      </c>
      <c r="AG275" s="1144"/>
      <c r="AH275" s="1179" t="e">
        <f>VLOOKUP(E275,'Tablas Técnicas'!$A$14:$V$771,12,FALSE)</f>
        <v>#N/A</v>
      </c>
      <c r="AI275" s="1179" t="e">
        <f>IF(AG275=AH275,VLOOKUP(E275,'Tablas Técnicas'!$A$14:$V$771,13,FALSE),0)</f>
        <v>#N/A</v>
      </c>
      <c r="AJ275" s="1179" t="e">
        <f>VLOOKUP(E275,'Tablas Técnicas'!$A$14:$V$771,14,FALSE)</f>
        <v>#N/A</v>
      </c>
      <c r="AK275" s="1179" t="e">
        <f>IF(AG275=AJ275,VLOOKUP(E275,'Tablas Técnicas'!$A$14:$V$771,15,FALSE),0)</f>
        <v>#N/A</v>
      </c>
      <c r="AL275" s="1179" t="e">
        <f>VLOOKUP(E275,'Tablas Técnicas'!$A$14:$V$771,16,FALSE)</f>
        <v>#N/A</v>
      </c>
      <c r="AM275" s="1179" t="e">
        <f>IF(AG275=AL275,VLOOKUP(E275,'Tablas Técnicas'!$A$14:$V$771,17,FALSE),0)</f>
        <v>#N/A</v>
      </c>
      <c r="AN275" s="1179" t="e">
        <f>VLOOKUP(E275,'Tablas Técnicas'!$A$14:$V$771,18,FALSE)</f>
        <v>#N/A</v>
      </c>
      <c r="AO275" s="1179" t="e">
        <f>IF(AG275=AN275,VLOOKUP(E275,'Tablas Técnicas'!$A$14:$V$771,19,FALSE),0)</f>
        <v>#N/A</v>
      </c>
      <c r="AP275" s="1180" t="str">
        <f>IF(E275=0,"",(AI275+AK275+AM275+AO275))</f>
        <v/>
      </c>
      <c r="AQ275" s="1144"/>
      <c r="AR275" s="1145" t="e">
        <f>VLOOKUP(E275,'Tablas Técnicas'!$A$14:$V$771,12,FALSE)</f>
        <v>#N/A</v>
      </c>
      <c r="AS275" s="1145" t="e">
        <f>IF(AQ275=AR275,VLOOKUP(E275,'Tablas Técnicas'!$A$14:$V$771,13,FALSE),0)</f>
        <v>#N/A</v>
      </c>
      <c r="AT275" s="1145" t="e">
        <f>VLOOKUP(E275,'Tablas Técnicas'!$A$14:$V$771,14,FALSE)</f>
        <v>#N/A</v>
      </c>
      <c r="AU275" s="1145" t="e">
        <f>IF(AQ275=AT275,VLOOKUP(E275,'Tablas Técnicas'!$A$14:$V$771,15,FALSE),0)</f>
        <v>#N/A</v>
      </c>
      <c r="AV275" s="1145" t="e">
        <f>VLOOKUP(E275,'Tablas Técnicas'!$A$14:$V$771,16,FALSE)</f>
        <v>#N/A</v>
      </c>
      <c r="AW275" s="1145" t="e">
        <f>IF(AQ275=AV275,VLOOKUP(E275,'Tablas Técnicas'!$A$14:$V$771,17,FALSE),0)</f>
        <v>#N/A</v>
      </c>
      <c r="AX275" s="1145" t="e">
        <f>VLOOKUP(E275,'Tablas Técnicas'!$A$14:$V$771,18,FALSE)</f>
        <v>#N/A</v>
      </c>
      <c r="AY275" s="1145" t="e">
        <f>IF(AQ275=AX275,VLOOKUP(E275,'Tablas Técnicas'!$A$14:$V$771,19,FALSE),0)</f>
        <v>#N/A</v>
      </c>
      <c r="AZ275" s="1146" t="str">
        <f>IF(E275=0,"",(AS275+AU275+AW275+AY275))</f>
        <v/>
      </c>
      <c r="BA275" s="1144"/>
      <c r="BB275" s="1145" t="e">
        <f>VLOOKUP(E275,'Tablas Técnicas'!$A$14:$V$771,12,FALSE)</f>
        <v>#N/A</v>
      </c>
      <c r="BC275" s="1145" t="e">
        <f>IF(BA275=BB275,VLOOKUP(E275,'Tablas Técnicas'!$A$14:$V$771,13,FALSE),0)</f>
        <v>#N/A</v>
      </c>
      <c r="BD275" s="1145" t="e">
        <f>VLOOKUP(E275,'Tablas Técnicas'!$A$14:$V$771,14,FALSE)</f>
        <v>#N/A</v>
      </c>
      <c r="BE275" s="1145" t="e">
        <f>IF(BA275=BD275,VLOOKUP(E275,'Tablas Técnicas'!$A$14:$V$771,15,FALSE),0)</f>
        <v>#N/A</v>
      </c>
      <c r="BF275" s="1145" t="e">
        <f>VLOOKUP(E275,'Tablas Técnicas'!$A$14:$V$771,16,FALSE)</f>
        <v>#N/A</v>
      </c>
      <c r="BG275" s="1145" t="e">
        <f>IF(BA275=BF275,VLOOKUP(E275,'Tablas Técnicas'!$A$14:$V$771,17,FALSE),0)</f>
        <v>#N/A</v>
      </c>
      <c r="BH275" s="1145" t="e">
        <f>VLOOKUP(E275,'Tablas Técnicas'!$A$14:$V$771,18,FALSE)</f>
        <v>#N/A</v>
      </c>
      <c r="BI275" s="1145" t="e">
        <f>IF(BA275=BH275,VLOOKUP(E275,'Tablas Técnicas'!$A$14:$V$771,19,FALSE),0)</f>
        <v>#N/A</v>
      </c>
      <c r="BJ275" s="1147" t="str">
        <f>IF(E275=0,"",(BC275+BE275+BG275+BI275))</f>
        <v/>
      </c>
      <c r="BK275" s="1146" t="str">
        <f>IF(E275=0,"",VLOOKUP(E275,'Tablas Técnicas'!$A$14:$V$771,20,FALSE))</f>
        <v/>
      </c>
      <c r="BL275" s="1146" t="str">
        <f>IF(E275=0,"",VLOOKUP(E275,'Tablas Técnicas'!$A$14:$V$771,21,FALSE))</f>
        <v/>
      </c>
      <c r="BM275" s="1181" t="str">
        <f>IF(E275=0,"",VLOOKUP(E275,'Tablas Técnicas'!$A$14:$V$771,22,FALSE))</f>
        <v/>
      </c>
      <c r="BN275" s="1149"/>
      <c r="BO275" s="1150"/>
      <c r="BP275" s="1135" t="str">
        <f>IF(I275="Si",VLOOKUP($D$8,'Tablas Técnicas'!$E$4:$F$6,2,FALSE),"")</f>
        <v/>
      </c>
      <c r="BQ275" s="1136" t="str">
        <f>IF(L275="Si",VLOOKUP($D$8,'Tablas Técnicas'!$I$4:$J$6,2,FALSE),"")</f>
        <v/>
      </c>
      <c r="BR275" s="1134" t="str">
        <f>IF(O275="Si",VLOOKUP($D$8,'Tablas Técnicas'!$I$7:$J$9,2,FALSE),"")</f>
        <v/>
      </c>
      <c r="BS275" s="1151"/>
      <c r="BT275" s="4452" t="s">
        <v>5213</v>
      </c>
      <c r="BU275" s="4453"/>
      <c r="BV275" s="1128"/>
      <c r="BW275" s="1108"/>
      <c r="BX275" s="1108"/>
      <c r="BY275" s="1474"/>
      <c r="BZ275" s="1492"/>
      <c r="CA275" s="1096"/>
      <c r="DR275" s="1096"/>
      <c r="DT275" s="1515"/>
      <c r="DU275" s="1569"/>
      <c r="DV275" s="1566" t="str">
        <f>IF(E275="","",", "&amp;E275)&amp;IF(I275="No",""," (Mant.)")&amp;IF(L275="No",""," (Sme)")&amp;IF(O275="No",""," (SMa)")</f>
        <v/>
      </c>
      <c r="DW275" s="1567"/>
      <c r="DX275" s="1568" t="str">
        <f>IF(ISNUMBER(FIND('Tablas Técnicas'!A$678,DW293)),BL299&amp;BM299,IF(ISNUMBER(FIND('Tablas Técnicas'!A$679,DW293)),BL299&amp;" "&amp;BM299,""))</f>
        <v/>
      </c>
      <c r="DY275" s="1516"/>
      <c r="DZ275" s="1096"/>
      <c r="EA275" s="1660">
        <f t="shared" si="4"/>
        <v>1</v>
      </c>
    </row>
    <row r="276" spans="1:131" x14ac:dyDescent="0.2">
      <c r="A276" s="1096"/>
      <c r="B276" s="1096"/>
      <c r="C276" s="1497"/>
      <c r="D276" s="1642" t="s">
        <v>2310</v>
      </c>
      <c r="E276" s="1152"/>
      <c r="F276" s="1182"/>
      <c r="G276" s="1627" t="str">
        <f>IF(E276=0,"",VLOOKUP(E276,'Tablas Técnicas'!$A$14:$V$771,3,FALSE))</f>
        <v/>
      </c>
      <c r="H276" s="1155" t="str">
        <f>IF($E276=0,"",VLOOKUP($E276,'Tablas Técnicas'!$A$14:$V$771,4,FALSE))</f>
        <v/>
      </c>
      <c r="I276" s="1156" t="s">
        <v>2234</v>
      </c>
      <c r="J276" s="1605" t="str">
        <f>IF(E276=0,"",VLOOKUP(E276,'Tablas Técnicas'!$A$14:$V$771,5,FALSE))</f>
        <v/>
      </c>
      <c r="K276" s="1158" t="str">
        <f>IF(I276="Si",IF(E276=0,"",VLOOKUP(E276,'Tablas Técnicas'!$A$14:$V$771,5,FALSE)),"")</f>
        <v/>
      </c>
      <c r="L276" s="1156" t="s">
        <v>2234</v>
      </c>
      <c r="M276" s="1605" t="str">
        <f>IF(E276=0,"",VLOOKUP(E276,'Tablas Técnicas'!$A$14:$V$771,6,FALSE))</f>
        <v/>
      </c>
      <c r="N276" s="1159" t="str">
        <f>IF(L276="Si",IF(E276=0,"",VLOOKUP(E276,'Tablas Técnicas'!$A$14:$V$771,6,FALSE)),"")</f>
        <v/>
      </c>
      <c r="O276" s="1156" t="s">
        <v>2234</v>
      </c>
      <c r="P276" s="1605" t="str">
        <f>IF(E276=0,"",VLOOKUP(E276,'Tablas Técnicas'!$A$14:$V$771,7,FALSE))</f>
        <v/>
      </c>
      <c r="Q276" s="1159" t="str">
        <f>IF(O276="Si",IF(E276=0,"",VLOOKUP(E276,'Tablas Técnicas'!$A$14:$V$771,7,FALSE)),"")</f>
        <v/>
      </c>
      <c r="R276" s="1157" t="str">
        <f>IF(E276=0,"",VLOOKUP(E276,'Tablas Técnicas'!$A$14:$V$771,8,FALSE))</f>
        <v/>
      </c>
      <c r="S276" s="1155" t="str">
        <f>IF(R276=$D$8,$D$8,IF(R276=2,2,IF(R276=3,3,R276)))</f>
        <v/>
      </c>
      <c r="T276" s="4475" t="s">
        <v>5228</v>
      </c>
      <c r="U276" s="4476"/>
      <c r="V276" s="4476"/>
      <c r="W276" s="4476"/>
      <c r="X276" s="4476"/>
      <c r="Y276" s="4476"/>
      <c r="Z276" s="4476"/>
      <c r="AA276" s="4476"/>
      <c r="AB276" s="4476"/>
      <c r="AC276" s="4476"/>
      <c r="AD276" s="4476"/>
      <c r="AE276" s="4476"/>
      <c r="AF276" s="4476"/>
      <c r="AG276" s="4476"/>
      <c r="AH276" s="4476"/>
      <c r="AI276" s="4476"/>
      <c r="AJ276" s="4476"/>
      <c r="AK276" s="4476"/>
      <c r="AL276" s="4476"/>
      <c r="AM276" s="4476"/>
      <c r="AN276" s="4476"/>
      <c r="AO276" s="4476"/>
      <c r="AP276" s="4476"/>
      <c r="AQ276" s="4476"/>
      <c r="AR276" s="4476"/>
      <c r="AS276" s="4476"/>
      <c r="AT276" s="4476"/>
      <c r="AU276" s="4476"/>
      <c r="AV276" s="4476"/>
      <c r="AW276" s="4476"/>
      <c r="AX276" s="4476"/>
      <c r="AY276" s="4476"/>
      <c r="AZ276" s="4476"/>
      <c r="BA276" s="4476"/>
      <c r="BB276" s="4476"/>
      <c r="BC276" s="4476"/>
      <c r="BD276" s="4476"/>
      <c r="BE276" s="4476"/>
      <c r="BF276" s="4476"/>
      <c r="BG276" s="4476"/>
      <c r="BH276" s="4476"/>
      <c r="BI276" s="4476"/>
      <c r="BJ276" s="4476"/>
      <c r="BK276" s="4477"/>
      <c r="BL276" s="1627"/>
      <c r="BM276" s="1628"/>
      <c r="BN276" s="1149"/>
      <c r="BO276" s="1150"/>
      <c r="BP276" s="1135" t="str">
        <f>IF(I276="Si",VLOOKUP($D$8,'Tablas Técnicas'!$E$4:$F$6,2,FALSE),"")</f>
        <v/>
      </c>
      <c r="BQ276" s="1136" t="str">
        <f>IF(L276="Si",VLOOKUP($D$8,'Tablas Técnicas'!$I$4:$J$6,2,FALSE),"")</f>
        <v/>
      </c>
      <c r="BR276" s="1134" t="str">
        <f>IF(O276="Si",VLOOKUP($D$8,'Tablas Técnicas'!$I$7:$J$9,2,FALSE),"")</f>
        <v/>
      </c>
      <c r="BS276" s="1151"/>
      <c r="BT276" s="4448" t="s">
        <v>5234</v>
      </c>
      <c r="BU276" s="4449"/>
      <c r="BV276" s="1128"/>
      <c r="BW276" s="1108"/>
      <c r="BX276" s="1108"/>
      <c r="BY276" s="1474"/>
      <c r="BZ276" s="1492"/>
      <c r="CA276" s="1096"/>
      <c r="DR276" s="1096"/>
      <c r="DT276" s="1514"/>
      <c r="DU276" s="1565"/>
      <c r="DV276" s="1566" t="str">
        <f>IF(E276="",""," "&amp;E276)&amp;IF(I276="No",""," (Mant.)")&amp;IF(L276="No",""," (Sme)")&amp;IF(O276="No",""," (SMa)")</f>
        <v/>
      </c>
      <c r="DW276" s="1567"/>
      <c r="DX276" s="1568"/>
      <c r="DY276" s="1513"/>
      <c r="DZ276" s="1096"/>
      <c r="EA276" s="1660">
        <f t="shared" si="4"/>
        <v>1</v>
      </c>
    </row>
    <row r="277" spans="1:131" x14ac:dyDescent="0.2">
      <c r="A277" s="1096"/>
      <c r="B277" s="1096"/>
      <c r="C277" s="1497"/>
      <c r="D277" s="1643" t="s">
        <v>2310</v>
      </c>
      <c r="E277" s="1160"/>
      <c r="F277" s="1176"/>
      <c r="G277" s="1146" t="str">
        <f>IF(E277=0,"",VLOOKUP(E277,'Tablas Técnicas'!$A$14:$V$771,3,FALSE))</f>
        <v/>
      </c>
      <c r="H277" s="2619" t="str">
        <f>IF($E277=0,"",VLOOKUP($E277,'Tablas Técnicas'!$A$14:$V$771,4,FALSE))</f>
        <v/>
      </c>
      <c r="I277" s="1144" t="s">
        <v>2234</v>
      </c>
      <c r="J277" s="1601" t="str">
        <f>IF(E277=0,"",VLOOKUP(E277,'Tablas Técnicas'!$A$14:$V$771,5,FALSE))</f>
        <v/>
      </c>
      <c r="K277" s="1163" t="str">
        <f>IF(I277="Si",IF(E277=0,"",VLOOKUP(E277,'Tablas Técnicas'!$A$14:$V$771,5,FALSE)),"")</f>
        <v/>
      </c>
      <c r="L277" s="1144" t="s">
        <v>2234</v>
      </c>
      <c r="M277" s="1601" t="str">
        <f>IF(E277=0,"",VLOOKUP(E277,'Tablas Técnicas'!$A$14:$V$771,6,FALSE))</f>
        <v/>
      </c>
      <c r="N277" s="1147" t="str">
        <f>IF(L277="Si",IF(E277=0,"",VLOOKUP(E277,'Tablas Técnicas'!$A$14:$V$771,6,FALSE)),"")</f>
        <v/>
      </c>
      <c r="O277" s="1144" t="s">
        <v>2234</v>
      </c>
      <c r="P277" s="1601" t="str">
        <f>IF(E277=0,"",VLOOKUP(E277,'Tablas Técnicas'!$A$14:$V$771,7,FALSE))</f>
        <v/>
      </c>
      <c r="Q277" s="1147" t="str">
        <f>IF(O277="Si",IF(E277=0,"",VLOOKUP(E277,'Tablas Técnicas'!$A$14:$V$771,7,FALSE)),"")</f>
        <v/>
      </c>
      <c r="R277" s="1162" t="str">
        <f>IF(E277=0,"",VLOOKUP(E277,'Tablas Técnicas'!$A$14:$V$771,8,FALSE))</f>
        <v/>
      </c>
      <c r="S277" s="2619" t="str">
        <f>IF(R277=$D$8,$D$8,IF(R277=2,2,IF(R277=3,3,R277)))</f>
        <v/>
      </c>
      <c r="T277" s="4487"/>
      <c r="U277" s="4488"/>
      <c r="V277" s="2617" t="str">
        <f>IF(OR(V275=0,V275=""),"N/A",V275)</f>
        <v>N/A</v>
      </c>
      <c r="W277" s="4487" t="str">
        <f xml:space="preserve"> IF(OR(AF275=0,AF275=""),"N/A",W275)</f>
        <v>N/A</v>
      </c>
      <c r="X277" s="4489"/>
      <c r="Y277" s="4489"/>
      <c r="Z277" s="4489"/>
      <c r="AA277" s="4489"/>
      <c r="AB277" s="4489"/>
      <c r="AC277" s="4489"/>
      <c r="AD277" s="4489"/>
      <c r="AE277" s="4489"/>
      <c r="AF277" s="4488"/>
      <c r="AG277" s="4487" t="str">
        <f xml:space="preserve"> IF(OR(AP275="",AP275=0),"N/A",AG275)</f>
        <v>N/A</v>
      </c>
      <c r="AH277" s="4489"/>
      <c r="AI277" s="4489"/>
      <c r="AJ277" s="4489"/>
      <c r="AK277" s="4489"/>
      <c r="AL277" s="4489"/>
      <c r="AM277" s="4489"/>
      <c r="AN277" s="4489"/>
      <c r="AO277" s="4489"/>
      <c r="AP277" s="4488"/>
      <c r="AQ277" s="4487" t="str">
        <f xml:space="preserve"> IF(OR(AZ275="",AZ275=0),"N/A",AQ275)</f>
        <v>N/A</v>
      </c>
      <c r="AR277" s="4489"/>
      <c r="AS277" s="4489"/>
      <c r="AT277" s="4489"/>
      <c r="AU277" s="4489"/>
      <c r="AV277" s="4489"/>
      <c r="AW277" s="4489"/>
      <c r="AX277" s="4489"/>
      <c r="AY277" s="4489"/>
      <c r="AZ277" s="4488"/>
      <c r="BA277" s="4487" t="str">
        <f xml:space="preserve"> IF(OR(BJ275="",BJ275=0),"N/A",BA275)</f>
        <v>N/A</v>
      </c>
      <c r="BB277" s="4489"/>
      <c r="BC277" s="4489"/>
      <c r="BD277" s="4489"/>
      <c r="BE277" s="4489"/>
      <c r="BF277" s="4489"/>
      <c r="BG277" s="4489"/>
      <c r="BH277" s="4489"/>
      <c r="BI277" s="4489"/>
      <c r="BJ277" s="4488"/>
      <c r="BK277" s="1164" t="s">
        <v>5229</v>
      </c>
      <c r="BL277" s="1146"/>
      <c r="BM277" s="1181"/>
      <c r="BN277" s="1149"/>
      <c r="BO277" s="1166"/>
      <c r="BP277" s="1135" t="str">
        <f>IF(I277="Si",VLOOKUP($D$8,'Tablas Técnicas'!$E$4:$F$6,2,FALSE),"")</f>
        <v/>
      </c>
      <c r="BQ277" s="1136" t="str">
        <f>IF(L277="Si",VLOOKUP($D$8,'Tablas Técnicas'!$I$4:$J$6,2,FALSE),"")</f>
        <v/>
      </c>
      <c r="BR277" s="1134" t="str">
        <f>IF(O277="Si",VLOOKUP($D$8,'Tablas Técnicas'!$I$7:$J$9,2,FALSE),"")</f>
        <v/>
      </c>
      <c r="BS277" s="1151"/>
      <c r="BT277" s="4452" t="s">
        <v>5207</v>
      </c>
      <c r="BU277" s="4453"/>
      <c r="BV277" s="1128"/>
      <c r="BW277" s="1108"/>
      <c r="BX277" s="1108"/>
      <c r="BY277" s="1474"/>
      <c r="BZ277" s="1492"/>
      <c r="CA277" s="1096"/>
      <c r="DR277" s="1096"/>
      <c r="DT277" s="1514"/>
      <c r="DU277" s="1569"/>
      <c r="DV277" s="1566" t="str">
        <f>IF(E277="","",E277)&amp;IF(I277="No",""," (Mant.)")&amp;IF(L277="No",""," (Sme)")&amp;IF(O277="No",""," (SMa)")</f>
        <v/>
      </c>
      <c r="DW277" s="1567"/>
      <c r="DX277" s="1568"/>
      <c r="DY277" s="1513"/>
      <c r="DZ277" s="1096"/>
      <c r="EA277" s="1660">
        <f t="shared" si="4"/>
        <v>1</v>
      </c>
    </row>
    <row r="278" spans="1:131" x14ac:dyDescent="0.2">
      <c r="A278" s="1096"/>
      <c r="B278" s="1096"/>
      <c r="C278" s="1497"/>
      <c r="D278" s="1642" t="s">
        <v>2310</v>
      </c>
      <c r="E278" s="1152"/>
      <c r="F278" s="1182"/>
      <c r="G278" s="1627" t="str">
        <f>IF(E278=0,"",VLOOKUP(E278,'Tablas Técnicas'!$A$14:$V$771,3,FALSE))</f>
        <v/>
      </c>
      <c r="H278" s="1155" t="str">
        <f>IF($E278=0,"",VLOOKUP($E278,'Tablas Técnicas'!$A$14:$V$771,4,FALSE))</f>
        <v/>
      </c>
      <c r="I278" s="1156" t="s">
        <v>2234</v>
      </c>
      <c r="J278" s="1605" t="str">
        <f>IF(E278=0,"",VLOOKUP(E278,'Tablas Técnicas'!$A$14:$V$771,5,FALSE))</f>
        <v/>
      </c>
      <c r="K278" s="1158" t="str">
        <f>IF(I278="Si",IF(E278=0,"",VLOOKUP(E278,'Tablas Técnicas'!$A$14:$V$771,5,FALSE)),"")</f>
        <v/>
      </c>
      <c r="L278" s="1156" t="s">
        <v>2234</v>
      </c>
      <c r="M278" s="1605" t="str">
        <f>IF(E278=0,"",VLOOKUP(E278,'Tablas Técnicas'!$A$14:$V$771,6,FALSE))</f>
        <v/>
      </c>
      <c r="N278" s="1159" t="str">
        <f>IF(L278="Si",IF(E278=0,"",VLOOKUP(E278,'Tablas Técnicas'!$A$14:$V$771,6,FALSE)),"")</f>
        <v/>
      </c>
      <c r="O278" s="1156" t="s">
        <v>2234</v>
      </c>
      <c r="P278" s="1605" t="str">
        <f>IF(E278=0,"",VLOOKUP(E278,'Tablas Técnicas'!$A$14:$V$771,7,FALSE))</f>
        <v/>
      </c>
      <c r="Q278" s="1159" t="str">
        <f>IF(O278="Si",IF(E278=0,"",VLOOKUP(E278,'Tablas Técnicas'!$A$14:$V$771,7,FALSE)),"")</f>
        <v/>
      </c>
      <c r="R278" s="1157" t="str">
        <f>IF(E278=0,"",VLOOKUP(E278,'Tablas Técnicas'!$A$14:$V$771,8,FALSE))</f>
        <v/>
      </c>
      <c r="S278" s="1155" t="str">
        <f>IF(R278=$D$8,$D$8,IF(R278=2,2,IF(R278=3,3,R278)))</f>
        <v/>
      </c>
      <c r="T278" s="4490" t="s">
        <v>5230</v>
      </c>
      <c r="U278" s="4491"/>
      <c r="V278" s="2618"/>
      <c r="W278" s="4492"/>
      <c r="X278" s="4493"/>
      <c r="Y278" s="4493"/>
      <c r="Z278" s="4493"/>
      <c r="AA278" s="4493"/>
      <c r="AB278" s="4493"/>
      <c r="AC278" s="4493"/>
      <c r="AD278" s="4493"/>
      <c r="AE278" s="4493"/>
      <c r="AF278" s="4494"/>
      <c r="AG278" s="4492"/>
      <c r="AH278" s="4493"/>
      <c r="AI278" s="4493"/>
      <c r="AJ278" s="4493"/>
      <c r="AK278" s="4493"/>
      <c r="AL278" s="4493"/>
      <c r="AM278" s="4493"/>
      <c r="AN278" s="4493"/>
      <c r="AO278" s="4493"/>
      <c r="AP278" s="4494"/>
      <c r="AQ278" s="4492"/>
      <c r="AR278" s="4493"/>
      <c r="AS278" s="4493"/>
      <c r="AT278" s="4493"/>
      <c r="AU278" s="4493"/>
      <c r="AV278" s="4493"/>
      <c r="AW278" s="4493"/>
      <c r="AX278" s="4493"/>
      <c r="AY278" s="4493"/>
      <c r="AZ278" s="4494"/>
      <c r="BA278" s="4492"/>
      <c r="BB278" s="4493"/>
      <c r="BC278" s="4493"/>
      <c r="BD278" s="4493"/>
      <c r="BE278" s="4493"/>
      <c r="BF278" s="4493"/>
      <c r="BG278" s="4493"/>
      <c r="BH278" s="4493"/>
      <c r="BI278" s="4493"/>
      <c r="BJ278" s="4494"/>
      <c r="BK278" s="1155">
        <f>(SUM(G275:G279)+IF(AF275="",0,AF275)+IF(AP275="",0,AP275)+IF(AZ275="",0,AZ275)+IF(BJ275="",0,BJ275)+SUM(K275:K279)+SUM(N275:N279)+SUM(Q275:Q279))- SUM(V278:BA278)</f>
        <v>0</v>
      </c>
      <c r="BL278" s="1627"/>
      <c r="BM278" s="1628"/>
      <c r="BN278" s="1149"/>
      <c r="BO278" s="1150"/>
      <c r="BP278" s="1135" t="str">
        <f>IF(I278="Si",VLOOKUP($D$8,'Tablas Técnicas'!$E$4:$F$6,2,FALSE),"")</f>
        <v/>
      </c>
      <c r="BQ278" s="1136" t="str">
        <f>IF(L278="Si",VLOOKUP($D$8,'Tablas Técnicas'!$I$4:$J$6,2,FALSE),"")</f>
        <v/>
      </c>
      <c r="BR278" s="1134" t="str">
        <f>IF(O278="Si",VLOOKUP($D$8,'Tablas Técnicas'!$I$7:$J$9,2,FALSE),"")</f>
        <v/>
      </c>
      <c r="BS278" s="1151"/>
      <c r="BT278" s="4444" t="s">
        <v>5235</v>
      </c>
      <c r="BU278" s="4445"/>
      <c r="BV278" s="1128"/>
      <c r="BW278" s="1108"/>
      <c r="BX278" s="1108"/>
      <c r="BY278" s="1474"/>
      <c r="BZ278" s="1492"/>
      <c r="CA278" s="1096"/>
      <c r="DR278" s="1096"/>
      <c r="DT278" s="1514"/>
      <c r="DU278" s="1565"/>
      <c r="DV278" s="1566" t="str">
        <f>IF(E278="","",E278)&amp;IF(I278="No",""," (Mant.)")&amp;IF(L278="No",""," (Sme)")&amp;IF(O278="No",""," (SMa)")</f>
        <v/>
      </c>
      <c r="DW278" s="1567"/>
      <c r="DX278" s="1568"/>
      <c r="DY278" s="1513"/>
      <c r="DZ278" s="1096"/>
      <c r="EA278" s="1660">
        <f t="shared" si="4"/>
        <v>1</v>
      </c>
    </row>
    <row r="279" spans="1:131" x14ac:dyDescent="0.2">
      <c r="A279" s="1096"/>
      <c r="B279" s="1096"/>
      <c r="C279" s="1497"/>
      <c r="D279" s="1643" t="s">
        <v>2310</v>
      </c>
      <c r="E279" s="1160"/>
      <c r="F279" s="1176"/>
      <c r="G279" s="1146" t="str">
        <f>IF(E279=0,"",VLOOKUP(E279,'Tablas Técnicas'!$A$14:$V$771,3,FALSE))</f>
        <v/>
      </c>
      <c r="H279" s="1161" t="str">
        <f>IF($E279=0,"",VLOOKUP($E279,'Tablas Técnicas'!$A$14:$V$771,4,FALSE))</f>
        <v/>
      </c>
      <c r="I279" s="1144" t="s">
        <v>2234</v>
      </c>
      <c r="J279" s="1601" t="str">
        <f>IF(E279=0,"",VLOOKUP(E279,'Tablas Técnicas'!$A$14:$V$771,5,FALSE))</f>
        <v/>
      </c>
      <c r="K279" s="1163" t="str">
        <f>IF(I279="Si",IF(E279=0,"",VLOOKUP(E279,'Tablas Técnicas'!$A$14:$V$771,5,FALSE)),"")</f>
        <v/>
      </c>
      <c r="L279" s="1144" t="s">
        <v>2234</v>
      </c>
      <c r="M279" s="1601" t="str">
        <f>IF(E279=0,"",VLOOKUP(E279,'Tablas Técnicas'!$A$14:$V$771,6,FALSE))</f>
        <v/>
      </c>
      <c r="N279" s="1147" t="str">
        <f>IF(L279="Si",IF(E279=0,"",VLOOKUP(E279,'Tablas Técnicas'!$A$14:$V$771,6,FALSE)),"")</f>
        <v/>
      </c>
      <c r="O279" s="1144" t="s">
        <v>2234</v>
      </c>
      <c r="P279" s="1601" t="str">
        <f>IF(E279=0,"",VLOOKUP(E279,'Tablas Técnicas'!$A$14:$V$771,7,FALSE))</f>
        <v/>
      </c>
      <c r="Q279" s="1147" t="str">
        <f>IF(O279="Si",IF(E279=0,"",VLOOKUP(E279,'Tablas Técnicas'!$A$14:$V$771,7,FALSE)),"")</f>
        <v/>
      </c>
      <c r="R279" s="1162" t="str">
        <f>IF(E279=0,"",VLOOKUP(E279,'Tablas Técnicas'!$A$14:$V$771,8,FALSE))</f>
        <v/>
      </c>
      <c r="S279" s="1161" t="str">
        <f>IF(R279=$D$8,$D$8,IF(R279=2,2,IF(R279=3,3,R279)))</f>
        <v/>
      </c>
      <c r="T279" s="4482" t="s">
        <v>5232</v>
      </c>
      <c r="U279" s="4483"/>
      <c r="V279" s="2616"/>
      <c r="W279" s="4484"/>
      <c r="X279" s="4485"/>
      <c r="Y279" s="4485"/>
      <c r="Z279" s="4485"/>
      <c r="AA279" s="4485"/>
      <c r="AB279" s="4485"/>
      <c r="AC279" s="4485"/>
      <c r="AD279" s="4485"/>
      <c r="AE279" s="4485"/>
      <c r="AF279" s="4486"/>
      <c r="AG279" s="4484"/>
      <c r="AH279" s="4485"/>
      <c r="AI279" s="4485"/>
      <c r="AJ279" s="4485"/>
      <c r="AK279" s="4485"/>
      <c r="AL279" s="4485"/>
      <c r="AM279" s="4485"/>
      <c r="AN279" s="4485"/>
      <c r="AO279" s="4485"/>
      <c r="AP279" s="4486"/>
      <c r="AQ279" s="4484"/>
      <c r="AR279" s="4485"/>
      <c r="AS279" s="4485"/>
      <c r="AT279" s="4485"/>
      <c r="AU279" s="4485"/>
      <c r="AV279" s="4485"/>
      <c r="AW279" s="4485"/>
      <c r="AX279" s="4485"/>
      <c r="AY279" s="4485"/>
      <c r="AZ279" s="4486"/>
      <c r="BA279" s="4484"/>
      <c r="BB279" s="4485"/>
      <c r="BC279" s="4485"/>
      <c r="BD279" s="4485"/>
      <c r="BE279" s="4485"/>
      <c r="BF279" s="4485"/>
      <c r="BG279" s="4485"/>
      <c r="BH279" s="4485"/>
      <c r="BI279" s="4485"/>
      <c r="BJ279" s="4486"/>
      <c r="BK279" s="1171">
        <f>SUM(K275:K279)-SUM(V279:BA279)</f>
        <v>0</v>
      </c>
      <c r="BL279" s="1629"/>
      <c r="BM279" s="1630"/>
      <c r="BN279" s="1149"/>
      <c r="BO279" s="1166"/>
      <c r="BP279" s="1135" t="str">
        <f>IF(I279="Si",VLOOKUP($D$8,'Tablas Técnicas'!$E$4:$F$6,2,FALSE),"")</f>
        <v/>
      </c>
      <c r="BQ279" s="1136" t="str">
        <f>IF(L279="Si",VLOOKUP($D$8,'Tablas Técnicas'!$I$4:$J$6,2,FALSE),"")</f>
        <v/>
      </c>
      <c r="BR279" s="1134" t="str">
        <f>IF(O279="Si",VLOOKUP($D$8,'Tablas Técnicas'!$I$7:$J$9,2,FALSE),"")</f>
        <v/>
      </c>
      <c r="BS279" s="1151"/>
      <c r="BT279" s="1183">
        <f>IF(BT273="No",0,IF(D267=0,0,VLOOKUP(D267,'Tablas Técnicas'!$L$4:$N$7,2,FALSE)))+IF(BT275="Bajar coste de CM",0,IF(BT275="-5 CM",2,IF(BT275="-10 CM",4,IF(BT275="-15 CM",6,IF(BT275="-20 CM",8,0)))))+IF(BT277="Bajar coste de Ki",0,IF(BT277="-1 Ki",-1,IF(BT277="-2 Ki",-2,IF(BT277="-3 Ki",-3,IF(BT277="-4 Ki",-4,IF(BT277="-5 Ki",-5,0))))))-BU282-BU284-BU286-BU288-BU290-BU292</f>
        <v>0</v>
      </c>
      <c r="BU279" s="2612">
        <f>IF(BT273="No",0,IF(D267=0,0,VLOOKUP(D267,'Tablas Técnicas'!$L$4:$N$7,2,FALSE)))+IF(BT275="Bajar coste de CM",0,IF(BT275="-5 CM",2,IF(BT275="-10 CM",4,IF(BT275="-15 CM",6,IF(BT275="-20 CM",8,0)))))+IF(BT277="Bajar coste de Ki",0,IF(BT277="-1 Ki",-1,IF(BT277="-2 Ki",-2,IF(BT277="-3 Ki",-3,IF(BT277="-4 Ki",-4,IF(BT277="-5 Ki",-5,0))))))</f>
        <v>0</v>
      </c>
      <c r="BV279" s="1128"/>
      <c r="BW279" s="1108"/>
      <c r="BX279" s="1108"/>
      <c r="BY279" s="1474"/>
      <c r="BZ279" s="1492"/>
      <c r="CA279" s="1096"/>
      <c r="DR279" s="1096"/>
      <c r="DT279" s="1514"/>
      <c r="DU279" s="1569"/>
      <c r="DV279" s="1566" t="str">
        <f>IF(E279="","",E279)&amp;IF(I279="No",""," (Mant.)")&amp;IF(L279="No",""," (Sme)")&amp;IF(O279="No",""," (SMa)")</f>
        <v/>
      </c>
      <c r="DW279" s="1567"/>
      <c r="DX279" s="1568"/>
      <c r="DY279" s="1513"/>
      <c r="DZ279" s="1096"/>
      <c r="EA279" s="1660">
        <f t="shared" si="4"/>
        <v>1</v>
      </c>
    </row>
    <row r="280" spans="1:131" x14ac:dyDescent="0.2">
      <c r="A280" s="1096"/>
      <c r="B280" s="159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97"/>
      <c r="D280" s="1644">
        <v>3</v>
      </c>
      <c r="E280" s="1423"/>
      <c r="F280" s="1173"/>
      <c r="G280" s="1174"/>
      <c r="H280" s="2559">
        <f>IF(AND(OR(ISNUMBER(SEARCH("Afinidad Elemental ("&amp;BK275&amp;")",Principal!$AF$30)),ISNUMBER(SEARCH("Afinidad Elemental ("&amp;BL275&amp;")",Principal!$AF$30)),ISNUMBER(SEARCH("Afinidad Elemental ("&amp;BM275&amp;")",Principal!$AF$30))),SUM(H275:H279)&gt;=5),-5,0)</f>
        <v>0</v>
      </c>
      <c r="I280" s="1603"/>
      <c r="J280" s="1606"/>
      <c r="K280" s="1174"/>
      <c r="L280" s="1603"/>
      <c r="M280" s="1606"/>
      <c r="N280" s="1174"/>
      <c r="O280" s="1603"/>
      <c r="P280" s="1606"/>
      <c r="Q280" s="1174"/>
      <c r="R280" s="1175"/>
      <c r="S280" s="1174"/>
      <c r="T280" s="1174"/>
      <c r="U280" s="1174"/>
      <c r="V280" s="1174"/>
      <c r="W280" s="1174"/>
      <c r="X280" s="1174"/>
      <c r="Y280" s="1174"/>
      <c r="Z280" s="1174"/>
      <c r="AA280" s="1174"/>
      <c r="AB280" s="1174"/>
      <c r="AC280" s="1174"/>
      <c r="AD280" s="1174"/>
      <c r="AE280" s="1174"/>
      <c r="AF280" s="1174"/>
      <c r="AG280" s="1174"/>
      <c r="AH280" s="1174"/>
      <c r="AI280" s="1174"/>
      <c r="AJ280" s="1174"/>
      <c r="AK280" s="1174"/>
      <c r="AL280" s="1174"/>
      <c r="AM280" s="1174"/>
      <c r="AN280" s="1174"/>
      <c r="AO280" s="1174"/>
      <c r="AP280" s="1174"/>
      <c r="AQ280" s="1174"/>
      <c r="AR280" s="1174"/>
      <c r="AS280" s="1174"/>
      <c r="AT280" s="1174"/>
      <c r="AU280" s="1174"/>
      <c r="AV280" s="1174"/>
      <c r="AW280" s="1174"/>
      <c r="AX280" s="1174"/>
      <c r="AY280" s="1174"/>
      <c r="AZ280" s="1174"/>
      <c r="BA280" s="1174"/>
      <c r="BB280" s="1174"/>
      <c r="BC280" s="1174"/>
      <c r="BD280" s="1174"/>
      <c r="BE280" s="1174"/>
      <c r="BF280" s="1174"/>
      <c r="BG280" s="1174"/>
      <c r="BH280" s="1174"/>
      <c r="BI280" s="1174"/>
      <c r="BJ280" s="1174"/>
      <c r="BK280" s="1174"/>
      <c r="BL280" s="1174"/>
      <c r="BM280" s="1184"/>
      <c r="BN280" s="1185">
        <f>SUM(K280:K283)</f>
        <v>0</v>
      </c>
      <c r="BO280" s="1128" t="str">
        <f>IF(E280=0,"",(AF280+AP280+AZ280+BJ280))</f>
        <v/>
      </c>
      <c r="BP280" s="1186" t="str">
        <f>IF(I280="Si",VLOOKUP($D$8,'Tablas Técnicas'!$E$4:$F$6,2,FALSE),"")</f>
        <v/>
      </c>
      <c r="BQ280" s="1187" t="str">
        <f>IF(L280="Si",VLOOKUP($D$8,'Tablas Técnicas'!$I$4:$J$6,2,FALSE),"")</f>
        <v/>
      </c>
      <c r="BR280" s="1185" t="str">
        <f>IF(O280="Si",VLOOKUP($D$8,'Tablas Técnicas'!$I$7:$J$9,2,FALSE),"")</f>
        <v/>
      </c>
      <c r="BS280" s="1151"/>
      <c r="BU280" s="2608"/>
      <c r="BV280" s="1128"/>
      <c r="BW280" s="1108"/>
      <c r="BX280" s="1108"/>
      <c r="BY280" s="1474"/>
      <c r="BZ280" s="1492"/>
      <c r="CA280" s="1096"/>
      <c r="DR280" s="1096"/>
      <c r="DT280" s="1514"/>
      <c r="DU280" s="1569"/>
      <c r="DV280" s="1570"/>
      <c r="DW280" s="1567"/>
      <c r="DX280" s="1568"/>
      <c r="DY280" s="1513"/>
      <c r="DZ280" s="1096"/>
      <c r="EA280" s="1660">
        <f t="shared" si="4"/>
        <v>1</v>
      </c>
    </row>
    <row r="281" spans="1:131" x14ac:dyDescent="0.2">
      <c r="A281" s="1096"/>
      <c r="B281" s="1096"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97"/>
      <c r="D281" s="1643" t="s">
        <v>2310</v>
      </c>
      <c r="E281" s="1140"/>
      <c r="F281" s="1176"/>
      <c r="G281" s="1146" t="str">
        <f>IF(E281=0,"",VLOOKUP(E281,'Tablas Técnicas'!$A$14:$V$771,3,FALSE))</f>
        <v/>
      </c>
      <c r="H281" s="1188" t="str">
        <f>IF($E281=0,"",VLOOKUP($E281,'Tablas Técnicas'!$A$14:$V$771,4,FALSE))</f>
        <v/>
      </c>
      <c r="I281" s="1144" t="s">
        <v>2234</v>
      </c>
      <c r="J281" s="1607" t="str">
        <f>IF(E281=0,"",VLOOKUP(E281,'Tablas Técnicas'!$A$14:$V$771,5,FALSE))</f>
        <v/>
      </c>
      <c r="K281" s="1190" t="str">
        <f>IF(I281="Si",IF(E281=0,"",VLOOKUP(E281,'Tablas Técnicas'!$A$14:$V$771,5,FALSE)),"")</f>
        <v/>
      </c>
      <c r="L281" s="1144" t="s">
        <v>2234</v>
      </c>
      <c r="M281" s="1607" t="str">
        <f>IF(E281=0,"",VLOOKUP(E281,'Tablas Técnicas'!$A$14:$V$771,6,FALSE))</f>
        <v/>
      </c>
      <c r="N281" s="1147" t="str">
        <f>IF(L281="Si",IF(E281=0,"",VLOOKUP(E281,'Tablas Técnicas'!$A$14:$V$771,6,FALSE)),"")</f>
        <v/>
      </c>
      <c r="O281" s="1144" t="s">
        <v>2234</v>
      </c>
      <c r="P281" s="1607" t="str">
        <f>IF(E281=0,"",VLOOKUP(E281,'Tablas Técnicas'!$A$14:$V$771,7,FALSE))</f>
        <v/>
      </c>
      <c r="Q281" s="1147" t="str">
        <f>IF(O281="Si",IF(E281=0,"",VLOOKUP(E281,'Tablas Técnicas'!$A$14:$V$771,7,FALSE)),"")</f>
        <v/>
      </c>
      <c r="R281" s="1189" t="str">
        <f>IF(E281=0,"",VLOOKUP(E281,'Tablas Técnicas'!$A$14:$V$771,8,FALSE))</f>
        <v/>
      </c>
      <c r="S281" s="1161" t="str">
        <f>IF(R281=$D$8,$D$8,IF(R281=2,2,IF(R281=3,3,R281)))</f>
        <v/>
      </c>
      <c r="T281" s="1190" t="str">
        <f>IF(E281=0,"",VLOOKUP(E281,'Tablas Técnicas'!$A$14:$V$771,9,FALSE))</f>
        <v/>
      </c>
      <c r="U281" s="1190" t="str">
        <f>IF(E281=0,"",VLOOKUP(E281,'Tablas Técnicas'!$A$14:$V$771,10,FALSE))</f>
        <v/>
      </c>
      <c r="V281" s="1191" t="str">
        <f>IF(E281=0,"",VLOOKUP(E281,'Tablas Técnicas'!$A$14:$V$771,11,FALSE))</f>
        <v/>
      </c>
      <c r="W281" s="1144"/>
      <c r="X281" s="1145" t="e">
        <f>VLOOKUP(E281,'Tablas Técnicas'!$A$14:$V$771,12,FALSE)</f>
        <v>#N/A</v>
      </c>
      <c r="Y281" s="1145" t="e">
        <f>IF(W281=X281,VLOOKUP(E281,'Tablas Técnicas'!$A$14:$V$771,13,FALSE),0)</f>
        <v>#N/A</v>
      </c>
      <c r="Z281" s="1145" t="e">
        <f>VLOOKUP(E281,'Tablas Técnicas'!$A$14:$V$771,14,FALSE)</f>
        <v>#N/A</v>
      </c>
      <c r="AA281" s="1145" t="e">
        <f>IF(W281=Z281,VLOOKUP(E281,'Tablas Técnicas'!$A$14:$V$616,15,FALSE),0)</f>
        <v>#N/A</v>
      </c>
      <c r="AB281" s="1145" t="e">
        <f>VLOOKUP(E281,'Tablas Técnicas'!$A$14:$V$771,16,FALSE)</f>
        <v>#N/A</v>
      </c>
      <c r="AC281" s="1145" t="e">
        <f>IF(W281=AB281,VLOOKUP(E281,'Tablas Técnicas'!$A$14:$V$616,17,FALSE),0)</f>
        <v>#N/A</v>
      </c>
      <c r="AD281" s="1145" t="e">
        <f>VLOOKUP(E281,'Tablas Técnicas'!$A$14:$V$771,18,FALSE)</f>
        <v>#N/A</v>
      </c>
      <c r="AE281" s="1145" t="e">
        <f>IF(W281=AD281,VLOOKUP(E281,'Tablas Técnicas'!$A$14:$V$771,19,FALSE),0)</f>
        <v>#N/A</v>
      </c>
      <c r="AF281" s="1163" t="str">
        <f>IF(E281=0,"",(Y281+AA281+AC281+AE281))</f>
        <v/>
      </c>
      <c r="AG281" s="1144"/>
      <c r="AH281" s="1162" t="e">
        <f>VLOOKUP(E281,'Tablas Técnicas'!$A$14:$V$771,12,FALSE)</f>
        <v>#N/A</v>
      </c>
      <c r="AI281" s="1162" t="e">
        <f>IF(AG281=AH281,VLOOKUP(E281,'Tablas Técnicas'!$A$14:$V$771,13,FALSE),0)</f>
        <v>#N/A</v>
      </c>
      <c r="AJ281" s="1162" t="e">
        <f>VLOOKUP(E281,'Tablas Técnicas'!$A$14:$V$771,14,FALSE)</f>
        <v>#N/A</v>
      </c>
      <c r="AK281" s="1162" t="e">
        <f>IF(AG281=AJ281,VLOOKUP(E281,'Tablas Técnicas'!$A$14:$V$771,15,FALSE),0)</f>
        <v>#N/A</v>
      </c>
      <c r="AL281" s="1162" t="e">
        <f>VLOOKUP(E281,'Tablas Técnicas'!$A$14:$V$771,16,FALSE)</f>
        <v>#N/A</v>
      </c>
      <c r="AM281" s="1162" t="e">
        <f>IF(AG281=AL281,VLOOKUP(E281,'Tablas Técnicas'!$A$14:$V$771,17,FALSE),0)</f>
        <v>#N/A</v>
      </c>
      <c r="AN281" s="1162" t="e">
        <f>VLOOKUP(E281,'Tablas Técnicas'!$A$14:$V$771,18,FALSE)</f>
        <v>#N/A</v>
      </c>
      <c r="AO281" s="1162" t="e">
        <f>IF(AG281=AN281,VLOOKUP(E281,'Tablas Técnicas'!$A$14:$V$771,19,FALSE),0)</f>
        <v>#N/A</v>
      </c>
      <c r="AP281" s="2620" t="str">
        <f>IF(E281=0,"",(AI281+AK281+AM281+AO281))</f>
        <v/>
      </c>
      <c r="AQ281" s="1144"/>
      <c r="AR281" s="1162" t="e">
        <f>VLOOKUP(E281,'Tablas Técnicas'!$A$14:$V$771,12,FALSE)</f>
        <v>#N/A</v>
      </c>
      <c r="AS281" s="1162" t="e">
        <f>IF(AQ281=AR281,VLOOKUP(E281,'Tablas Técnicas'!$A$14:$V$771,13,FALSE),0)</f>
        <v>#N/A</v>
      </c>
      <c r="AT281" s="1162" t="e">
        <f>VLOOKUP(E281,'Tablas Técnicas'!$A$14:$V$771,14,FALSE)</f>
        <v>#N/A</v>
      </c>
      <c r="AU281" s="1162" t="e">
        <f>IF(AQ281=AT281,VLOOKUP(E281,'Tablas Técnicas'!$A$14:$V$771,15,FALSE),0)</f>
        <v>#N/A</v>
      </c>
      <c r="AV281" s="1162" t="e">
        <f>VLOOKUP(E281,'Tablas Técnicas'!$A$14:$V$771,16,FALSE)</f>
        <v>#N/A</v>
      </c>
      <c r="AW281" s="1162" t="e">
        <f>IF(AQ281=AV281,VLOOKUP(E281,'Tablas Técnicas'!$A$14:$V$771,17,FALSE),0)</f>
        <v>#N/A</v>
      </c>
      <c r="AX281" s="1162" t="e">
        <f>VLOOKUP(E281,'Tablas Técnicas'!$A$14:$V$771,18,FALSE)</f>
        <v>#N/A</v>
      </c>
      <c r="AY281" s="1162" t="e">
        <f>IF(AQ281=AX281,VLOOKUP(E281,'Tablas Técnicas'!$A$14:$V$771,19,FALSE),0)</f>
        <v>#N/A</v>
      </c>
      <c r="AZ281" s="1163" t="str">
        <f>IF(E281=0,"",(AS281+AU281+AW281+AY281))</f>
        <v/>
      </c>
      <c r="BA281" s="1144"/>
      <c r="BB281" s="1162" t="e">
        <f>VLOOKUP(E281,'Tablas Técnicas'!$A$14:$V$771,12,FALSE)</f>
        <v>#N/A</v>
      </c>
      <c r="BC281" s="1162" t="e">
        <f>IF(BA281=BB281,VLOOKUP(E281,'Tablas Técnicas'!$A$14:$V$771,13,FALSE),0)</f>
        <v>#N/A</v>
      </c>
      <c r="BD281" s="1162" t="e">
        <f>VLOOKUP(E281,'Tablas Técnicas'!$A$14:$V$771,14,FALSE)</f>
        <v>#N/A</v>
      </c>
      <c r="BE281" s="1162" t="e">
        <f>IF(BA281=BD281,VLOOKUP(E281,'Tablas Técnicas'!$A$14:$V$771,15,FALSE),0)</f>
        <v>#N/A</v>
      </c>
      <c r="BF281" s="1162" t="e">
        <f>VLOOKUP(E281,'Tablas Técnicas'!$A$14:$V$771,16,FALSE)</f>
        <v>#N/A</v>
      </c>
      <c r="BG281" s="1162" t="e">
        <f>IF(BA281=BF281,VLOOKUP(E281,'Tablas Técnicas'!$A$14:$V$771,17,FALSE),0)</f>
        <v>#N/A</v>
      </c>
      <c r="BH281" s="1162" t="e">
        <f>VLOOKUP(E281,'Tablas Técnicas'!$A$14:$V$771,18,FALSE)</f>
        <v>#N/A</v>
      </c>
      <c r="BI281" s="1162" t="e">
        <f>IF(BA281=BH281,VLOOKUP(E281,'Tablas Técnicas'!$A$14:$V$771,19,FALSE),0)</f>
        <v>#N/A</v>
      </c>
      <c r="BJ281" s="2620" t="str">
        <f>IF(E281=0,"",(BC281+BE281+BG281+BI281))</f>
        <v/>
      </c>
      <c r="BK281" s="1190" t="str">
        <f>IF(E281=0,"",VLOOKUP(E281,'Tablas Técnicas'!$A$14:$V$771,20,FALSE))</f>
        <v/>
      </c>
      <c r="BL281" s="1177" t="str">
        <f>IF(E281=0,"",VLOOKUP(E281,'Tablas Técnicas'!$A$14:$V$771,21,FALSE))</f>
        <v/>
      </c>
      <c r="BM281" s="1148" t="str">
        <f>IF(E281=0,"",VLOOKUP(E281,'Tablas Técnicas'!$A$14:$V$771,22,FALSE))</f>
        <v/>
      </c>
      <c r="BN281" s="1149"/>
      <c r="BO281" s="1150"/>
      <c r="BP281" s="1135" t="str">
        <f>IF(I281="Si",VLOOKUP($D$8,'Tablas Técnicas'!$E$4:$F$6,2,FALSE),"")</f>
        <v/>
      </c>
      <c r="BQ281" s="1136" t="str">
        <f>IF(L281="Si",VLOOKUP($D$8,'Tablas Técnicas'!$I$4:$J$6,2,FALSE),"")</f>
        <v/>
      </c>
      <c r="BR281" s="1134" t="str">
        <f>IF(O281="Si",VLOOKUP($D$8,'Tablas Técnicas'!$I$7:$J$9,2,FALSE),"")</f>
        <v/>
      </c>
      <c r="BS281" s="1151"/>
      <c r="BT281" s="2609" t="s">
        <v>2226</v>
      </c>
      <c r="BU281" s="2610" t="s">
        <v>5236</v>
      </c>
      <c r="BV281" s="1128"/>
      <c r="BW281" s="2610" t="s">
        <v>5237</v>
      </c>
      <c r="BX281" s="2609" t="s">
        <v>5238</v>
      </c>
      <c r="BY281" s="1488" t="s">
        <v>5238</v>
      </c>
      <c r="BZ281" s="1492"/>
      <c r="CA281" s="1096"/>
      <c r="DR281" s="1096"/>
      <c r="DT281" s="1514"/>
      <c r="DU281" s="1569"/>
      <c r="DV281" s="1566" t="str">
        <f>IF(E281="","",", "&amp;E281)&amp;IF(I281="No",""," (Mant.)")&amp;IF(L281="No",""," (Sme)")&amp;IF(O281="No",""," (SMa)")</f>
        <v/>
      </c>
      <c r="DW281" s="1567"/>
      <c r="DX281" s="1568"/>
      <c r="DY281" s="1513"/>
      <c r="DZ281" s="1096"/>
      <c r="EA281" s="1660">
        <f t="shared" si="4"/>
        <v>1</v>
      </c>
    </row>
    <row r="282" spans="1:131" x14ac:dyDescent="0.2">
      <c r="A282" s="1096"/>
      <c r="B282" s="1096"/>
      <c r="C282" s="1497"/>
      <c r="D282" s="1642" t="s">
        <v>2310</v>
      </c>
      <c r="E282" s="1152"/>
      <c r="F282" s="1182"/>
      <c r="G282" s="1627" t="str">
        <f>IF(E282=0,"",VLOOKUP(E282,'Tablas Técnicas'!$A$14:$V$771,3,FALSE))</f>
        <v/>
      </c>
      <c r="H282" s="1155" t="str">
        <f>IF($E282=0,"",VLOOKUP($E282,'Tablas Técnicas'!$A$14:$V$771,4,FALSE))</f>
        <v/>
      </c>
      <c r="I282" s="1156" t="s">
        <v>2234</v>
      </c>
      <c r="J282" s="1605" t="str">
        <f>IF(E282=0,"",VLOOKUP(E282,'Tablas Técnicas'!$A$14:$V$771,5,FALSE))</f>
        <v/>
      </c>
      <c r="K282" s="1158" t="str">
        <f>IF(I282="Si",IF(E282=0,"",VLOOKUP(E282,'Tablas Técnicas'!$A$14:$V$771,5,FALSE)),"")</f>
        <v/>
      </c>
      <c r="L282" s="1156" t="s">
        <v>2234</v>
      </c>
      <c r="M282" s="1605" t="str">
        <f>IF(E282=0,"",VLOOKUP(E282,'Tablas Técnicas'!$A$14:$V$771,6,FALSE))</f>
        <v/>
      </c>
      <c r="N282" s="1159" t="str">
        <f>IF(L282="Si",IF(E282=0,"",VLOOKUP(E282,'Tablas Técnicas'!$A$14:$V$771,6,FALSE)),"")</f>
        <v/>
      </c>
      <c r="O282" s="1156" t="s">
        <v>2234</v>
      </c>
      <c r="P282" s="1605" t="str">
        <f>IF(E282=0,"",VLOOKUP(E282,'Tablas Técnicas'!$A$14:$V$771,7,FALSE))</f>
        <v/>
      </c>
      <c r="Q282" s="1159" t="str">
        <f>IF(O282="Si",IF(E282=0,"",VLOOKUP(E282,'Tablas Técnicas'!$A$14:$V$771,7,FALSE)),"")</f>
        <v/>
      </c>
      <c r="R282" s="1157" t="str">
        <f>IF(E282=0,"",VLOOKUP(E282,'Tablas Técnicas'!$A$14:$V$771,8,FALSE))</f>
        <v/>
      </c>
      <c r="S282" s="1155" t="str">
        <f>IF(R282=$D$8,$D$8,IF(R282=2,2,IF(R282=3,3,R282)))</f>
        <v/>
      </c>
      <c r="T282" s="4475" t="s">
        <v>5228</v>
      </c>
      <c r="U282" s="4476"/>
      <c r="V282" s="4476"/>
      <c r="W282" s="4476"/>
      <c r="X282" s="4476"/>
      <c r="Y282" s="4476"/>
      <c r="Z282" s="4476"/>
      <c r="AA282" s="4476"/>
      <c r="AB282" s="4476"/>
      <c r="AC282" s="4476"/>
      <c r="AD282" s="4476"/>
      <c r="AE282" s="4476"/>
      <c r="AF282" s="4476"/>
      <c r="AG282" s="4476"/>
      <c r="AH282" s="4476"/>
      <c r="AI282" s="4476"/>
      <c r="AJ282" s="4476"/>
      <c r="AK282" s="4476"/>
      <c r="AL282" s="4476"/>
      <c r="AM282" s="4476"/>
      <c r="AN282" s="4476"/>
      <c r="AO282" s="4476"/>
      <c r="AP282" s="4476"/>
      <c r="AQ282" s="4476"/>
      <c r="AR282" s="4476"/>
      <c r="AS282" s="4476"/>
      <c r="AT282" s="4476"/>
      <c r="AU282" s="4476"/>
      <c r="AV282" s="4476"/>
      <c r="AW282" s="4476"/>
      <c r="AX282" s="4476"/>
      <c r="AY282" s="4476"/>
      <c r="AZ282" s="4476"/>
      <c r="BA282" s="4476"/>
      <c r="BB282" s="4476"/>
      <c r="BC282" s="4476"/>
      <c r="BD282" s="4476"/>
      <c r="BE282" s="4476"/>
      <c r="BF282" s="4476"/>
      <c r="BG282" s="4476"/>
      <c r="BH282" s="4476"/>
      <c r="BI282" s="4476"/>
      <c r="BJ282" s="4476"/>
      <c r="BK282" s="4477"/>
      <c r="BL282" s="1627"/>
      <c r="BM282" s="1628"/>
      <c r="BN282" s="1149"/>
      <c r="BO282" s="1150"/>
      <c r="BP282" s="1135" t="str">
        <f>IF(I282="Si",VLOOKUP($D$8,'Tablas Técnicas'!$E$4:$F$6,2,FALSE),"")</f>
        <v/>
      </c>
      <c r="BQ282" s="1136" t="str">
        <f>IF(L282="Si",VLOOKUP($D$8,'Tablas Técnicas'!$I$4:$J$6,2,FALSE),"")</f>
        <v/>
      </c>
      <c r="BR282" s="1134" t="str">
        <f>IF(O282="Si",VLOOKUP($D$8,'Tablas Técnicas'!$I$7:$J$9,2,FALSE),"")</f>
        <v/>
      </c>
      <c r="BS282" s="1151"/>
      <c r="BT282" s="261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92"/>
      <c r="BV282" s="1128"/>
      <c r="BW282" s="1183" t="str">
        <f>IF(SUM(BT282:BU282)=0,"N/A",SUM(BT282:BU282))</f>
        <v>N/A</v>
      </c>
      <c r="BX282" s="261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83" t="str">
        <f>IF(BX282=0,"N/A",BX282)</f>
        <v>N/A</v>
      </c>
      <c r="BZ282" s="1492"/>
      <c r="CA282" s="1096"/>
      <c r="DR282" s="1096"/>
      <c r="DT282" s="1514"/>
      <c r="DU282" s="1569"/>
      <c r="DV282" s="1566" t="str">
        <f>IF(E282="",""," "&amp;E282)&amp;IF(I282="No",""," (Mant.)")&amp;IF(L282="No",""," (Sme)")&amp;IF(O282="No",""," (SMa)")</f>
        <v/>
      </c>
      <c r="DW282" s="1567"/>
      <c r="DX282" s="1568"/>
      <c r="DY282" s="1513"/>
      <c r="DZ282" s="1096"/>
      <c r="EA282" s="1660">
        <f t="shared" si="4"/>
        <v>1</v>
      </c>
    </row>
    <row r="283" spans="1:131" x14ac:dyDescent="0.2">
      <c r="A283" s="1096"/>
      <c r="B283" s="1096"/>
      <c r="C283" s="1497"/>
      <c r="D283" s="1643" t="s">
        <v>2310</v>
      </c>
      <c r="E283" s="1160"/>
      <c r="F283" s="1176"/>
      <c r="G283" s="1146" t="str">
        <f>IF(E283=0,"",VLOOKUP(E283,'Tablas Técnicas'!$A$14:$V$771,3,FALSE))</f>
        <v/>
      </c>
      <c r="H283" s="2619" t="str">
        <f>IF($E283=0,"",VLOOKUP($E283,'Tablas Técnicas'!$A$14:$V$771,4,FALSE))</f>
        <v/>
      </c>
      <c r="I283" s="1144" t="s">
        <v>2234</v>
      </c>
      <c r="J283" s="1601" t="str">
        <f>IF(E283=0,"",VLOOKUP(E283,'Tablas Técnicas'!$A$14:$V$771,5,FALSE))</f>
        <v/>
      </c>
      <c r="K283" s="1163" t="str">
        <f>IF(I283="Si",IF(E283=0,"",VLOOKUP(E283,'Tablas Técnicas'!$A$14:$V$771,5,FALSE)),"")</f>
        <v/>
      </c>
      <c r="L283" s="1144" t="s">
        <v>2234</v>
      </c>
      <c r="M283" s="1601" t="str">
        <f>IF(E283=0,"",VLOOKUP(E283,'Tablas Técnicas'!$A$14:$V$771,6,FALSE))</f>
        <v/>
      </c>
      <c r="N283" s="1147" t="str">
        <f>IF(L283="Si",IF(E283=0,"",VLOOKUP(E283,'Tablas Técnicas'!$A$14:$V$771,6,FALSE)),"")</f>
        <v/>
      </c>
      <c r="O283" s="1144" t="s">
        <v>2234</v>
      </c>
      <c r="P283" s="1601" t="str">
        <f>IF(E283=0,"",VLOOKUP(E283,'Tablas Técnicas'!$A$14:$V$771,7,FALSE))</f>
        <v/>
      </c>
      <c r="Q283" s="1147" t="str">
        <f>IF(O283="Si",IF(E283=0,"",VLOOKUP(E283,'Tablas Técnicas'!$A$14:$V$771,7,FALSE)),"")</f>
        <v/>
      </c>
      <c r="R283" s="1162" t="str">
        <f>IF(E283=0,"",VLOOKUP(E283,'Tablas Técnicas'!$A$14:$V$771,8,FALSE))</f>
        <v/>
      </c>
      <c r="S283" s="2619" t="str">
        <f>IF(R283=$D$8,$D$8,IF(R283=2,2,IF(R283=3,3,R283)))</f>
        <v/>
      </c>
      <c r="T283" s="4487"/>
      <c r="U283" s="4488"/>
      <c r="V283" s="2617" t="str">
        <f>IF(OR(V281=0,V281=""),"N/A",V281)</f>
        <v>N/A</v>
      </c>
      <c r="W283" s="4487" t="str">
        <f xml:space="preserve"> IF(OR(AF281=0,AF281=""),"N/A",W281)</f>
        <v>N/A</v>
      </c>
      <c r="X283" s="4489"/>
      <c r="Y283" s="4489"/>
      <c r="Z283" s="4489"/>
      <c r="AA283" s="4489"/>
      <c r="AB283" s="4489"/>
      <c r="AC283" s="4489"/>
      <c r="AD283" s="4489"/>
      <c r="AE283" s="4489"/>
      <c r="AF283" s="4488"/>
      <c r="AG283" s="4487" t="str">
        <f xml:space="preserve"> IF(OR(AP281="",AP281=0),"N/A",AG281)</f>
        <v>N/A</v>
      </c>
      <c r="AH283" s="4489"/>
      <c r="AI283" s="4489"/>
      <c r="AJ283" s="4489"/>
      <c r="AK283" s="4489"/>
      <c r="AL283" s="4489"/>
      <c r="AM283" s="4489"/>
      <c r="AN283" s="4489"/>
      <c r="AO283" s="4489"/>
      <c r="AP283" s="4488"/>
      <c r="AQ283" s="4487" t="str">
        <f xml:space="preserve"> IF(OR(AZ281="",AZ281=0),"N/A",AQ281)</f>
        <v>N/A</v>
      </c>
      <c r="AR283" s="4489"/>
      <c r="AS283" s="4489"/>
      <c r="AT283" s="4489"/>
      <c r="AU283" s="4489"/>
      <c r="AV283" s="4489"/>
      <c r="AW283" s="4489"/>
      <c r="AX283" s="4489"/>
      <c r="AY283" s="4489"/>
      <c r="AZ283" s="4488"/>
      <c r="BA283" s="4487" t="str">
        <f xml:space="preserve"> IF(OR(BJ281="",BJ281=0),"N/A",BA281)</f>
        <v>N/A</v>
      </c>
      <c r="BB283" s="4489"/>
      <c r="BC283" s="4489"/>
      <c r="BD283" s="4489"/>
      <c r="BE283" s="4489"/>
      <c r="BF283" s="4489"/>
      <c r="BG283" s="4489"/>
      <c r="BH283" s="4489"/>
      <c r="BI283" s="4489"/>
      <c r="BJ283" s="4488"/>
      <c r="BK283" s="1164" t="s">
        <v>5229</v>
      </c>
      <c r="BL283" s="1146"/>
      <c r="BM283" s="1181"/>
      <c r="BN283" s="1165"/>
      <c r="BO283" s="1166"/>
      <c r="BP283" s="1167" t="str">
        <f>IF(I283="Si",VLOOKUP($D$8,'Tablas Técnicas'!$E$4:$F$6,2,FALSE),"")</f>
        <v/>
      </c>
      <c r="BQ283" s="1137" t="str">
        <f>IF(L283="Si",VLOOKUP($D$8,'Tablas Técnicas'!$I$4:$J$6,2,FALSE),"")</f>
        <v/>
      </c>
      <c r="BR283" s="1168" t="str">
        <f>IF(O283="Si",VLOOKUP($D$8,'Tablas Técnicas'!$I$7:$J$9,2,FALSE),"")</f>
        <v/>
      </c>
      <c r="BS283" s="1151"/>
      <c r="BT283" s="2609" t="s">
        <v>2354</v>
      </c>
      <c r="BU283" s="2610" t="s">
        <v>5236</v>
      </c>
      <c r="BV283" s="1128"/>
      <c r="BW283" s="2610" t="s">
        <v>5237</v>
      </c>
      <c r="BX283" s="2609" t="s">
        <v>5238</v>
      </c>
      <c r="BY283" s="1489" t="s">
        <v>5238</v>
      </c>
      <c r="BZ283" s="1492"/>
      <c r="CA283" s="1096"/>
      <c r="DR283" s="1096"/>
      <c r="DT283" s="1514"/>
      <c r="DU283" s="1569"/>
      <c r="DV283" s="1566" t="str">
        <f>IF(E283="","",E283)&amp;IF(I283="No",""," (Mant.)")&amp;IF(L283="No",""," (Sme)")&amp;IF(O283="No",""," (SMa)")</f>
        <v/>
      </c>
      <c r="DW283" s="1566"/>
      <c r="DX283" s="1568"/>
      <c r="DY283" s="1513"/>
      <c r="DZ283" s="1096"/>
      <c r="EA283" s="1660">
        <f t="shared" si="4"/>
        <v>1</v>
      </c>
    </row>
    <row r="284" spans="1:131" x14ac:dyDescent="0.2">
      <c r="A284" s="1096"/>
      <c r="B284" s="1096"/>
      <c r="C284" s="1497"/>
      <c r="D284" s="1642" t="s">
        <v>2310</v>
      </c>
      <c r="E284" s="1152"/>
      <c r="F284" s="1182"/>
      <c r="G284" s="1627" t="str">
        <f>IF(E284=0,"",VLOOKUP(E284,'Tablas Técnicas'!$A$14:$V$771,3,FALSE))</f>
        <v/>
      </c>
      <c r="H284" s="1155" t="str">
        <f>IF($E284=0,"",VLOOKUP($E284,'Tablas Técnicas'!$A$14:$V$771,4,FALSE))</f>
        <v/>
      </c>
      <c r="I284" s="1156" t="s">
        <v>2234</v>
      </c>
      <c r="J284" s="1605" t="str">
        <f>IF(E284=0,"",VLOOKUP(E284,'Tablas Técnicas'!$A$14:$V$771,5,FALSE))</f>
        <v/>
      </c>
      <c r="K284" s="1158" t="str">
        <f>IF(I284="Si",IF(E284=0,"",VLOOKUP(E284,'Tablas Técnicas'!$A$14:$V$771,5,FALSE)),"")</f>
        <v/>
      </c>
      <c r="L284" s="1156" t="s">
        <v>2234</v>
      </c>
      <c r="M284" s="1605" t="str">
        <f>IF(E284=0,"",VLOOKUP(E284,'Tablas Técnicas'!$A$14:$V$771,6,FALSE))</f>
        <v/>
      </c>
      <c r="N284" s="1159" t="str">
        <f>IF(L284="Si",IF(E284=0,"",VLOOKUP(E284,'Tablas Técnicas'!$A$14:$V$771,6,FALSE)),"")</f>
        <v/>
      </c>
      <c r="O284" s="1156" t="s">
        <v>2234</v>
      </c>
      <c r="P284" s="1605" t="str">
        <f>IF(E284=0,"",VLOOKUP(E284,'Tablas Técnicas'!$A$14:$V$771,7,FALSE))</f>
        <v/>
      </c>
      <c r="Q284" s="1159" t="str">
        <f>IF(O284="Si",IF(E284=0,"",VLOOKUP(E284,'Tablas Técnicas'!$A$14:$V$771,7,FALSE)),"")</f>
        <v/>
      </c>
      <c r="R284" s="1157" t="str">
        <f>IF(E284=0,"",VLOOKUP(E284,'Tablas Técnicas'!$A$14:$V$771,8,FALSE))</f>
        <v/>
      </c>
      <c r="S284" s="1155" t="str">
        <f>IF(R284=$D$8,$D$8,IF(R284=2,2,IF(R284=3,3,R284)))</f>
        <v/>
      </c>
      <c r="T284" s="4490" t="s">
        <v>5230</v>
      </c>
      <c r="U284" s="4491"/>
      <c r="V284" s="2618"/>
      <c r="W284" s="4492"/>
      <c r="X284" s="4493"/>
      <c r="Y284" s="4493"/>
      <c r="Z284" s="4493"/>
      <c r="AA284" s="4493"/>
      <c r="AB284" s="4493"/>
      <c r="AC284" s="4493"/>
      <c r="AD284" s="4493"/>
      <c r="AE284" s="4493"/>
      <c r="AF284" s="4494"/>
      <c r="AG284" s="4492"/>
      <c r="AH284" s="4493"/>
      <c r="AI284" s="4493"/>
      <c r="AJ284" s="4493"/>
      <c r="AK284" s="4493"/>
      <c r="AL284" s="4493"/>
      <c r="AM284" s="4493"/>
      <c r="AN284" s="4493"/>
      <c r="AO284" s="4493"/>
      <c r="AP284" s="4494"/>
      <c r="AQ284" s="4492"/>
      <c r="AR284" s="4493"/>
      <c r="AS284" s="4493"/>
      <c r="AT284" s="4493"/>
      <c r="AU284" s="4493"/>
      <c r="AV284" s="4493"/>
      <c r="AW284" s="4493"/>
      <c r="AX284" s="4493"/>
      <c r="AY284" s="4493"/>
      <c r="AZ284" s="4494"/>
      <c r="BA284" s="4492"/>
      <c r="BB284" s="4493"/>
      <c r="BC284" s="4493"/>
      <c r="BD284" s="4493"/>
      <c r="BE284" s="4493"/>
      <c r="BF284" s="4493"/>
      <c r="BG284" s="4493"/>
      <c r="BH284" s="4493"/>
      <c r="BI284" s="4493"/>
      <c r="BJ284" s="4494"/>
      <c r="BK284" s="1155">
        <f>(SUM(G281:G285)+IF(AF281="",0,AF281)+IF(AP281="",0,AP281)+IF(AZ281="",0,AZ281)+IF(BJ281="",0,BJ281)+SUM(K281:K285)+SUM(N281:N285)+SUM(Q281:Q285))- SUM(V284:BA284)</f>
        <v>0</v>
      </c>
      <c r="BL284" s="1627"/>
      <c r="BM284" s="1628"/>
      <c r="BN284" s="1149"/>
      <c r="BO284" s="1150"/>
      <c r="BP284" s="1135" t="str">
        <f>IF(I284="Si",VLOOKUP($D$8,'Tablas Técnicas'!$E$4:$F$6,2,FALSE),"")</f>
        <v/>
      </c>
      <c r="BQ284" s="1136" t="str">
        <f>IF(L284="Si",VLOOKUP($D$8,'Tablas Técnicas'!$I$4:$J$6,2,FALSE),"")</f>
        <v/>
      </c>
      <c r="BR284" s="1134" t="str">
        <f>IF(O284="Si",VLOOKUP($D$8,'Tablas Técnicas'!$I$7:$J$9,2,FALSE),"")</f>
        <v/>
      </c>
      <c r="BS284" s="1151"/>
      <c r="BT284" s="261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92"/>
      <c r="BV284" s="1128"/>
      <c r="BW284" s="1183" t="str">
        <f>IF(SUM(BT284:BU284)=0,"N/A",SUM(BT284:BU284))</f>
        <v>N/A</v>
      </c>
      <c r="BX284" s="261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83" t="str">
        <f>IF(BX284=0,"N/A",BX284)</f>
        <v>N/A</v>
      </c>
      <c r="BZ284" s="1492"/>
      <c r="CA284" s="1100"/>
      <c r="DR284" s="1100"/>
      <c r="DT284" s="1515"/>
      <c r="DU284" s="1565"/>
      <c r="DV284" s="1566" t="str">
        <f>IF(E284="","",E284)&amp;IF(I284="No",""," (Mant.)")&amp;IF(L284="No",""," (Sme)")&amp;IF(O284="No",""," (SMa)")</f>
        <v/>
      </c>
      <c r="DW284" s="1566"/>
      <c r="DX284" s="1571"/>
      <c r="DY284" s="1516"/>
      <c r="DZ284" s="1100"/>
      <c r="EA284" s="1660">
        <f t="shared" si="4"/>
        <v>1</v>
      </c>
    </row>
    <row r="285" spans="1:131" x14ac:dyDescent="0.2">
      <c r="A285" s="1096"/>
      <c r="B285" s="1096"/>
      <c r="C285" s="1497"/>
      <c r="D285" s="1643" t="s">
        <v>2310</v>
      </c>
      <c r="E285" s="1160"/>
      <c r="F285" s="1176"/>
      <c r="G285" s="1146" t="str">
        <f>IF(E285=0,"",VLOOKUP(E285,'Tablas Técnicas'!$A$14:$V$771,3,FALSE))</f>
        <v/>
      </c>
      <c r="H285" s="1171" t="str">
        <f>IF($E285=0,"",VLOOKUP($E285,'Tablas Técnicas'!$A$14:$V$771,4,FALSE))</f>
        <v/>
      </c>
      <c r="I285" s="1144" t="s">
        <v>2234</v>
      </c>
      <c r="J285" s="1608" t="str">
        <f>IF(E285=0,"",VLOOKUP(E285,'Tablas Técnicas'!$A$14:$V$771,5,FALSE))</f>
        <v/>
      </c>
      <c r="K285" s="1172" t="str">
        <f>IF(I285="Si",IF(E285=0,"",VLOOKUP(E285,'Tablas Técnicas'!$A$14:$V$771,5,FALSE)),"")</f>
        <v/>
      </c>
      <c r="L285" s="1144" t="s">
        <v>2234</v>
      </c>
      <c r="M285" s="1608" t="str">
        <f>IF(E285=0,"",VLOOKUP(E285,'Tablas Técnicas'!$A$14:$V$771,6,FALSE))</f>
        <v/>
      </c>
      <c r="N285" s="1147" t="str">
        <f>IF(L285="Si",IF(E285=0,"",VLOOKUP(E285,'Tablas Técnicas'!$A$14:$V$771,6,FALSE)),"")</f>
        <v/>
      </c>
      <c r="O285" s="1144" t="s">
        <v>2234</v>
      </c>
      <c r="P285" s="1608" t="str">
        <f>IF(E285=0,"",VLOOKUP(E285,'Tablas Técnicas'!$A$14:$V$771,7,FALSE))</f>
        <v/>
      </c>
      <c r="Q285" s="1147" t="str">
        <f>IF(O285="Si",IF(E285=0,"",VLOOKUP(E285,'Tablas Técnicas'!$A$14:$V$771,7,FALSE)),"")</f>
        <v/>
      </c>
      <c r="R285" s="1193" t="str">
        <f>IF(E285=0,"",VLOOKUP(E285,'Tablas Técnicas'!$A$14:$V$771,8,FALSE))</f>
        <v/>
      </c>
      <c r="S285" s="1161" t="str">
        <f>IF(R285=$D$8,$D$8,IF(R285=2,2,IF(R285=3,3,R285)))</f>
        <v/>
      </c>
      <c r="T285" s="4482" t="s">
        <v>5232</v>
      </c>
      <c r="U285" s="4483"/>
      <c r="V285" s="2616"/>
      <c r="W285" s="4484"/>
      <c r="X285" s="4485"/>
      <c r="Y285" s="4485"/>
      <c r="Z285" s="4485"/>
      <c r="AA285" s="4485"/>
      <c r="AB285" s="4485"/>
      <c r="AC285" s="4485"/>
      <c r="AD285" s="4485"/>
      <c r="AE285" s="4485"/>
      <c r="AF285" s="4486"/>
      <c r="AG285" s="4484"/>
      <c r="AH285" s="4485"/>
      <c r="AI285" s="4485"/>
      <c r="AJ285" s="4485"/>
      <c r="AK285" s="4485"/>
      <c r="AL285" s="4485"/>
      <c r="AM285" s="4485"/>
      <c r="AN285" s="4485"/>
      <c r="AO285" s="4485"/>
      <c r="AP285" s="4486"/>
      <c r="AQ285" s="4484"/>
      <c r="AR285" s="4485"/>
      <c r="AS285" s="4485"/>
      <c r="AT285" s="4485"/>
      <c r="AU285" s="4485"/>
      <c r="AV285" s="4485"/>
      <c r="AW285" s="4485"/>
      <c r="AX285" s="4485"/>
      <c r="AY285" s="4485"/>
      <c r="AZ285" s="4486"/>
      <c r="BA285" s="4484"/>
      <c r="BB285" s="4485"/>
      <c r="BC285" s="4485"/>
      <c r="BD285" s="4485"/>
      <c r="BE285" s="4485"/>
      <c r="BF285" s="4485"/>
      <c r="BG285" s="4485"/>
      <c r="BH285" s="4485"/>
      <c r="BI285" s="4485"/>
      <c r="BJ285" s="4486"/>
      <c r="BK285" s="1171">
        <f>SUM(K281:K285)-SUM(V285:BA285)</f>
        <v>0</v>
      </c>
      <c r="BL285" s="1629"/>
      <c r="BM285" s="1630"/>
      <c r="BN285" s="1165"/>
      <c r="BO285" s="1166"/>
      <c r="BP285" s="1167" t="str">
        <f>IF(I285="Si",VLOOKUP($D$8,'Tablas Técnicas'!$E$4:$F$6,2,FALSE),"")</f>
        <v/>
      </c>
      <c r="BQ285" s="1137" t="str">
        <f>IF(L285="Si",VLOOKUP($D$8,'Tablas Técnicas'!$I$4:$J$6,2,FALSE),"")</f>
        <v/>
      </c>
      <c r="BR285" s="1168" t="str">
        <f>IF(O285="Si",VLOOKUP($D$8,'Tablas Técnicas'!$I$7:$J$9,2,FALSE),"")</f>
        <v/>
      </c>
      <c r="BS285" s="1151"/>
      <c r="BT285" s="2609" t="s">
        <v>2231</v>
      </c>
      <c r="BU285" s="2610" t="s">
        <v>5236</v>
      </c>
      <c r="BV285" s="1128"/>
      <c r="BW285" s="2610" t="s">
        <v>5237</v>
      </c>
      <c r="BX285" s="2609" t="s">
        <v>5238</v>
      </c>
      <c r="BY285" s="1489" t="s">
        <v>5238</v>
      </c>
      <c r="BZ285" s="1492"/>
      <c r="CA285" s="1096"/>
      <c r="DR285" s="1096"/>
      <c r="DT285" s="1514"/>
      <c r="DU285" s="1569"/>
      <c r="DV285" s="1566" t="str">
        <f>IF(E285="","",E285)&amp;IF(I285="No",""," (Mant.)")&amp;IF(L285="No",""," (Sme)")&amp;IF(O285="No",""," (SMa)")</f>
        <v/>
      </c>
      <c r="DW285" s="1566"/>
      <c r="DX285" s="1568"/>
      <c r="DY285" s="1513"/>
      <c r="DZ285" s="1096"/>
      <c r="EA285" s="1660">
        <f t="shared" si="4"/>
        <v>1</v>
      </c>
    </row>
    <row r="286" spans="1:131" x14ac:dyDescent="0.2">
      <c r="A286" s="1096"/>
      <c r="B286" s="159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97"/>
      <c r="D286" s="1644">
        <v>4</v>
      </c>
      <c r="E286" s="1423"/>
      <c r="F286" s="1173"/>
      <c r="G286" s="1174"/>
      <c r="H286" s="2559">
        <f>IF(AND(OR(ISNUMBER(SEARCH("Afinidad Elemental ("&amp;BK281&amp;")",Principal!$AF$30)),ISNUMBER(SEARCH("Afinidad Elemental ("&amp;BL281&amp;")",Principal!$AF$30)),ISNUMBER(SEARCH("Afinidad Elemental ("&amp;BM281&amp;")",Principal!$AF$30))),SUM(H281:H285)&gt;=5),-5,0)</f>
        <v>0</v>
      </c>
      <c r="I286" s="1603"/>
      <c r="J286" s="1606"/>
      <c r="K286" s="1174"/>
      <c r="L286" s="1603"/>
      <c r="M286" s="1606"/>
      <c r="N286" s="1174"/>
      <c r="O286" s="1603"/>
      <c r="P286" s="1606"/>
      <c r="Q286" s="1174"/>
      <c r="R286" s="1175"/>
      <c r="S286" s="1174"/>
      <c r="T286" s="1174"/>
      <c r="U286" s="1174"/>
      <c r="V286" s="1174"/>
      <c r="W286" s="1174"/>
      <c r="X286" s="1174"/>
      <c r="Y286" s="1174"/>
      <c r="Z286" s="1174"/>
      <c r="AA286" s="1174"/>
      <c r="AB286" s="1174"/>
      <c r="AC286" s="1174"/>
      <c r="AD286" s="1174"/>
      <c r="AE286" s="1174"/>
      <c r="AF286" s="1174"/>
      <c r="AG286" s="1174"/>
      <c r="AH286" s="1174"/>
      <c r="AI286" s="1174"/>
      <c r="AJ286" s="1174"/>
      <c r="AK286" s="1174"/>
      <c r="AL286" s="1174"/>
      <c r="AM286" s="1174"/>
      <c r="AN286" s="1174"/>
      <c r="AO286" s="1174"/>
      <c r="AP286" s="1174"/>
      <c r="AQ286" s="1174"/>
      <c r="AR286" s="1174"/>
      <c r="AS286" s="1174"/>
      <c r="AT286" s="1174"/>
      <c r="AU286" s="1174"/>
      <c r="AV286" s="1174"/>
      <c r="AW286" s="1174"/>
      <c r="AX286" s="1174"/>
      <c r="AY286" s="1174"/>
      <c r="AZ286" s="1174"/>
      <c r="BA286" s="1174"/>
      <c r="BB286" s="1174"/>
      <c r="BC286" s="1174"/>
      <c r="BD286" s="1174"/>
      <c r="BE286" s="1174"/>
      <c r="BF286" s="1174"/>
      <c r="BG286" s="1174"/>
      <c r="BH286" s="1174"/>
      <c r="BI286" s="1174"/>
      <c r="BJ286" s="1174"/>
      <c r="BK286" s="1174"/>
      <c r="BL286" s="1174"/>
      <c r="BM286" s="1184"/>
      <c r="BN286" s="1185">
        <f>SUM(K286:K289)</f>
        <v>0</v>
      </c>
      <c r="BO286" s="1128" t="str">
        <f>IF(E286=0,"",(AF286+AP286+AZ286+BJ286))</f>
        <v/>
      </c>
      <c r="BP286" s="1186" t="str">
        <f>IF(I286="Si",VLOOKUP($D$8,'Tablas Técnicas'!$E$4:$F$6,2,FALSE),"")</f>
        <v/>
      </c>
      <c r="BQ286" s="1187" t="str">
        <f>IF(L286="Si",VLOOKUP($D$8,'Tablas Técnicas'!$I$4:$J$6,2,FALSE),"")</f>
        <v/>
      </c>
      <c r="BR286" s="1185" t="str">
        <f>IF(O286="Si",VLOOKUP($D$8,'Tablas Técnicas'!$I$7:$J$9,2,FALSE),"")</f>
        <v/>
      </c>
      <c r="BS286" s="1151"/>
      <c r="BT286" s="261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92"/>
      <c r="BV286" s="1128"/>
      <c r="BW286" s="1183" t="str">
        <f>IF(SUM(BT286:BU286)=0,"N/A",SUM(BT286:BU286))</f>
        <v>N/A</v>
      </c>
      <c r="BX286" s="261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83" t="str">
        <f>IF(BX286=0,"N/A",BX286)</f>
        <v>N/A</v>
      </c>
      <c r="BZ286" s="1492"/>
      <c r="CA286" s="1096"/>
      <c r="DR286" s="1096"/>
      <c r="DT286" s="1514"/>
      <c r="DU286" s="1569"/>
      <c r="DV286" s="1570"/>
      <c r="DW286" s="1566"/>
      <c r="DX286" s="1568"/>
      <c r="DY286" s="1513"/>
      <c r="DZ286" s="1096"/>
      <c r="EA286" s="1660">
        <f t="shared" si="4"/>
        <v>1</v>
      </c>
    </row>
    <row r="287" spans="1:131" x14ac:dyDescent="0.2">
      <c r="A287" s="1096"/>
      <c r="B287" s="1096"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97"/>
      <c r="D287" s="1643" t="s">
        <v>2310</v>
      </c>
      <c r="E287" s="1140"/>
      <c r="F287" s="1176"/>
      <c r="G287" s="1146" t="str">
        <f>IF(E287=0,"",VLOOKUP(E287,'Tablas Técnicas'!$A$14:$V$771,3,FALSE))</f>
        <v/>
      </c>
      <c r="H287" s="1188" t="str">
        <f>IF($E287=0,"",VLOOKUP($E287,'Tablas Técnicas'!$A$14:$V$771,4,FALSE))</f>
        <v/>
      </c>
      <c r="I287" s="1144" t="s">
        <v>2234</v>
      </c>
      <c r="J287" s="1607" t="str">
        <f>IF(E287=0,"",VLOOKUP(E287,'Tablas Técnicas'!$A$14:$V$771,5,FALSE))</f>
        <v/>
      </c>
      <c r="K287" s="1190" t="str">
        <f>IF(I287="Si",IF(E287=0,"",VLOOKUP(E287,'Tablas Técnicas'!$A$14:$V$771,5,FALSE)),"")</f>
        <v/>
      </c>
      <c r="L287" s="1144" t="s">
        <v>2234</v>
      </c>
      <c r="M287" s="1607" t="str">
        <f>IF(E287=0,"",VLOOKUP(E287,'Tablas Técnicas'!$A$14:$V$771,6,FALSE))</f>
        <v/>
      </c>
      <c r="N287" s="1147" t="str">
        <f>IF(L287="Si",IF(E287=0,"",VLOOKUP(E287,'Tablas Técnicas'!$A$14:$V$771,6,FALSE)),"")</f>
        <v/>
      </c>
      <c r="O287" s="1144" t="s">
        <v>2234</v>
      </c>
      <c r="P287" s="1607" t="str">
        <f>IF(E287=0,"",VLOOKUP(E287,'Tablas Técnicas'!$A$14:$V$771,7,FALSE))</f>
        <v/>
      </c>
      <c r="Q287" s="1147" t="str">
        <f>IF(O287="Si",IF(E287=0,"",VLOOKUP(E287,'Tablas Técnicas'!$A$14:$V$771,7,FALSE)),"")</f>
        <v/>
      </c>
      <c r="R287" s="1189" t="str">
        <f>IF(E287=0,"",VLOOKUP(E287,'Tablas Técnicas'!$A$14:$V$771,8,FALSE))</f>
        <v/>
      </c>
      <c r="S287" s="1161" t="str">
        <f>IF(R287=$D$8,$D$8,IF(R287=2,2,IF(R287=3,3,R287)))</f>
        <v/>
      </c>
      <c r="T287" s="1190" t="str">
        <f>IF(E287=0,"",VLOOKUP(E287,'Tablas Técnicas'!$A$14:$V$771,9,FALSE))</f>
        <v/>
      </c>
      <c r="U287" s="1190" t="str">
        <f>IF(E287=0,"",VLOOKUP(E287,'Tablas Técnicas'!$A$14:$V$771,10,FALSE))</f>
        <v/>
      </c>
      <c r="V287" s="1191" t="str">
        <f>IF(E287=0,"",VLOOKUP(E287,'Tablas Técnicas'!$A$14:$V$771,11,FALSE))</f>
        <v/>
      </c>
      <c r="W287" s="1144"/>
      <c r="X287" s="1145" t="e">
        <f>VLOOKUP(E287,'Tablas Técnicas'!$A$14:$V$771,12,FALSE)</f>
        <v>#N/A</v>
      </c>
      <c r="Y287" s="1145" t="e">
        <f>IF(W287=X287,VLOOKUP(E287,'Tablas Técnicas'!$A$14:$V$771,13,FALSE),0)</f>
        <v>#N/A</v>
      </c>
      <c r="Z287" s="1145" t="e">
        <f>VLOOKUP(E287,'Tablas Técnicas'!$A$14:$V$771,14,FALSE)</f>
        <v>#N/A</v>
      </c>
      <c r="AA287" s="1145" t="e">
        <f>IF(W287=Z287,VLOOKUP(E287,'Tablas Técnicas'!$A$14:$V$616,15,FALSE),0)</f>
        <v>#N/A</v>
      </c>
      <c r="AB287" s="1145" t="e">
        <f>VLOOKUP(E287,'Tablas Técnicas'!$A$14:$V$771,16,FALSE)</f>
        <v>#N/A</v>
      </c>
      <c r="AC287" s="1145" t="e">
        <f>IF(W287=AB287,VLOOKUP(E287,'Tablas Técnicas'!$A$14:$V$616,17,FALSE),0)</f>
        <v>#N/A</v>
      </c>
      <c r="AD287" s="1145" t="e">
        <f>VLOOKUP(E287,'Tablas Técnicas'!$A$14:$V$771,18,FALSE)</f>
        <v>#N/A</v>
      </c>
      <c r="AE287" s="1145" t="e">
        <f>IF(W287=AD287,VLOOKUP(E287,'Tablas Técnicas'!$A$14:$V$771,19,FALSE),0)</f>
        <v>#N/A</v>
      </c>
      <c r="AF287" s="1163" t="str">
        <f>IF(E287=0,"",(Y287+AA287+AC287+AE287))</f>
        <v/>
      </c>
      <c r="AG287" s="1144"/>
      <c r="AH287" s="1162" t="e">
        <f>VLOOKUP(E287,'Tablas Técnicas'!$A$14:$V$771,12,FALSE)</f>
        <v>#N/A</v>
      </c>
      <c r="AI287" s="1162" t="e">
        <f>IF(AG287=AH287,VLOOKUP(E287,'Tablas Técnicas'!$A$14:$V$771,13,FALSE),0)</f>
        <v>#N/A</v>
      </c>
      <c r="AJ287" s="1162" t="e">
        <f>VLOOKUP(E287,'Tablas Técnicas'!$A$14:$V$771,14,FALSE)</f>
        <v>#N/A</v>
      </c>
      <c r="AK287" s="1162" t="e">
        <f>IF(AG287=AJ287,VLOOKUP(E287,'Tablas Técnicas'!$A$14:$V$771,15,FALSE),0)</f>
        <v>#N/A</v>
      </c>
      <c r="AL287" s="1162" t="e">
        <f>VLOOKUP(E287,'Tablas Técnicas'!$A$14:$V$771,16,FALSE)</f>
        <v>#N/A</v>
      </c>
      <c r="AM287" s="1162" t="e">
        <f>IF(AG287=AL287,VLOOKUP(E287,'Tablas Técnicas'!$A$14:$V$771,17,FALSE),0)</f>
        <v>#N/A</v>
      </c>
      <c r="AN287" s="1162" t="e">
        <f>VLOOKUP(E287,'Tablas Técnicas'!$A$14:$V$771,18,FALSE)</f>
        <v>#N/A</v>
      </c>
      <c r="AO287" s="1162" t="e">
        <f>IF(AG287=AN287,VLOOKUP(E287,'Tablas Técnicas'!$A$14:$V$771,19,FALSE),0)</f>
        <v>#N/A</v>
      </c>
      <c r="AP287" s="2620" t="str">
        <f>IF(E287=0,"",(AI287+AK287+AM287+AO287))</f>
        <v/>
      </c>
      <c r="AQ287" s="1144"/>
      <c r="AR287" s="1162" t="e">
        <f>VLOOKUP(E287,'Tablas Técnicas'!$A$14:$V$771,12,FALSE)</f>
        <v>#N/A</v>
      </c>
      <c r="AS287" s="1162" t="e">
        <f>IF(AQ287=AR287,VLOOKUP(E287,'Tablas Técnicas'!$A$14:$V$771,13,FALSE),0)</f>
        <v>#N/A</v>
      </c>
      <c r="AT287" s="1162" t="e">
        <f>VLOOKUP(E287,'Tablas Técnicas'!$A$14:$V$771,14,FALSE)</f>
        <v>#N/A</v>
      </c>
      <c r="AU287" s="1162" t="e">
        <f>IF(AQ287=AT287,VLOOKUP(E287,'Tablas Técnicas'!$A$14:$V$771,15,FALSE),0)</f>
        <v>#N/A</v>
      </c>
      <c r="AV287" s="1162" t="e">
        <f>VLOOKUP(E287,'Tablas Técnicas'!$A$14:$V$771,16,FALSE)</f>
        <v>#N/A</v>
      </c>
      <c r="AW287" s="1162" t="e">
        <f>IF(AQ287=AV287,VLOOKUP(E287,'Tablas Técnicas'!$A$14:$V$771,17,FALSE),0)</f>
        <v>#N/A</v>
      </c>
      <c r="AX287" s="1162" t="e">
        <f>VLOOKUP(E287,'Tablas Técnicas'!$A$14:$V$771,18,FALSE)</f>
        <v>#N/A</v>
      </c>
      <c r="AY287" s="1162" t="e">
        <f>IF(AQ287=AX287,VLOOKUP(E287,'Tablas Técnicas'!$A$14:$V$771,19,FALSE),0)</f>
        <v>#N/A</v>
      </c>
      <c r="AZ287" s="1163" t="str">
        <f>IF(E287=0,"",(AS287+AU287+AW287+AY287))</f>
        <v/>
      </c>
      <c r="BA287" s="1144"/>
      <c r="BB287" s="1162" t="e">
        <f>VLOOKUP(E287,'Tablas Técnicas'!$A$14:$V$771,12,FALSE)</f>
        <v>#N/A</v>
      </c>
      <c r="BC287" s="1162" t="e">
        <f>IF(BA287=BB287,VLOOKUP(E287,'Tablas Técnicas'!$A$14:$V$771,13,FALSE),0)</f>
        <v>#N/A</v>
      </c>
      <c r="BD287" s="1162" t="e">
        <f>VLOOKUP(E287,'Tablas Técnicas'!$A$14:$V$771,14,FALSE)</f>
        <v>#N/A</v>
      </c>
      <c r="BE287" s="1162" t="e">
        <f>IF(BA287=BD287,VLOOKUP(E287,'Tablas Técnicas'!$A$14:$V$771,15,FALSE),0)</f>
        <v>#N/A</v>
      </c>
      <c r="BF287" s="1162" t="e">
        <f>VLOOKUP(E287,'Tablas Técnicas'!$A$14:$V$771,16,FALSE)</f>
        <v>#N/A</v>
      </c>
      <c r="BG287" s="1162" t="e">
        <f>IF(BA287=BF287,VLOOKUP(E287,'Tablas Técnicas'!$A$14:$V$771,17,FALSE),0)</f>
        <v>#N/A</v>
      </c>
      <c r="BH287" s="1162" t="e">
        <f>VLOOKUP(E287,'Tablas Técnicas'!$A$14:$V$771,18,FALSE)</f>
        <v>#N/A</v>
      </c>
      <c r="BI287" s="1162" t="e">
        <f>IF(BA287=BH287,VLOOKUP(E287,'Tablas Técnicas'!$A$14:$V$771,19,FALSE),0)</f>
        <v>#N/A</v>
      </c>
      <c r="BJ287" s="2620" t="str">
        <f>IF(E287=0,"",(BC287+BE287+BG287+BI287))</f>
        <v/>
      </c>
      <c r="BK287" s="1190" t="str">
        <f>IF(E287=0,"",VLOOKUP(E287,'Tablas Técnicas'!$A$14:$V$771,20,FALSE))</f>
        <v/>
      </c>
      <c r="BL287" s="1177" t="str">
        <f>IF(E287=0,"",VLOOKUP(E287,'Tablas Técnicas'!$A$14:$V$771,21,FALSE))</f>
        <v/>
      </c>
      <c r="BM287" s="1148" t="str">
        <f>IF(E287=0,"",VLOOKUP(E287,'Tablas Técnicas'!$A$14:$V$771,22,FALSE))</f>
        <v/>
      </c>
      <c r="BN287" s="1149"/>
      <c r="BO287" s="1150"/>
      <c r="BP287" s="1135" t="str">
        <f>IF(I287="Si",VLOOKUP($D$8,'Tablas Técnicas'!$E$4:$F$6,2,FALSE),"")</f>
        <v/>
      </c>
      <c r="BQ287" s="1136" t="str">
        <f>IF(L287="Si",VLOOKUP($D$8,'Tablas Técnicas'!$I$4:$J$6,2,FALSE),"")</f>
        <v/>
      </c>
      <c r="BR287" s="1134" t="str">
        <f>IF(O287="Si",VLOOKUP($D$8,'Tablas Técnicas'!$I$7:$J$9,2,FALSE),"")</f>
        <v/>
      </c>
      <c r="BS287" s="1151"/>
      <c r="BT287" s="2609" t="s">
        <v>2236</v>
      </c>
      <c r="BU287" s="2610" t="s">
        <v>5236</v>
      </c>
      <c r="BV287" s="1128"/>
      <c r="BW287" s="2610" t="s">
        <v>5237</v>
      </c>
      <c r="BX287" s="2609" t="s">
        <v>5238</v>
      </c>
      <c r="BY287" s="1489" t="s">
        <v>5238</v>
      </c>
      <c r="BZ287" s="1492"/>
      <c r="CA287" s="1096"/>
      <c r="DR287" s="1096"/>
      <c r="DT287" s="1514"/>
      <c r="DU287" s="1569"/>
      <c r="DV287" s="1566" t="str">
        <f>IF(E287="","",", "&amp;E287)&amp;IF(I287="No",""," (Mant.)")&amp;IF(L287="No",""," (Sme)")&amp;IF(O287="No",""," (SMa)")</f>
        <v/>
      </c>
      <c r="DW287" s="1566"/>
      <c r="DX287" s="1568"/>
      <c r="DY287" s="1513"/>
      <c r="DZ287" s="1096"/>
      <c r="EA287" s="1660">
        <f t="shared" si="4"/>
        <v>1</v>
      </c>
    </row>
    <row r="288" spans="1:131" x14ac:dyDescent="0.2">
      <c r="A288" s="1096"/>
      <c r="B288" s="1096"/>
      <c r="C288" s="1497"/>
      <c r="D288" s="1642" t="s">
        <v>2310</v>
      </c>
      <c r="E288" s="1152"/>
      <c r="F288" s="1182"/>
      <c r="G288" s="1627" t="str">
        <f>IF(E288=0,"",VLOOKUP(E288,'Tablas Técnicas'!$A$14:$V$771,3,FALSE))</f>
        <v/>
      </c>
      <c r="H288" s="1155" t="str">
        <f>IF($E288=0,"",VLOOKUP($E288,'Tablas Técnicas'!$A$14:$V$771,4,FALSE))</f>
        <v/>
      </c>
      <c r="I288" s="1156" t="s">
        <v>2234</v>
      </c>
      <c r="J288" s="1605" t="str">
        <f>IF(E288=0,"",VLOOKUP(E288,'Tablas Técnicas'!$A$14:$V$771,5,FALSE))</f>
        <v/>
      </c>
      <c r="K288" s="1158" t="str">
        <f>IF(I288="Si",IF(E288=0,"",VLOOKUP(E288,'Tablas Técnicas'!$A$14:$V$771,5,FALSE)),"")</f>
        <v/>
      </c>
      <c r="L288" s="1156" t="s">
        <v>2234</v>
      </c>
      <c r="M288" s="1605" t="str">
        <f>IF(E288=0,"",VLOOKUP(E288,'Tablas Técnicas'!$A$14:$V$771,6,FALSE))</f>
        <v/>
      </c>
      <c r="N288" s="1159" t="str">
        <f>IF(L288="Si",IF(E288=0,"",VLOOKUP(E288,'Tablas Técnicas'!$A$14:$V$771,6,FALSE)),"")</f>
        <v/>
      </c>
      <c r="O288" s="1156" t="s">
        <v>2234</v>
      </c>
      <c r="P288" s="1605" t="str">
        <f>IF(E288=0,"",VLOOKUP(E288,'Tablas Técnicas'!$A$14:$V$771,7,FALSE))</f>
        <v/>
      </c>
      <c r="Q288" s="1159" t="str">
        <f>IF(O288="Si",IF(E288=0,"",VLOOKUP(E288,'Tablas Técnicas'!$A$14:$V$771,7,FALSE)),"")</f>
        <v/>
      </c>
      <c r="R288" s="1157" t="str">
        <f>IF(E288=0,"",VLOOKUP(E288,'Tablas Técnicas'!$A$14:$V$771,8,FALSE))</f>
        <v/>
      </c>
      <c r="S288" s="1155" t="str">
        <f>IF(R288=$D$8,$D$8,IF(R288=2,2,IF(R288=3,3,R288)))</f>
        <v/>
      </c>
      <c r="T288" s="4475" t="s">
        <v>5228</v>
      </c>
      <c r="U288" s="4476"/>
      <c r="V288" s="4476"/>
      <c r="W288" s="4476"/>
      <c r="X288" s="4476"/>
      <c r="Y288" s="4476"/>
      <c r="Z288" s="4476"/>
      <c r="AA288" s="4476"/>
      <c r="AB288" s="4476"/>
      <c r="AC288" s="4476"/>
      <c r="AD288" s="4476"/>
      <c r="AE288" s="4476"/>
      <c r="AF288" s="4476"/>
      <c r="AG288" s="4476"/>
      <c r="AH288" s="4476"/>
      <c r="AI288" s="4476"/>
      <c r="AJ288" s="4476"/>
      <c r="AK288" s="4476"/>
      <c r="AL288" s="4476"/>
      <c r="AM288" s="4476"/>
      <c r="AN288" s="4476"/>
      <c r="AO288" s="4476"/>
      <c r="AP288" s="4476"/>
      <c r="AQ288" s="4476"/>
      <c r="AR288" s="4476"/>
      <c r="AS288" s="4476"/>
      <c r="AT288" s="4476"/>
      <c r="AU288" s="4476"/>
      <c r="AV288" s="4476"/>
      <c r="AW288" s="4476"/>
      <c r="AX288" s="4476"/>
      <c r="AY288" s="4476"/>
      <c r="AZ288" s="4476"/>
      <c r="BA288" s="4476"/>
      <c r="BB288" s="4476"/>
      <c r="BC288" s="4476"/>
      <c r="BD288" s="4476"/>
      <c r="BE288" s="4476"/>
      <c r="BF288" s="4476"/>
      <c r="BG288" s="4476"/>
      <c r="BH288" s="4476"/>
      <c r="BI288" s="4476"/>
      <c r="BJ288" s="4476"/>
      <c r="BK288" s="4477"/>
      <c r="BL288" s="1627"/>
      <c r="BM288" s="1628"/>
      <c r="BN288" s="1149"/>
      <c r="BO288" s="1150"/>
      <c r="BP288" s="1135" t="str">
        <f>IF(I288="Si",VLOOKUP($D$8,'Tablas Técnicas'!$E$4:$F$6,2,FALSE),"")</f>
        <v/>
      </c>
      <c r="BQ288" s="1136" t="str">
        <f>IF(L288="Si",VLOOKUP($D$8,'Tablas Técnicas'!$I$4:$J$6,2,FALSE),"")</f>
        <v/>
      </c>
      <c r="BR288" s="1134" t="str">
        <f>IF(O288="Si",VLOOKUP($D$8,'Tablas Técnicas'!$I$7:$J$9,2,FALSE),"")</f>
        <v/>
      </c>
      <c r="BS288" s="1151"/>
      <c r="BT288" s="261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92"/>
      <c r="BV288" s="1128"/>
      <c r="BW288" s="1183" t="str">
        <f>IF(SUM(BT288:BU288)=0,"N/A",SUM(BT288:BU288))</f>
        <v>N/A</v>
      </c>
      <c r="BX288" s="261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83" t="str">
        <f>IF(BX288=0,"N/A",BX288)</f>
        <v>N/A</v>
      </c>
      <c r="BZ288" s="1492"/>
      <c r="CA288" s="1096"/>
      <c r="DR288" s="1096"/>
      <c r="DT288" s="1514"/>
      <c r="DU288" s="1569"/>
      <c r="DV288" s="1566" t="str">
        <f>IF(E288="",""," "&amp;E288)&amp;IF(I288="No",""," (Mant.)")&amp;IF(L288="No",""," (Sme)")&amp;IF(O288="No",""," (SMa)")</f>
        <v/>
      </c>
      <c r="DW288" s="1566"/>
      <c r="DX288" s="1568"/>
      <c r="DY288" s="1513"/>
      <c r="DZ288" s="1096"/>
      <c r="EA288" s="1660">
        <f t="shared" si="4"/>
        <v>1</v>
      </c>
    </row>
    <row r="289" spans="1:132" x14ac:dyDescent="0.2">
      <c r="A289" s="1096"/>
      <c r="B289" s="1096"/>
      <c r="C289" s="1497"/>
      <c r="D289" s="1643" t="s">
        <v>2310</v>
      </c>
      <c r="E289" s="1160"/>
      <c r="F289" s="1176"/>
      <c r="G289" s="1146" t="str">
        <f>IF(E289=0,"",VLOOKUP(E289,'Tablas Técnicas'!$A$14:$V$771,3,FALSE))</f>
        <v/>
      </c>
      <c r="H289" s="2619" t="str">
        <f>IF($E289=0,"",VLOOKUP($E289,'Tablas Técnicas'!$A$14:$V$771,4,FALSE))</f>
        <v/>
      </c>
      <c r="I289" s="1144" t="s">
        <v>2234</v>
      </c>
      <c r="J289" s="1601" t="str">
        <f>IF(E289=0,"",VLOOKUP(E289,'Tablas Técnicas'!$A$14:$V$771,5,FALSE))</f>
        <v/>
      </c>
      <c r="K289" s="1163" t="str">
        <f>IF(I289="Si",IF(E289=0,"",VLOOKUP(E289,'Tablas Técnicas'!$A$14:$V$771,5,FALSE)),"")</f>
        <v/>
      </c>
      <c r="L289" s="1144" t="s">
        <v>2234</v>
      </c>
      <c r="M289" s="1601" t="str">
        <f>IF(E289=0,"",VLOOKUP(E289,'Tablas Técnicas'!$A$14:$V$771,6,FALSE))</f>
        <v/>
      </c>
      <c r="N289" s="1147" t="str">
        <f>IF(L289="Si",IF(E289=0,"",VLOOKUP(E289,'Tablas Técnicas'!$A$14:$V$771,6,FALSE)),"")</f>
        <v/>
      </c>
      <c r="O289" s="1144" t="s">
        <v>2234</v>
      </c>
      <c r="P289" s="1601" t="str">
        <f>IF(E289=0,"",VLOOKUP(E289,'Tablas Técnicas'!$A$14:$V$771,7,FALSE))</f>
        <v/>
      </c>
      <c r="Q289" s="1147" t="str">
        <f>IF(O289="Si",IF(E289=0,"",VLOOKUP(E289,'Tablas Técnicas'!$A$14:$V$771,7,FALSE)),"")</f>
        <v/>
      </c>
      <c r="R289" s="1162" t="str">
        <f>IF(E289=0,"",VLOOKUP(E289,'Tablas Técnicas'!$A$14:$V$771,8,FALSE))</f>
        <v/>
      </c>
      <c r="S289" s="2619" t="str">
        <f>IF(R289=$D$8,$D$8,IF(R289=2,2,IF(R289=3,3,R289)))</f>
        <v/>
      </c>
      <c r="T289" s="4487"/>
      <c r="U289" s="4488"/>
      <c r="V289" s="2617" t="str">
        <f>IF(OR(V287=0,V287=""),"N/A",V287)</f>
        <v>N/A</v>
      </c>
      <c r="W289" s="4487" t="str">
        <f xml:space="preserve"> IF(OR(AF287=0,AF287=""),"N/A",W287)</f>
        <v>N/A</v>
      </c>
      <c r="X289" s="4489"/>
      <c r="Y289" s="4489"/>
      <c r="Z289" s="4489"/>
      <c r="AA289" s="4489"/>
      <c r="AB289" s="4489"/>
      <c r="AC289" s="4489"/>
      <c r="AD289" s="4489"/>
      <c r="AE289" s="4489"/>
      <c r="AF289" s="4488"/>
      <c r="AG289" s="4487" t="str">
        <f xml:space="preserve"> IF(OR(AP287="",AP287=0),"N/A",AG287)</f>
        <v>N/A</v>
      </c>
      <c r="AH289" s="4489"/>
      <c r="AI289" s="4489"/>
      <c r="AJ289" s="4489"/>
      <c r="AK289" s="4489"/>
      <c r="AL289" s="4489"/>
      <c r="AM289" s="4489"/>
      <c r="AN289" s="4489"/>
      <c r="AO289" s="4489"/>
      <c r="AP289" s="4488"/>
      <c r="AQ289" s="4487" t="str">
        <f xml:space="preserve"> IF(OR(AZ287="",AZ287=0),"N/A",AQ287)</f>
        <v>N/A</v>
      </c>
      <c r="AR289" s="4489"/>
      <c r="AS289" s="4489"/>
      <c r="AT289" s="4489"/>
      <c r="AU289" s="4489"/>
      <c r="AV289" s="4489"/>
      <c r="AW289" s="4489"/>
      <c r="AX289" s="4489"/>
      <c r="AY289" s="4489"/>
      <c r="AZ289" s="4488"/>
      <c r="BA289" s="4487" t="str">
        <f xml:space="preserve"> IF(OR(BJ287="",BJ287=0),"N/A",BA287)</f>
        <v>N/A</v>
      </c>
      <c r="BB289" s="4489"/>
      <c r="BC289" s="4489"/>
      <c r="BD289" s="4489"/>
      <c r="BE289" s="4489"/>
      <c r="BF289" s="4489"/>
      <c r="BG289" s="4489"/>
      <c r="BH289" s="4489"/>
      <c r="BI289" s="4489"/>
      <c r="BJ289" s="4488"/>
      <c r="BK289" s="1164" t="s">
        <v>5229</v>
      </c>
      <c r="BL289" s="1146"/>
      <c r="BM289" s="1181"/>
      <c r="BN289" s="1165"/>
      <c r="BO289" s="1166"/>
      <c r="BP289" s="1167" t="str">
        <f>IF(I289="Si",VLOOKUP($D$8,'Tablas Técnicas'!$E$4:$F$6,2,FALSE),"")</f>
        <v/>
      </c>
      <c r="BQ289" s="1137" t="str">
        <f>IF(L289="Si",VLOOKUP($D$8,'Tablas Técnicas'!$I$4:$J$6,2,FALSE),"")</f>
        <v/>
      </c>
      <c r="BR289" s="1168" t="str">
        <f>IF(O289="Si",VLOOKUP($D$8,'Tablas Técnicas'!$I$7:$J$9,2,FALSE),"")</f>
        <v/>
      </c>
      <c r="BS289" s="1151"/>
      <c r="BT289" s="2609" t="s">
        <v>2244</v>
      </c>
      <c r="BU289" s="2610" t="s">
        <v>5236</v>
      </c>
      <c r="BV289" s="1128"/>
      <c r="BW289" s="2610" t="s">
        <v>5237</v>
      </c>
      <c r="BX289" s="2609" t="s">
        <v>5238</v>
      </c>
      <c r="BY289" s="1489" t="s">
        <v>5238</v>
      </c>
      <c r="BZ289" s="1492"/>
      <c r="CA289" s="1096"/>
      <c r="DR289" s="1096"/>
      <c r="DT289" s="1514"/>
      <c r="DU289" s="1569"/>
      <c r="DV289" s="1566" t="str">
        <f>IF(E289="","",E289)&amp;IF(I289="No",""," (Mant.)")&amp;IF(L289="No",""," (Sme)")&amp;IF(O289="No",""," (SMa)")</f>
        <v/>
      </c>
      <c r="DW289" s="1567"/>
      <c r="DX289" s="1568"/>
      <c r="DY289" s="1513"/>
      <c r="DZ289" s="1096"/>
      <c r="EA289" s="1660">
        <f t="shared" si="4"/>
        <v>1</v>
      </c>
    </row>
    <row r="290" spans="1:132" x14ac:dyDescent="0.2">
      <c r="A290" s="1096"/>
      <c r="B290" s="1096"/>
      <c r="C290" s="1497"/>
      <c r="D290" s="1642" t="s">
        <v>2310</v>
      </c>
      <c r="E290" s="1152"/>
      <c r="F290" s="1182"/>
      <c r="G290" s="1627" t="str">
        <f>IF(E290=0,"",VLOOKUP(E290,'Tablas Técnicas'!$A$14:$V$771,3,FALSE))</f>
        <v/>
      </c>
      <c r="H290" s="1155" t="str">
        <f>IF($E290=0,"",VLOOKUP($E290,'Tablas Técnicas'!$A$14:$V$771,4,FALSE))</f>
        <v/>
      </c>
      <c r="I290" s="1156" t="s">
        <v>2234</v>
      </c>
      <c r="J290" s="1605" t="str">
        <f>IF(E290=0,"",VLOOKUP(E290,'Tablas Técnicas'!$A$14:$V$771,5,FALSE))</f>
        <v/>
      </c>
      <c r="K290" s="1158" t="str">
        <f>IF(I290="Si",IF(E290=0,"",VLOOKUP(E290,'Tablas Técnicas'!$A$14:$V$771,5,FALSE)),"")</f>
        <v/>
      </c>
      <c r="L290" s="1156" t="s">
        <v>2234</v>
      </c>
      <c r="M290" s="1605" t="str">
        <f>IF(E290=0,"",VLOOKUP(E290,'Tablas Técnicas'!$A$14:$V$771,6,FALSE))</f>
        <v/>
      </c>
      <c r="N290" s="1159" t="str">
        <f>IF(L290="Si",IF(E290=0,"",VLOOKUP(E290,'Tablas Técnicas'!$A$14:$V$771,6,FALSE)),"")</f>
        <v/>
      </c>
      <c r="O290" s="1156" t="s">
        <v>2234</v>
      </c>
      <c r="P290" s="1605" t="str">
        <f>IF(E290=0,"",VLOOKUP(E290,'Tablas Técnicas'!$A$14:$V$771,7,FALSE))</f>
        <v/>
      </c>
      <c r="Q290" s="1159" t="str">
        <f>IF(O290="Si",IF(E290=0,"",VLOOKUP(E290,'Tablas Técnicas'!$A$14:$V$771,7,FALSE)),"")</f>
        <v/>
      </c>
      <c r="R290" s="1157" t="str">
        <f>IF(E290=0,"",VLOOKUP(E290,'Tablas Técnicas'!$A$14:$V$771,8,FALSE))</f>
        <v/>
      </c>
      <c r="S290" s="1155" t="str">
        <f>IF(R290=$D$8,$D$8,IF(R290=2,2,IF(R290=3,3,R290)))</f>
        <v/>
      </c>
      <c r="T290" s="4490" t="s">
        <v>5230</v>
      </c>
      <c r="U290" s="4491"/>
      <c r="V290" s="2618"/>
      <c r="W290" s="4492"/>
      <c r="X290" s="4493"/>
      <c r="Y290" s="4493"/>
      <c r="Z290" s="4493"/>
      <c r="AA290" s="4493"/>
      <c r="AB290" s="4493"/>
      <c r="AC290" s="4493"/>
      <c r="AD290" s="4493"/>
      <c r="AE290" s="4493"/>
      <c r="AF290" s="4494"/>
      <c r="AG290" s="4492"/>
      <c r="AH290" s="4493"/>
      <c r="AI290" s="4493"/>
      <c r="AJ290" s="4493"/>
      <c r="AK290" s="4493"/>
      <c r="AL290" s="4493"/>
      <c r="AM290" s="4493"/>
      <c r="AN290" s="4493"/>
      <c r="AO290" s="4493"/>
      <c r="AP290" s="4494"/>
      <c r="AQ290" s="4492"/>
      <c r="AR290" s="4493"/>
      <c r="AS290" s="4493"/>
      <c r="AT290" s="4493"/>
      <c r="AU290" s="4493"/>
      <c r="AV290" s="4493"/>
      <c r="AW290" s="4493"/>
      <c r="AX290" s="4493"/>
      <c r="AY290" s="4493"/>
      <c r="AZ290" s="4494"/>
      <c r="BA290" s="4492"/>
      <c r="BB290" s="4493"/>
      <c r="BC290" s="4493"/>
      <c r="BD290" s="4493"/>
      <c r="BE290" s="4493"/>
      <c r="BF290" s="4493"/>
      <c r="BG290" s="4493"/>
      <c r="BH290" s="4493"/>
      <c r="BI290" s="4493"/>
      <c r="BJ290" s="4494"/>
      <c r="BK290" s="1155">
        <f>(SUM(G287:G291)+IF(AF287="",0,AF287)+IF(AP287="",0,AP287)+IF(AZ287="",0,AZ287)+IF(BJ287="",0,BJ287)+SUM(K287:K291)+SUM(N287:N291)+SUM(Q287:Q291))- SUM(V290:BA290)</f>
        <v>0</v>
      </c>
      <c r="BL290" s="1627"/>
      <c r="BM290" s="1628"/>
      <c r="BN290" s="1149"/>
      <c r="BO290" s="1150"/>
      <c r="BP290" s="1135" t="str">
        <f>IF(I290="Si",VLOOKUP($D$8,'Tablas Técnicas'!$E$4:$F$6,2,FALSE),"")</f>
        <v/>
      </c>
      <c r="BQ290" s="1136" t="str">
        <f>IF(L290="Si",VLOOKUP($D$8,'Tablas Técnicas'!$I$4:$J$6,2,FALSE),"")</f>
        <v/>
      </c>
      <c r="BR290" s="1134" t="str">
        <f>IF(O290="Si",VLOOKUP($D$8,'Tablas Técnicas'!$I$7:$J$9,2,FALSE),"")</f>
        <v/>
      </c>
      <c r="BS290" s="1151"/>
      <c r="BT290" s="261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92"/>
      <c r="BV290" s="1128"/>
      <c r="BW290" s="1183" t="str">
        <f>IF(SUM(BT290:BU290)=0,"N/A",SUM(BT290:BU290))</f>
        <v>N/A</v>
      </c>
      <c r="BX290" s="261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83" t="str">
        <f>IF(BX290=0,"N/A",BX290)</f>
        <v>N/A</v>
      </c>
      <c r="BZ290" s="1492"/>
      <c r="CA290" s="1096"/>
      <c r="DR290" s="1096"/>
      <c r="DT290" s="1514"/>
      <c r="DU290" s="1569"/>
      <c r="DV290" s="1566" t="str">
        <f>IF(E290="","",E290)&amp;IF(I290="No",""," (Mant.)")&amp;IF(L290="No",""," (Sme)")&amp;IF(O290="No",""," (SMa)")</f>
        <v/>
      </c>
      <c r="DW290" s="1567"/>
      <c r="DX290" s="1568"/>
      <c r="DY290" s="1513"/>
      <c r="DZ290" s="1096"/>
      <c r="EA290" s="1660">
        <f t="shared" si="4"/>
        <v>1</v>
      </c>
    </row>
    <row r="291" spans="1:132" x14ac:dyDescent="0.2">
      <c r="A291" s="1096"/>
      <c r="B291" s="1096"/>
      <c r="C291" s="1497"/>
      <c r="D291" s="1643" t="s">
        <v>2310</v>
      </c>
      <c r="E291" s="1160"/>
      <c r="F291" s="1176"/>
      <c r="G291" s="1146" t="str">
        <f>IF(E291=0,"",VLOOKUP(E291,'Tablas Técnicas'!$A$14:$V$771,3,FALSE))</f>
        <v/>
      </c>
      <c r="H291" s="1171" t="str">
        <f>IF($E291=0,"",VLOOKUP($E291,'Tablas Técnicas'!$A$14:$V$771,4,FALSE))</f>
        <v/>
      </c>
      <c r="I291" s="1144" t="s">
        <v>2234</v>
      </c>
      <c r="J291" s="1608" t="str">
        <f>IF(E291=0,"",VLOOKUP(E291,'Tablas Técnicas'!$A$14:$V$771,5,FALSE))</f>
        <v/>
      </c>
      <c r="K291" s="1172" t="str">
        <f>IF(I291="Si",IF(E291=0,"",VLOOKUP(E291,'Tablas Técnicas'!$A$14:$V$771,5,FALSE)),"")</f>
        <v/>
      </c>
      <c r="L291" s="1144" t="s">
        <v>2234</v>
      </c>
      <c r="M291" s="1608" t="str">
        <f>IF(E291=0,"",VLOOKUP(E291,'Tablas Técnicas'!$A$14:$V$771,6,FALSE))</f>
        <v/>
      </c>
      <c r="N291" s="1147" t="str">
        <f>IF(L291="Si",IF(E291=0,"",VLOOKUP(E291,'Tablas Técnicas'!$A$14:$V$771,6,FALSE)),"")</f>
        <v/>
      </c>
      <c r="O291" s="1144" t="s">
        <v>2234</v>
      </c>
      <c r="P291" s="1608" t="str">
        <f>IF(E291=0,"",VLOOKUP(E291,'Tablas Técnicas'!$A$14:$V$771,7,FALSE))</f>
        <v/>
      </c>
      <c r="Q291" s="1147" t="str">
        <f>IF(O291="Si",IF(E291=0,"",VLOOKUP(E291,'Tablas Técnicas'!$A$14:$V$771,7,FALSE)),"")</f>
        <v/>
      </c>
      <c r="R291" s="1193" t="str">
        <f>IF(E291=0,"",VLOOKUP(E291,'Tablas Técnicas'!$A$14:$V$771,8,FALSE))</f>
        <v/>
      </c>
      <c r="S291" s="1161" t="str">
        <f>IF(R291=$D$8,$D$8,IF(R291=2,2,IF(R291=3,3,R291)))</f>
        <v/>
      </c>
      <c r="T291" s="4482" t="s">
        <v>5232</v>
      </c>
      <c r="U291" s="4483"/>
      <c r="V291" s="2616"/>
      <c r="W291" s="4484"/>
      <c r="X291" s="4485"/>
      <c r="Y291" s="4485"/>
      <c r="Z291" s="4485"/>
      <c r="AA291" s="4485"/>
      <c r="AB291" s="4485"/>
      <c r="AC291" s="4485"/>
      <c r="AD291" s="4485"/>
      <c r="AE291" s="4485"/>
      <c r="AF291" s="4486"/>
      <c r="AG291" s="4484"/>
      <c r="AH291" s="4485"/>
      <c r="AI291" s="4485"/>
      <c r="AJ291" s="4485"/>
      <c r="AK291" s="4485"/>
      <c r="AL291" s="4485"/>
      <c r="AM291" s="4485"/>
      <c r="AN291" s="4485"/>
      <c r="AO291" s="4485"/>
      <c r="AP291" s="4486"/>
      <c r="AQ291" s="4484"/>
      <c r="AR291" s="4485"/>
      <c r="AS291" s="4485"/>
      <c r="AT291" s="4485"/>
      <c r="AU291" s="4485"/>
      <c r="AV291" s="4485"/>
      <c r="AW291" s="4485"/>
      <c r="AX291" s="4485"/>
      <c r="AY291" s="4485"/>
      <c r="AZ291" s="4486"/>
      <c r="BA291" s="4484"/>
      <c r="BB291" s="4485"/>
      <c r="BC291" s="4485"/>
      <c r="BD291" s="4485"/>
      <c r="BE291" s="4485"/>
      <c r="BF291" s="4485"/>
      <c r="BG291" s="4485"/>
      <c r="BH291" s="4485"/>
      <c r="BI291" s="4485"/>
      <c r="BJ291" s="4486"/>
      <c r="BK291" s="1171">
        <f>SUM(K287:K291)-SUM(V291:BA291)</f>
        <v>0</v>
      </c>
      <c r="BL291" s="1629"/>
      <c r="BM291" s="1630"/>
      <c r="BN291" s="1165"/>
      <c r="BO291" s="1166"/>
      <c r="BP291" s="1167" t="str">
        <f>IF(I291="Si",VLOOKUP($D$8,'Tablas Técnicas'!$E$4:$F$6,2,FALSE),"")</f>
        <v/>
      </c>
      <c r="BQ291" s="1137" t="str">
        <f>IF(L291="Si",VLOOKUP($D$8,'Tablas Técnicas'!$I$4:$J$6,2,FALSE),"")</f>
        <v/>
      </c>
      <c r="BR291" s="1168" t="str">
        <f>IF(O291="Si",VLOOKUP($D$8,'Tablas Técnicas'!$I$7:$J$9,2,FALSE),"")</f>
        <v/>
      </c>
      <c r="BS291" s="1151"/>
      <c r="BT291" s="2609" t="s">
        <v>2245</v>
      </c>
      <c r="BU291" s="2610" t="s">
        <v>5236</v>
      </c>
      <c r="BV291" s="1128"/>
      <c r="BW291" s="2610" t="s">
        <v>5237</v>
      </c>
      <c r="BX291" s="2609" t="s">
        <v>5238</v>
      </c>
      <c r="BY291" s="1489" t="s">
        <v>5238</v>
      </c>
      <c r="BZ291" s="1492"/>
      <c r="CA291" s="1096"/>
      <c r="DR291" s="1096"/>
      <c r="DT291" s="1514"/>
      <c r="DU291" s="1569"/>
      <c r="DV291" s="1566" t="str">
        <f>IF(E291="","",E291)&amp;IF(I291="No",""," (Mant.)")&amp;IF(L291="No",""," (Sme)")&amp;IF(O291="No",""," (SMa)")</f>
        <v/>
      </c>
      <c r="DW291" s="1567"/>
      <c r="DX291" s="1568"/>
      <c r="DY291" s="1513"/>
      <c r="DZ291" s="1096"/>
      <c r="EA291" s="1660">
        <f t="shared" si="4"/>
        <v>1</v>
      </c>
    </row>
    <row r="292" spans="1:132" x14ac:dyDescent="0.2">
      <c r="A292" s="1096"/>
      <c r="B292" s="159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97"/>
      <c r="D292" s="1644">
        <v>5</v>
      </c>
      <c r="E292" s="1423"/>
      <c r="F292" s="1173"/>
      <c r="G292" s="1174"/>
      <c r="H292" s="2559">
        <f>IF(AND(OR(ISNUMBER(SEARCH("Afinidad Elemental ("&amp;BK287&amp;")",Principal!$AF$30)),ISNUMBER(SEARCH("Afinidad Elemental ("&amp;BL287&amp;")",Principal!$AF$30)),ISNUMBER(SEARCH("Afinidad Elemental ("&amp;BM287&amp;")",Principal!$AF$30))),SUM(H287:H291)&gt;=5),-5,0)</f>
        <v>0</v>
      </c>
      <c r="I292" s="1603"/>
      <c r="J292" s="1606"/>
      <c r="K292" s="1174"/>
      <c r="L292" s="1603"/>
      <c r="M292" s="1606"/>
      <c r="N292" s="1174"/>
      <c r="O292" s="1603"/>
      <c r="P292" s="1606"/>
      <c r="Q292" s="1174"/>
      <c r="R292" s="1175"/>
      <c r="S292" s="1174"/>
      <c r="T292" s="1174"/>
      <c r="U292" s="1174"/>
      <c r="V292" s="1174"/>
      <c r="W292" s="1174"/>
      <c r="X292" s="1174"/>
      <c r="Y292" s="1174"/>
      <c r="Z292" s="1174"/>
      <c r="AA292" s="1174"/>
      <c r="AB292" s="1174"/>
      <c r="AC292" s="1174"/>
      <c r="AD292" s="1174"/>
      <c r="AE292" s="1174"/>
      <c r="AF292" s="1174"/>
      <c r="AG292" s="1174"/>
      <c r="AH292" s="1174"/>
      <c r="AI292" s="1174"/>
      <c r="AJ292" s="1174"/>
      <c r="AK292" s="1174"/>
      <c r="AL292" s="1174"/>
      <c r="AM292" s="1174"/>
      <c r="AN292" s="1174"/>
      <c r="AO292" s="1174"/>
      <c r="AP292" s="1174"/>
      <c r="AQ292" s="1174"/>
      <c r="AR292" s="1174"/>
      <c r="AS292" s="1174"/>
      <c r="AT292" s="1174"/>
      <c r="AU292" s="1174"/>
      <c r="AV292" s="1174"/>
      <c r="AW292" s="1174"/>
      <c r="AX292" s="1174"/>
      <c r="AY292" s="1174"/>
      <c r="AZ292" s="1174"/>
      <c r="BA292" s="1174"/>
      <c r="BB292" s="1174"/>
      <c r="BC292" s="1174"/>
      <c r="BD292" s="1174"/>
      <c r="BE292" s="1174"/>
      <c r="BF292" s="1174"/>
      <c r="BG292" s="1174"/>
      <c r="BH292" s="1174"/>
      <c r="BI292" s="1174"/>
      <c r="BJ292" s="1174"/>
      <c r="BK292" s="1174"/>
      <c r="BL292" s="1174"/>
      <c r="BM292" s="1184"/>
      <c r="BN292" s="1185">
        <f>SUM(K292:K295)</f>
        <v>0</v>
      </c>
      <c r="BO292" s="1128" t="str">
        <f>IF(E292=0,"",(AF292+AP292+AZ292+BJ292))</f>
        <v/>
      </c>
      <c r="BP292" s="1186" t="str">
        <f>IF(I292="Si",VLOOKUP($D$8,'Tablas Técnicas'!$E$4:$F$6,2,FALSE),"")</f>
        <v/>
      </c>
      <c r="BQ292" s="1187" t="str">
        <f>IF(L292="Si",VLOOKUP($D$8,'Tablas Técnicas'!$I$4:$J$6,2,FALSE),"")</f>
        <v/>
      </c>
      <c r="BR292" s="1185" t="str">
        <f>IF(O292="Si",VLOOKUP($D$8,'Tablas Técnicas'!$I$7:$J$9,2,FALSE),"")</f>
        <v/>
      </c>
      <c r="BS292" s="1151"/>
      <c r="BT292" s="261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92"/>
      <c r="BV292" s="1128"/>
      <c r="BW292" s="1183" t="str">
        <f>IF(SUM(BT292:BU292)=0,"N/A",SUM(BT292:BU292))</f>
        <v>N/A</v>
      </c>
      <c r="BX292" s="261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83" t="str">
        <f>IF(BX292=0,"N/A",BX292)</f>
        <v>N/A</v>
      </c>
      <c r="BZ292" s="1492"/>
      <c r="CA292" s="1096"/>
      <c r="DR292" s="1096"/>
      <c r="DT292" s="1514"/>
      <c r="DU292" s="1569"/>
      <c r="DV292" s="1570"/>
      <c r="DW292" s="1567"/>
      <c r="DX292" s="1568"/>
      <c r="DY292" s="1513"/>
      <c r="DZ292" s="1096"/>
      <c r="EA292" s="1660">
        <f t="shared" si="4"/>
        <v>1</v>
      </c>
    </row>
    <row r="293" spans="1:132" ht="12" thickBot="1" x14ac:dyDescent="0.25">
      <c r="A293" s="1096"/>
      <c r="B293" s="1096"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97"/>
      <c r="D293" s="1643" t="s">
        <v>2310</v>
      </c>
      <c r="E293" s="1140"/>
      <c r="F293" s="1176"/>
      <c r="G293" s="1146" t="str">
        <f>IF(E293=0,"",VLOOKUP(E293,'Tablas Técnicas'!$A$14:$V$771,3,FALSE))</f>
        <v/>
      </c>
      <c r="H293" s="1188" t="str">
        <f>IF($E293=0,"",VLOOKUP($E293,'Tablas Técnicas'!$A$14:$V$771,4,FALSE))</f>
        <v/>
      </c>
      <c r="I293" s="1144" t="s">
        <v>2234</v>
      </c>
      <c r="J293" s="1607" t="str">
        <f>IF(E293=0,"",VLOOKUP(E293,'Tablas Técnicas'!$A$14:$V$771,5,FALSE))</f>
        <v/>
      </c>
      <c r="K293" s="1190" t="str">
        <f>IF(I293="Si",IF(E293=0,"",VLOOKUP(E293,'Tablas Técnicas'!$A$14:$V$771,5,FALSE)),"")</f>
        <v/>
      </c>
      <c r="L293" s="1144" t="s">
        <v>2234</v>
      </c>
      <c r="M293" s="1607" t="str">
        <f>IF(E293=0,"",VLOOKUP(E293,'Tablas Técnicas'!$A$14:$V$771,6,FALSE))</f>
        <v/>
      </c>
      <c r="N293" s="1147" t="str">
        <f>IF(L293="Si",IF(E293=0,"",VLOOKUP(E293,'Tablas Técnicas'!$A$14:$V$771,6,FALSE)),"")</f>
        <v/>
      </c>
      <c r="O293" s="1144" t="s">
        <v>2234</v>
      </c>
      <c r="P293" s="1607" t="str">
        <f>IF(E293=0,"",VLOOKUP(E293,'Tablas Técnicas'!$A$14:$V$771,7,FALSE))</f>
        <v/>
      </c>
      <c r="Q293" s="1147" t="str">
        <f>IF(O293="Si",IF(E293=0,"",VLOOKUP(E293,'Tablas Técnicas'!$A$14:$V$771,7,FALSE)),"")</f>
        <v/>
      </c>
      <c r="R293" s="1189" t="str">
        <f>IF(E293=0,"",VLOOKUP(E293,'Tablas Técnicas'!$A$14:$V$771,8,FALSE))</f>
        <v/>
      </c>
      <c r="S293" s="1161" t="str">
        <f>IF(R293=$D$8,$D$8,IF(R293=2,2,IF(R293=3,3,R293)))</f>
        <v/>
      </c>
      <c r="T293" s="1190" t="str">
        <f>IF(E293=0,"",VLOOKUP(E293,'Tablas Técnicas'!$A$14:$V$771,9,FALSE))</f>
        <v/>
      </c>
      <c r="U293" s="1190" t="str">
        <f>IF(E293=0,"",VLOOKUP(E293,'Tablas Técnicas'!$A$14:$V$771,10,FALSE))</f>
        <v/>
      </c>
      <c r="V293" s="1191" t="str">
        <f>IF(E293=0,"",VLOOKUP(E293,'Tablas Técnicas'!$A$14:$V$771,11,FALSE))</f>
        <v/>
      </c>
      <c r="W293" s="1144"/>
      <c r="X293" s="1145" t="e">
        <f>VLOOKUP(E293,'Tablas Técnicas'!$A$14:$V$771,12,FALSE)</f>
        <v>#N/A</v>
      </c>
      <c r="Y293" s="1145" t="e">
        <f>IF(W293=X293,VLOOKUP(E293,'Tablas Técnicas'!$A$14:$V$771,13,FALSE),0)</f>
        <v>#N/A</v>
      </c>
      <c r="Z293" s="1145" t="e">
        <f>VLOOKUP(E293,'Tablas Técnicas'!$A$14:$V$771,14,FALSE)</f>
        <v>#N/A</v>
      </c>
      <c r="AA293" s="1145" t="e">
        <f>IF(W293=Z293,VLOOKUP(E293,'Tablas Técnicas'!$A$14:$V$616,15,FALSE),0)</f>
        <v>#N/A</v>
      </c>
      <c r="AB293" s="1145" t="e">
        <f>VLOOKUP(E293,'Tablas Técnicas'!$A$14:$V$771,16,FALSE)</f>
        <v>#N/A</v>
      </c>
      <c r="AC293" s="1145" t="e">
        <f>IF(W293=AB293,VLOOKUP(E293,'Tablas Técnicas'!$A$14:$V$616,17,FALSE),0)</f>
        <v>#N/A</v>
      </c>
      <c r="AD293" s="1145" t="e">
        <f>VLOOKUP(E293,'Tablas Técnicas'!$A$14:$V$771,18,FALSE)</f>
        <v>#N/A</v>
      </c>
      <c r="AE293" s="1145" t="e">
        <f>IF(W293=AD293,VLOOKUP(E293,'Tablas Técnicas'!$A$14:$V$771,19,FALSE),0)</f>
        <v>#N/A</v>
      </c>
      <c r="AF293" s="1163" t="str">
        <f>IF(E293=0,"",(Y293+AA293+AC293+AE293))</f>
        <v/>
      </c>
      <c r="AG293" s="1144"/>
      <c r="AH293" s="1162" t="e">
        <f>VLOOKUP(E293,'Tablas Técnicas'!$A$14:$V$771,12,FALSE)</f>
        <v>#N/A</v>
      </c>
      <c r="AI293" s="1162" t="e">
        <f>IF(AG293=AH293,VLOOKUP(E293,'Tablas Técnicas'!$A$14:$V$771,13,FALSE),0)</f>
        <v>#N/A</v>
      </c>
      <c r="AJ293" s="1162" t="e">
        <f>VLOOKUP(E293,'Tablas Técnicas'!$A$14:$V$771,14,FALSE)</f>
        <v>#N/A</v>
      </c>
      <c r="AK293" s="1162" t="e">
        <f>IF(AG293=AJ293,VLOOKUP(E293,'Tablas Técnicas'!$A$14:$V$771,15,FALSE),0)</f>
        <v>#N/A</v>
      </c>
      <c r="AL293" s="1162" t="e">
        <f>VLOOKUP(E293,'Tablas Técnicas'!$A$14:$V$771,16,FALSE)</f>
        <v>#N/A</v>
      </c>
      <c r="AM293" s="1162" t="e">
        <f>IF(AG293=AL293,VLOOKUP(E293,'Tablas Técnicas'!$A$14:$V$771,17,FALSE),0)</f>
        <v>#N/A</v>
      </c>
      <c r="AN293" s="1162" t="e">
        <f>VLOOKUP(E293,'Tablas Técnicas'!$A$14:$V$771,18,FALSE)</f>
        <v>#N/A</v>
      </c>
      <c r="AO293" s="1162" t="e">
        <f>IF(AG293=AN293,VLOOKUP(E293,'Tablas Técnicas'!$A$14:$V$771,19,FALSE),0)</f>
        <v>#N/A</v>
      </c>
      <c r="AP293" s="2620" t="str">
        <f>IF(E293=0,"",(AI293+AK293+AM293+AO293))</f>
        <v/>
      </c>
      <c r="AQ293" s="1144"/>
      <c r="AR293" s="1162" t="e">
        <f>VLOOKUP(E293,'Tablas Técnicas'!$A$14:$V$771,12,FALSE)</f>
        <v>#N/A</v>
      </c>
      <c r="AS293" s="1162" t="e">
        <f>IF(AQ293=AR293,VLOOKUP(E293,'Tablas Técnicas'!$A$14:$V$771,13,FALSE),0)</f>
        <v>#N/A</v>
      </c>
      <c r="AT293" s="1162" t="e">
        <f>VLOOKUP(E293,'Tablas Técnicas'!$A$14:$V$771,14,FALSE)</f>
        <v>#N/A</v>
      </c>
      <c r="AU293" s="1162" t="e">
        <f>IF(AQ293=AT293,VLOOKUP(E293,'Tablas Técnicas'!$A$14:$V$771,15,FALSE),0)</f>
        <v>#N/A</v>
      </c>
      <c r="AV293" s="1162" t="e">
        <f>VLOOKUP(E293,'Tablas Técnicas'!$A$14:$V$771,16,FALSE)</f>
        <v>#N/A</v>
      </c>
      <c r="AW293" s="1162" t="e">
        <f>IF(AQ293=AV293,VLOOKUP(E293,'Tablas Técnicas'!$A$14:$V$771,17,FALSE),0)</f>
        <v>#N/A</v>
      </c>
      <c r="AX293" s="1162" t="e">
        <f>VLOOKUP(E293,'Tablas Técnicas'!$A$14:$V$771,18,FALSE)</f>
        <v>#N/A</v>
      </c>
      <c r="AY293" s="1162" t="e">
        <f>IF(AQ293=AX293,VLOOKUP(E293,'Tablas Técnicas'!$A$14:$V$771,19,FALSE),0)</f>
        <v>#N/A</v>
      </c>
      <c r="AZ293" s="1163" t="str">
        <f>IF(E293=0,"",(AS293+AU293+AW293+AY293))</f>
        <v/>
      </c>
      <c r="BA293" s="1144"/>
      <c r="BB293" s="1162" t="e">
        <f>VLOOKUP(E293,'Tablas Técnicas'!$A$14:$V$771,12,FALSE)</f>
        <v>#N/A</v>
      </c>
      <c r="BC293" s="1162" t="e">
        <f>IF(BA293=BB293,VLOOKUP(E293,'Tablas Técnicas'!$A$14:$V$771,13,FALSE),0)</f>
        <v>#N/A</v>
      </c>
      <c r="BD293" s="1162" t="e">
        <f>VLOOKUP(E293,'Tablas Técnicas'!$A$14:$V$771,14,FALSE)</f>
        <v>#N/A</v>
      </c>
      <c r="BE293" s="1162" t="e">
        <f>IF(BA293=BD293,VLOOKUP(E293,'Tablas Técnicas'!$A$14:$V$771,15,FALSE),0)</f>
        <v>#N/A</v>
      </c>
      <c r="BF293" s="1162" t="e">
        <f>VLOOKUP(E293,'Tablas Técnicas'!$A$14:$V$771,16,FALSE)</f>
        <v>#N/A</v>
      </c>
      <c r="BG293" s="1162" t="e">
        <f>IF(BA293=BF293,VLOOKUP(E293,'Tablas Técnicas'!$A$14:$V$771,17,FALSE),0)</f>
        <v>#N/A</v>
      </c>
      <c r="BH293" s="1162" t="e">
        <f>VLOOKUP(E293,'Tablas Técnicas'!$A$14:$V$771,18,FALSE)</f>
        <v>#N/A</v>
      </c>
      <c r="BI293" s="1162" t="e">
        <f>IF(BA293=BH293,VLOOKUP(E293,'Tablas Técnicas'!$A$14:$V$771,19,FALSE),0)</f>
        <v>#N/A</v>
      </c>
      <c r="BJ293" s="2620" t="str">
        <f>IF(E293=0,"",(BC293+BE293+BG293+BI293))</f>
        <v/>
      </c>
      <c r="BK293" s="1190" t="str">
        <f>IF(E293=0,"",VLOOKUP(E293,'Tablas Técnicas'!$A$14:$V$771,20,FALSE))</f>
        <v/>
      </c>
      <c r="BL293" s="1177" t="str">
        <f>IF(E293=0,"",VLOOKUP(E293,'Tablas Técnicas'!$A$14:$V$771,21,FALSE))</f>
        <v/>
      </c>
      <c r="BM293" s="1148" t="str">
        <f>IF(E293=0,"",VLOOKUP(E293,'Tablas Técnicas'!$A$14:$V$771,22,FALSE))</f>
        <v/>
      </c>
      <c r="BN293" s="1149"/>
      <c r="BO293" s="1150"/>
      <c r="BP293" s="1135" t="str">
        <f>IF(I293="Si",VLOOKUP($D$8,'Tablas Técnicas'!$E$4:$F$6,2,FALSE),"")</f>
        <v/>
      </c>
      <c r="BQ293" s="1136" t="str">
        <f>IF(L293="Si",VLOOKUP($D$8,'Tablas Técnicas'!$I$4:$J$6,2,FALSE),"")</f>
        <v/>
      </c>
      <c r="BR293" s="1134" t="str">
        <f>IF(O293="Si",VLOOKUP($D$8,'Tablas Técnicas'!$I$7:$J$9,2,FALSE),"")</f>
        <v/>
      </c>
      <c r="BS293" s="1151"/>
      <c r="BU293" s="4442"/>
      <c r="BV293" s="4442"/>
      <c r="BW293" s="4442"/>
      <c r="BX293" s="1108"/>
      <c r="BY293" s="1475"/>
      <c r="BZ293" s="1492"/>
      <c r="CA293" s="1096"/>
      <c r="DR293" s="1096"/>
      <c r="DT293" s="1515"/>
      <c r="DU293" s="1618" t="str">
        <f>DU269&amp;DU270&amp;DU271&amp;DU272&amp;DU273&amp;DU274</f>
        <v/>
      </c>
      <c r="DV293" s="1619" t="str">
        <f>DV269&amp;DV270&amp;DV271&amp;DV272&amp;DV273&amp;DV275&amp;DV276&amp;DV277&amp;DV278&amp;DV279&amp;DV281&amp;DV282&amp;DV283&amp;DV284&amp;DV285&amp;DV287&amp;DV288&amp;DV289&amp;DV290&amp;DV291</f>
        <v/>
      </c>
      <c r="DW293" s="1620" t="str">
        <f>DW269&amp;DW270&amp;DW271</f>
        <v/>
      </c>
      <c r="DX293" s="1621" t="str">
        <f>IF(DX275="",DX269,DX275)</f>
        <v/>
      </c>
      <c r="DY293" s="1516"/>
      <c r="DZ293" s="1096"/>
      <c r="EA293" s="1660">
        <f t="shared" si="4"/>
        <v>1</v>
      </c>
    </row>
    <row r="294" spans="1:132" x14ac:dyDescent="0.2">
      <c r="A294" s="1096"/>
      <c r="B294" s="1096"/>
      <c r="C294" s="1497"/>
      <c r="D294" s="1642" t="s">
        <v>2310</v>
      </c>
      <c r="E294" s="1152"/>
      <c r="F294" s="1182"/>
      <c r="G294" s="1627" t="str">
        <f>IF(E294=0,"",VLOOKUP(E294,'Tablas Técnicas'!$A$14:$V$771,3,FALSE))</f>
        <v/>
      </c>
      <c r="H294" s="1155" t="str">
        <f>IF($E294=0,"",VLOOKUP($E294,'Tablas Técnicas'!$A$14:$V$771,4,FALSE))</f>
        <v/>
      </c>
      <c r="I294" s="1156" t="s">
        <v>2234</v>
      </c>
      <c r="J294" s="1605" t="str">
        <f>IF(E294=0,"",VLOOKUP(E294,'Tablas Técnicas'!$A$14:$V$771,5,FALSE))</f>
        <v/>
      </c>
      <c r="K294" s="1158" t="str">
        <f>IF(I294="Si",IF(E294=0,"",VLOOKUP(E294,'Tablas Técnicas'!$A$14:$V$771,5,FALSE)),"")</f>
        <v/>
      </c>
      <c r="L294" s="1156" t="s">
        <v>2234</v>
      </c>
      <c r="M294" s="1605" t="str">
        <f>IF(E294=0,"",VLOOKUP(E294,'Tablas Técnicas'!$A$14:$V$771,6,FALSE))</f>
        <v/>
      </c>
      <c r="N294" s="1159" t="str">
        <f>IF(L294="Si",IF(E294=0,"",VLOOKUP(E294,'Tablas Técnicas'!$A$14:$V$771,6,FALSE)),"")</f>
        <v/>
      </c>
      <c r="O294" s="1156" t="s">
        <v>2234</v>
      </c>
      <c r="P294" s="1605" t="str">
        <f>IF(E294=0,"",VLOOKUP(E294,'Tablas Técnicas'!$A$14:$V$771,7,FALSE))</f>
        <v/>
      </c>
      <c r="Q294" s="1159" t="str">
        <f>IF(O294="Si",IF(E294=0,"",VLOOKUP(E294,'Tablas Técnicas'!$A$14:$V$771,7,FALSE)),"")</f>
        <v/>
      </c>
      <c r="R294" s="1157" t="str">
        <f>IF(E294=0,"",VLOOKUP(E294,'Tablas Técnicas'!$A$14:$V$771,8,FALSE))</f>
        <v/>
      </c>
      <c r="S294" s="1155" t="str">
        <f>IF(R294=$D$8,$D$8,IF(R294=2,2,IF(R294=3,3,R294)))</f>
        <v/>
      </c>
      <c r="T294" s="4475" t="s">
        <v>5228</v>
      </c>
      <c r="U294" s="4476"/>
      <c r="V294" s="4476"/>
      <c r="W294" s="4476"/>
      <c r="X294" s="4476"/>
      <c r="Y294" s="4476"/>
      <c r="Z294" s="4476"/>
      <c r="AA294" s="4476"/>
      <c r="AB294" s="4476"/>
      <c r="AC294" s="4476"/>
      <c r="AD294" s="4476"/>
      <c r="AE294" s="4476"/>
      <c r="AF294" s="4476"/>
      <c r="AG294" s="4476"/>
      <c r="AH294" s="4476"/>
      <c r="AI294" s="4476"/>
      <c r="AJ294" s="4476"/>
      <c r="AK294" s="4476"/>
      <c r="AL294" s="4476"/>
      <c r="AM294" s="4476"/>
      <c r="AN294" s="4476"/>
      <c r="AO294" s="4476"/>
      <c r="AP294" s="4476"/>
      <c r="AQ294" s="4476"/>
      <c r="AR294" s="4476"/>
      <c r="AS294" s="4476"/>
      <c r="AT294" s="4476"/>
      <c r="AU294" s="4476"/>
      <c r="AV294" s="4476"/>
      <c r="AW294" s="4476"/>
      <c r="AX294" s="4476"/>
      <c r="AY294" s="4476"/>
      <c r="AZ294" s="4476"/>
      <c r="BA294" s="4476"/>
      <c r="BB294" s="4476"/>
      <c r="BC294" s="4476"/>
      <c r="BD294" s="4476"/>
      <c r="BE294" s="4476"/>
      <c r="BF294" s="4476"/>
      <c r="BG294" s="4476"/>
      <c r="BH294" s="4476"/>
      <c r="BI294" s="4476"/>
      <c r="BJ294" s="4476"/>
      <c r="BK294" s="4477"/>
      <c r="BL294" s="1627"/>
      <c r="BM294" s="1628"/>
      <c r="BN294" s="1149"/>
      <c r="BO294" s="1150"/>
      <c r="BP294" s="1135" t="str">
        <f>IF(I294="Si",VLOOKUP($D$8,'Tablas Técnicas'!$E$4:$F$6,2,FALSE),"")</f>
        <v/>
      </c>
      <c r="BQ294" s="1136" t="str">
        <f>IF(L294="Si",VLOOKUP($D$8,'Tablas Técnicas'!$I$4:$J$6,2,FALSE),"")</f>
        <v/>
      </c>
      <c r="BR294" s="1134" t="str">
        <f>IF(O294="Si",VLOOKUP($D$8,'Tablas Técnicas'!$I$7:$J$9,2,FALSE),"")</f>
        <v/>
      </c>
      <c r="BS294" s="1151"/>
      <c r="BT294" s="1194"/>
      <c r="BU294" s="1232"/>
      <c r="BV294" s="1232"/>
      <c r="BW294" s="1232"/>
      <c r="BX294" s="1108"/>
      <c r="BY294" s="1474"/>
      <c r="BZ294" s="1492"/>
      <c r="CA294" s="1096"/>
      <c r="DR294" s="1096"/>
      <c r="DT294" s="1514"/>
      <c r="DU294" s="1567"/>
      <c r="DV294" s="1566" t="str">
        <f>IF(E294="","",E294)&amp;IF(I294="No",""," (Mant.)")&amp;IF(L294="No",""," (Sme)")&amp;IF(O294="No",""," (SMa)")</f>
        <v/>
      </c>
      <c r="DW294" s="1567"/>
      <c r="DX294" s="1567"/>
      <c r="DY294" s="1513"/>
      <c r="DZ294" s="1096"/>
      <c r="EA294" s="1660">
        <f t="shared" si="4"/>
        <v>1</v>
      </c>
    </row>
    <row r="295" spans="1:132" x14ac:dyDescent="0.2">
      <c r="A295" s="1096"/>
      <c r="B295" s="1096"/>
      <c r="C295" s="1497"/>
      <c r="D295" s="1643" t="s">
        <v>2310</v>
      </c>
      <c r="E295" s="1160"/>
      <c r="F295" s="1176"/>
      <c r="G295" s="1146" t="str">
        <f>IF(E295=0,"",VLOOKUP(E295,'Tablas Técnicas'!$A$14:$V$771,3,FALSE))</f>
        <v/>
      </c>
      <c r="H295" s="2619" t="str">
        <f>IF($E295=0,"",VLOOKUP($E295,'Tablas Técnicas'!$A$14:$V$771,4,FALSE))</f>
        <v/>
      </c>
      <c r="I295" s="1144" t="s">
        <v>2234</v>
      </c>
      <c r="J295" s="1601" t="str">
        <f>IF(E295=0,"",VLOOKUP(E295,'Tablas Técnicas'!$A$14:$V$771,5,FALSE))</f>
        <v/>
      </c>
      <c r="K295" s="1163" t="str">
        <f>IF(I295="Si",IF(E295=0,"",VLOOKUP(E295,'Tablas Técnicas'!$A$14:$V$771,5,FALSE)),"")</f>
        <v/>
      </c>
      <c r="L295" s="1144" t="s">
        <v>2234</v>
      </c>
      <c r="M295" s="1601" t="str">
        <f>IF(E295=0,"",VLOOKUP(E295,'Tablas Técnicas'!$A$14:$V$771,6,FALSE))</f>
        <v/>
      </c>
      <c r="N295" s="1147" t="str">
        <f>IF(L295="Si",IF(E295=0,"",VLOOKUP(E295,'Tablas Técnicas'!$A$14:$V$771,6,FALSE)),"")</f>
        <v/>
      </c>
      <c r="O295" s="1144" t="s">
        <v>2234</v>
      </c>
      <c r="P295" s="1601" t="str">
        <f>IF(E295=0,"",VLOOKUP(E295,'Tablas Técnicas'!$A$14:$V$771,7,FALSE))</f>
        <v/>
      </c>
      <c r="Q295" s="1147" t="str">
        <f>IF(O295="Si",IF(E295=0,"",VLOOKUP(E295,'Tablas Técnicas'!$A$14:$V$771,7,FALSE)),"")</f>
        <v/>
      </c>
      <c r="R295" s="1162" t="str">
        <f>IF(E295=0,"",VLOOKUP(E295,'Tablas Técnicas'!$A$14:$V$771,8,FALSE))</f>
        <v/>
      </c>
      <c r="S295" s="2619" t="str">
        <f>IF(R295=$D$8,$D$8,IF(R295=2,2,IF(R295=3,3,R295)))</f>
        <v/>
      </c>
      <c r="T295" s="4487"/>
      <c r="U295" s="4488"/>
      <c r="V295" s="2617" t="str">
        <f>IF(OR(V293=0,V293=""),"N/A",V293)</f>
        <v>N/A</v>
      </c>
      <c r="W295" s="4487" t="str">
        <f xml:space="preserve"> IF(OR(AF293=0,AF293=""),"N/A",W293)</f>
        <v>N/A</v>
      </c>
      <c r="X295" s="4489"/>
      <c r="Y295" s="4489"/>
      <c r="Z295" s="4489"/>
      <c r="AA295" s="4489"/>
      <c r="AB295" s="4489"/>
      <c r="AC295" s="4489"/>
      <c r="AD295" s="4489"/>
      <c r="AE295" s="4489"/>
      <c r="AF295" s="4488"/>
      <c r="AG295" s="4487" t="str">
        <f xml:space="preserve"> IF(OR(AP293="",AP293=0),"N/A",AG293)</f>
        <v>N/A</v>
      </c>
      <c r="AH295" s="4489"/>
      <c r="AI295" s="4489"/>
      <c r="AJ295" s="4489"/>
      <c r="AK295" s="4489"/>
      <c r="AL295" s="4489"/>
      <c r="AM295" s="4489"/>
      <c r="AN295" s="4489"/>
      <c r="AO295" s="4489"/>
      <c r="AP295" s="4488"/>
      <c r="AQ295" s="4487" t="str">
        <f xml:space="preserve"> IF(OR(AZ293="",AZ293=0),"N/A",AQ293)</f>
        <v>N/A</v>
      </c>
      <c r="AR295" s="4489"/>
      <c r="AS295" s="4489"/>
      <c r="AT295" s="4489"/>
      <c r="AU295" s="4489"/>
      <c r="AV295" s="4489"/>
      <c r="AW295" s="4489"/>
      <c r="AX295" s="4489"/>
      <c r="AY295" s="4489"/>
      <c r="AZ295" s="4488"/>
      <c r="BA295" s="4487" t="str">
        <f xml:space="preserve"> IF(OR(BJ293="",BJ293=0),"N/A",BA293)</f>
        <v>N/A</v>
      </c>
      <c r="BB295" s="4489"/>
      <c r="BC295" s="4489"/>
      <c r="BD295" s="4489"/>
      <c r="BE295" s="4489"/>
      <c r="BF295" s="4489"/>
      <c r="BG295" s="4489"/>
      <c r="BH295" s="4489"/>
      <c r="BI295" s="4489"/>
      <c r="BJ295" s="4488"/>
      <c r="BK295" s="1164" t="s">
        <v>5229</v>
      </c>
      <c r="BL295" s="1146"/>
      <c r="BM295" s="1181"/>
      <c r="BN295" s="1165"/>
      <c r="BO295" s="1166"/>
      <c r="BP295" s="1167" t="str">
        <f>IF(I295="Si",VLOOKUP($D$8,'Tablas Técnicas'!$E$4:$F$6,2,FALSE),"")</f>
        <v/>
      </c>
      <c r="BQ295" s="1137" t="str">
        <f>IF(L295="Si",VLOOKUP($D$8,'Tablas Técnicas'!$I$4:$J$6,2,FALSE),"")</f>
        <v/>
      </c>
      <c r="BR295" s="1168" t="str">
        <f>IF(O295="Si",VLOOKUP($D$8,'Tablas Técnicas'!$I$7:$J$9,2,FALSE),"")</f>
        <v/>
      </c>
      <c r="BS295" s="1151"/>
      <c r="BU295" s="4443"/>
      <c r="BV295" s="4443"/>
      <c r="BW295" s="4443"/>
      <c r="BX295" s="1108"/>
      <c r="BY295" s="1474"/>
      <c r="BZ295" s="1492"/>
      <c r="CA295" s="1096"/>
      <c r="DR295" s="1096"/>
      <c r="DT295" s="1514"/>
      <c r="DU295" s="1567"/>
      <c r="DV295" s="1566" t="str">
        <f>IF(E295="","",E295)&amp;IF(I295="No",""," (Mant.)")&amp;IF(L295="No",""," (Sme)")&amp;IF(O295="No",""," (SMa)")</f>
        <v/>
      </c>
      <c r="DW295" s="1567"/>
      <c r="DX295" s="1567"/>
      <c r="DY295" s="1513"/>
      <c r="DZ295" s="1096"/>
      <c r="EA295" s="1660">
        <f t="shared" si="4"/>
        <v>1</v>
      </c>
    </row>
    <row r="296" spans="1:132" x14ac:dyDescent="0.2">
      <c r="A296" s="1096"/>
      <c r="B296" s="1096"/>
      <c r="C296" s="1497"/>
      <c r="D296" s="1642" t="s">
        <v>2310</v>
      </c>
      <c r="E296" s="1152"/>
      <c r="F296" s="1182"/>
      <c r="G296" s="1627" t="str">
        <f>IF(E296=0,"",VLOOKUP(E296,'Tablas Técnicas'!$A$14:$V$771,3,FALSE))</f>
        <v/>
      </c>
      <c r="H296" s="1155" t="str">
        <f>IF($E296=0,"",VLOOKUP($E296,'Tablas Técnicas'!$A$14:$V$771,4,FALSE))</f>
        <v/>
      </c>
      <c r="I296" s="1156" t="s">
        <v>2234</v>
      </c>
      <c r="J296" s="1605" t="str">
        <f>IF(E296=0,"",VLOOKUP(E296,'Tablas Técnicas'!$A$14:$V$771,5,FALSE))</f>
        <v/>
      </c>
      <c r="K296" s="1158" t="str">
        <f>IF(I296="Si",IF(E296=0,"",VLOOKUP(E296,'Tablas Técnicas'!$A$14:$V$771,5,FALSE)),"")</f>
        <v/>
      </c>
      <c r="L296" s="1156" t="s">
        <v>2234</v>
      </c>
      <c r="M296" s="1605" t="str">
        <f>IF(E296=0,"",VLOOKUP(E296,'Tablas Técnicas'!$A$14:$V$771,6,FALSE))</f>
        <v/>
      </c>
      <c r="N296" s="1159" t="str">
        <f>IF(L296="Si",IF(E296=0,"",VLOOKUP(E296,'Tablas Técnicas'!$A$14:$V$771,6,FALSE)),"")</f>
        <v/>
      </c>
      <c r="O296" s="1156" t="s">
        <v>2234</v>
      </c>
      <c r="P296" s="1605" t="str">
        <f>IF(E296=0,"",VLOOKUP(E296,'Tablas Técnicas'!$A$14:$V$771,7,FALSE))</f>
        <v/>
      </c>
      <c r="Q296" s="1159" t="str">
        <f>IF(O296="Si",IF(E296=0,"",VLOOKUP(E296,'Tablas Técnicas'!$A$14:$V$771,7,FALSE)),"")</f>
        <v/>
      </c>
      <c r="R296" s="1157" t="str">
        <f>IF(E296=0,"",VLOOKUP(E296,'Tablas Técnicas'!$A$14:$V$771,8,FALSE))</f>
        <v/>
      </c>
      <c r="S296" s="1155" t="str">
        <f>IF(R296=$D$8,$D$8,IF(R296=2,2,IF(R296=3,3,R296)))</f>
        <v/>
      </c>
      <c r="T296" s="4490" t="s">
        <v>5230</v>
      </c>
      <c r="U296" s="4491"/>
      <c r="V296" s="2618"/>
      <c r="W296" s="4492"/>
      <c r="X296" s="4493"/>
      <c r="Y296" s="4493"/>
      <c r="Z296" s="4493"/>
      <c r="AA296" s="4493"/>
      <c r="AB296" s="4493"/>
      <c r="AC296" s="4493"/>
      <c r="AD296" s="4493"/>
      <c r="AE296" s="4493"/>
      <c r="AF296" s="4494"/>
      <c r="AG296" s="4492"/>
      <c r="AH296" s="4493"/>
      <c r="AI296" s="4493"/>
      <c r="AJ296" s="4493"/>
      <c r="AK296" s="4493"/>
      <c r="AL296" s="4493"/>
      <c r="AM296" s="4493"/>
      <c r="AN296" s="4493"/>
      <c r="AO296" s="4493"/>
      <c r="AP296" s="4494"/>
      <c r="AQ296" s="4492"/>
      <c r="AR296" s="4493"/>
      <c r="AS296" s="4493"/>
      <c r="AT296" s="4493"/>
      <c r="AU296" s="4493"/>
      <c r="AV296" s="4493"/>
      <c r="AW296" s="4493"/>
      <c r="AX296" s="4493"/>
      <c r="AY296" s="4493"/>
      <c r="AZ296" s="4494"/>
      <c r="BA296" s="4492"/>
      <c r="BB296" s="4493"/>
      <c r="BC296" s="4493"/>
      <c r="BD296" s="4493"/>
      <c r="BE296" s="4493"/>
      <c r="BF296" s="4493"/>
      <c r="BG296" s="4493"/>
      <c r="BH296" s="4493"/>
      <c r="BI296" s="4493"/>
      <c r="BJ296" s="4494"/>
      <c r="BK296" s="1155">
        <f>(SUM(G293:G297)+IF(AF293="",0,AF293)+IF(AP293="",0,AP293)+IF(AZ293="",0,AZ293)+IF(BJ293="",0,BJ293)+SUM(K293:K297)+SUM(N293:N297)+SUM(Q293:Q297))- SUM(V296:BA296)</f>
        <v>0</v>
      </c>
      <c r="BL296" s="1627"/>
      <c r="BM296" s="1628"/>
      <c r="BN296" s="1149"/>
      <c r="BO296" s="1150"/>
      <c r="BP296" s="1135" t="str">
        <f>IF(I296="Si",VLOOKUP($D$8,'Tablas Técnicas'!$E$4:$F$6,2,FALSE),"")</f>
        <v/>
      </c>
      <c r="BQ296" s="1136" t="str">
        <f>IF(L296="Si",VLOOKUP($D$8,'Tablas Técnicas'!$I$4:$J$6,2,FALSE),"")</f>
        <v/>
      </c>
      <c r="BR296" s="1134" t="str">
        <f>IF(O296="Si",VLOOKUP($D$8,'Tablas Técnicas'!$I$7:$J$9,2,FALSE),"")</f>
        <v/>
      </c>
      <c r="BS296" s="1151"/>
      <c r="BU296" s="1232"/>
      <c r="BV296" s="1232"/>
      <c r="BW296" s="1232"/>
      <c r="BX296" s="1108"/>
      <c r="BY296" s="1474"/>
      <c r="BZ296" s="1492"/>
      <c r="CA296" s="1100"/>
      <c r="DR296" s="1100"/>
      <c r="DT296" s="1514"/>
      <c r="DU296" s="1622"/>
      <c r="DV296" s="1566" t="str">
        <f>IF(E296="","",E296)&amp;IF(I296="No",""," (Mant.)")&amp;IF(L296="No",""," (Sme)")&amp;IF(O296="No",""," (SMa)")</f>
        <v/>
      </c>
      <c r="DW296" s="1622"/>
      <c r="DX296" s="1622"/>
      <c r="DY296" s="1513"/>
      <c r="DZ296" s="1100"/>
      <c r="EA296" s="1660">
        <f t="shared" si="4"/>
        <v>1</v>
      </c>
    </row>
    <row r="297" spans="1:132" x14ac:dyDescent="0.2">
      <c r="A297" s="1096"/>
      <c r="B297" s="1096"/>
      <c r="C297" s="1497"/>
      <c r="D297" s="1643" t="s">
        <v>2310</v>
      </c>
      <c r="E297" s="1160"/>
      <c r="F297" s="1176"/>
      <c r="G297" s="1146" t="str">
        <f>IF(E297=0,"",VLOOKUP(E297,'Tablas Técnicas'!$A$14:$V$771,3,FALSE))</f>
        <v/>
      </c>
      <c r="H297" s="1161" t="str">
        <f>IF($E297=0,"",VLOOKUP($E297,'Tablas Técnicas'!$A$14:$V$771,4,FALSE))</f>
        <v/>
      </c>
      <c r="I297" s="1144" t="s">
        <v>2234</v>
      </c>
      <c r="J297" s="1601" t="str">
        <f>IF(E297=0,"",VLOOKUP(E297,'Tablas Técnicas'!$A$14:$V$771,5,FALSE))</f>
        <v/>
      </c>
      <c r="K297" s="1163" t="str">
        <f>IF(I297="Si",IF(E297=0,"",VLOOKUP(E297,'Tablas Técnicas'!$A$14:$V$771,5,FALSE)),"")</f>
        <v/>
      </c>
      <c r="L297" s="1144" t="s">
        <v>2234</v>
      </c>
      <c r="M297" s="1601" t="str">
        <f>IF(E297=0,"",VLOOKUP(E297,'Tablas Técnicas'!$A$14:$V$771,6,FALSE))</f>
        <v/>
      </c>
      <c r="N297" s="1147" t="str">
        <f>IF(L297="Si",IF(E297=0,"",VLOOKUP(E297,'Tablas Técnicas'!$A$14:$V$771,6,FALSE)),"")</f>
        <v/>
      </c>
      <c r="O297" s="1144" t="s">
        <v>2234</v>
      </c>
      <c r="P297" s="1601" t="str">
        <f>IF(E297=0,"",VLOOKUP(E297,'Tablas Técnicas'!$A$14:$V$771,7,FALSE))</f>
        <v/>
      </c>
      <c r="Q297" s="1147" t="str">
        <f>IF(O297="Si",IF(E297=0,"",VLOOKUP(E297,'Tablas Técnicas'!$A$14:$V$771,7,FALSE)),"")</f>
        <v/>
      </c>
      <c r="R297" s="1162" t="str">
        <f>IF(E297=0,"",VLOOKUP(E297,'Tablas Técnicas'!$A$14:$V$771,8,FALSE))</f>
        <v/>
      </c>
      <c r="S297" s="1161" t="str">
        <f>IF(R297=$D$8,$D$8,IF(R297=2,2,IF(R297=3,3,R297)))</f>
        <v/>
      </c>
      <c r="T297" s="4495" t="s">
        <v>5232</v>
      </c>
      <c r="U297" s="4496"/>
      <c r="V297" s="2621"/>
      <c r="W297" s="4497"/>
      <c r="X297" s="4498"/>
      <c r="Y297" s="4498"/>
      <c r="Z297" s="4498"/>
      <c r="AA297" s="4498"/>
      <c r="AB297" s="4498"/>
      <c r="AC297" s="4498"/>
      <c r="AD297" s="4498"/>
      <c r="AE297" s="4498"/>
      <c r="AF297" s="4499"/>
      <c r="AG297" s="4497"/>
      <c r="AH297" s="4498"/>
      <c r="AI297" s="4498"/>
      <c r="AJ297" s="4498"/>
      <c r="AK297" s="4498"/>
      <c r="AL297" s="4498"/>
      <c r="AM297" s="4498"/>
      <c r="AN297" s="4498"/>
      <c r="AO297" s="4498"/>
      <c r="AP297" s="4499"/>
      <c r="AQ297" s="4497"/>
      <c r="AR297" s="4498"/>
      <c r="AS297" s="4498"/>
      <c r="AT297" s="4498"/>
      <c r="AU297" s="4498"/>
      <c r="AV297" s="4498"/>
      <c r="AW297" s="4498"/>
      <c r="AX297" s="4498"/>
      <c r="AY297" s="4498"/>
      <c r="AZ297" s="4499"/>
      <c r="BA297" s="4497"/>
      <c r="BB297" s="4498"/>
      <c r="BC297" s="4498"/>
      <c r="BD297" s="4498"/>
      <c r="BE297" s="4498"/>
      <c r="BF297" s="4498"/>
      <c r="BG297" s="4498"/>
      <c r="BH297" s="4498"/>
      <c r="BI297" s="4498"/>
      <c r="BJ297" s="4499"/>
      <c r="BK297" s="1161">
        <f>SUM(K293:K297)-SUM(V297:BA297)</f>
        <v>0</v>
      </c>
      <c r="BL297" s="1146"/>
      <c r="BM297" s="1181"/>
      <c r="BN297" s="1165"/>
      <c r="BO297" s="1166"/>
      <c r="BP297" s="1167" t="str">
        <f>IF(I297="Si",VLOOKUP($D$8,'Tablas Técnicas'!$E$4:$F$6,2,FALSE),"")</f>
        <v/>
      </c>
      <c r="BQ297" s="1137" t="str">
        <f>IF(L297="Si",VLOOKUP($D$8,'Tablas Técnicas'!$I$4:$J$6,2,FALSE),"")</f>
        <v/>
      </c>
      <c r="BR297" s="1168" t="str">
        <f>IF(O297="Si",VLOOKUP($D$8,'Tablas Técnicas'!$I$7:$J$9,2,FALSE),"")</f>
        <v/>
      </c>
      <c r="BS297" s="1151"/>
      <c r="BU297" s="1232"/>
      <c r="BV297" s="1232"/>
      <c r="BW297" s="1232"/>
      <c r="BX297" s="1108"/>
      <c r="BY297" s="1474"/>
      <c r="BZ297" s="1492"/>
      <c r="CA297" s="1096"/>
      <c r="DR297" s="1096"/>
      <c r="DT297" s="1514"/>
      <c r="DU297" s="1567"/>
      <c r="DV297" s="1566" t="str">
        <f>IF(E297="","",E297)&amp;IF(I297="No",""," (Mant.)")&amp;IF(L297="No",""," (Sme)")&amp;IF(O297="No",""," (SMa)")</f>
        <v/>
      </c>
      <c r="DW297" s="1567"/>
      <c r="DX297" s="1567"/>
      <c r="DY297" s="1513"/>
      <c r="DZ297" s="1096"/>
      <c r="EA297" s="1660">
        <f t="shared" si="4"/>
        <v>1</v>
      </c>
    </row>
    <row r="298" spans="1:132" x14ac:dyDescent="0.2">
      <c r="A298" s="1096"/>
      <c r="B298" s="1096"/>
      <c r="C298" s="1497"/>
      <c r="D298" s="1645"/>
      <c r="E298" s="1594" t="s">
        <v>5239</v>
      </c>
      <c r="F298" s="1173"/>
      <c r="G298" s="1174"/>
      <c r="H298" s="2559">
        <f>IF(AND(OR(ISNUMBER(SEARCH("Afinidad Elemental ("&amp;BK293&amp;")",Principal!$AF$30)),ISNUMBER(SEARCH("Afinidad Elemental ("&amp;BL293&amp;")",Principal!$AF$30)),ISNUMBER(SEARCH("Afinidad Elemental ("&amp;BM293&amp;")",Principal!$AF$30))),SUM(H293:H297)&gt;=5),-5,0)</f>
        <v>0</v>
      </c>
      <c r="I298" s="1174"/>
      <c r="J298" s="1175"/>
      <c r="K298" s="1174"/>
      <c r="L298" s="1174"/>
      <c r="M298" s="1175"/>
      <c r="N298" s="1174"/>
      <c r="O298" s="1174"/>
      <c r="P298" s="1175"/>
      <c r="Q298" s="1174"/>
      <c r="R298" s="1175"/>
      <c r="S298" s="1174"/>
      <c r="T298" s="1174"/>
      <c r="U298" s="1195"/>
      <c r="V298" s="1195"/>
      <c r="W298" s="1195"/>
      <c r="X298" s="1195"/>
      <c r="Y298" s="1195"/>
      <c r="Z298" s="1195"/>
      <c r="AA298" s="1195"/>
      <c r="AB298" s="1195"/>
      <c r="AC298" s="1195"/>
      <c r="AD298" s="1195"/>
      <c r="AE298" s="1195"/>
      <c r="AF298" s="1195"/>
      <c r="AG298" s="1195"/>
      <c r="AH298" s="1195"/>
      <c r="AI298" s="1195"/>
      <c r="AJ298" s="1195"/>
      <c r="AK298" s="1195"/>
      <c r="AL298" s="1195"/>
      <c r="AM298" s="1195"/>
      <c r="AN298" s="1195"/>
      <c r="AO298" s="1195"/>
      <c r="AP298" s="1195"/>
      <c r="AQ298" s="1195"/>
      <c r="AR298" s="1195"/>
      <c r="AS298" s="1195"/>
      <c r="AT298" s="1195"/>
      <c r="AU298" s="1195"/>
      <c r="AV298" s="1195"/>
      <c r="AW298" s="1195"/>
      <c r="AX298" s="1195"/>
      <c r="AY298" s="1195"/>
      <c r="AZ298" s="1195"/>
      <c r="BA298" s="1195"/>
      <c r="BB298" s="1195"/>
      <c r="BC298" s="1195"/>
      <c r="BD298" s="1195"/>
      <c r="BE298" s="1195"/>
      <c r="BF298" s="1195"/>
      <c r="BG298" s="1195"/>
      <c r="BH298" s="1195"/>
      <c r="BI298" s="1195"/>
      <c r="BJ298" s="1195"/>
      <c r="BK298" s="4481"/>
      <c r="BL298" s="4481"/>
      <c r="BM298" s="4445"/>
      <c r="BN298" s="1134">
        <f>SUM(K298:K301)</f>
        <v>0</v>
      </c>
      <c r="BO298" s="1128">
        <f>IF(E298=0,"",(AF298+AP298+AZ298+BJ298))</f>
        <v>0</v>
      </c>
      <c r="BP298" s="1135" t="str">
        <f>IF(I298="Si",VLOOKUP($D$8,'Tablas Técnicas'!$E$4:$F$6,2,FALSE),"")</f>
        <v/>
      </c>
      <c r="BQ298" s="1136" t="str">
        <f>IF(L298="Si",VLOOKUP($D$8,'Tablas Técnicas'!$I$4:$J$6,2,FALSE),"")</f>
        <v/>
      </c>
      <c r="BR298" s="1134" t="str">
        <f>IF(O298="Si",VLOOKUP($D$8,'Tablas Técnicas'!$I$7:$J$9,2,FALSE),"")</f>
        <v/>
      </c>
      <c r="BS298" s="1151"/>
      <c r="BT298" s="4444" t="s">
        <v>5241</v>
      </c>
      <c r="BU298" s="4445"/>
      <c r="BV298" s="1128"/>
      <c r="BW298" s="1108"/>
      <c r="BX298" s="1108"/>
      <c r="BY298" s="1474"/>
      <c r="BZ298" s="1492"/>
      <c r="CA298" s="1096"/>
      <c r="DR298" s="1096"/>
      <c r="DT298" s="1514"/>
      <c r="DU298" s="1567"/>
      <c r="DV298" s="1567"/>
      <c r="DW298" s="1567"/>
      <c r="DX298" s="1567"/>
      <c r="DY298" s="1513"/>
      <c r="DZ298" s="1096"/>
      <c r="EA298" s="1660">
        <f t="shared" si="4"/>
        <v>1</v>
      </c>
    </row>
    <row r="299" spans="1:132" ht="12" x14ac:dyDescent="0.2">
      <c r="A299" s="1096"/>
      <c r="B299" s="1096"/>
      <c r="C299" s="1497"/>
      <c r="D299" s="1646" t="s">
        <v>5240</v>
      </c>
      <c r="E299" s="1140"/>
      <c r="F299" s="1163"/>
      <c r="G299" s="1163"/>
      <c r="H299" s="1161" t="str">
        <f>IF(D267=0,"",IF(E299=0,"",VLOOKUP(E299,'Tablas Técnicas'!$A$14:$V$771,4,FALSE)))</f>
        <v/>
      </c>
      <c r="I299" s="1163"/>
      <c r="J299" s="1163"/>
      <c r="K299" s="1196"/>
      <c r="L299" s="1163"/>
      <c r="M299" s="1163"/>
      <c r="N299" s="1196"/>
      <c r="O299" s="1163"/>
      <c r="P299" s="1163"/>
      <c r="Q299" s="1163"/>
      <c r="R299" s="1162" t="str">
        <f>IF(E299=0,"",VLOOKUP(E299,'Tablas Técnicas'!$A$14:$V$771,8,FALSE))</f>
        <v/>
      </c>
      <c r="S299" s="1188" t="str">
        <f>IF(R299=$D$8,$D$8,IF(R299=2,2,IF(R299=3,3,R299)))</f>
        <v/>
      </c>
      <c r="T299" s="1163" t="str">
        <f>IF(E299=0,"",VLOOKUP(E299,'Tablas Técnicas'!$A$14:$V$771,9,FALSE))</f>
        <v/>
      </c>
      <c r="U299" s="1190" t="str">
        <f>IF(E299=0,"",VLOOKUP(E299,'Tablas Técnicas'!$A$14:$V$771,10,FALSE))</f>
        <v/>
      </c>
      <c r="V299" s="1191"/>
      <c r="W299" s="1191"/>
      <c r="X299" s="1190"/>
      <c r="Y299" s="1190"/>
      <c r="Z299" s="1190"/>
      <c r="AA299" s="1190"/>
      <c r="AB299" s="1190"/>
      <c r="AC299" s="1190"/>
      <c r="AD299" s="1190"/>
      <c r="AE299" s="1190"/>
      <c r="AF299" s="1190"/>
      <c r="AG299" s="4478" t="str">
        <f>IF(OR(E299='Tablas Técnicas'!A$678,E299='Tablas Técnicas'!A$679,E300='Tablas Técnicas'!A$678,E300='Tablas Técnicas'!A$679,E301='Tablas Técnicas'!A$678,E301='Tablas Técnicas'!A$679),"Selecciona la atadura elemental:","")</f>
        <v/>
      </c>
      <c r="AH299" s="4479"/>
      <c r="AI299" s="4479"/>
      <c r="AJ299" s="4479"/>
      <c r="AK299" s="4479"/>
      <c r="AL299" s="4479"/>
      <c r="AM299" s="4479"/>
      <c r="AN299" s="4479"/>
      <c r="AO299" s="4479"/>
      <c r="AP299" s="4479"/>
      <c r="AQ299" s="4479"/>
      <c r="AR299" s="4479"/>
      <c r="AS299" s="4479"/>
      <c r="AT299" s="4479"/>
      <c r="AU299" s="4479"/>
      <c r="AV299" s="4479"/>
      <c r="AW299" s="4479"/>
      <c r="AX299" s="4479"/>
      <c r="AY299" s="4479"/>
      <c r="AZ299" s="4479"/>
      <c r="BA299" s="4479"/>
      <c r="BB299" s="4479"/>
      <c r="BC299" s="4479"/>
      <c r="BD299" s="4479"/>
      <c r="BE299" s="4479"/>
      <c r="BF299" s="4479"/>
      <c r="BG299" s="4479"/>
      <c r="BH299" s="4479"/>
      <c r="BI299" s="4479"/>
      <c r="BJ299" s="4479"/>
      <c r="BK299" s="4480"/>
      <c r="BL299" s="1631"/>
      <c r="BM299" s="1631"/>
      <c r="BN299" s="1163"/>
      <c r="BO299" s="1163"/>
      <c r="BP299" s="1196"/>
      <c r="BQ299" s="1163"/>
      <c r="BR299" s="1163"/>
      <c r="BS299" s="1163"/>
      <c r="BT299" s="4446">
        <f>D267</f>
        <v>1</v>
      </c>
      <c r="BU299" s="4447"/>
      <c r="BV299" s="1128">
        <f>IF(BV298=0,0,VLOOKUP(BV298,'Tablas Técnicas'!$M$4:$N$7,2,FALSE))</f>
        <v>0</v>
      </c>
      <c r="BW299" s="1108"/>
      <c r="BX299" s="1108"/>
      <c r="BY299" s="1474"/>
      <c r="BZ299" s="1492"/>
      <c r="CA299" s="1096"/>
      <c r="DR299" s="1096"/>
      <c r="DT299" s="1514"/>
      <c r="DU299" s="1567"/>
      <c r="DV299" s="1567"/>
      <c r="DW299" s="1567"/>
      <c r="DX299" s="1567"/>
      <c r="DY299" s="1513"/>
      <c r="DZ299" s="1096"/>
      <c r="EA299" s="1660">
        <f t="shared" si="4"/>
        <v>1</v>
      </c>
    </row>
    <row r="300" spans="1:132" x14ac:dyDescent="0.2">
      <c r="A300" s="1096"/>
      <c r="B300" s="1096"/>
      <c r="C300" s="1497"/>
      <c r="D300" s="1642" t="s">
        <v>5242</v>
      </c>
      <c r="E300" s="1197"/>
      <c r="F300" s="1595"/>
      <c r="G300" s="1596"/>
      <c r="H300" s="1153" t="str">
        <f>IF(VALUE(D267)&gt;1,IF(E300=0,"",VLOOKUP(E300,'Tablas Técnicas'!$A$14:$V$771,4,FALSE)),"")</f>
        <v/>
      </c>
      <c r="I300" s="1595"/>
      <c r="J300" s="1596"/>
      <c r="K300" s="1596"/>
      <c r="L300" s="1595"/>
      <c r="M300" s="1596"/>
      <c r="N300" s="1597"/>
      <c r="O300" s="1596"/>
      <c r="P300" s="1596"/>
      <c r="Q300" s="1596"/>
      <c r="R300" s="1157" t="str">
        <f>IF(E300=0,"",VLOOKUP(E300,'Tablas Técnicas'!$A$14:$V$771,8,FALSE))</f>
        <v/>
      </c>
      <c r="S300" s="1155" t="str">
        <f>IF(R300=$D$8,$D$8,IF(R300=2,2,IF(R300=3,3,R300)))</f>
        <v/>
      </c>
      <c r="T300" s="1158" t="str">
        <f>IF(E300=0,"",VLOOKUP(E300,'Tablas Técnicas'!$A$14:$V$771,9,FALSE))</f>
        <v/>
      </c>
      <c r="U300" s="1158" t="str">
        <f>IF(E300=0,"",VLOOKUP(E300,'Tablas Técnicas'!$A$14:$V$771,10,FALSE))</f>
        <v/>
      </c>
      <c r="V300" s="1595"/>
      <c r="W300" s="1595"/>
      <c r="X300" s="1596"/>
      <c r="Y300" s="1596"/>
      <c r="Z300" s="1596"/>
      <c r="AA300" s="1596"/>
      <c r="AB300" s="1596"/>
      <c r="AC300" s="1596"/>
      <c r="AD300" s="1596"/>
      <c r="AE300" s="1596"/>
      <c r="AF300" s="1596"/>
      <c r="AG300" s="1598"/>
      <c r="AH300" s="1599"/>
      <c r="AI300" s="1599"/>
      <c r="AJ300" s="1599"/>
      <c r="AK300" s="1599"/>
      <c r="AL300" s="1599"/>
      <c r="AM300" s="1599"/>
      <c r="AN300" s="1599"/>
      <c r="AO300" s="1599"/>
      <c r="AP300" s="1597"/>
      <c r="AQ300" s="1599"/>
      <c r="AR300" s="1599"/>
      <c r="AS300" s="1599"/>
      <c r="AT300" s="1599"/>
      <c r="AU300" s="1599"/>
      <c r="AV300" s="1599"/>
      <c r="AW300" s="1599"/>
      <c r="AX300" s="1599"/>
      <c r="AY300" s="1599"/>
      <c r="AZ300" s="1600"/>
      <c r="BA300" s="1596"/>
      <c r="BB300" s="1596"/>
      <c r="BC300" s="1596"/>
      <c r="BD300" s="1596"/>
      <c r="BE300" s="1596"/>
      <c r="BF300" s="1596"/>
      <c r="BG300" s="1596"/>
      <c r="BH300" s="1596"/>
      <c r="BI300" s="1596"/>
      <c r="BJ300" s="1597"/>
      <c r="BK300" s="1596"/>
      <c r="BL300" s="1632"/>
      <c r="BM300" s="1633"/>
      <c r="BN300" s="1596"/>
      <c r="BO300" s="1596"/>
      <c r="BP300" s="1597"/>
      <c r="BQ300" s="1596"/>
      <c r="BR300" s="1596"/>
      <c r="BS300" s="1596"/>
      <c r="BU300" s="2608"/>
      <c r="BV300" s="1128"/>
      <c r="BW300" s="1108"/>
      <c r="BX300" s="1108"/>
      <c r="BY300" s="1474"/>
      <c r="BZ300" s="1492"/>
      <c r="CA300" s="1096"/>
      <c r="DR300" s="1096"/>
      <c r="DT300" s="1514"/>
      <c r="DU300" s="1567"/>
      <c r="DV300" s="1567"/>
      <c r="DW300" s="1567"/>
      <c r="DX300" s="1567"/>
      <c r="DY300" s="1513"/>
      <c r="DZ300" s="1096"/>
      <c r="EA300" s="1660">
        <f t="shared" si="4"/>
        <v>1</v>
      </c>
    </row>
    <row r="301" spans="1:132" x14ac:dyDescent="0.2">
      <c r="A301" s="1096"/>
      <c r="B301" s="1096"/>
      <c r="C301" s="1497"/>
      <c r="D301" s="1647" t="s">
        <v>5243</v>
      </c>
      <c r="E301" s="1198"/>
      <c r="F301" s="2614"/>
      <c r="G301" s="1172"/>
      <c r="H301" s="1171" t="str">
        <f>IF(VALUE(D267)=3,IF(E301=0,"",VLOOKUP(E301,'Tablas Técnicas'!$A$14:$V$771,4,FALSE)),"")</f>
        <v/>
      </c>
      <c r="I301" s="1172"/>
      <c r="J301" s="1172"/>
      <c r="K301" s="1172"/>
      <c r="L301" s="2614"/>
      <c r="M301" s="1172"/>
      <c r="N301" s="1172"/>
      <c r="O301" s="2614"/>
      <c r="P301" s="1172"/>
      <c r="Q301" s="1172"/>
      <c r="R301" s="1193" t="str">
        <f>IF(E301=0,"",VLOOKUP(E301,'Tablas Técnicas'!$A$14:$V$771,8,FALSE))</f>
        <v/>
      </c>
      <c r="S301" s="1171" t="str">
        <f>IF(R301=$D$8,$D$8,IF(R301=2,2,IF(R301=3,3,R301)))</f>
        <v/>
      </c>
      <c r="T301" s="1172" t="str">
        <f>IF(E301=0,"",VLOOKUP(E301,'Tablas Técnicas'!$A$14:$V$771,9,FALSE))</f>
        <v/>
      </c>
      <c r="U301" s="1172" t="str">
        <f>IF(E301=0,"",VLOOKUP(E301,'Tablas Técnicas'!$A$14:$V$771,10,FALSE))</f>
        <v/>
      </c>
      <c r="V301" s="2614"/>
      <c r="W301" s="1486"/>
      <c r="X301" s="1486"/>
      <c r="Y301" s="1486"/>
      <c r="Z301" s="1486"/>
      <c r="AA301" s="1486"/>
      <c r="AB301" s="1486"/>
      <c r="AC301" s="1486"/>
      <c r="AD301" s="1486"/>
      <c r="AE301" s="1486"/>
      <c r="AF301" s="1487"/>
      <c r="AG301" s="2614"/>
      <c r="AH301" s="1172"/>
      <c r="AI301" s="1172"/>
      <c r="AJ301" s="1172"/>
      <c r="AK301" s="1172"/>
      <c r="AL301" s="1172"/>
      <c r="AM301" s="1172"/>
      <c r="AN301" s="1172"/>
      <c r="AO301" s="1172"/>
      <c r="AP301" s="2615"/>
      <c r="AQ301" s="1172"/>
      <c r="AR301" s="1172"/>
      <c r="AS301" s="1172"/>
      <c r="AT301" s="1172"/>
      <c r="AU301" s="1172"/>
      <c r="AV301" s="1172"/>
      <c r="AW301" s="1172"/>
      <c r="AX301" s="1172"/>
      <c r="AY301" s="1172"/>
      <c r="AZ301" s="2615"/>
      <c r="BA301" s="1172"/>
      <c r="BB301" s="1172"/>
      <c r="BC301" s="1172"/>
      <c r="BD301" s="1172"/>
      <c r="BE301" s="1172"/>
      <c r="BF301" s="1172"/>
      <c r="BG301" s="1172"/>
      <c r="BH301" s="1172"/>
      <c r="BI301" s="1172"/>
      <c r="BJ301" s="2615"/>
      <c r="BK301" s="1172"/>
      <c r="BL301" s="1629"/>
      <c r="BM301" s="1634"/>
      <c r="BN301" s="1172"/>
      <c r="BO301" s="1172"/>
      <c r="BP301" s="1172"/>
      <c r="BQ301" s="2614"/>
      <c r="BR301" s="1172"/>
      <c r="BS301" s="1172"/>
      <c r="BT301" s="2608"/>
      <c r="BU301" s="2608"/>
      <c r="BV301" s="1128">
        <f>IF(BV300=0,0,VLOOKUP(BV300,'Tablas Técnicas'!$M$4:$N$7,2,FALSE))</f>
        <v>0</v>
      </c>
      <c r="BW301" s="1108"/>
      <c r="BX301" s="1108"/>
      <c r="BY301" s="1474"/>
      <c r="BZ301" s="1492"/>
      <c r="CA301" s="1100"/>
      <c r="DR301" s="1100"/>
      <c r="DT301" s="1517"/>
      <c r="DU301" s="1623"/>
      <c r="DV301" s="1623"/>
      <c r="DW301" s="1623"/>
      <c r="DX301" s="1623"/>
      <c r="DY301" s="1518"/>
      <c r="DZ301" s="1100"/>
      <c r="EA301" s="1660">
        <f t="shared" si="4"/>
        <v>1</v>
      </c>
    </row>
    <row r="302" spans="1:132" x14ac:dyDescent="0.2">
      <c r="A302" s="1100"/>
      <c r="B302" s="1100"/>
      <c r="C302" s="1497"/>
      <c r="D302" s="1648"/>
      <c r="E302" s="1113"/>
      <c r="F302" s="1108"/>
      <c r="G302" s="1113"/>
      <c r="H302" s="1113"/>
      <c r="I302" s="1108"/>
      <c r="J302" s="1113"/>
      <c r="K302" s="1113"/>
      <c r="L302" s="1113"/>
      <c r="M302" s="1113"/>
      <c r="N302" s="1113"/>
      <c r="O302" s="1113"/>
      <c r="P302" s="1113"/>
      <c r="Q302" s="1113"/>
      <c r="R302" s="1113"/>
      <c r="S302" s="1113"/>
      <c r="T302" s="1113"/>
      <c r="U302" s="1113"/>
      <c r="V302" s="1113"/>
      <c r="W302" s="1113"/>
      <c r="X302" s="1113"/>
      <c r="Y302" s="1113"/>
      <c r="Z302" s="1113"/>
      <c r="AA302" s="1113"/>
      <c r="AB302" s="1113"/>
      <c r="AC302" s="1113"/>
      <c r="AD302" s="1113"/>
      <c r="AE302" s="1113"/>
      <c r="AF302" s="1113"/>
      <c r="AG302" s="1113"/>
      <c r="AH302" s="1113"/>
      <c r="AI302" s="1113"/>
      <c r="AJ302" s="1113"/>
      <c r="AK302" s="1113"/>
      <c r="AL302" s="1113"/>
      <c r="AM302" s="1113"/>
      <c r="AN302" s="1113"/>
      <c r="AO302" s="1113"/>
      <c r="AP302" s="1113"/>
      <c r="AQ302" s="1113"/>
      <c r="AR302" s="1113"/>
      <c r="AS302" s="1113"/>
      <c r="AT302" s="1113"/>
      <c r="AU302" s="1113"/>
      <c r="AV302" s="1113"/>
      <c r="AW302" s="1113"/>
      <c r="AX302" s="1113"/>
      <c r="AY302" s="1113"/>
      <c r="AZ302" s="1113"/>
      <c r="BA302" s="1113"/>
      <c r="BB302" s="1113"/>
      <c r="BC302" s="1113"/>
      <c r="BD302" s="1113"/>
      <c r="BE302" s="1113"/>
      <c r="BF302" s="1113"/>
      <c r="BG302" s="1113"/>
      <c r="BH302" s="1113"/>
      <c r="BI302" s="1113"/>
      <c r="BJ302" s="1113"/>
      <c r="BK302" s="1113"/>
      <c r="BL302" s="1592"/>
      <c r="BM302" s="1592"/>
      <c r="BN302" s="1101">
        <f>SUM(BN307:BN322)</f>
        <v>0</v>
      </c>
      <c r="BO302" s="1101">
        <f>SUM(BO307:BO322)</f>
        <v>0</v>
      </c>
      <c r="BP302" s="1101">
        <f>SUM(BP307:BP322)</f>
        <v>0</v>
      </c>
      <c r="BQ302" s="1101">
        <f>SUM(BQ307:BQ322)</f>
        <v>0</v>
      </c>
      <c r="BR302" s="1101">
        <f>SUM(BR307:BR322)</f>
        <v>0</v>
      </c>
      <c r="BS302" s="1199"/>
      <c r="BU302" s="1113"/>
      <c r="BW302" s="1108"/>
      <c r="BX302" s="1108"/>
      <c r="BY302" s="1117"/>
      <c r="BZ302" s="1492"/>
      <c r="CA302" s="1096"/>
      <c r="DR302" s="1096"/>
      <c r="DT302" s="1514"/>
      <c r="DU302" s="1567"/>
      <c r="DV302" s="1567"/>
      <c r="DW302" s="1567"/>
      <c r="DX302" s="1567"/>
      <c r="DY302" s="1513"/>
      <c r="DZ302" s="1096"/>
      <c r="EA302" s="1660">
        <f t="shared" si="4"/>
        <v>1</v>
      </c>
    </row>
    <row r="303" spans="1:132" x14ac:dyDescent="0.2">
      <c r="A303" s="1096"/>
      <c r="B303" s="1096"/>
      <c r="C303" s="1497"/>
      <c r="D303" s="1640" t="s">
        <v>8726</v>
      </c>
      <c r="E303" s="1114"/>
      <c r="F303" s="1114"/>
      <c r="G303" s="1114"/>
      <c r="H303" s="1114"/>
      <c r="I303" s="1114"/>
      <c r="J303" s="1115"/>
      <c r="K303" s="1114"/>
      <c r="L303" s="1114"/>
      <c r="M303" s="1115"/>
      <c r="N303" s="1114"/>
      <c r="O303" s="1114"/>
      <c r="P303" s="1115"/>
      <c r="Q303" s="1114"/>
      <c r="R303" s="1115"/>
      <c r="S303" s="1114"/>
      <c r="T303" s="1114"/>
      <c r="U303" s="1114"/>
      <c r="V303" s="1114"/>
      <c r="W303" s="1108"/>
      <c r="X303" s="1115"/>
      <c r="Y303" s="1115"/>
      <c r="Z303" s="1115"/>
      <c r="AA303" s="1115"/>
      <c r="AB303" s="1115"/>
      <c r="AC303" s="1115"/>
      <c r="AD303" s="1115"/>
      <c r="AE303" s="1115"/>
      <c r="AF303" s="1114"/>
      <c r="AG303" s="1108"/>
      <c r="AH303" s="1115"/>
      <c r="AI303" s="1115"/>
      <c r="AJ303" s="1115"/>
      <c r="AK303" s="1115"/>
      <c r="AL303" s="1115"/>
      <c r="AM303" s="1115"/>
      <c r="AN303" s="1115"/>
      <c r="AO303" s="1115"/>
      <c r="AP303" s="1108"/>
      <c r="AQ303" s="1108"/>
      <c r="AR303" s="1115"/>
      <c r="AS303" s="1115"/>
      <c r="AT303" s="1115"/>
      <c r="AU303" s="1115"/>
      <c r="AV303" s="1115"/>
      <c r="AW303" s="1115"/>
      <c r="AX303" s="1115"/>
      <c r="AY303" s="1115"/>
      <c r="AZ303" s="1108"/>
      <c r="BA303" s="1108"/>
      <c r="BB303" s="1115"/>
      <c r="BC303" s="1115"/>
      <c r="BD303" s="1115"/>
      <c r="BE303" s="1115"/>
      <c r="BF303" s="1115"/>
      <c r="BG303" s="1115"/>
      <c r="BH303" s="1115"/>
      <c r="BI303" s="1115"/>
      <c r="BJ303" s="1108"/>
      <c r="BK303" s="1108"/>
      <c r="BL303" s="1108"/>
      <c r="BM303" s="1108"/>
      <c r="BN303" s="1101">
        <f>SUM(BN305:BN338)</f>
        <v>0</v>
      </c>
      <c r="BO303" s="1101">
        <f>SUM(BO305:BO338)</f>
        <v>0</v>
      </c>
      <c r="BP303" s="1101">
        <f>MAX(BP305:BP338)</f>
        <v>0</v>
      </c>
      <c r="BQ303" s="1101">
        <f>MAX(BQ305:BQ338)</f>
        <v>0</v>
      </c>
      <c r="BR303" s="1101">
        <f>MAX(BR305:BR338)</f>
        <v>0</v>
      </c>
      <c r="BS303" s="1116"/>
      <c r="BU303" s="2608"/>
      <c r="BV303" s="1118"/>
      <c r="BW303" s="1108"/>
      <c r="BX303" s="1108"/>
      <c r="BY303" s="1474"/>
      <c r="BZ303" s="1492"/>
      <c r="CA303" s="1096"/>
      <c r="DR303" s="1096"/>
      <c r="DT303" s="1514"/>
      <c r="DU303" s="1567"/>
      <c r="DV303" s="1567"/>
      <c r="DW303" s="1567"/>
      <c r="DX303" s="1567"/>
      <c r="DY303" s="1513"/>
      <c r="DZ303" s="1096"/>
      <c r="EA303" s="1660">
        <f t="shared" si="4"/>
        <v>1</v>
      </c>
    </row>
    <row r="304" spans="1:132" ht="12" thickBot="1" x14ac:dyDescent="0.25">
      <c r="A304" s="1096"/>
      <c r="B304" s="1096"/>
      <c r="C304" s="1497"/>
      <c r="D304" s="1641">
        <v>1</v>
      </c>
      <c r="E304" s="1119" t="s">
        <v>9094</v>
      </c>
      <c r="F304" s="1120" t="s">
        <v>2333</v>
      </c>
      <c r="G304" s="1121" t="s">
        <v>2334</v>
      </c>
      <c r="H304" s="1121" t="s">
        <v>2356</v>
      </c>
      <c r="I304" s="1122" t="s">
        <v>4020</v>
      </c>
      <c r="J304" s="1123"/>
      <c r="K304" s="1124"/>
      <c r="L304" s="1122" t="s">
        <v>4021</v>
      </c>
      <c r="M304" s="1123"/>
      <c r="N304" s="1124"/>
      <c r="O304" s="1122" t="s">
        <v>4022</v>
      </c>
      <c r="P304" s="1123"/>
      <c r="Q304" s="1124"/>
      <c r="R304" s="1125" t="s">
        <v>5219</v>
      </c>
      <c r="S304" s="1121" t="s">
        <v>3990</v>
      </c>
      <c r="T304" s="2613" t="s">
        <v>2252</v>
      </c>
      <c r="U304" s="2613" t="s">
        <v>2223</v>
      </c>
      <c r="V304" s="2613" t="s">
        <v>4023</v>
      </c>
      <c r="W304" s="4473" t="s">
        <v>4024</v>
      </c>
      <c r="X304" s="4473"/>
      <c r="Y304" s="4473"/>
      <c r="Z304" s="4473"/>
      <c r="AA304" s="4473"/>
      <c r="AB304" s="4473"/>
      <c r="AC304" s="4473"/>
      <c r="AD304" s="4473"/>
      <c r="AE304" s="4473"/>
      <c r="AF304" s="4473"/>
      <c r="AG304" s="4473"/>
      <c r="AH304" s="4473"/>
      <c r="AI304" s="4473"/>
      <c r="AJ304" s="4473"/>
      <c r="AK304" s="4473"/>
      <c r="AL304" s="4473"/>
      <c r="AM304" s="4473"/>
      <c r="AN304" s="4473"/>
      <c r="AO304" s="4473"/>
      <c r="AP304" s="4473"/>
      <c r="AQ304" s="4473"/>
      <c r="AR304" s="4473"/>
      <c r="AS304" s="4473"/>
      <c r="AT304" s="4473"/>
      <c r="AU304" s="4473"/>
      <c r="AV304" s="4473"/>
      <c r="AW304" s="4473"/>
      <c r="AX304" s="4473"/>
      <c r="AY304" s="4473"/>
      <c r="AZ304" s="4473"/>
      <c r="BA304" s="4473"/>
      <c r="BB304" s="4473"/>
      <c r="BC304" s="4473"/>
      <c r="BD304" s="4473"/>
      <c r="BE304" s="4473"/>
      <c r="BF304" s="4473"/>
      <c r="BG304" s="4473"/>
      <c r="BH304" s="4473"/>
      <c r="BI304" s="4473"/>
      <c r="BJ304" s="4473"/>
      <c r="BK304" s="4473" t="s">
        <v>4025</v>
      </c>
      <c r="BL304" s="4473"/>
      <c r="BM304" s="4474"/>
      <c r="BN304" s="1126" t="s">
        <v>5220</v>
      </c>
      <c r="BO304" s="1126" t="s">
        <v>5221</v>
      </c>
      <c r="BP304" s="1126" t="s">
        <v>5222</v>
      </c>
      <c r="BQ304" s="1126" t="s">
        <v>5223</v>
      </c>
      <c r="BR304" s="1126" t="s">
        <v>5224</v>
      </c>
      <c r="BS304" s="1127" t="s">
        <v>5225</v>
      </c>
      <c r="BT304" s="4448" t="s">
        <v>5226</v>
      </c>
      <c r="BU304" s="4449"/>
      <c r="BV304" s="1128"/>
      <c r="BW304" s="1108"/>
      <c r="BX304" s="1108"/>
      <c r="BY304" s="1474"/>
      <c r="BZ304" s="1492"/>
      <c r="CA304" s="1096"/>
      <c r="DR304" s="1096"/>
      <c r="DT304" s="1514"/>
      <c r="DU304" s="1567"/>
      <c r="DV304" s="1567"/>
      <c r="DW304" s="1567"/>
      <c r="DX304" s="1567"/>
      <c r="DY304" s="1513"/>
      <c r="DZ304" s="1096"/>
      <c r="EB304" s="2558">
        <f>D304</f>
        <v>1</v>
      </c>
    </row>
    <row r="305" spans="1:131" x14ac:dyDescent="0.2">
      <c r="A305" s="1129"/>
      <c r="B305" s="159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98"/>
      <c r="D305" s="1642">
        <v>1</v>
      </c>
      <c r="E305" s="1423"/>
      <c r="F305" s="1130"/>
      <c r="G305" s="1131"/>
      <c r="H305" s="1131"/>
      <c r="I305" s="1131"/>
      <c r="J305" s="1132"/>
      <c r="K305" s="1131"/>
      <c r="L305" s="1131"/>
      <c r="M305" s="1132"/>
      <c r="N305" s="1131"/>
      <c r="O305" s="1131"/>
      <c r="P305" s="1132"/>
      <c r="Q305" s="1131"/>
      <c r="R305" s="1132"/>
      <c r="S305" s="1131"/>
      <c r="T305" s="1131"/>
      <c r="U305" s="1131"/>
      <c r="V305" s="1131"/>
      <c r="W305" s="1131"/>
      <c r="X305" s="1131"/>
      <c r="Y305" s="1131"/>
      <c r="Z305" s="1131"/>
      <c r="AA305" s="1131"/>
      <c r="AB305" s="1131"/>
      <c r="AC305" s="1131"/>
      <c r="AD305" s="1131"/>
      <c r="AE305" s="1131"/>
      <c r="AF305" s="1131"/>
      <c r="AG305" s="1131"/>
      <c r="AH305" s="1131"/>
      <c r="AI305" s="1131"/>
      <c r="AJ305" s="1131"/>
      <c r="AK305" s="1131"/>
      <c r="AL305" s="1131"/>
      <c r="AM305" s="1131"/>
      <c r="AN305" s="1131"/>
      <c r="AO305" s="1131"/>
      <c r="AP305" s="1131"/>
      <c r="AQ305" s="1131"/>
      <c r="AR305" s="1131"/>
      <c r="AS305" s="1131"/>
      <c r="AT305" s="1131"/>
      <c r="AU305" s="1131"/>
      <c r="AV305" s="1131"/>
      <c r="AW305" s="1131"/>
      <c r="AX305" s="1131"/>
      <c r="AY305" s="1131"/>
      <c r="AZ305" s="1131"/>
      <c r="BA305" s="1131"/>
      <c r="BB305" s="1131"/>
      <c r="BC305" s="1131"/>
      <c r="BD305" s="1131"/>
      <c r="BE305" s="1131"/>
      <c r="BF305" s="1131"/>
      <c r="BG305" s="1131"/>
      <c r="BH305" s="1131"/>
      <c r="BI305" s="1131"/>
      <c r="BJ305" s="1131"/>
      <c r="BK305" s="1131"/>
      <c r="BL305" s="1131"/>
      <c r="BM305" s="1133"/>
      <c r="BN305" s="1134">
        <f>SUM(K305:K308)</f>
        <v>0</v>
      </c>
      <c r="BO305" s="1128" t="str">
        <f>IF(E305=0,"",(AF305+AP305+AZ305+BJ305))</f>
        <v/>
      </c>
      <c r="BP305" s="1135" t="str">
        <f>IF(I305="Si",VLOOKUP($D$8,'Tablas Técnicas'!$E$4:$F$6,2,FALSE),"")</f>
        <v/>
      </c>
      <c r="BQ305" s="1136" t="str">
        <f>IF(L305="Si",VLOOKUP($D$8,'Tablas Técnicas'!$I$4:$J$6,2,FALSE),"")</f>
        <v/>
      </c>
      <c r="BR305" s="1134" t="str">
        <f>IF(O305="Si",VLOOKUP($D$8,'Tablas Técnicas'!$I$7:$J$9,2,FALSE),"")</f>
        <v/>
      </c>
      <c r="BS305" s="1137">
        <f>VLOOKUP(D304,'Tablas Técnicas'!$P$6:$R$8,3)</f>
        <v>50</v>
      </c>
      <c r="BT305" s="1138">
        <f>VLOOKUP(D304,'Tablas Técnicas'!$P$6:$R$8,3,FALSE)</f>
        <v>50</v>
      </c>
      <c r="BU305" s="1139">
        <f>VLOOKUP(D304,'Tablas Técnicas'!$P$6:$R$8,2,FALSE)</f>
        <v>20</v>
      </c>
      <c r="BV305" s="1128">
        <f>IF(D304=0,"",VLOOKUP(D304,'Tablas Técnicas'!$L$4:$N$7,2,FALSE))</f>
        <v>3</v>
      </c>
      <c r="BW305" s="1108"/>
      <c r="BX305" s="1108"/>
      <c r="BY305" s="1474"/>
      <c r="BZ305" s="1492"/>
      <c r="CA305" s="1096"/>
      <c r="DR305" s="1096"/>
      <c r="DT305" s="1514"/>
      <c r="DU305" s="1614" t="s">
        <v>2345</v>
      </c>
      <c r="DV305" s="1615" t="s">
        <v>4001</v>
      </c>
      <c r="DW305" s="1615" t="s">
        <v>3987</v>
      </c>
      <c r="DX305" s="1616" t="s">
        <v>8729</v>
      </c>
      <c r="DY305" s="1513"/>
      <c r="DZ305" s="1096"/>
      <c r="EA305" s="1660">
        <f>EB304</f>
        <v>1</v>
      </c>
    </row>
    <row r="306" spans="1:131" x14ac:dyDescent="0.2">
      <c r="A306" s="1096"/>
      <c r="B306" s="1096"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97"/>
      <c r="D306" s="1643" t="s">
        <v>2310</v>
      </c>
      <c r="E306" s="1140"/>
      <c r="F306" s="1141" t="str">
        <f>IF(E306=0,"",VLOOKUP(E306,'Tablas Técnicas'!$A$14:$V$771,2,FALSE))</f>
        <v/>
      </c>
      <c r="G306" s="1142"/>
      <c r="H306" s="1143" t="str">
        <f>IF($E306=0,"",VLOOKUP($E306,'Tablas Técnicas'!$A$14:$V$771,4,FALSE))</f>
        <v/>
      </c>
      <c r="I306" s="1144" t="s">
        <v>2234</v>
      </c>
      <c r="J306" s="1602" t="str">
        <f>IF(E306=0,"",VLOOKUP(E306,'Tablas Técnicas'!$A$14:$V$771,5,FALSE))</f>
        <v/>
      </c>
      <c r="K306" s="1146" t="str">
        <f>IF(I306="Si",IF(E306=0,"",VLOOKUP(E306,'Tablas Técnicas'!$A$14:$V$771,5,FALSE)),"")</f>
        <v/>
      </c>
      <c r="L306" s="1144" t="s">
        <v>2234</v>
      </c>
      <c r="M306" s="1602" t="str">
        <f>IF(E306=0,"",VLOOKUP(E306,'Tablas Técnicas'!$A$14:$V$771,6,FALSE))</f>
        <v/>
      </c>
      <c r="N306" s="1147" t="str">
        <f>IF(L306="Si",IF(E306=0,"",VLOOKUP(E306,'Tablas Técnicas'!$A$14:$V$771,6,FALSE)),"")</f>
        <v/>
      </c>
      <c r="O306" s="1144" t="s">
        <v>2234</v>
      </c>
      <c r="P306" s="1602" t="str">
        <f>IF(E306=0,"",VLOOKUP(E306,'Tablas Técnicas'!$A$14:$V$771,7,FALSE))</f>
        <v/>
      </c>
      <c r="Q306" s="1147" t="str">
        <f>IF(O306="Si",IF(E306=0,"",VLOOKUP(E306,'Tablas Técnicas'!$A$14:$V$771,7,FALSE)),"")</f>
        <v/>
      </c>
      <c r="R306" s="1145" t="str">
        <f>IF(E306=0,"",VLOOKUP(E306,'Tablas Técnicas'!$A$14:$V$771,8,FALSE))</f>
        <v/>
      </c>
      <c r="S306" s="1143" t="str">
        <f>IF(R306=$D$8,$D$8,IF(R306=2,2,IF(R306=3,3,R306)))</f>
        <v/>
      </c>
      <c r="T306" s="1146" t="str">
        <f>IF(E306=0,"",VLOOKUP(E306,'Tablas Técnicas'!$A$14:$V$771,9,FALSE))</f>
        <v/>
      </c>
      <c r="U306" s="1146" t="str">
        <f>IF(E306=0,"",VLOOKUP(E306,'Tablas Técnicas'!$A$14:$V$771,10,FALSE))</f>
        <v/>
      </c>
      <c r="V306" s="1141" t="str">
        <f>IF(E306=0,"",VLOOKUP(E306,'Tablas Técnicas'!$A$14:$V$771,11,FALSE))</f>
        <v/>
      </c>
      <c r="W306" s="1144"/>
      <c r="X306" s="1145" t="e">
        <f>VLOOKUP(E306,'Tablas Técnicas'!$A$14:$V$771,12,FALSE)</f>
        <v>#N/A</v>
      </c>
      <c r="Y306" s="1145" t="e">
        <f>IF(W306=X306,VLOOKUP(E306,'Tablas Técnicas'!$A$14:$V$771,13,FALSE),0)</f>
        <v>#N/A</v>
      </c>
      <c r="Z306" s="1145" t="e">
        <f>VLOOKUP(E306,'Tablas Técnicas'!$A$14:$V$771,14,FALSE)</f>
        <v>#N/A</v>
      </c>
      <c r="AA306" s="1145" t="e">
        <f>IF(W306=Z306,VLOOKUP(E306,'Tablas Técnicas'!$A$14:$V$616,15,FALSE),0)</f>
        <v>#N/A</v>
      </c>
      <c r="AB306" s="1145" t="e">
        <f>VLOOKUP(E306,'Tablas Técnicas'!$A$14:$V$771,16,FALSE)</f>
        <v>#N/A</v>
      </c>
      <c r="AC306" s="1145" t="e">
        <f>IF(W306=AB306,VLOOKUP(E306,'Tablas Técnicas'!$A$14:$V$616,17,FALSE),0)</f>
        <v>#N/A</v>
      </c>
      <c r="AD306" s="1145" t="e">
        <f>VLOOKUP(E306,'Tablas Técnicas'!$A$14:$V$771,18,FALSE)</f>
        <v>#N/A</v>
      </c>
      <c r="AE306" s="1145" t="e">
        <f>IF(W306=AD306,VLOOKUP(E306,'Tablas Técnicas'!$A$14:$V$771,19,FALSE),0)</f>
        <v>#N/A</v>
      </c>
      <c r="AF306" s="1147" t="str">
        <f>IF(E306=0,"",(Y306+AA306+AC306+AE306))</f>
        <v/>
      </c>
      <c r="AG306" s="1144"/>
      <c r="AH306" s="1145" t="e">
        <f>VLOOKUP(E306,'Tablas Técnicas'!$A$14:$V$771,12,FALSE)</f>
        <v>#N/A</v>
      </c>
      <c r="AI306" s="1145" t="e">
        <f>IF(AG306=AH306,VLOOKUP(E306,'Tablas Técnicas'!$A$14:$V$771,13,FALSE),0)</f>
        <v>#N/A</v>
      </c>
      <c r="AJ306" s="1145" t="e">
        <f>VLOOKUP(E306,'Tablas Técnicas'!$A$14:$V$771,14,FALSE)</f>
        <v>#N/A</v>
      </c>
      <c r="AK306" s="1145" t="e">
        <f>IF(AG306=AJ306,VLOOKUP(E306,'Tablas Técnicas'!$A$14:$V$771,15,FALSE),0)</f>
        <v>#N/A</v>
      </c>
      <c r="AL306" s="1145" t="e">
        <f>VLOOKUP(E306,'Tablas Técnicas'!$A$14:$V$771,16,FALSE)</f>
        <v>#N/A</v>
      </c>
      <c r="AM306" s="1145" t="e">
        <f>IF(AG306=AL306,VLOOKUP(E306,'Tablas Técnicas'!$A$14:$V$771,17,FALSE),0)</f>
        <v>#N/A</v>
      </c>
      <c r="AN306" s="1145" t="e">
        <f>VLOOKUP(E306,'Tablas Técnicas'!$A$14:$V$771,18,FALSE)</f>
        <v>#N/A</v>
      </c>
      <c r="AO306" s="1145" t="e">
        <f>IF(AG306=AN306,VLOOKUP(E306,'Tablas Técnicas'!$A$14:$V$771,19,FALSE),0)</f>
        <v>#N/A</v>
      </c>
      <c r="AP306" s="1147" t="str">
        <f>IF(E306=0,"",(AI306+AK306+AM306+AO306))</f>
        <v/>
      </c>
      <c r="AQ306" s="1144"/>
      <c r="AR306" s="1145" t="e">
        <f>VLOOKUP(E306,'Tablas Técnicas'!$A$14:$V$771,12,FALSE)</f>
        <v>#N/A</v>
      </c>
      <c r="AS306" s="1145" t="e">
        <f>IF(AQ306=AR306,VLOOKUP(E306,'Tablas Técnicas'!$A$14:$V$771,13,FALSE),0)</f>
        <v>#N/A</v>
      </c>
      <c r="AT306" s="1145" t="e">
        <f>VLOOKUP(E306,'Tablas Técnicas'!$A$14:$V$771,14,FALSE)</f>
        <v>#N/A</v>
      </c>
      <c r="AU306" s="1145" t="e">
        <f>IF(AQ306=AT306,VLOOKUP(E306,'Tablas Técnicas'!$A$14:$V$771,15,FALSE),0)</f>
        <v>#N/A</v>
      </c>
      <c r="AV306" s="1145" t="e">
        <f>VLOOKUP(E306,'Tablas Técnicas'!$A$14:$V$771,16,FALSE)</f>
        <v>#N/A</v>
      </c>
      <c r="AW306" s="1145" t="e">
        <f>IF(AQ306=AV306,VLOOKUP(E306,'Tablas Técnicas'!$A$14:$V$771,17,FALSE),0)</f>
        <v>#N/A</v>
      </c>
      <c r="AX306" s="1145" t="e">
        <f>VLOOKUP(E306,'Tablas Técnicas'!$A$14:$V$771,18,FALSE)</f>
        <v>#N/A</v>
      </c>
      <c r="AY306" s="1145" t="e">
        <f>IF(AQ306=AX306,VLOOKUP(E306,'Tablas Técnicas'!$A$14:$V$771,19,FALSE),0)</f>
        <v>#N/A</v>
      </c>
      <c r="AZ306" s="1146" t="str">
        <f>IF(E306=0,"",(AS306+AU306+AW306+AY306))</f>
        <v/>
      </c>
      <c r="BA306" s="1144"/>
      <c r="BB306" s="1145" t="e">
        <f>VLOOKUP(E306,'Tablas Técnicas'!$A$14:$V$771,12,FALSE)</f>
        <v>#N/A</v>
      </c>
      <c r="BC306" s="1145" t="e">
        <f>IF(BA306=BB306,VLOOKUP(E306,'Tablas Técnicas'!$A$14:$V$771,13,FALSE),0)</f>
        <v>#N/A</v>
      </c>
      <c r="BD306" s="1145" t="e">
        <f>VLOOKUP(E306,'Tablas Técnicas'!$A$14:$V$771,14,FALSE)</f>
        <v>#N/A</v>
      </c>
      <c r="BE306" s="1145" t="e">
        <f>IF(BA306=BD306,VLOOKUP(E306,'Tablas Técnicas'!$A$14:$V$771,15,FALSE),0)</f>
        <v>#N/A</v>
      </c>
      <c r="BF306" s="1145" t="e">
        <f>VLOOKUP(E306,'Tablas Técnicas'!$A$14:$V$771,16,FALSE)</f>
        <v>#N/A</v>
      </c>
      <c r="BG306" s="1145" t="e">
        <f>IF(BA306=BF306,VLOOKUP(E306,'Tablas Técnicas'!$A$14:$V$771,17,FALSE),0)</f>
        <v>#N/A</v>
      </c>
      <c r="BH306" s="1145" t="e">
        <f>VLOOKUP(E306,'Tablas Técnicas'!$A$14:$V$771,18,FALSE)</f>
        <v>#N/A</v>
      </c>
      <c r="BI306" s="1145" t="e">
        <f>IF(BA306=BH306,VLOOKUP(E306,'Tablas Técnicas'!$A$14:$V$771,19,FALSE),0)</f>
        <v>#N/A</v>
      </c>
      <c r="BJ306" s="1147" t="str">
        <f>IF(E306=0,"",(BC306+BE306+BG306+BI306))</f>
        <v/>
      </c>
      <c r="BK306" s="1146" t="str">
        <f>IF(E306=0,"",VLOOKUP(E306,'Tablas Técnicas'!$A$14:$V$771,20,FALSE))</f>
        <v/>
      </c>
      <c r="BL306" s="1146" t="str">
        <f>IF(E306=0,"",VLOOKUP(E306,'Tablas Técnicas'!$A$14:$V$771,21,FALSE))</f>
        <v/>
      </c>
      <c r="BM306" s="1148" t="str">
        <f>IF(E306=0,"",VLOOKUP(E306,'Tablas Técnicas'!$A$14:$V$771,22,FALSE))</f>
        <v/>
      </c>
      <c r="BN306" s="1149"/>
      <c r="BO306" s="1150"/>
      <c r="BP306" s="1135" t="str">
        <f>IF(I306="Si",VLOOKUP($D$8,'Tablas Técnicas'!$E$4:$F$6,2,FALSE),"")</f>
        <v/>
      </c>
      <c r="BQ306" s="1136" t="str">
        <f>IF(L306="Si",VLOOKUP($D$8,'Tablas Técnicas'!$I$4:$J$6,2,FALSE),"")</f>
        <v/>
      </c>
      <c r="BR306" s="1134" t="str">
        <f>IF(O306="Si",VLOOKUP($D$8,'Tablas Técnicas'!$I$7:$J$9,2,FALSE),"")</f>
        <v/>
      </c>
      <c r="BS306" s="1151"/>
      <c r="BT306" s="4448" t="s">
        <v>5227</v>
      </c>
      <c r="BU306" s="4449"/>
      <c r="BV306" s="1128"/>
      <c r="BW306" s="1108"/>
      <c r="BX306" s="1108"/>
      <c r="BY306" s="1474"/>
      <c r="BZ306" s="1492"/>
      <c r="CA306" s="1096"/>
      <c r="DR306" s="1096"/>
      <c r="DT306" s="1514"/>
      <c r="DU306" s="1565" t="str">
        <f>IF(BW319="N/A","",BT318&amp;" "&amp;BW319&amp;IF(BY319="N/A"," "," ("&amp;BY319&amp;") "))</f>
        <v/>
      </c>
      <c r="DV306" s="1566" t="str">
        <f>IF(E306="","",E306)&amp;IF(I306="No",""," (Mant.)")&amp;IF(L306="No",""," (Sme)")&amp;IF(O306="No",""," (SMa)")</f>
        <v/>
      </c>
      <c r="DW306" s="1567" t="str">
        <f>IF(E336="","",E336)</f>
        <v/>
      </c>
      <c r="DX306" s="445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13"/>
      <c r="DZ306" s="1096"/>
      <c r="EA306" s="1660">
        <f t="shared" si="4"/>
        <v>1</v>
      </c>
    </row>
    <row r="307" spans="1:131" ht="12.75" customHeight="1" x14ac:dyDescent="0.2">
      <c r="A307" s="1096"/>
      <c r="B307" s="1096"/>
      <c r="C307" s="1497"/>
      <c r="D307" s="1642" t="s">
        <v>2310</v>
      </c>
      <c r="E307" s="1152"/>
      <c r="F307" s="1153" t="str">
        <f>IF(E307=0,"",VLOOKUP(E307,'Tablas Técnicas'!$A$14:$V$771,2,FALSE))</f>
        <v/>
      </c>
      <c r="G307" s="1154"/>
      <c r="H307" s="1155" t="str">
        <f>IF($E307=0,"",VLOOKUP($E307,'Tablas Técnicas'!$A$14:$V$771,4,FALSE))</f>
        <v/>
      </c>
      <c r="I307" s="1156" t="s">
        <v>2234</v>
      </c>
      <c r="J307" s="1605" t="str">
        <f>IF(E307=0,"",VLOOKUP(E307,'Tablas Técnicas'!$A$14:$V$771,5,FALSE))</f>
        <v/>
      </c>
      <c r="K307" s="1158" t="str">
        <f>IF(I307="Si",IF(E307=0,"",VLOOKUP(E307,'Tablas Técnicas'!$A$14:$V$771,5,FALSE)),"")</f>
        <v/>
      </c>
      <c r="L307" s="1156" t="s">
        <v>2234</v>
      </c>
      <c r="M307" s="1605" t="str">
        <f>IF(E307=0,"",VLOOKUP(E307,'Tablas Técnicas'!$A$14:$V$771,6,FALSE))</f>
        <v/>
      </c>
      <c r="N307" s="1159" t="str">
        <f>IF(L307="Si",IF(E307=0,"",VLOOKUP(E307,'Tablas Técnicas'!$A$14:$V$771,6,FALSE)),"")</f>
        <v/>
      </c>
      <c r="O307" s="1156" t="s">
        <v>2234</v>
      </c>
      <c r="P307" s="1605" t="str">
        <f>IF(E307=0,"",VLOOKUP(E307,'Tablas Técnicas'!$A$14:$V$771,7,FALSE))</f>
        <v/>
      </c>
      <c r="Q307" s="1159" t="str">
        <f>IF(O307="Si",IF(E307=0,"",VLOOKUP(E307,'Tablas Técnicas'!$A$14:$V$771,7,FALSE)),"")</f>
        <v/>
      </c>
      <c r="R307" s="1157" t="str">
        <f>IF(E307=0,"",VLOOKUP(E307,'Tablas Técnicas'!$A$14:$V$771,8,FALSE))</f>
        <v/>
      </c>
      <c r="S307" s="1155" t="str">
        <f>IF(R307=$D$8,$D$8,IF(R307=2,2,IF(R307=3,3,R307)))</f>
        <v/>
      </c>
      <c r="T307" s="4475" t="s">
        <v>5228</v>
      </c>
      <c r="U307" s="4476"/>
      <c r="V307" s="4476"/>
      <c r="W307" s="4476"/>
      <c r="X307" s="4476"/>
      <c r="Y307" s="4476"/>
      <c r="Z307" s="4476"/>
      <c r="AA307" s="4476"/>
      <c r="AB307" s="4476"/>
      <c r="AC307" s="4476"/>
      <c r="AD307" s="4476"/>
      <c r="AE307" s="4476"/>
      <c r="AF307" s="4476"/>
      <c r="AG307" s="4476"/>
      <c r="AH307" s="4476"/>
      <c r="AI307" s="4476"/>
      <c r="AJ307" s="4476"/>
      <c r="AK307" s="4476"/>
      <c r="AL307" s="4476"/>
      <c r="AM307" s="4476"/>
      <c r="AN307" s="4476"/>
      <c r="AO307" s="4476"/>
      <c r="AP307" s="4476"/>
      <c r="AQ307" s="4476"/>
      <c r="AR307" s="4476"/>
      <c r="AS307" s="4476"/>
      <c r="AT307" s="4476"/>
      <c r="AU307" s="4476"/>
      <c r="AV307" s="4476"/>
      <c r="AW307" s="4476"/>
      <c r="AX307" s="4476"/>
      <c r="AY307" s="4476"/>
      <c r="AZ307" s="4476"/>
      <c r="BA307" s="4476"/>
      <c r="BB307" s="4476"/>
      <c r="BC307" s="4476"/>
      <c r="BD307" s="4476"/>
      <c r="BE307" s="4476"/>
      <c r="BF307" s="4476"/>
      <c r="BG307" s="4476"/>
      <c r="BH307" s="4476"/>
      <c r="BI307" s="4476"/>
      <c r="BJ307" s="4476"/>
      <c r="BK307" s="4477"/>
      <c r="BL307" s="1627"/>
      <c r="BM307" s="1628"/>
      <c r="BN307" s="1149"/>
      <c r="BO307" s="1150"/>
      <c r="BP307" s="1135" t="str">
        <f>IF(I307="Si",VLOOKUP($D$8,'Tablas Técnicas'!$E$4:$F$6,2,FALSE),"")</f>
        <v/>
      </c>
      <c r="BQ307" s="1136" t="str">
        <f>IF(L307="Si",VLOOKUP($D$8,'Tablas Técnicas'!$I$4:$J$6,2,FALSE),"")</f>
        <v/>
      </c>
      <c r="BR307" s="1134" t="str">
        <f>IF(O307="Si",VLOOKUP($D$8,'Tablas Técnicas'!$I$7:$J$9,2,FALSE),"")</f>
        <v/>
      </c>
      <c r="BS307" s="1151"/>
      <c r="BT307" s="445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51"/>
      <c r="BV307" s="1128"/>
      <c r="BW307" s="1108"/>
      <c r="BX307" s="1108"/>
      <c r="BY307" s="1474"/>
      <c r="BZ307" s="1492"/>
      <c r="CA307" s="1096"/>
      <c r="DR307" s="1096"/>
      <c r="DT307" s="1514"/>
      <c r="DU307" s="1565" t="str">
        <f>IF(BW321="N/A","",BT320&amp;" "&amp;BW321&amp;IF(BY321="N/A"," "," ("&amp;BY321&amp;") "))</f>
        <v/>
      </c>
      <c r="DV307" s="1566" t="str">
        <f>IF(E307="",""," "&amp;E307)&amp;IF(I307="No",""," (Mant.)")&amp;IF(L307="No",""," (Sme)")&amp;IF(O307="No",""," (SMa)")</f>
        <v/>
      </c>
      <c r="DW307" s="1567" t="str">
        <f>IF(E337="","",", "&amp;E337)</f>
        <v/>
      </c>
      <c r="DX307" s="4454"/>
      <c r="DY307" s="1513"/>
      <c r="DZ307" s="1096"/>
      <c r="EA307" s="1660">
        <f t="shared" si="4"/>
        <v>1</v>
      </c>
    </row>
    <row r="308" spans="1:131" x14ac:dyDescent="0.2">
      <c r="A308" s="1096"/>
      <c r="B308" s="1096"/>
      <c r="C308" s="1497"/>
      <c r="D308" s="1643" t="s">
        <v>2310</v>
      </c>
      <c r="E308" s="1160"/>
      <c r="F308" s="2619" t="str">
        <f>IF(E308=0,"",VLOOKUP(E308,'Tablas Técnicas'!$A$14:$V$771,2,FALSE))</f>
        <v/>
      </c>
      <c r="G308" s="1142"/>
      <c r="H308" s="1161" t="str">
        <f>IF($E308=0,"",VLOOKUP($E308,'Tablas Técnicas'!$A$14:$V$771,4,FALSE))</f>
        <v/>
      </c>
      <c r="I308" s="1144" t="s">
        <v>2234</v>
      </c>
      <c r="J308" s="1601" t="str">
        <f>IF(E308=0,"",VLOOKUP(E308,'Tablas Técnicas'!$A$14:$V$771,5,FALSE))</f>
        <v/>
      </c>
      <c r="K308" s="1163" t="str">
        <f>IF(I308="Si",IF(E308=0,"",VLOOKUP(E308,'Tablas Técnicas'!$A$14:$V$771,5,FALSE)),"")</f>
        <v/>
      </c>
      <c r="L308" s="1144" t="s">
        <v>2234</v>
      </c>
      <c r="M308" s="1601" t="str">
        <f>IF(E308=0,"",VLOOKUP(E308,'Tablas Técnicas'!$A$14:$V$771,6,FALSE))</f>
        <v/>
      </c>
      <c r="N308" s="1147" t="str">
        <f>IF(L308="Si",IF(E308=0,"",VLOOKUP(E308,'Tablas Técnicas'!$A$14:$V$771,6,FALSE)),"")</f>
        <v/>
      </c>
      <c r="O308" s="1144" t="s">
        <v>2234</v>
      </c>
      <c r="P308" s="1601" t="str">
        <f>IF(E308=0,"",VLOOKUP(E308,'Tablas Técnicas'!$A$14:$V$771,7,FALSE))</f>
        <v/>
      </c>
      <c r="Q308" s="1147" t="str">
        <f>IF(O308="Si",IF(E308=0,"",VLOOKUP(E308,'Tablas Técnicas'!$A$14:$V$771,7,FALSE)),"")</f>
        <v/>
      </c>
      <c r="R308" s="1162" t="str">
        <f>IF(E308=0,"",VLOOKUP(E308,'Tablas Técnicas'!$A$14:$V$771,8,FALSE))</f>
        <v/>
      </c>
      <c r="S308" s="2619" t="str">
        <f>IF(R308=$D$8,$D$8,IF(R308=2,2,IF(R308=3,3,R308)))</f>
        <v/>
      </c>
      <c r="T308" s="4487"/>
      <c r="U308" s="4488"/>
      <c r="V308" s="2617" t="str">
        <f>IF(OR(V306=0,V306=""),"N/A",V306)</f>
        <v>N/A</v>
      </c>
      <c r="W308" s="4487" t="str">
        <f xml:space="preserve"> IF(OR(AF306=0,AF306=""),"N/A",W306)</f>
        <v>N/A</v>
      </c>
      <c r="X308" s="4489"/>
      <c r="Y308" s="4489"/>
      <c r="Z308" s="4489"/>
      <c r="AA308" s="4489"/>
      <c r="AB308" s="4489"/>
      <c r="AC308" s="4489"/>
      <c r="AD308" s="4489"/>
      <c r="AE308" s="4489"/>
      <c r="AF308" s="4488"/>
      <c r="AG308" s="4487" t="str">
        <f xml:space="preserve"> IF(OR(AP306="",AP306=0),"N/A",AG306)</f>
        <v>N/A</v>
      </c>
      <c r="AH308" s="4489"/>
      <c r="AI308" s="4489"/>
      <c r="AJ308" s="4489"/>
      <c r="AK308" s="4489"/>
      <c r="AL308" s="4489"/>
      <c r="AM308" s="4489"/>
      <c r="AN308" s="4489"/>
      <c r="AO308" s="4489"/>
      <c r="AP308" s="4488"/>
      <c r="AQ308" s="4487" t="str">
        <f xml:space="preserve"> IF(OR(AZ306="",AZ306=0),"N/A",AQ306)</f>
        <v>N/A</v>
      </c>
      <c r="AR308" s="4489"/>
      <c r="AS308" s="4489"/>
      <c r="AT308" s="4489"/>
      <c r="AU308" s="4489"/>
      <c r="AV308" s="4489"/>
      <c r="AW308" s="4489"/>
      <c r="AX308" s="4489"/>
      <c r="AY308" s="4489"/>
      <c r="AZ308" s="4488"/>
      <c r="BA308" s="4487" t="str">
        <f xml:space="preserve"> IF(OR(BJ306="",BJ306=0),"N/A",BA306)</f>
        <v>N/A</v>
      </c>
      <c r="BB308" s="4489"/>
      <c r="BC308" s="4489"/>
      <c r="BD308" s="4489"/>
      <c r="BE308" s="4489"/>
      <c r="BF308" s="4489"/>
      <c r="BG308" s="4489"/>
      <c r="BH308" s="4489"/>
      <c r="BI308" s="4489"/>
      <c r="BJ308" s="4488"/>
      <c r="BK308" s="1164" t="s">
        <v>5229</v>
      </c>
      <c r="BL308" s="1146"/>
      <c r="BM308" s="1181"/>
      <c r="BN308" s="1165"/>
      <c r="BO308" s="1166"/>
      <c r="BP308" s="1167" t="str">
        <f>IF(I308="Si",VLOOKUP($D$8,'Tablas Técnicas'!$E$4:$F$6,2,FALSE),"")</f>
        <v/>
      </c>
      <c r="BQ308" s="1137" t="str">
        <f>IF(L308="Si",VLOOKUP($D$8,'Tablas Técnicas'!$I$4:$J$6,2,FALSE),"")</f>
        <v/>
      </c>
      <c r="BR308" s="1168" t="str">
        <f>IF(O308="Si",VLOOKUP($D$8,'Tablas Técnicas'!$I$7:$J$9,2,FALSE),"")</f>
        <v/>
      </c>
      <c r="BS308" s="1169"/>
      <c r="BU308" s="2608"/>
      <c r="BV308" s="1128"/>
      <c r="BW308" s="1108"/>
      <c r="BX308" s="1108"/>
      <c r="BY308" s="1474"/>
      <c r="BZ308" s="1492"/>
      <c r="CA308" s="1096"/>
      <c r="DR308" s="1096"/>
      <c r="DT308" s="1514"/>
      <c r="DU308" s="1565" t="str">
        <f>IF(BW323="N/A","",BT322&amp;" "&amp;BW323&amp;IF(BY323="N/A"," "," ("&amp;BY323&amp;") "))</f>
        <v/>
      </c>
      <c r="DV308" s="1566" t="str">
        <f>IF(E308="","",E308)&amp;IF(I308="No",""," (Mant.)")&amp;IF(L308="No",""," (Sme)")&amp;IF(O308="No",""," (SMa)")</f>
        <v/>
      </c>
      <c r="DW308" s="1567" t="str">
        <f>IF(E338="","",", "&amp;E338)</f>
        <v/>
      </c>
      <c r="DX308" s="4454"/>
      <c r="DY308" s="1513"/>
      <c r="DZ308" s="1096"/>
      <c r="EA308" s="1660">
        <f t="shared" si="4"/>
        <v>1</v>
      </c>
    </row>
    <row r="309" spans="1:131" x14ac:dyDescent="0.2">
      <c r="A309" s="1096"/>
      <c r="B309" s="1096"/>
      <c r="C309" s="1497"/>
      <c r="D309" s="1642" t="s">
        <v>2310</v>
      </c>
      <c r="E309" s="1152"/>
      <c r="F309" s="1153" t="str">
        <f>IF(E309=0,"",VLOOKUP(E309,'Tablas Técnicas'!$A$14:$V$771,2,FALSE))</f>
        <v/>
      </c>
      <c r="G309" s="1154"/>
      <c r="H309" s="1155" t="str">
        <f>IF($E309=0,"",VLOOKUP($E309,'Tablas Técnicas'!$A$14:$V$771,4,FALSE))</f>
        <v/>
      </c>
      <c r="I309" s="1156" t="s">
        <v>2234</v>
      </c>
      <c r="J309" s="1605" t="str">
        <f>IF(E309=0,"",VLOOKUP(E309,'Tablas Técnicas'!$A$14:$V$771,5,FALSE))</f>
        <v/>
      </c>
      <c r="K309" s="1158" t="str">
        <f>IF(I309="Si",IF(E309=0,"",VLOOKUP(E309,'Tablas Técnicas'!$A$14:$V$771,5,FALSE)),"")</f>
        <v/>
      </c>
      <c r="L309" s="1156" t="s">
        <v>2234</v>
      </c>
      <c r="M309" s="1605" t="str">
        <f>IF(E309=0,"",VLOOKUP(E309,'Tablas Técnicas'!$A$14:$V$771,6,FALSE))</f>
        <v/>
      </c>
      <c r="N309" s="1159" t="str">
        <f>IF(L309="Si",IF(E309=0,"",VLOOKUP(E309,'Tablas Técnicas'!$A$14:$V$771,6,FALSE)),"")</f>
        <v/>
      </c>
      <c r="O309" s="1156" t="s">
        <v>2234</v>
      </c>
      <c r="P309" s="1605" t="str">
        <f>IF(E309=0,"",VLOOKUP(E309,'Tablas Técnicas'!$A$14:$V$771,7,FALSE))</f>
        <v/>
      </c>
      <c r="Q309" s="1159" t="str">
        <f>IF(O309="Si",IF(E309=0,"",VLOOKUP(E309,'Tablas Técnicas'!$A$14:$V$771,7,FALSE)),"")</f>
        <v/>
      </c>
      <c r="R309" s="1157" t="str">
        <f>IF(E309=0,"",VLOOKUP(E309,'Tablas Técnicas'!$A$14:$V$771,8,FALSE))</f>
        <v/>
      </c>
      <c r="S309" s="1155" t="str">
        <f>IF(R309=$D$8,$D$8,IF(R309=2,2,IF(R309=3,3,R309)))</f>
        <v/>
      </c>
      <c r="T309" s="4490" t="s">
        <v>5230</v>
      </c>
      <c r="U309" s="4491"/>
      <c r="V309" s="2618"/>
      <c r="W309" s="4492"/>
      <c r="X309" s="4493"/>
      <c r="Y309" s="4493"/>
      <c r="Z309" s="4493"/>
      <c r="AA309" s="4493"/>
      <c r="AB309" s="4493"/>
      <c r="AC309" s="4493"/>
      <c r="AD309" s="4493"/>
      <c r="AE309" s="4493"/>
      <c r="AF309" s="4494"/>
      <c r="AG309" s="4492"/>
      <c r="AH309" s="4493"/>
      <c r="AI309" s="4493"/>
      <c r="AJ309" s="4493"/>
      <c r="AK309" s="4493"/>
      <c r="AL309" s="4493"/>
      <c r="AM309" s="4493"/>
      <c r="AN309" s="4493"/>
      <c r="AO309" s="4493"/>
      <c r="AP309" s="4494"/>
      <c r="AQ309" s="4492"/>
      <c r="AR309" s="4493"/>
      <c r="AS309" s="4493"/>
      <c r="AT309" s="4493"/>
      <c r="AU309" s="4493"/>
      <c r="AV309" s="4493"/>
      <c r="AW309" s="4493"/>
      <c r="AX309" s="4493"/>
      <c r="AY309" s="4493"/>
      <c r="AZ309" s="4494"/>
      <c r="BA309" s="4492"/>
      <c r="BB309" s="4493"/>
      <c r="BC309" s="4493"/>
      <c r="BD309" s="4493"/>
      <c r="BE309" s="4493"/>
      <c r="BF309" s="4493"/>
      <c r="BG309" s="4493"/>
      <c r="BH309" s="4493"/>
      <c r="BI309" s="4493"/>
      <c r="BJ309" s="4494"/>
      <c r="BK309" s="1155">
        <f>(SUM(F306:F310)+IF(AF306="",0,AF306)+IF(AP306="",0,AP306)+IF(AZ306="",0,AZ306)+IF(BJ306="",0,BJ306)+SUM(K306:K310)+SUM(N306:N310)+SUM(Q306:Q310))- SUM(V309:BA309)</f>
        <v>0</v>
      </c>
      <c r="BL309" s="1627"/>
      <c r="BM309" s="1628"/>
      <c r="BN309" s="1149"/>
      <c r="BO309" s="1150"/>
      <c r="BP309" s="1135" t="str">
        <f>IF(I309="Si",VLOOKUP($D$8,'Tablas Técnicas'!$E$4:$F$6,2,FALSE),"")</f>
        <v/>
      </c>
      <c r="BQ309" s="1136" t="str">
        <f>IF(L309="Si",VLOOKUP($D$8,'Tablas Técnicas'!$I$4:$J$6,2,FALSE),"")</f>
        <v/>
      </c>
      <c r="BR309" s="1134" t="str">
        <f>IF(O309="Si",VLOOKUP($D$8,'Tablas Técnicas'!$I$7:$J$9,2,FALSE),"")</f>
        <v/>
      </c>
      <c r="BS309" s="1151"/>
      <c r="BT309" s="4448" t="s">
        <v>5231</v>
      </c>
      <c r="BU309" s="4449"/>
      <c r="BV309" s="1128"/>
      <c r="BW309" s="1108"/>
      <c r="BX309" s="1108"/>
      <c r="BY309" s="1474"/>
      <c r="BZ309" s="1492"/>
      <c r="CA309" s="1096"/>
      <c r="DR309" s="1096"/>
      <c r="DT309" s="1514"/>
      <c r="DU309" s="1565" t="str">
        <f>IF(BW325="N/A","",BT324&amp;" "&amp;BW325&amp;IF(BY325="N/A"," "," ("&amp;BY325&amp;") "))</f>
        <v/>
      </c>
      <c r="DV309" s="1566" t="str">
        <f>IF(E309="","",E309)&amp;IF(I309="No",""," (Mant.)")&amp;IF(L309="No",""," (Sme)")&amp;IF(O309="No",""," (SMa)")</f>
        <v/>
      </c>
      <c r="DW309" s="1567"/>
      <c r="DX309" s="4454"/>
      <c r="DY309" s="1513"/>
      <c r="DZ309" s="1096"/>
      <c r="EA309" s="1660">
        <f t="shared" si="4"/>
        <v>1</v>
      </c>
    </row>
    <row r="310" spans="1:131" x14ac:dyDescent="0.2">
      <c r="A310" s="1096"/>
      <c r="B310" s="1096"/>
      <c r="C310" s="1497"/>
      <c r="D310" s="1643" t="s">
        <v>2310</v>
      </c>
      <c r="E310" s="1160"/>
      <c r="F310" s="2619" t="str">
        <f>IF(E310=0,"",VLOOKUP(E310,'Tablas Técnicas'!$A$14:$V$771,2,FALSE))</f>
        <v/>
      </c>
      <c r="G310" s="1142"/>
      <c r="H310" s="1161" t="str">
        <f>IF($E310=0,"",VLOOKUP($E310,'Tablas Técnicas'!$A$14:$V$771,4,FALSE))</f>
        <v/>
      </c>
      <c r="I310" s="1144" t="s">
        <v>2234</v>
      </c>
      <c r="J310" s="1601" t="str">
        <f>IF(E310=0,"",VLOOKUP(E310,'Tablas Técnicas'!$A$14:$V$771,5,FALSE))</f>
        <v/>
      </c>
      <c r="K310" s="1163" t="str">
        <f>IF(I310="Si",IF(E310=0,"",VLOOKUP(E310,'Tablas Técnicas'!$A$14:$V$771,5,FALSE)),"")</f>
        <v/>
      </c>
      <c r="L310" s="1144" t="s">
        <v>2234</v>
      </c>
      <c r="M310" s="1601" t="str">
        <f>IF(E310=0,"",VLOOKUP(E310,'Tablas Técnicas'!$A$14:$V$771,6,FALSE))</f>
        <v/>
      </c>
      <c r="N310" s="1147" t="str">
        <f>IF(L310="Si",IF(E310=0,"",VLOOKUP(E310,'Tablas Técnicas'!$A$14:$V$771,6,FALSE)),"")</f>
        <v/>
      </c>
      <c r="O310" s="1144" t="s">
        <v>2234</v>
      </c>
      <c r="P310" s="1601" t="str">
        <f>IF(E310=0,"",VLOOKUP(E310,'Tablas Técnicas'!$A$14:$V$771,7,FALSE))</f>
        <v/>
      </c>
      <c r="Q310" s="1147" t="str">
        <f>IF(O310="Si",IF(E310=0,"",VLOOKUP(E310,'Tablas Técnicas'!$A$14:$V$771,7,FALSE)),"")</f>
        <v/>
      </c>
      <c r="R310" s="1162" t="str">
        <f>IF(E310=0,"",VLOOKUP(E310,'Tablas Técnicas'!$A$14:$V$771,8,FALSE))</f>
        <v/>
      </c>
      <c r="S310" s="1161" t="str">
        <f>IF(R310=$D$8,$D$8,IF(R310=2,2,IF(R310=3,3,R310)))</f>
        <v/>
      </c>
      <c r="T310" s="4482" t="s">
        <v>5232</v>
      </c>
      <c r="U310" s="4483"/>
      <c r="V310" s="2616"/>
      <c r="W310" s="4484"/>
      <c r="X310" s="4485"/>
      <c r="Y310" s="4485"/>
      <c r="Z310" s="4485"/>
      <c r="AA310" s="4485"/>
      <c r="AB310" s="4485"/>
      <c r="AC310" s="4485"/>
      <c r="AD310" s="4485"/>
      <c r="AE310" s="4485"/>
      <c r="AF310" s="4486"/>
      <c r="AG310" s="4484"/>
      <c r="AH310" s="4485"/>
      <c r="AI310" s="4485"/>
      <c r="AJ310" s="4485"/>
      <c r="AK310" s="4485"/>
      <c r="AL310" s="4485"/>
      <c r="AM310" s="4485"/>
      <c r="AN310" s="4485"/>
      <c r="AO310" s="4485"/>
      <c r="AP310" s="4486"/>
      <c r="AQ310" s="4484"/>
      <c r="AR310" s="4485"/>
      <c r="AS310" s="4485"/>
      <c r="AT310" s="4485"/>
      <c r="AU310" s="4485"/>
      <c r="AV310" s="4485"/>
      <c r="AW310" s="4485"/>
      <c r="AX310" s="4485"/>
      <c r="AY310" s="4485"/>
      <c r="AZ310" s="4486"/>
      <c r="BA310" s="4484"/>
      <c r="BB310" s="4485"/>
      <c r="BC310" s="4485"/>
      <c r="BD310" s="4485"/>
      <c r="BE310" s="4485"/>
      <c r="BF310" s="4485"/>
      <c r="BG310" s="4485"/>
      <c r="BH310" s="4485"/>
      <c r="BI310" s="4485"/>
      <c r="BJ310" s="4486"/>
      <c r="BK310" s="1171">
        <f>SUM(K306:K310)-SUM(V310:BA310)</f>
        <v>0</v>
      </c>
      <c r="BL310" s="1629"/>
      <c r="BM310" s="1630"/>
      <c r="BN310" s="1165"/>
      <c r="BO310" s="1166"/>
      <c r="BP310" s="1167" t="str">
        <f>IF(I310="Si",VLOOKUP($D$8,'Tablas Técnicas'!$E$4:$F$6,2,FALSE),"")</f>
        <v/>
      </c>
      <c r="BQ310" s="1137" t="str">
        <f>IF(L310="Si",VLOOKUP($D$8,'Tablas Técnicas'!$I$4:$J$6,2,FALSE),"")</f>
        <v/>
      </c>
      <c r="BR310" s="1168" t="str">
        <f>IF(O310="Si",VLOOKUP($D$8,'Tablas Técnicas'!$I$7:$J$9,2,FALSE),"")</f>
        <v/>
      </c>
      <c r="BS310" s="1169"/>
      <c r="BT310" s="4452" t="s">
        <v>2234</v>
      </c>
      <c r="BU310" s="4453"/>
      <c r="BV310" s="1128"/>
      <c r="BW310" s="1108"/>
      <c r="BX310" s="1108"/>
      <c r="BY310" s="1474"/>
      <c r="BZ310" s="1492"/>
      <c r="CA310" s="1096"/>
      <c r="DR310" s="1096"/>
      <c r="DT310" s="1514"/>
      <c r="DU310" s="1565" t="str">
        <f>IF(BW327="N/A","",BT326&amp;" "&amp;BW327&amp;IF(BY327="N/A"," "," ("&amp;BY327&amp;") "))</f>
        <v/>
      </c>
      <c r="DV310" s="1566" t="str">
        <f>IF(E310="","",E310)&amp;IF(I310="No",""," (Mant.)")&amp;IF(L310="No",""," (Sme)")&amp;IF(O310="No",""," (SMa)")</f>
        <v/>
      </c>
      <c r="DW310" s="1567"/>
      <c r="DX310" s="4454"/>
      <c r="DY310" s="1513"/>
      <c r="DZ310" s="1096"/>
      <c r="EA310" s="1660">
        <f t="shared" si="4"/>
        <v>1</v>
      </c>
    </row>
    <row r="311" spans="1:131" x14ac:dyDescent="0.2">
      <c r="A311" s="1096"/>
      <c r="B311" s="159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97"/>
      <c r="D311" s="1644">
        <v>2</v>
      </c>
      <c r="E311" s="1423"/>
      <c r="F311" s="1173"/>
      <c r="G311" s="1174"/>
      <c r="H311" s="2559">
        <f>IF(AND(OR(ISNUMBER(SEARCH("Afinidad Elemental ("&amp;BK306&amp;")",Principal!$AF$30)),ISNUMBER(SEARCH("Afinidad Elemental ("&amp;BL306&amp;")",Principal!$AF$30)),ISNUMBER(SEARCH("Afinidad Elemental ("&amp;BM306&amp;")",Principal!$AF$30))),SUM(H306:H310)&gt;=5),-5,0)</f>
        <v>0</v>
      </c>
      <c r="I311" s="1603"/>
      <c r="J311" s="1606"/>
      <c r="K311" s="1174"/>
      <c r="L311" s="1603"/>
      <c r="M311" s="1606"/>
      <c r="N311" s="1174"/>
      <c r="O311" s="1603"/>
      <c r="P311" s="1606"/>
      <c r="Q311" s="1174"/>
      <c r="R311" s="1175"/>
      <c r="S311" s="1174"/>
      <c r="T311" s="1174"/>
      <c r="U311" s="1131"/>
      <c r="V311" s="1131"/>
      <c r="W311" s="1131"/>
      <c r="X311" s="1131"/>
      <c r="Y311" s="1131"/>
      <c r="Z311" s="1131"/>
      <c r="AA311" s="1131"/>
      <c r="AB311" s="1131"/>
      <c r="AC311" s="1131"/>
      <c r="AD311" s="1131"/>
      <c r="AE311" s="1131"/>
      <c r="AF311" s="1131"/>
      <c r="AG311" s="1131"/>
      <c r="AH311" s="1131"/>
      <c r="AI311" s="1131"/>
      <c r="AJ311" s="1131"/>
      <c r="AK311" s="1131"/>
      <c r="AL311" s="1131"/>
      <c r="AM311" s="1131"/>
      <c r="AN311" s="1131"/>
      <c r="AO311" s="1131"/>
      <c r="AP311" s="1131"/>
      <c r="AQ311" s="1131"/>
      <c r="AR311" s="1131"/>
      <c r="AS311" s="1131"/>
      <c r="AT311" s="1131"/>
      <c r="AU311" s="1131"/>
      <c r="AV311" s="1131"/>
      <c r="AW311" s="1131"/>
      <c r="AX311" s="1131"/>
      <c r="AY311" s="1131"/>
      <c r="AZ311" s="1131"/>
      <c r="BA311" s="1131"/>
      <c r="BB311" s="1131"/>
      <c r="BC311" s="1131"/>
      <c r="BD311" s="1131"/>
      <c r="BE311" s="1131"/>
      <c r="BF311" s="1131"/>
      <c r="BG311" s="1131"/>
      <c r="BH311" s="1131"/>
      <c r="BI311" s="1131"/>
      <c r="BJ311" s="1131"/>
      <c r="BK311" s="1131"/>
      <c r="BL311" s="1131"/>
      <c r="BM311" s="1133"/>
      <c r="BN311" s="1134">
        <f>SUM(K311:K314)</f>
        <v>0</v>
      </c>
      <c r="BO311" s="1128" t="str">
        <f>IF(E311=0,"",(AF311+AP311+AZ311+BJ311))</f>
        <v/>
      </c>
      <c r="BP311" s="1135" t="str">
        <f>IF(I311="Si",VLOOKUP($D$8,'Tablas Técnicas'!$E$4:$F$6,2,FALSE),"")</f>
        <v/>
      </c>
      <c r="BQ311" s="1136" t="str">
        <f>IF(L311="Si",VLOOKUP($D$8,'Tablas Técnicas'!$I$4:$J$6,2,FALSE),"")</f>
        <v/>
      </c>
      <c r="BR311" s="1134" t="str">
        <f>IF(O311="Si",VLOOKUP($D$8,'Tablas Técnicas'!$I$7:$J$9,2,FALSE),"")</f>
        <v/>
      </c>
      <c r="BS311" s="1151"/>
      <c r="BT311" s="4448" t="s">
        <v>5233</v>
      </c>
      <c r="BU311" s="4449"/>
      <c r="BV311" s="1128"/>
      <c r="BW311" s="1108"/>
      <c r="BX311" s="1108"/>
      <c r="BY311" s="1474"/>
      <c r="BZ311" s="1492"/>
      <c r="CA311" s="1096"/>
      <c r="DR311" s="1096"/>
      <c r="DT311" s="1514"/>
      <c r="DU311" s="1565" t="str">
        <f>IF(BW329="N/A","",BT328&amp;" "&amp;BW329&amp;IF(BY329="N/A"," "," ("&amp;BY329&amp;") "))</f>
        <v/>
      </c>
      <c r="DV311" s="1570"/>
      <c r="DW311" s="1567"/>
      <c r="DX311" s="1617" t="s">
        <v>2373</v>
      </c>
      <c r="DY311" s="1513"/>
      <c r="DZ311" s="1096"/>
      <c r="EA311" s="1660">
        <f t="shared" si="4"/>
        <v>1</v>
      </c>
    </row>
    <row r="312" spans="1:131" x14ac:dyDescent="0.2">
      <c r="A312" s="1096"/>
      <c r="B312" s="1096"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97"/>
      <c r="D312" s="1643" t="s">
        <v>2310</v>
      </c>
      <c r="E312" s="1140"/>
      <c r="F312" s="1176"/>
      <c r="G312" s="1146" t="str">
        <f>IF(E312=0,"",VLOOKUP(E312,'Tablas Técnicas'!$A$14:$V$771,3,FALSE))</f>
        <v/>
      </c>
      <c r="H312" s="1178" t="str">
        <f>IF($E312=0,"",VLOOKUP($E312,'Tablas Técnicas'!$A$14:$V$771,4,FALSE))</f>
        <v/>
      </c>
      <c r="I312" s="1144" t="s">
        <v>2234</v>
      </c>
      <c r="J312" s="1604" t="str">
        <f>IF(E312=0,"",VLOOKUP(E312,'Tablas Técnicas'!$A$14:$V$771,5,FALSE))</f>
        <v/>
      </c>
      <c r="K312" s="1177" t="str">
        <f>IF(I312="Si",IF(E312=0,"",VLOOKUP(E312,'Tablas Técnicas'!$A$14:$V$771,5,FALSE)),"")</f>
        <v/>
      </c>
      <c r="L312" s="1144" t="s">
        <v>2234</v>
      </c>
      <c r="M312" s="1604" t="str">
        <f>IF(E312=0,"",VLOOKUP(E312,'Tablas Técnicas'!$A$14:$V$771,6,FALSE))</f>
        <v/>
      </c>
      <c r="N312" s="1147" t="str">
        <f>IF(L312="Si",IF(E312=0,"",VLOOKUP(E312,'Tablas Técnicas'!$A$14:$V$771,6,FALSE)),"")</f>
        <v/>
      </c>
      <c r="O312" s="1144" t="s">
        <v>2234</v>
      </c>
      <c r="P312" s="1604" t="str">
        <f>IF(E312=0,"",VLOOKUP(E312,'Tablas Técnicas'!$A$14:$V$771,7,FALSE))</f>
        <v/>
      </c>
      <c r="Q312" s="1147" t="str">
        <f>IF(O312="Si",IF(E312=0,"",VLOOKUP(E312,'Tablas Técnicas'!$A$14:$V$771,7,FALSE)),"")</f>
        <v/>
      </c>
      <c r="R312" s="1179" t="str">
        <f>IF(E312=0,"",VLOOKUP(E312,'Tablas Técnicas'!$A$14:$V$771,8,FALSE))</f>
        <v/>
      </c>
      <c r="S312" s="1178" t="str">
        <f>IF(R312=$D$8,$D$8,IF(R312=2,2,IF(R312=3,3,R312)))</f>
        <v/>
      </c>
      <c r="T312" s="1146" t="str">
        <f>IF(E312=0,"",VLOOKUP(E312,'Tablas Técnicas'!$A$14:$V$771,9,FALSE))</f>
        <v/>
      </c>
      <c r="U312" s="1146" t="str">
        <f>IF(E312=0,"",VLOOKUP(E312,'Tablas Técnicas'!$A$14:$V$771,10,FALSE))</f>
        <v/>
      </c>
      <c r="V312" s="1141" t="str">
        <f>IF(E312=0,"",VLOOKUP(E312,'Tablas Técnicas'!$A$14:$V$771,11,FALSE))</f>
        <v/>
      </c>
      <c r="W312" s="1144"/>
      <c r="X312" s="1145" t="e">
        <f>VLOOKUP(E312,'Tablas Técnicas'!$A$14:$V$771,12,FALSE)</f>
        <v>#N/A</v>
      </c>
      <c r="Y312" s="1145" t="e">
        <f>IF(W312=X312,VLOOKUP(E312,'Tablas Técnicas'!$A$14:$V$771,13,FALSE),0)</f>
        <v>#N/A</v>
      </c>
      <c r="Z312" s="1145" t="e">
        <f>VLOOKUP(E312,'Tablas Técnicas'!$A$14:$V$771,14,FALSE)</f>
        <v>#N/A</v>
      </c>
      <c r="AA312" s="1145" t="e">
        <f>IF(W312=Z312,VLOOKUP(E312,'Tablas Técnicas'!$A$14:$V$616,15,FALSE),0)</f>
        <v>#N/A</v>
      </c>
      <c r="AB312" s="1145" t="e">
        <f>VLOOKUP(E312,'Tablas Técnicas'!$A$14:$V$771,16,FALSE)</f>
        <v>#N/A</v>
      </c>
      <c r="AC312" s="1145" t="e">
        <f>IF(W312=AB312,VLOOKUP(E312,'Tablas Técnicas'!$A$14:$V$616,17,FALSE),0)</f>
        <v>#N/A</v>
      </c>
      <c r="AD312" s="1145" t="e">
        <f>VLOOKUP(E312,'Tablas Técnicas'!$A$14:$V$771,18,FALSE)</f>
        <v>#N/A</v>
      </c>
      <c r="AE312" s="1145" t="e">
        <f>IF(W312=AD312,VLOOKUP(E312,'Tablas Técnicas'!$A$14:$V$771,19,FALSE),0)</f>
        <v>#N/A</v>
      </c>
      <c r="AF312" s="1146" t="str">
        <f>IF(E312=0,"",(Y312+AA312+AC312+AE312))</f>
        <v/>
      </c>
      <c r="AG312" s="1144"/>
      <c r="AH312" s="1179" t="e">
        <f>VLOOKUP(E312,'Tablas Técnicas'!$A$14:$V$771,12,FALSE)</f>
        <v>#N/A</v>
      </c>
      <c r="AI312" s="1179" t="e">
        <f>IF(AG312=AH312,VLOOKUP(E312,'Tablas Técnicas'!$A$14:$V$771,13,FALSE),0)</f>
        <v>#N/A</v>
      </c>
      <c r="AJ312" s="1179" t="e">
        <f>VLOOKUP(E312,'Tablas Técnicas'!$A$14:$V$771,14,FALSE)</f>
        <v>#N/A</v>
      </c>
      <c r="AK312" s="1179" t="e">
        <f>IF(AG312=AJ312,VLOOKUP(E312,'Tablas Técnicas'!$A$14:$V$771,15,FALSE),0)</f>
        <v>#N/A</v>
      </c>
      <c r="AL312" s="1179" t="e">
        <f>VLOOKUP(E312,'Tablas Técnicas'!$A$14:$V$771,16,FALSE)</f>
        <v>#N/A</v>
      </c>
      <c r="AM312" s="1179" t="e">
        <f>IF(AG312=AL312,VLOOKUP(E312,'Tablas Técnicas'!$A$14:$V$771,17,FALSE),0)</f>
        <v>#N/A</v>
      </c>
      <c r="AN312" s="1179" t="e">
        <f>VLOOKUP(E312,'Tablas Técnicas'!$A$14:$V$771,18,FALSE)</f>
        <v>#N/A</v>
      </c>
      <c r="AO312" s="1179" t="e">
        <f>IF(AG312=AN312,VLOOKUP(E312,'Tablas Técnicas'!$A$14:$V$771,19,FALSE),0)</f>
        <v>#N/A</v>
      </c>
      <c r="AP312" s="1180" t="str">
        <f>IF(E312=0,"",(AI312+AK312+AM312+AO312))</f>
        <v/>
      </c>
      <c r="AQ312" s="1144"/>
      <c r="AR312" s="1145" t="e">
        <f>VLOOKUP(E312,'Tablas Técnicas'!$A$14:$V$771,12,FALSE)</f>
        <v>#N/A</v>
      </c>
      <c r="AS312" s="1145" t="e">
        <f>IF(AQ312=AR312,VLOOKUP(E312,'Tablas Técnicas'!$A$14:$V$771,13,FALSE),0)</f>
        <v>#N/A</v>
      </c>
      <c r="AT312" s="1145" t="e">
        <f>VLOOKUP(E312,'Tablas Técnicas'!$A$14:$V$771,14,FALSE)</f>
        <v>#N/A</v>
      </c>
      <c r="AU312" s="1145" t="e">
        <f>IF(AQ312=AT312,VLOOKUP(E312,'Tablas Técnicas'!$A$14:$V$771,15,FALSE),0)</f>
        <v>#N/A</v>
      </c>
      <c r="AV312" s="1145" t="e">
        <f>VLOOKUP(E312,'Tablas Técnicas'!$A$14:$V$771,16,FALSE)</f>
        <v>#N/A</v>
      </c>
      <c r="AW312" s="1145" t="e">
        <f>IF(AQ312=AV312,VLOOKUP(E312,'Tablas Técnicas'!$A$14:$V$771,17,FALSE),0)</f>
        <v>#N/A</v>
      </c>
      <c r="AX312" s="1145" t="e">
        <f>VLOOKUP(E312,'Tablas Técnicas'!$A$14:$V$771,18,FALSE)</f>
        <v>#N/A</v>
      </c>
      <c r="AY312" s="1145" t="e">
        <f>IF(AQ312=AX312,VLOOKUP(E312,'Tablas Técnicas'!$A$14:$V$771,19,FALSE),0)</f>
        <v>#N/A</v>
      </c>
      <c r="AZ312" s="1146" t="str">
        <f>IF(E312=0,"",(AS312+AU312+AW312+AY312))</f>
        <v/>
      </c>
      <c r="BA312" s="1144"/>
      <c r="BB312" s="1145" t="e">
        <f>VLOOKUP(E312,'Tablas Técnicas'!$A$14:$V$771,12,FALSE)</f>
        <v>#N/A</v>
      </c>
      <c r="BC312" s="1145" t="e">
        <f>IF(BA312=BB312,VLOOKUP(E312,'Tablas Técnicas'!$A$14:$V$771,13,FALSE),0)</f>
        <v>#N/A</v>
      </c>
      <c r="BD312" s="1145" t="e">
        <f>VLOOKUP(E312,'Tablas Técnicas'!$A$14:$V$771,14,FALSE)</f>
        <v>#N/A</v>
      </c>
      <c r="BE312" s="1145" t="e">
        <f>IF(BA312=BD312,VLOOKUP(E312,'Tablas Técnicas'!$A$14:$V$771,15,FALSE),0)</f>
        <v>#N/A</v>
      </c>
      <c r="BF312" s="1145" t="e">
        <f>VLOOKUP(E312,'Tablas Técnicas'!$A$14:$V$771,16,FALSE)</f>
        <v>#N/A</v>
      </c>
      <c r="BG312" s="1145" t="e">
        <f>IF(BA312=BF312,VLOOKUP(E312,'Tablas Técnicas'!$A$14:$V$771,17,FALSE),0)</f>
        <v>#N/A</v>
      </c>
      <c r="BH312" s="1145" t="e">
        <f>VLOOKUP(E312,'Tablas Técnicas'!$A$14:$V$771,18,FALSE)</f>
        <v>#N/A</v>
      </c>
      <c r="BI312" s="1145" t="e">
        <f>IF(BA312=BH312,VLOOKUP(E312,'Tablas Técnicas'!$A$14:$V$771,19,FALSE),0)</f>
        <v>#N/A</v>
      </c>
      <c r="BJ312" s="1147" t="str">
        <f>IF(E312=0,"",(BC312+BE312+BG312+BI312))</f>
        <v/>
      </c>
      <c r="BK312" s="1146" t="str">
        <f>IF(E312=0,"",VLOOKUP(E312,'Tablas Técnicas'!$A$14:$V$771,20,FALSE))</f>
        <v/>
      </c>
      <c r="BL312" s="1146" t="str">
        <f>IF(E312=0,"",VLOOKUP(E312,'Tablas Técnicas'!$A$14:$V$771,21,FALSE))</f>
        <v/>
      </c>
      <c r="BM312" s="1181" t="str">
        <f>IF(E312=0,"",VLOOKUP(E312,'Tablas Técnicas'!$A$14:$V$771,22,FALSE))</f>
        <v/>
      </c>
      <c r="BN312" s="1149"/>
      <c r="BO312" s="1150"/>
      <c r="BP312" s="1135" t="str">
        <f>IF(I312="Si",VLOOKUP($D$8,'Tablas Técnicas'!$E$4:$F$6,2,FALSE),"")</f>
        <v/>
      </c>
      <c r="BQ312" s="1136" t="str">
        <f>IF(L312="Si",VLOOKUP($D$8,'Tablas Técnicas'!$I$4:$J$6,2,FALSE),"")</f>
        <v/>
      </c>
      <c r="BR312" s="1134" t="str">
        <f>IF(O312="Si",VLOOKUP($D$8,'Tablas Técnicas'!$I$7:$J$9,2,FALSE),"")</f>
        <v/>
      </c>
      <c r="BS312" s="1151"/>
      <c r="BT312" s="4452" t="s">
        <v>5213</v>
      </c>
      <c r="BU312" s="4453"/>
      <c r="BV312" s="1128"/>
      <c r="BW312" s="1108"/>
      <c r="BX312" s="1108"/>
      <c r="BY312" s="1474"/>
      <c r="BZ312" s="1492"/>
      <c r="CA312" s="1096"/>
      <c r="DR312" s="1096"/>
      <c r="DT312" s="1515"/>
      <c r="DU312" s="1569"/>
      <c r="DV312" s="1566" t="str">
        <f>IF(E312="","",", "&amp;E312)&amp;IF(I312="No",""," (Mant.)")&amp;IF(L312="No",""," (Sme)")&amp;IF(O312="No",""," (SMa)")</f>
        <v/>
      </c>
      <c r="DW312" s="1567"/>
      <c r="DX312" s="1568" t="str">
        <f>IF(ISNUMBER(FIND('Tablas Técnicas'!A$678,DW330)),BL336&amp;BM336,IF(ISNUMBER(FIND('Tablas Técnicas'!A$679,DW330)),BL336&amp;" "&amp;BM336,""))</f>
        <v/>
      </c>
      <c r="DY312" s="1516"/>
      <c r="DZ312" s="1096"/>
      <c r="EA312" s="1660">
        <f t="shared" si="4"/>
        <v>1</v>
      </c>
    </row>
    <row r="313" spans="1:131" x14ac:dyDescent="0.2">
      <c r="A313" s="1096"/>
      <c r="B313" s="1096"/>
      <c r="C313" s="1497"/>
      <c r="D313" s="1642" t="s">
        <v>2310</v>
      </c>
      <c r="E313" s="1152"/>
      <c r="F313" s="1182"/>
      <c r="G313" s="1627" t="str">
        <f>IF(E313=0,"",VLOOKUP(E313,'Tablas Técnicas'!$A$14:$V$771,3,FALSE))</f>
        <v/>
      </c>
      <c r="H313" s="1155" t="str">
        <f>IF($E313=0,"",VLOOKUP($E313,'Tablas Técnicas'!$A$14:$V$771,4,FALSE))</f>
        <v/>
      </c>
      <c r="I313" s="1156" t="s">
        <v>2234</v>
      </c>
      <c r="J313" s="1605" t="str">
        <f>IF(E313=0,"",VLOOKUP(E313,'Tablas Técnicas'!$A$14:$V$771,5,FALSE))</f>
        <v/>
      </c>
      <c r="K313" s="1158" t="str">
        <f>IF(I313="Si",IF(E313=0,"",VLOOKUP(E313,'Tablas Técnicas'!$A$14:$V$771,5,FALSE)),"")</f>
        <v/>
      </c>
      <c r="L313" s="1156" t="s">
        <v>2234</v>
      </c>
      <c r="M313" s="1605" t="str">
        <f>IF(E313=0,"",VLOOKUP(E313,'Tablas Técnicas'!$A$14:$V$771,6,FALSE))</f>
        <v/>
      </c>
      <c r="N313" s="1159" t="str">
        <f>IF(L313="Si",IF(E313=0,"",VLOOKUP(E313,'Tablas Técnicas'!$A$14:$V$771,6,FALSE)),"")</f>
        <v/>
      </c>
      <c r="O313" s="1156" t="s">
        <v>2234</v>
      </c>
      <c r="P313" s="1605" t="str">
        <f>IF(E313=0,"",VLOOKUP(E313,'Tablas Técnicas'!$A$14:$V$771,7,FALSE))</f>
        <v/>
      </c>
      <c r="Q313" s="1159" t="str">
        <f>IF(O313="Si",IF(E313=0,"",VLOOKUP(E313,'Tablas Técnicas'!$A$14:$V$771,7,FALSE)),"")</f>
        <v/>
      </c>
      <c r="R313" s="1157" t="str">
        <f>IF(E313=0,"",VLOOKUP(E313,'Tablas Técnicas'!$A$14:$V$771,8,FALSE))</f>
        <v/>
      </c>
      <c r="S313" s="1155" t="str">
        <f>IF(R313=$D$8,$D$8,IF(R313=2,2,IF(R313=3,3,R313)))</f>
        <v/>
      </c>
      <c r="T313" s="4475" t="s">
        <v>5228</v>
      </c>
      <c r="U313" s="4476"/>
      <c r="V313" s="4476"/>
      <c r="W313" s="4476"/>
      <c r="X313" s="4476"/>
      <c r="Y313" s="4476"/>
      <c r="Z313" s="4476"/>
      <c r="AA313" s="4476"/>
      <c r="AB313" s="4476"/>
      <c r="AC313" s="4476"/>
      <c r="AD313" s="4476"/>
      <c r="AE313" s="4476"/>
      <c r="AF313" s="4476"/>
      <c r="AG313" s="4476"/>
      <c r="AH313" s="4476"/>
      <c r="AI313" s="4476"/>
      <c r="AJ313" s="4476"/>
      <c r="AK313" s="4476"/>
      <c r="AL313" s="4476"/>
      <c r="AM313" s="4476"/>
      <c r="AN313" s="4476"/>
      <c r="AO313" s="4476"/>
      <c r="AP313" s="4476"/>
      <c r="AQ313" s="4476"/>
      <c r="AR313" s="4476"/>
      <c r="AS313" s="4476"/>
      <c r="AT313" s="4476"/>
      <c r="AU313" s="4476"/>
      <c r="AV313" s="4476"/>
      <c r="AW313" s="4476"/>
      <c r="AX313" s="4476"/>
      <c r="AY313" s="4476"/>
      <c r="AZ313" s="4476"/>
      <c r="BA313" s="4476"/>
      <c r="BB313" s="4476"/>
      <c r="BC313" s="4476"/>
      <c r="BD313" s="4476"/>
      <c r="BE313" s="4476"/>
      <c r="BF313" s="4476"/>
      <c r="BG313" s="4476"/>
      <c r="BH313" s="4476"/>
      <c r="BI313" s="4476"/>
      <c r="BJ313" s="4476"/>
      <c r="BK313" s="4477"/>
      <c r="BL313" s="1627"/>
      <c r="BM313" s="1628"/>
      <c r="BN313" s="1149"/>
      <c r="BO313" s="1150"/>
      <c r="BP313" s="1135" t="str">
        <f>IF(I313="Si",VLOOKUP($D$8,'Tablas Técnicas'!$E$4:$F$6,2,FALSE),"")</f>
        <v/>
      </c>
      <c r="BQ313" s="1136" t="str">
        <f>IF(L313="Si",VLOOKUP($D$8,'Tablas Técnicas'!$I$4:$J$6,2,FALSE),"")</f>
        <v/>
      </c>
      <c r="BR313" s="1134" t="str">
        <f>IF(O313="Si",VLOOKUP($D$8,'Tablas Técnicas'!$I$7:$J$9,2,FALSE),"")</f>
        <v/>
      </c>
      <c r="BS313" s="1151"/>
      <c r="BT313" s="4448" t="s">
        <v>5234</v>
      </c>
      <c r="BU313" s="4449"/>
      <c r="BV313" s="1128"/>
      <c r="BW313" s="1108"/>
      <c r="BX313" s="1108"/>
      <c r="BY313" s="1474"/>
      <c r="BZ313" s="1492"/>
      <c r="CA313" s="1096"/>
      <c r="DR313" s="1096"/>
      <c r="DT313" s="1514"/>
      <c r="DU313" s="1565"/>
      <c r="DV313" s="1566" t="str">
        <f>IF(E313="",""," "&amp;E313)&amp;IF(I313="No",""," (Mant.)")&amp;IF(L313="No",""," (Sme)")&amp;IF(O313="No",""," (SMa)")</f>
        <v/>
      </c>
      <c r="DW313" s="1567"/>
      <c r="DX313" s="1568"/>
      <c r="DY313" s="1513"/>
      <c r="DZ313" s="1096"/>
      <c r="EA313" s="1660">
        <f t="shared" si="4"/>
        <v>1</v>
      </c>
    </row>
    <row r="314" spans="1:131" x14ac:dyDescent="0.2">
      <c r="A314" s="1096"/>
      <c r="B314" s="1096"/>
      <c r="C314" s="1497"/>
      <c r="D314" s="1643" t="s">
        <v>2310</v>
      </c>
      <c r="E314" s="1160"/>
      <c r="F314" s="1176"/>
      <c r="G314" s="1146" t="str">
        <f>IF(E314=0,"",VLOOKUP(E314,'Tablas Técnicas'!$A$14:$V$771,3,FALSE))</f>
        <v/>
      </c>
      <c r="H314" s="2619" t="str">
        <f>IF($E314=0,"",VLOOKUP($E314,'Tablas Técnicas'!$A$14:$V$771,4,FALSE))</f>
        <v/>
      </c>
      <c r="I314" s="1144" t="s">
        <v>2234</v>
      </c>
      <c r="J314" s="1601" t="str">
        <f>IF(E314=0,"",VLOOKUP(E314,'Tablas Técnicas'!$A$14:$V$771,5,FALSE))</f>
        <v/>
      </c>
      <c r="K314" s="1163" t="str">
        <f>IF(I314="Si",IF(E314=0,"",VLOOKUP(E314,'Tablas Técnicas'!$A$14:$V$771,5,FALSE)),"")</f>
        <v/>
      </c>
      <c r="L314" s="1144" t="s">
        <v>2234</v>
      </c>
      <c r="M314" s="1601" t="str">
        <f>IF(E314=0,"",VLOOKUP(E314,'Tablas Técnicas'!$A$14:$V$771,6,FALSE))</f>
        <v/>
      </c>
      <c r="N314" s="1147" t="str">
        <f>IF(L314="Si",IF(E314=0,"",VLOOKUP(E314,'Tablas Técnicas'!$A$14:$V$771,6,FALSE)),"")</f>
        <v/>
      </c>
      <c r="O314" s="1144" t="s">
        <v>2234</v>
      </c>
      <c r="P314" s="1601" t="str">
        <f>IF(E314=0,"",VLOOKUP(E314,'Tablas Técnicas'!$A$14:$V$771,7,FALSE))</f>
        <v/>
      </c>
      <c r="Q314" s="1147" t="str">
        <f>IF(O314="Si",IF(E314=0,"",VLOOKUP(E314,'Tablas Técnicas'!$A$14:$V$771,7,FALSE)),"")</f>
        <v/>
      </c>
      <c r="R314" s="1162" t="str">
        <f>IF(E314=0,"",VLOOKUP(E314,'Tablas Técnicas'!$A$14:$V$771,8,FALSE))</f>
        <v/>
      </c>
      <c r="S314" s="2619" t="str">
        <f>IF(R314=$D$8,$D$8,IF(R314=2,2,IF(R314=3,3,R314)))</f>
        <v/>
      </c>
      <c r="T314" s="4487"/>
      <c r="U314" s="4488"/>
      <c r="V314" s="2617" t="str">
        <f>IF(OR(V312=0,V312=""),"N/A",V312)</f>
        <v>N/A</v>
      </c>
      <c r="W314" s="4487" t="str">
        <f xml:space="preserve"> IF(OR(AF312=0,AF312=""),"N/A",W312)</f>
        <v>N/A</v>
      </c>
      <c r="X314" s="4489"/>
      <c r="Y314" s="4489"/>
      <c r="Z314" s="4489"/>
      <c r="AA314" s="4489"/>
      <c r="AB314" s="4489"/>
      <c r="AC314" s="4489"/>
      <c r="AD314" s="4489"/>
      <c r="AE314" s="4489"/>
      <c r="AF314" s="4488"/>
      <c r="AG314" s="4487" t="str">
        <f xml:space="preserve"> IF(OR(AP312="",AP312=0),"N/A",AG312)</f>
        <v>N/A</v>
      </c>
      <c r="AH314" s="4489"/>
      <c r="AI314" s="4489"/>
      <c r="AJ314" s="4489"/>
      <c r="AK314" s="4489"/>
      <c r="AL314" s="4489"/>
      <c r="AM314" s="4489"/>
      <c r="AN314" s="4489"/>
      <c r="AO314" s="4489"/>
      <c r="AP314" s="4488"/>
      <c r="AQ314" s="4487" t="str">
        <f xml:space="preserve"> IF(OR(AZ312="",AZ312=0),"N/A",AQ312)</f>
        <v>N/A</v>
      </c>
      <c r="AR314" s="4489"/>
      <c r="AS314" s="4489"/>
      <c r="AT314" s="4489"/>
      <c r="AU314" s="4489"/>
      <c r="AV314" s="4489"/>
      <c r="AW314" s="4489"/>
      <c r="AX314" s="4489"/>
      <c r="AY314" s="4489"/>
      <c r="AZ314" s="4488"/>
      <c r="BA314" s="4487" t="str">
        <f xml:space="preserve"> IF(OR(BJ312="",BJ312=0),"N/A",BA312)</f>
        <v>N/A</v>
      </c>
      <c r="BB314" s="4489"/>
      <c r="BC314" s="4489"/>
      <c r="BD314" s="4489"/>
      <c r="BE314" s="4489"/>
      <c r="BF314" s="4489"/>
      <c r="BG314" s="4489"/>
      <c r="BH314" s="4489"/>
      <c r="BI314" s="4489"/>
      <c r="BJ314" s="4488"/>
      <c r="BK314" s="1164" t="s">
        <v>5229</v>
      </c>
      <c r="BL314" s="1146"/>
      <c r="BM314" s="1181"/>
      <c r="BN314" s="1149"/>
      <c r="BO314" s="1166"/>
      <c r="BP314" s="1135" t="str">
        <f>IF(I314="Si",VLOOKUP($D$8,'Tablas Técnicas'!$E$4:$F$6,2,FALSE),"")</f>
        <v/>
      </c>
      <c r="BQ314" s="1136" t="str">
        <f>IF(L314="Si",VLOOKUP($D$8,'Tablas Técnicas'!$I$4:$J$6,2,FALSE),"")</f>
        <v/>
      </c>
      <c r="BR314" s="1134" t="str">
        <f>IF(O314="Si",VLOOKUP($D$8,'Tablas Técnicas'!$I$7:$J$9,2,FALSE),"")</f>
        <v/>
      </c>
      <c r="BS314" s="1151"/>
      <c r="BT314" s="4452" t="s">
        <v>5207</v>
      </c>
      <c r="BU314" s="4453"/>
      <c r="BV314" s="1128"/>
      <c r="BW314" s="1108"/>
      <c r="BX314" s="1108"/>
      <c r="BY314" s="1474"/>
      <c r="BZ314" s="1492"/>
      <c r="CA314" s="1096"/>
      <c r="DR314" s="1096"/>
      <c r="DT314" s="1514"/>
      <c r="DU314" s="1569"/>
      <c r="DV314" s="1566" t="str">
        <f>IF(E314="","",E314)&amp;IF(I314="No",""," (Mant.)")&amp;IF(L314="No",""," (Sme)")&amp;IF(O314="No",""," (SMa)")</f>
        <v/>
      </c>
      <c r="DW314" s="1567"/>
      <c r="DX314" s="1568"/>
      <c r="DY314" s="1513"/>
      <c r="DZ314" s="1096"/>
      <c r="EA314" s="1660">
        <f t="shared" si="4"/>
        <v>1</v>
      </c>
    </row>
    <row r="315" spans="1:131" x14ac:dyDescent="0.2">
      <c r="A315" s="1096"/>
      <c r="B315" s="1096"/>
      <c r="C315" s="1497"/>
      <c r="D315" s="1642" t="s">
        <v>2310</v>
      </c>
      <c r="E315" s="1152"/>
      <c r="F315" s="1182"/>
      <c r="G315" s="1627" t="str">
        <f>IF(E315=0,"",VLOOKUP(E315,'Tablas Técnicas'!$A$14:$V$771,3,FALSE))</f>
        <v/>
      </c>
      <c r="H315" s="1155" t="str">
        <f>IF($E315=0,"",VLOOKUP($E315,'Tablas Técnicas'!$A$14:$V$771,4,FALSE))</f>
        <v/>
      </c>
      <c r="I315" s="1156" t="s">
        <v>2234</v>
      </c>
      <c r="J315" s="1605" t="str">
        <f>IF(E315=0,"",VLOOKUP(E315,'Tablas Técnicas'!$A$14:$V$771,5,FALSE))</f>
        <v/>
      </c>
      <c r="K315" s="1158" t="str">
        <f>IF(I315="Si",IF(E315=0,"",VLOOKUP(E315,'Tablas Técnicas'!$A$14:$V$771,5,FALSE)),"")</f>
        <v/>
      </c>
      <c r="L315" s="1156" t="s">
        <v>2234</v>
      </c>
      <c r="M315" s="1605" t="str">
        <f>IF(E315=0,"",VLOOKUP(E315,'Tablas Técnicas'!$A$14:$V$771,6,FALSE))</f>
        <v/>
      </c>
      <c r="N315" s="1159" t="str">
        <f>IF(L315="Si",IF(E315=0,"",VLOOKUP(E315,'Tablas Técnicas'!$A$14:$V$771,6,FALSE)),"")</f>
        <v/>
      </c>
      <c r="O315" s="1156" t="s">
        <v>2234</v>
      </c>
      <c r="P315" s="1605" t="str">
        <f>IF(E315=0,"",VLOOKUP(E315,'Tablas Técnicas'!$A$14:$V$771,7,FALSE))</f>
        <v/>
      </c>
      <c r="Q315" s="1159" t="str">
        <f>IF(O315="Si",IF(E315=0,"",VLOOKUP(E315,'Tablas Técnicas'!$A$14:$V$771,7,FALSE)),"")</f>
        <v/>
      </c>
      <c r="R315" s="1157" t="str">
        <f>IF(E315=0,"",VLOOKUP(E315,'Tablas Técnicas'!$A$14:$V$771,8,FALSE))</f>
        <v/>
      </c>
      <c r="S315" s="1155" t="str">
        <f>IF(R315=$D$8,$D$8,IF(R315=2,2,IF(R315=3,3,R315)))</f>
        <v/>
      </c>
      <c r="T315" s="4490" t="s">
        <v>5230</v>
      </c>
      <c r="U315" s="4491"/>
      <c r="V315" s="2618"/>
      <c r="W315" s="4492"/>
      <c r="X315" s="4493"/>
      <c r="Y315" s="4493"/>
      <c r="Z315" s="4493"/>
      <c r="AA315" s="4493"/>
      <c r="AB315" s="4493"/>
      <c r="AC315" s="4493"/>
      <c r="AD315" s="4493"/>
      <c r="AE315" s="4493"/>
      <c r="AF315" s="4494"/>
      <c r="AG315" s="4492"/>
      <c r="AH315" s="4493"/>
      <c r="AI315" s="4493"/>
      <c r="AJ315" s="4493"/>
      <c r="AK315" s="4493"/>
      <c r="AL315" s="4493"/>
      <c r="AM315" s="4493"/>
      <c r="AN315" s="4493"/>
      <c r="AO315" s="4493"/>
      <c r="AP315" s="4494"/>
      <c r="AQ315" s="4492"/>
      <c r="AR315" s="4493"/>
      <c r="AS315" s="4493"/>
      <c r="AT315" s="4493"/>
      <c r="AU315" s="4493"/>
      <c r="AV315" s="4493"/>
      <c r="AW315" s="4493"/>
      <c r="AX315" s="4493"/>
      <c r="AY315" s="4493"/>
      <c r="AZ315" s="4494"/>
      <c r="BA315" s="4492"/>
      <c r="BB315" s="4493"/>
      <c r="BC315" s="4493"/>
      <c r="BD315" s="4493"/>
      <c r="BE315" s="4493"/>
      <c r="BF315" s="4493"/>
      <c r="BG315" s="4493"/>
      <c r="BH315" s="4493"/>
      <c r="BI315" s="4493"/>
      <c r="BJ315" s="4494"/>
      <c r="BK315" s="1155">
        <f>(SUM(G312:G316)+IF(AF312="",0,AF312)+IF(AP312="",0,AP312)+IF(AZ312="",0,AZ312)+IF(BJ312="",0,BJ312)+SUM(K312:K316)+SUM(N312:N316)+SUM(Q312:Q316))- SUM(V315:BA315)</f>
        <v>0</v>
      </c>
      <c r="BL315" s="1627"/>
      <c r="BM315" s="1628"/>
      <c r="BN315" s="1149"/>
      <c r="BO315" s="1150"/>
      <c r="BP315" s="1135" t="str">
        <f>IF(I315="Si",VLOOKUP($D$8,'Tablas Técnicas'!$E$4:$F$6,2,FALSE),"")</f>
        <v/>
      </c>
      <c r="BQ315" s="1136" t="str">
        <f>IF(L315="Si",VLOOKUP($D$8,'Tablas Técnicas'!$I$4:$J$6,2,FALSE),"")</f>
        <v/>
      </c>
      <c r="BR315" s="1134" t="str">
        <f>IF(O315="Si",VLOOKUP($D$8,'Tablas Técnicas'!$I$7:$J$9,2,FALSE),"")</f>
        <v/>
      </c>
      <c r="BS315" s="1151"/>
      <c r="BT315" s="4444" t="s">
        <v>5235</v>
      </c>
      <c r="BU315" s="4445"/>
      <c r="BV315" s="1128"/>
      <c r="BW315" s="1108"/>
      <c r="BX315" s="1108"/>
      <c r="BY315" s="1474"/>
      <c r="BZ315" s="1492"/>
      <c r="CA315" s="1096"/>
      <c r="DR315" s="1096"/>
      <c r="DT315" s="1514"/>
      <c r="DU315" s="1565"/>
      <c r="DV315" s="1566" t="str">
        <f>IF(E315="","",E315)&amp;IF(I315="No",""," (Mant.)")&amp;IF(L315="No",""," (Sme)")&amp;IF(O315="No",""," (SMa)")</f>
        <v/>
      </c>
      <c r="DW315" s="1567"/>
      <c r="DX315" s="1568"/>
      <c r="DY315" s="1513"/>
      <c r="DZ315" s="1096"/>
      <c r="EA315" s="1660">
        <f t="shared" si="4"/>
        <v>1</v>
      </c>
    </row>
    <row r="316" spans="1:131" x14ac:dyDescent="0.2">
      <c r="A316" s="1096"/>
      <c r="B316" s="1096"/>
      <c r="C316" s="1497"/>
      <c r="D316" s="1643" t="s">
        <v>2310</v>
      </c>
      <c r="E316" s="1160"/>
      <c r="F316" s="1176"/>
      <c r="G316" s="1146" t="str">
        <f>IF(E316=0,"",VLOOKUP(E316,'Tablas Técnicas'!$A$14:$V$771,3,FALSE))</f>
        <v/>
      </c>
      <c r="H316" s="1161" t="str">
        <f>IF($E316=0,"",VLOOKUP($E316,'Tablas Técnicas'!$A$14:$V$771,4,FALSE))</f>
        <v/>
      </c>
      <c r="I316" s="1144" t="s">
        <v>2234</v>
      </c>
      <c r="J316" s="1601" t="str">
        <f>IF(E316=0,"",VLOOKUP(E316,'Tablas Técnicas'!$A$14:$V$771,5,FALSE))</f>
        <v/>
      </c>
      <c r="K316" s="1163" t="str">
        <f>IF(I316="Si",IF(E316=0,"",VLOOKUP(E316,'Tablas Técnicas'!$A$14:$V$771,5,FALSE)),"")</f>
        <v/>
      </c>
      <c r="L316" s="1144" t="s">
        <v>2234</v>
      </c>
      <c r="M316" s="1601" t="str">
        <f>IF(E316=0,"",VLOOKUP(E316,'Tablas Técnicas'!$A$14:$V$771,6,FALSE))</f>
        <v/>
      </c>
      <c r="N316" s="1147" t="str">
        <f>IF(L316="Si",IF(E316=0,"",VLOOKUP(E316,'Tablas Técnicas'!$A$14:$V$771,6,FALSE)),"")</f>
        <v/>
      </c>
      <c r="O316" s="1144" t="s">
        <v>2234</v>
      </c>
      <c r="P316" s="1601" t="str">
        <f>IF(E316=0,"",VLOOKUP(E316,'Tablas Técnicas'!$A$14:$V$771,7,FALSE))</f>
        <v/>
      </c>
      <c r="Q316" s="1147" t="str">
        <f>IF(O316="Si",IF(E316=0,"",VLOOKUP(E316,'Tablas Técnicas'!$A$14:$V$771,7,FALSE)),"")</f>
        <v/>
      </c>
      <c r="R316" s="1162" t="str">
        <f>IF(E316=0,"",VLOOKUP(E316,'Tablas Técnicas'!$A$14:$V$771,8,FALSE))</f>
        <v/>
      </c>
      <c r="S316" s="1161" t="str">
        <f>IF(R316=$D$8,$D$8,IF(R316=2,2,IF(R316=3,3,R316)))</f>
        <v/>
      </c>
      <c r="T316" s="4482" t="s">
        <v>5232</v>
      </c>
      <c r="U316" s="4483"/>
      <c r="V316" s="2616"/>
      <c r="W316" s="4484"/>
      <c r="X316" s="4485"/>
      <c r="Y316" s="4485"/>
      <c r="Z316" s="4485"/>
      <c r="AA316" s="4485"/>
      <c r="AB316" s="4485"/>
      <c r="AC316" s="4485"/>
      <c r="AD316" s="4485"/>
      <c r="AE316" s="4485"/>
      <c r="AF316" s="4486"/>
      <c r="AG316" s="4484"/>
      <c r="AH316" s="4485"/>
      <c r="AI316" s="4485"/>
      <c r="AJ316" s="4485"/>
      <c r="AK316" s="4485"/>
      <c r="AL316" s="4485"/>
      <c r="AM316" s="4485"/>
      <c r="AN316" s="4485"/>
      <c r="AO316" s="4485"/>
      <c r="AP316" s="4486"/>
      <c r="AQ316" s="4484"/>
      <c r="AR316" s="4485"/>
      <c r="AS316" s="4485"/>
      <c r="AT316" s="4485"/>
      <c r="AU316" s="4485"/>
      <c r="AV316" s="4485"/>
      <c r="AW316" s="4485"/>
      <c r="AX316" s="4485"/>
      <c r="AY316" s="4485"/>
      <c r="AZ316" s="4486"/>
      <c r="BA316" s="4484"/>
      <c r="BB316" s="4485"/>
      <c r="BC316" s="4485"/>
      <c r="BD316" s="4485"/>
      <c r="BE316" s="4485"/>
      <c r="BF316" s="4485"/>
      <c r="BG316" s="4485"/>
      <c r="BH316" s="4485"/>
      <c r="BI316" s="4485"/>
      <c r="BJ316" s="4486"/>
      <c r="BK316" s="1171">
        <f>SUM(K312:K316)-SUM(V316:BA316)</f>
        <v>0</v>
      </c>
      <c r="BL316" s="1629"/>
      <c r="BM316" s="1630"/>
      <c r="BN316" s="1149"/>
      <c r="BO316" s="1166"/>
      <c r="BP316" s="1135" t="str">
        <f>IF(I316="Si",VLOOKUP($D$8,'Tablas Técnicas'!$E$4:$F$6,2,FALSE),"")</f>
        <v/>
      </c>
      <c r="BQ316" s="1136" t="str">
        <f>IF(L316="Si",VLOOKUP($D$8,'Tablas Técnicas'!$I$4:$J$6,2,FALSE),"")</f>
        <v/>
      </c>
      <c r="BR316" s="1134" t="str">
        <f>IF(O316="Si",VLOOKUP($D$8,'Tablas Técnicas'!$I$7:$J$9,2,FALSE),"")</f>
        <v/>
      </c>
      <c r="BS316" s="1151"/>
      <c r="BT316" s="1183">
        <f>IF(BT310="No",0,IF(D304=0,0,VLOOKUP(D304,'Tablas Técnicas'!$L$4:$N$7,2,FALSE)))+IF(BT312="Bajar coste de CM",0,IF(BT312="-5 CM",2,IF(BT312="-10 CM",4,IF(BT312="-15 CM",6,IF(BT312="-20 CM",8,0)))))+IF(BT314="Bajar coste de Ki",0,IF(BT314="-1 Ki",-1,IF(BT314="-2 Ki",-2,IF(BT314="-3 Ki",-3,IF(BT314="-4 Ki",-4,IF(BT314="-5 Ki",-5,0))))))-BU319-BU321-BU323-BU325-BU327-BU329</f>
        <v>0</v>
      </c>
      <c r="BU316" s="2612">
        <f>IF(BT310="No",0,IF(D304=0,0,VLOOKUP(D304,'Tablas Técnicas'!$L$4:$N$7,2,FALSE)))+IF(BT312="Bajar coste de CM",0,IF(BT312="-5 CM",2,IF(BT312="-10 CM",4,IF(BT312="-15 CM",6,IF(BT312="-20 CM",8,0)))))+IF(BT314="Bajar coste de Ki",0,IF(BT314="-1 Ki",-1,IF(BT314="-2 Ki",-2,IF(BT314="-3 Ki",-3,IF(BT314="-4 Ki",-4,IF(BT314="-5 Ki",-5,0))))))</f>
        <v>0</v>
      </c>
      <c r="BV316" s="1128"/>
      <c r="BW316" s="1108"/>
      <c r="BX316" s="1108"/>
      <c r="BY316" s="1474"/>
      <c r="BZ316" s="1492"/>
      <c r="CA316" s="1096"/>
      <c r="DR316" s="1096"/>
      <c r="DT316" s="1514"/>
      <c r="DU316" s="1569"/>
      <c r="DV316" s="1566" t="str">
        <f>IF(E316="","",E316)&amp;IF(I316="No",""," (Mant.)")&amp;IF(L316="No",""," (Sme)")&amp;IF(O316="No",""," (SMa)")</f>
        <v/>
      </c>
      <c r="DW316" s="1567"/>
      <c r="DX316" s="1568"/>
      <c r="DY316" s="1513"/>
      <c r="DZ316" s="1096"/>
      <c r="EA316" s="1660">
        <f t="shared" si="4"/>
        <v>1</v>
      </c>
    </row>
    <row r="317" spans="1:131" x14ac:dyDescent="0.2">
      <c r="A317" s="1096"/>
      <c r="B317" s="159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97"/>
      <c r="D317" s="1644">
        <v>3</v>
      </c>
      <c r="E317" s="1423"/>
      <c r="F317" s="1173"/>
      <c r="G317" s="1174"/>
      <c r="H317" s="2559">
        <f>IF(AND(OR(ISNUMBER(SEARCH("Afinidad Elemental ("&amp;BK312&amp;")",Principal!$AF$30)),ISNUMBER(SEARCH("Afinidad Elemental ("&amp;BL312&amp;")",Principal!$AF$30)),ISNUMBER(SEARCH("Afinidad Elemental ("&amp;BM312&amp;")",Principal!$AF$30))),SUM(H312:H316)&gt;=5),-5,0)</f>
        <v>0</v>
      </c>
      <c r="I317" s="1603"/>
      <c r="J317" s="1606"/>
      <c r="K317" s="1174"/>
      <c r="L317" s="1603"/>
      <c r="M317" s="1606"/>
      <c r="N317" s="1174"/>
      <c r="O317" s="1603"/>
      <c r="P317" s="1606"/>
      <c r="Q317" s="1174"/>
      <c r="R317" s="1175"/>
      <c r="S317" s="1174"/>
      <c r="T317" s="1174"/>
      <c r="U317" s="1174"/>
      <c r="V317" s="1174"/>
      <c r="W317" s="1174"/>
      <c r="X317" s="1174"/>
      <c r="Y317" s="1174"/>
      <c r="Z317" s="1174"/>
      <c r="AA317" s="1174"/>
      <c r="AB317" s="1174"/>
      <c r="AC317" s="1174"/>
      <c r="AD317" s="1174"/>
      <c r="AE317" s="1174"/>
      <c r="AF317" s="1174"/>
      <c r="AG317" s="1174"/>
      <c r="AH317" s="1174"/>
      <c r="AI317" s="1174"/>
      <c r="AJ317" s="1174"/>
      <c r="AK317" s="1174"/>
      <c r="AL317" s="1174"/>
      <c r="AM317" s="1174"/>
      <c r="AN317" s="1174"/>
      <c r="AO317" s="1174"/>
      <c r="AP317" s="1174"/>
      <c r="AQ317" s="1174"/>
      <c r="AR317" s="1174"/>
      <c r="AS317" s="1174"/>
      <c r="AT317" s="1174"/>
      <c r="AU317" s="1174"/>
      <c r="AV317" s="1174"/>
      <c r="AW317" s="1174"/>
      <c r="AX317" s="1174"/>
      <c r="AY317" s="1174"/>
      <c r="AZ317" s="1174"/>
      <c r="BA317" s="1174"/>
      <c r="BB317" s="1174"/>
      <c r="BC317" s="1174"/>
      <c r="BD317" s="1174"/>
      <c r="BE317" s="1174"/>
      <c r="BF317" s="1174"/>
      <c r="BG317" s="1174"/>
      <c r="BH317" s="1174"/>
      <c r="BI317" s="1174"/>
      <c r="BJ317" s="1174"/>
      <c r="BK317" s="1174"/>
      <c r="BL317" s="1174"/>
      <c r="BM317" s="1184"/>
      <c r="BN317" s="1185">
        <f>SUM(K317:K320)</f>
        <v>0</v>
      </c>
      <c r="BO317" s="1128" t="str">
        <f>IF(E317=0,"",(AF317+AP317+AZ317+BJ317))</f>
        <v/>
      </c>
      <c r="BP317" s="1186" t="str">
        <f>IF(I317="Si",VLOOKUP($D$8,'Tablas Técnicas'!$E$4:$F$6,2,FALSE),"")</f>
        <v/>
      </c>
      <c r="BQ317" s="1187" t="str">
        <f>IF(L317="Si",VLOOKUP($D$8,'Tablas Técnicas'!$I$4:$J$6,2,FALSE),"")</f>
        <v/>
      </c>
      <c r="BR317" s="1185" t="str">
        <f>IF(O317="Si",VLOOKUP($D$8,'Tablas Técnicas'!$I$7:$J$9,2,FALSE),"")</f>
        <v/>
      </c>
      <c r="BS317" s="1151"/>
      <c r="BU317" s="2608"/>
      <c r="BV317" s="1128"/>
      <c r="BW317" s="1108"/>
      <c r="BX317" s="1108"/>
      <c r="BY317" s="1474"/>
      <c r="BZ317" s="1492"/>
      <c r="CA317" s="1096"/>
      <c r="DR317" s="1096"/>
      <c r="DT317" s="1514"/>
      <c r="DU317" s="1569"/>
      <c r="DV317" s="1570"/>
      <c r="DW317" s="1567"/>
      <c r="DX317" s="1568"/>
      <c r="DY317" s="1513"/>
      <c r="DZ317" s="1096"/>
      <c r="EA317" s="1660">
        <f t="shared" si="4"/>
        <v>1</v>
      </c>
    </row>
    <row r="318" spans="1:131" x14ac:dyDescent="0.2">
      <c r="A318" s="1096"/>
      <c r="B318" s="1096"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97"/>
      <c r="D318" s="1643" t="s">
        <v>2310</v>
      </c>
      <c r="E318" s="1140"/>
      <c r="F318" s="1176"/>
      <c r="G318" s="1146" t="str">
        <f>IF(E318=0,"",VLOOKUP(E318,'Tablas Técnicas'!$A$14:$V$771,3,FALSE))</f>
        <v/>
      </c>
      <c r="H318" s="1188" t="str">
        <f>IF($E318=0,"",VLOOKUP($E318,'Tablas Técnicas'!$A$14:$V$771,4,FALSE))</f>
        <v/>
      </c>
      <c r="I318" s="1144" t="s">
        <v>2234</v>
      </c>
      <c r="J318" s="1607" t="str">
        <f>IF(E318=0,"",VLOOKUP(E318,'Tablas Técnicas'!$A$14:$V$771,5,FALSE))</f>
        <v/>
      </c>
      <c r="K318" s="1190" t="str">
        <f>IF(I318="Si",IF(E318=0,"",VLOOKUP(E318,'Tablas Técnicas'!$A$14:$V$771,5,FALSE)),"")</f>
        <v/>
      </c>
      <c r="L318" s="1144" t="s">
        <v>2234</v>
      </c>
      <c r="M318" s="1607" t="str">
        <f>IF(E318=0,"",VLOOKUP(E318,'Tablas Técnicas'!$A$14:$V$771,6,FALSE))</f>
        <v/>
      </c>
      <c r="N318" s="1147" t="str">
        <f>IF(L318="Si",IF(E318=0,"",VLOOKUP(E318,'Tablas Técnicas'!$A$14:$V$771,6,FALSE)),"")</f>
        <v/>
      </c>
      <c r="O318" s="1144" t="s">
        <v>2234</v>
      </c>
      <c r="P318" s="1607" t="str">
        <f>IF(E318=0,"",VLOOKUP(E318,'Tablas Técnicas'!$A$14:$V$771,7,FALSE))</f>
        <v/>
      </c>
      <c r="Q318" s="1147" t="str">
        <f>IF(O318="Si",IF(E318=0,"",VLOOKUP(E318,'Tablas Técnicas'!$A$14:$V$771,7,FALSE)),"")</f>
        <v/>
      </c>
      <c r="R318" s="1189" t="str">
        <f>IF(E318=0,"",VLOOKUP(E318,'Tablas Técnicas'!$A$14:$V$771,8,FALSE))</f>
        <v/>
      </c>
      <c r="S318" s="1161" t="str">
        <f>IF(R318=$D$8,$D$8,IF(R318=2,2,IF(R318=3,3,R318)))</f>
        <v/>
      </c>
      <c r="T318" s="1190" t="str">
        <f>IF(E318=0,"",VLOOKUP(E318,'Tablas Técnicas'!$A$14:$V$771,9,FALSE))</f>
        <v/>
      </c>
      <c r="U318" s="1190" t="str">
        <f>IF(E318=0,"",VLOOKUP(E318,'Tablas Técnicas'!$A$14:$V$771,10,FALSE))</f>
        <v/>
      </c>
      <c r="V318" s="1191" t="str">
        <f>IF(E318=0,"",VLOOKUP(E318,'Tablas Técnicas'!$A$14:$V$771,11,FALSE))</f>
        <v/>
      </c>
      <c r="W318" s="1144"/>
      <c r="X318" s="1145" t="e">
        <f>VLOOKUP(E318,'Tablas Técnicas'!$A$14:$V$771,12,FALSE)</f>
        <v>#N/A</v>
      </c>
      <c r="Y318" s="1145" t="e">
        <f>IF(W318=X318,VLOOKUP(E318,'Tablas Técnicas'!$A$14:$V$771,13,FALSE),0)</f>
        <v>#N/A</v>
      </c>
      <c r="Z318" s="1145" t="e">
        <f>VLOOKUP(E318,'Tablas Técnicas'!$A$14:$V$771,14,FALSE)</f>
        <v>#N/A</v>
      </c>
      <c r="AA318" s="1145" t="e">
        <f>IF(W318=Z318,VLOOKUP(E318,'Tablas Técnicas'!$A$14:$V$616,15,FALSE),0)</f>
        <v>#N/A</v>
      </c>
      <c r="AB318" s="1145" t="e">
        <f>VLOOKUP(E318,'Tablas Técnicas'!$A$14:$V$771,16,FALSE)</f>
        <v>#N/A</v>
      </c>
      <c r="AC318" s="1145" t="e">
        <f>IF(W318=AB318,VLOOKUP(E318,'Tablas Técnicas'!$A$14:$V$616,17,FALSE),0)</f>
        <v>#N/A</v>
      </c>
      <c r="AD318" s="1145" t="e">
        <f>VLOOKUP(E318,'Tablas Técnicas'!$A$14:$V$771,18,FALSE)</f>
        <v>#N/A</v>
      </c>
      <c r="AE318" s="1145" t="e">
        <f>IF(W318=AD318,VLOOKUP(E318,'Tablas Técnicas'!$A$14:$V$771,19,FALSE),0)</f>
        <v>#N/A</v>
      </c>
      <c r="AF318" s="1163" t="str">
        <f>IF(E318=0,"",(Y318+AA318+AC318+AE318))</f>
        <v/>
      </c>
      <c r="AG318" s="1144"/>
      <c r="AH318" s="1162" t="e">
        <f>VLOOKUP(E318,'Tablas Técnicas'!$A$14:$V$771,12,FALSE)</f>
        <v>#N/A</v>
      </c>
      <c r="AI318" s="1162" t="e">
        <f>IF(AG318=AH318,VLOOKUP(E318,'Tablas Técnicas'!$A$14:$V$771,13,FALSE),0)</f>
        <v>#N/A</v>
      </c>
      <c r="AJ318" s="1162" t="e">
        <f>VLOOKUP(E318,'Tablas Técnicas'!$A$14:$V$771,14,FALSE)</f>
        <v>#N/A</v>
      </c>
      <c r="AK318" s="1162" t="e">
        <f>IF(AG318=AJ318,VLOOKUP(E318,'Tablas Técnicas'!$A$14:$V$771,15,FALSE),0)</f>
        <v>#N/A</v>
      </c>
      <c r="AL318" s="1162" t="e">
        <f>VLOOKUP(E318,'Tablas Técnicas'!$A$14:$V$771,16,FALSE)</f>
        <v>#N/A</v>
      </c>
      <c r="AM318" s="1162" t="e">
        <f>IF(AG318=AL318,VLOOKUP(E318,'Tablas Técnicas'!$A$14:$V$771,17,FALSE),0)</f>
        <v>#N/A</v>
      </c>
      <c r="AN318" s="1162" t="e">
        <f>VLOOKUP(E318,'Tablas Técnicas'!$A$14:$V$771,18,FALSE)</f>
        <v>#N/A</v>
      </c>
      <c r="AO318" s="1162" t="e">
        <f>IF(AG318=AN318,VLOOKUP(E318,'Tablas Técnicas'!$A$14:$V$771,19,FALSE),0)</f>
        <v>#N/A</v>
      </c>
      <c r="AP318" s="2620" t="str">
        <f>IF(E318=0,"",(AI318+AK318+AM318+AO318))</f>
        <v/>
      </c>
      <c r="AQ318" s="1144"/>
      <c r="AR318" s="1162" t="e">
        <f>VLOOKUP(E318,'Tablas Técnicas'!$A$14:$V$771,12,FALSE)</f>
        <v>#N/A</v>
      </c>
      <c r="AS318" s="1162" t="e">
        <f>IF(AQ318=AR318,VLOOKUP(E318,'Tablas Técnicas'!$A$14:$V$771,13,FALSE),0)</f>
        <v>#N/A</v>
      </c>
      <c r="AT318" s="1162" t="e">
        <f>VLOOKUP(E318,'Tablas Técnicas'!$A$14:$V$771,14,FALSE)</f>
        <v>#N/A</v>
      </c>
      <c r="AU318" s="1162" t="e">
        <f>IF(AQ318=AT318,VLOOKUP(E318,'Tablas Técnicas'!$A$14:$V$771,15,FALSE),0)</f>
        <v>#N/A</v>
      </c>
      <c r="AV318" s="1162" t="e">
        <f>VLOOKUP(E318,'Tablas Técnicas'!$A$14:$V$771,16,FALSE)</f>
        <v>#N/A</v>
      </c>
      <c r="AW318" s="1162" t="e">
        <f>IF(AQ318=AV318,VLOOKUP(E318,'Tablas Técnicas'!$A$14:$V$771,17,FALSE),0)</f>
        <v>#N/A</v>
      </c>
      <c r="AX318" s="1162" t="e">
        <f>VLOOKUP(E318,'Tablas Técnicas'!$A$14:$V$771,18,FALSE)</f>
        <v>#N/A</v>
      </c>
      <c r="AY318" s="1162" t="e">
        <f>IF(AQ318=AX318,VLOOKUP(E318,'Tablas Técnicas'!$A$14:$V$771,19,FALSE),0)</f>
        <v>#N/A</v>
      </c>
      <c r="AZ318" s="1163" t="str">
        <f>IF(E318=0,"",(AS318+AU318+AW318+AY318))</f>
        <v/>
      </c>
      <c r="BA318" s="1144"/>
      <c r="BB318" s="1162" t="e">
        <f>VLOOKUP(E318,'Tablas Técnicas'!$A$14:$V$771,12,FALSE)</f>
        <v>#N/A</v>
      </c>
      <c r="BC318" s="1162" t="e">
        <f>IF(BA318=BB318,VLOOKUP(E318,'Tablas Técnicas'!$A$14:$V$771,13,FALSE),0)</f>
        <v>#N/A</v>
      </c>
      <c r="BD318" s="1162" t="e">
        <f>VLOOKUP(E318,'Tablas Técnicas'!$A$14:$V$771,14,FALSE)</f>
        <v>#N/A</v>
      </c>
      <c r="BE318" s="1162" t="e">
        <f>IF(BA318=BD318,VLOOKUP(E318,'Tablas Técnicas'!$A$14:$V$771,15,FALSE),0)</f>
        <v>#N/A</v>
      </c>
      <c r="BF318" s="1162" t="e">
        <f>VLOOKUP(E318,'Tablas Técnicas'!$A$14:$V$771,16,FALSE)</f>
        <v>#N/A</v>
      </c>
      <c r="BG318" s="1162" t="e">
        <f>IF(BA318=BF318,VLOOKUP(E318,'Tablas Técnicas'!$A$14:$V$771,17,FALSE),0)</f>
        <v>#N/A</v>
      </c>
      <c r="BH318" s="1162" t="e">
        <f>VLOOKUP(E318,'Tablas Técnicas'!$A$14:$V$771,18,FALSE)</f>
        <v>#N/A</v>
      </c>
      <c r="BI318" s="1162" t="e">
        <f>IF(BA318=BH318,VLOOKUP(E318,'Tablas Técnicas'!$A$14:$V$771,19,FALSE),0)</f>
        <v>#N/A</v>
      </c>
      <c r="BJ318" s="2620" t="str">
        <f>IF(E318=0,"",(BC318+BE318+BG318+BI318))</f>
        <v/>
      </c>
      <c r="BK318" s="1190" t="str">
        <f>IF(E318=0,"",VLOOKUP(E318,'Tablas Técnicas'!$A$14:$V$771,20,FALSE))</f>
        <v/>
      </c>
      <c r="BL318" s="1177" t="str">
        <f>IF(E318=0,"",VLOOKUP(E318,'Tablas Técnicas'!$A$14:$V$771,21,FALSE))</f>
        <v/>
      </c>
      <c r="BM318" s="1148" t="str">
        <f>IF(E318=0,"",VLOOKUP(E318,'Tablas Técnicas'!$A$14:$V$771,22,FALSE))</f>
        <v/>
      </c>
      <c r="BN318" s="1149"/>
      <c r="BO318" s="1150"/>
      <c r="BP318" s="1135" t="str">
        <f>IF(I318="Si",VLOOKUP($D$8,'Tablas Técnicas'!$E$4:$F$6,2,FALSE),"")</f>
        <v/>
      </c>
      <c r="BQ318" s="1136" t="str">
        <f>IF(L318="Si",VLOOKUP($D$8,'Tablas Técnicas'!$I$4:$J$6,2,FALSE),"")</f>
        <v/>
      </c>
      <c r="BR318" s="1134" t="str">
        <f>IF(O318="Si",VLOOKUP($D$8,'Tablas Técnicas'!$I$7:$J$9,2,FALSE),"")</f>
        <v/>
      </c>
      <c r="BS318" s="1151"/>
      <c r="BT318" s="2609" t="s">
        <v>2226</v>
      </c>
      <c r="BU318" s="2610" t="s">
        <v>5236</v>
      </c>
      <c r="BV318" s="1128"/>
      <c r="BW318" s="2610" t="s">
        <v>5237</v>
      </c>
      <c r="BX318" s="2609" t="s">
        <v>5238</v>
      </c>
      <c r="BY318" s="1488" t="s">
        <v>5238</v>
      </c>
      <c r="BZ318" s="1492"/>
      <c r="CA318" s="1096"/>
      <c r="DR318" s="1096"/>
      <c r="DT318" s="1514"/>
      <c r="DU318" s="1569"/>
      <c r="DV318" s="1566" t="str">
        <f>IF(E318="","",", "&amp;E318)&amp;IF(I318="No",""," (Mant.)")&amp;IF(L318="No",""," (Sme)")&amp;IF(O318="No",""," (SMa)")</f>
        <v/>
      </c>
      <c r="DW318" s="1567"/>
      <c r="DX318" s="1568"/>
      <c r="DY318" s="1513"/>
      <c r="DZ318" s="1096"/>
      <c r="EA318" s="1660">
        <f t="shared" si="4"/>
        <v>1</v>
      </c>
    </row>
    <row r="319" spans="1:131" x14ac:dyDescent="0.2">
      <c r="A319" s="1096"/>
      <c r="B319" s="1096"/>
      <c r="C319" s="1497"/>
      <c r="D319" s="1642" t="s">
        <v>2310</v>
      </c>
      <c r="E319" s="1152"/>
      <c r="F319" s="1182"/>
      <c r="G319" s="1627" t="str">
        <f>IF(E319=0,"",VLOOKUP(E319,'Tablas Técnicas'!$A$14:$V$771,3,FALSE))</f>
        <v/>
      </c>
      <c r="H319" s="1155" t="str">
        <f>IF($E319=0,"",VLOOKUP($E319,'Tablas Técnicas'!$A$14:$V$771,4,FALSE))</f>
        <v/>
      </c>
      <c r="I319" s="1156" t="s">
        <v>2234</v>
      </c>
      <c r="J319" s="1605" t="str">
        <f>IF(E319=0,"",VLOOKUP(E319,'Tablas Técnicas'!$A$14:$V$771,5,FALSE))</f>
        <v/>
      </c>
      <c r="K319" s="1158" t="str">
        <f>IF(I319="Si",IF(E319=0,"",VLOOKUP(E319,'Tablas Técnicas'!$A$14:$V$771,5,FALSE)),"")</f>
        <v/>
      </c>
      <c r="L319" s="1156" t="s">
        <v>2234</v>
      </c>
      <c r="M319" s="1605" t="str">
        <f>IF(E319=0,"",VLOOKUP(E319,'Tablas Técnicas'!$A$14:$V$771,6,FALSE))</f>
        <v/>
      </c>
      <c r="N319" s="1159" t="str">
        <f>IF(L319="Si",IF(E319=0,"",VLOOKUP(E319,'Tablas Técnicas'!$A$14:$V$771,6,FALSE)),"")</f>
        <v/>
      </c>
      <c r="O319" s="1156" t="s">
        <v>2234</v>
      </c>
      <c r="P319" s="1605" t="str">
        <f>IF(E319=0,"",VLOOKUP(E319,'Tablas Técnicas'!$A$14:$V$771,7,FALSE))</f>
        <v/>
      </c>
      <c r="Q319" s="1159" t="str">
        <f>IF(O319="Si",IF(E319=0,"",VLOOKUP(E319,'Tablas Técnicas'!$A$14:$V$771,7,FALSE)),"")</f>
        <v/>
      </c>
      <c r="R319" s="1157" t="str">
        <f>IF(E319=0,"",VLOOKUP(E319,'Tablas Técnicas'!$A$14:$V$771,8,FALSE))</f>
        <v/>
      </c>
      <c r="S319" s="1155" t="str">
        <f>IF(R319=$D$8,$D$8,IF(R319=2,2,IF(R319=3,3,R319)))</f>
        <v/>
      </c>
      <c r="T319" s="4475" t="s">
        <v>5228</v>
      </c>
      <c r="U319" s="4476"/>
      <c r="V319" s="4476"/>
      <c r="W319" s="4476"/>
      <c r="X319" s="4476"/>
      <c r="Y319" s="4476"/>
      <c r="Z319" s="4476"/>
      <c r="AA319" s="4476"/>
      <c r="AB319" s="4476"/>
      <c r="AC319" s="4476"/>
      <c r="AD319" s="4476"/>
      <c r="AE319" s="4476"/>
      <c r="AF319" s="4476"/>
      <c r="AG319" s="4476"/>
      <c r="AH319" s="4476"/>
      <c r="AI319" s="4476"/>
      <c r="AJ319" s="4476"/>
      <c r="AK319" s="4476"/>
      <c r="AL319" s="4476"/>
      <c r="AM319" s="4476"/>
      <c r="AN319" s="4476"/>
      <c r="AO319" s="4476"/>
      <c r="AP319" s="4476"/>
      <c r="AQ319" s="4476"/>
      <c r="AR319" s="4476"/>
      <c r="AS319" s="4476"/>
      <c r="AT319" s="4476"/>
      <c r="AU319" s="4476"/>
      <c r="AV319" s="4476"/>
      <c r="AW319" s="4476"/>
      <c r="AX319" s="4476"/>
      <c r="AY319" s="4476"/>
      <c r="AZ319" s="4476"/>
      <c r="BA319" s="4476"/>
      <c r="BB319" s="4476"/>
      <c r="BC319" s="4476"/>
      <c r="BD319" s="4476"/>
      <c r="BE319" s="4476"/>
      <c r="BF319" s="4476"/>
      <c r="BG319" s="4476"/>
      <c r="BH319" s="4476"/>
      <c r="BI319" s="4476"/>
      <c r="BJ319" s="4476"/>
      <c r="BK319" s="4477"/>
      <c r="BL319" s="1627"/>
      <c r="BM319" s="1628"/>
      <c r="BN319" s="1149"/>
      <c r="BO319" s="1150"/>
      <c r="BP319" s="1135" t="str">
        <f>IF(I319="Si",VLOOKUP($D$8,'Tablas Técnicas'!$E$4:$F$6,2,FALSE),"")</f>
        <v/>
      </c>
      <c r="BQ319" s="1136" t="str">
        <f>IF(L319="Si",VLOOKUP($D$8,'Tablas Técnicas'!$I$4:$J$6,2,FALSE),"")</f>
        <v/>
      </c>
      <c r="BR319" s="1134" t="str">
        <f>IF(O319="Si",VLOOKUP($D$8,'Tablas Técnicas'!$I$7:$J$9,2,FALSE),"")</f>
        <v/>
      </c>
      <c r="BS319" s="1151"/>
      <c r="BT319" s="261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92"/>
      <c r="BV319" s="1128"/>
      <c r="BW319" s="1183" t="str">
        <f>IF(SUM(BT319:BU319)=0,"N/A",SUM(BT319:BU319))</f>
        <v>N/A</v>
      </c>
      <c r="BX319" s="261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83" t="str">
        <f>IF(BX319=0,"N/A",BX319)</f>
        <v>N/A</v>
      </c>
      <c r="BZ319" s="1492"/>
      <c r="CA319" s="1096"/>
      <c r="DR319" s="1096"/>
      <c r="DT319" s="1514"/>
      <c r="DU319" s="1569"/>
      <c r="DV319" s="1566" t="str">
        <f>IF(E319="",""," "&amp;E319)&amp;IF(I319="No",""," (Mant.)")&amp;IF(L319="No",""," (Sme)")&amp;IF(O319="No",""," (SMa)")</f>
        <v/>
      </c>
      <c r="DW319" s="1567"/>
      <c r="DX319" s="1568"/>
      <c r="DY319" s="1513"/>
      <c r="DZ319" s="1096"/>
      <c r="EA319" s="1660">
        <f t="shared" si="4"/>
        <v>1</v>
      </c>
    </row>
    <row r="320" spans="1:131" x14ac:dyDescent="0.2">
      <c r="A320" s="1096"/>
      <c r="B320" s="1096"/>
      <c r="C320" s="1497"/>
      <c r="D320" s="1643" t="s">
        <v>2310</v>
      </c>
      <c r="E320" s="1160"/>
      <c r="F320" s="1176"/>
      <c r="G320" s="1146" t="str">
        <f>IF(E320=0,"",VLOOKUP(E320,'Tablas Técnicas'!$A$14:$V$771,3,FALSE))</f>
        <v/>
      </c>
      <c r="H320" s="2619" t="str">
        <f>IF($E320=0,"",VLOOKUP($E320,'Tablas Técnicas'!$A$14:$V$771,4,FALSE))</f>
        <v/>
      </c>
      <c r="I320" s="1144" t="s">
        <v>2234</v>
      </c>
      <c r="J320" s="1601" t="str">
        <f>IF(E320=0,"",VLOOKUP(E320,'Tablas Técnicas'!$A$14:$V$771,5,FALSE))</f>
        <v/>
      </c>
      <c r="K320" s="1163" t="str">
        <f>IF(I320="Si",IF(E320=0,"",VLOOKUP(E320,'Tablas Técnicas'!$A$14:$V$771,5,FALSE)),"")</f>
        <v/>
      </c>
      <c r="L320" s="1144" t="s">
        <v>2234</v>
      </c>
      <c r="M320" s="1601" t="str">
        <f>IF(E320=0,"",VLOOKUP(E320,'Tablas Técnicas'!$A$14:$V$771,6,FALSE))</f>
        <v/>
      </c>
      <c r="N320" s="1147" t="str">
        <f>IF(L320="Si",IF(E320=0,"",VLOOKUP(E320,'Tablas Técnicas'!$A$14:$V$771,6,FALSE)),"")</f>
        <v/>
      </c>
      <c r="O320" s="1144" t="s">
        <v>2234</v>
      </c>
      <c r="P320" s="1601" t="str">
        <f>IF(E320=0,"",VLOOKUP(E320,'Tablas Técnicas'!$A$14:$V$771,7,FALSE))</f>
        <v/>
      </c>
      <c r="Q320" s="1147" t="str">
        <f>IF(O320="Si",IF(E320=0,"",VLOOKUP(E320,'Tablas Técnicas'!$A$14:$V$771,7,FALSE)),"")</f>
        <v/>
      </c>
      <c r="R320" s="1162" t="str">
        <f>IF(E320=0,"",VLOOKUP(E320,'Tablas Técnicas'!$A$14:$V$771,8,FALSE))</f>
        <v/>
      </c>
      <c r="S320" s="2619" t="str">
        <f>IF(R320=$D$8,$D$8,IF(R320=2,2,IF(R320=3,3,R320)))</f>
        <v/>
      </c>
      <c r="T320" s="4487"/>
      <c r="U320" s="4488"/>
      <c r="V320" s="2617" t="str">
        <f>IF(OR(V318=0,V318=""),"N/A",V318)</f>
        <v>N/A</v>
      </c>
      <c r="W320" s="4487" t="str">
        <f xml:space="preserve"> IF(OR(AF318=0,AF318=""),"N/A",W318)</f>
        <v>N/A</v>
      </c>
      <c r="X320" s="4489"/>
      <c r="Y320" s="4489"/>
      <c r="Z320" s="4489"/>
      <c r="AA320" s="4489"/>
      <c r="AB320" s="4489"/>
      <c r="AC320" s="4489"/>
      <c r="AD320" s="4489"/>
      <c r="AE320" s="4489"/>
      <c r="AF320" s="4488"/>
      <c r="AG320" s="4487" t="str">
        <f xml:space="preserve"> IF(OR(AP318="",AP318=0),"N/A",AG318)</f>
        <v>N/A</v>
      </c>
      <c r="AH320" s="4489"/>
      <c r="AI320" s="4489"/>
      <c r="AJ320" s="4489"/>
      <c r="AK320" s="4489"/>
      <c r="AL320" s="4489"/>
      <c r="AM320" s="4489"/>
      <c r="AN320" s="4489"/>
      <c r="AO320" s="4489"/>
      <c r="AP320" s="4488"/>
      <c r="AQ320" s="4487" t="str">
        <f xml:space="preserve"> IF(OR(AZ318="",AZ318=0),"N/A",AQ318)</f>
        <v>N/A</v>
      </c>
      <c r="AR320" s="4489"/>
      <c r="AS320" s="4489"/>
      <c r="AT320" s="4489"/>
      <c r="AU320" s="4489"/>
      <c r="AV320" s="4489"/>
      <c r="AW320" s="4489"/>
      <c r="AX320" s="4489"/>
      <c r="AY320" s="4489"/>
      <c r="AZ320" s="4488"/>
      <c r="BA320" s="4487" t="str">
        <f xml:space="preserve"> IF(OR(BJ318="",BJ318=0),"N/A",BA318)</f>
        <v>N/A</v>
      </c>
      <c r="BB320" s="4489"/>
      <c r="BC320" s="4489"/>
      <c r="BD320" s="4489"/>
      <c r="BE320" s="4489"/>
      <c r="BF320" s="4489"/>
      <c r="BG320" s="4489"/>
      <c r="BH320" s="4489"/>
      <c r="BI320" s="4489"/>
      <c r="BJ320" s="4488"/>
      <c r="BK320" s="1164" t="s">
        <v>5229</v>
      </c>
      <c r="BL320" s="1146"/>
      <c r="BM320" s="1181"/>
      <c r="BN320" s="1165"/>
      <c r="BO320" s="1166"/>
      <c r="BP320" s="1167" t="str">
        <f>IF(I320="Si",VLOOKUP($D$8,'Tablas Técnicas'!$E$4:$F$6,2,FALSE),"")</f>
        <v/>
      </c>
      <c r="BQ320" s="1137" t="str">
        <f>IF(L320="Si",VLOOKUP($D$8,'Tablas Técnicas'!$I$4:$J$6,2,FALSE),"")</f>
        <v/>
      </c>
      <c r="BR320" s="1168" t="str">
        <f>IF(O320="Si",VLOOKUP($D$8,'Tablas Técnicas'!$I$7:$J$9,2,FALSE),"")</f>
        <v/>
      </c>
      <c r="BS320" s="1151"/>
      <c r="BT320" s="2609" t="s">
        <v>2354</v>
      </c>
      <c r="BU320" s="2610" t="s">
        <v>5236</v>
      </c>
      <c r="BV320" s="1128"/>
      <c r="BW320" s="2610" t="s">
        <v>5237</v>
      </c>
      <c r="BX320" s="2609" t="s">
        <v>5238</v>
      </c>
      <c r="BY320" s="1489" t="s">
        <v>5238</v>
      </c>
      <c r="BZ320" s="1492"/>
      <c r="CA320" s="1096"/>
      <c r="DR320" s="1096"/>
      <c r="DT320" s="1514"/>
      <c r="DU320" s="1569"/>
      <c r="DV320" s="1566" t="str">
        <f>IF(E320="","",E320)&amp;IF(I320="No",""," (Mant.)")&amp;IF(L320="No",""," (Sme)")&amp;IF(O320="No",""," (SMa)")</f>
        <v/>
      </c>
      <c r="DW320" s="1566"/>
      <c r="DX320" s="1568"/>
      <c r="DY320" s="1513"/>
      <c r="DZ320" s="1096"/>
      <c r="EA320" s="1660">
        <f t="shared" si="4"/>
        <v>1</v>
      </c>
    </row>
    <row r="321" spans="1:131" x14ac:dyDescent="0.2">
      <c r="A321" s="1096"/>
      <c r="B321" s="1096"/>
      <c r="C321" s="1497"/>
      <c r="D321" s="1642" t="s">
        <v>2310</v>
      </c>
      <c r="E321" s="1152"/>
      <c r="F321" s="1182"/>
      <c r="G321" s="1627" t="str">
        <f>IF(E321=0,"",VLOOKUP(E321,'Tablas Técnicas'!$A$14:$V$771,3,FALSE))</f>
        <v/>
      </c>
      <c r="H321" s="1155" t="str">
        <f>IF($E321=0,"",VLOOKUP($E321,'Tablas Técnicas'!$A$14:$V$771,4,FALSE))</f>
        <v/>
      </c>
      <c r="I321" s="1156" t="s">
        <v>2234</v>
      </c>
      <c r="J321" s="1605" t="str">
        <f>IF(E321=0,"",VLOOKUP(E321,'Tablas Técnicas'!$A$14:$V$771,5,FALSE))</f>
        <v/>
      </c>
      <c r="K321" s="1158" t="str">
        <f>IF(I321="Si",IF(E321=0,"",VLOOKUP(E321,'Tablas Técnicas'!$A$14:$V$771,5,FALSE)),"")</f>
        <v/>
      </c>
      <c r="L321" s="1156" t="s">
        <v>2234</v>
      </c>
      <c r="M321" s="1605" t="str">
        <f>IF(E321=0,"",VLOOKUP(E321,'Tablas Técnicas'!$A$14:$V$771,6,FALSE))</f>
        <v/>
      </c>
      <c r="N321" s="1159" t="str">
        <f>IF(L321="Si",IF(E321=0,"",VLOOKUP(E321,'Tablas Técnicas'!$A$14:$V$771,6,FALSE)),"")</f>
        <v/>
      </c>
      <c r="O321" s="1156" t="s">
        <v>2234</v>
      </c>
      <c r="P321" s="1605" t="str">
        <f>IF(E321=0,"",VLOOKUP(E321,'Tablas Técnicas'!$A$14:$V$771,7,FALSE))</f>
        <v/>
      </c>
      <c r="Q321" s="1159" t="str">
        <f>IF(O321="Si",IF(E321=0,"",VLOOKUP(E321,'Tablas Técnicas'!$A$14:$V$771,7,FALSE)),"")</f>
        <v/>
      </c>
      <c r="R321" s="1157" t="str">
        <f>IF(E321=0,"",VLOOKUP(E321,'Tablas Técnicas'!$A$14:$V$771,8,FALSE))</f>
        <v/>
      </c>
      <c r="S321" s="1155" t="str">
        <f>IF(R321=$D$8,$D$8,IF(R321=2,2,IF(R321=3,3,R321)))</f>
        <v/>
      </c>
      <c r="T321" s="4490" t="s">
        <v>5230</v>
      </c>
      <c r="U321" s="4491"/>
      <c r="V321" s="2618"/>
      <c r="W321" s="4492"/>
      <c r="X321" s="4493"/>
      <c r="Y321" s="4493"/>
      <c r="Z321" s="4493"/>
      <c r="AA321" s="4493"/>
      <c r="AB321" s="4493"/>
      <c r="AC321" s="4493"/>
      <c r="AD321" s="4493"/>
      <c r="AE321" s="4493"/>
      <c r="AF321" s="4494"/>
      <c r="AG321" s="4492"/>
      <c r="AH321" s="4493"/>
      <c r="AI321" s="4493"/>
      <c r="AJ321" s="4493"/>
      <c r="AK321" s="4493"/>
      <c r="AL321" s="4493"/>
      <c r="AM321" s="4493"/>
      <c r="AN321" s="4493"/>
      <c r="AO321" s="4493"/>
      <c r="AP321" s="4494"/>
      <c r="AQ321" s="4492"/>
      <c r="AR321" s="4493"/>
      <c r="AS321" s="4493"/>
      <c r="AT321" s="4493"/>
      <c r="AU321" s="4493"/>
      <c r="AV321" s="4493"/>
      <c r="AW321" s="4493"/>
      <c r="AX321" s="4493"/>
      <c r="AY321" s="4493"/>
      <c r="AZ321" s="4494"/>
      <c r="BA321" s="4492"/>
      <c r="BB321" s="4493"/>
      <c r="BC321" s="4493"/>
      <c r="BD321" s="4493"/>
      <c r="BE321" s="4493"/>
      <c r="BF321" s="4493"/>
      <c r="BG321" s="4493"/>
      <c r="BH321" s="4493"/>
      <c r="BI321" s="4493"/>
      <c r="BJ321" s="4494"/>
      <c r="BK321" s="1155">
        <f>(SUM(G318:G322)+IF(AF318="",0,AF318)+IF(AP318="",0,AP318)+IF(AZ318="",0,AZ318)+IF(BJ318="",0,BJ318)+SUM(K318:K322)+SUM(N318:N322)+SUM(Q318:Q322))- SUM(V321:BA321)</f>
        <v>0</v>
      </c>
      <c r="BL321" s="1627"/>
      <c r="BM321" s="1628"/>
      <c r="BN321" s="1149"/>
      <c r="BO321" s="1150"/>
      <c r="BP321" s="1135" t="str">
        <f>IF(I321="Si",VLOOKUP($D$8,'Tablas Técnicas'!$E$4:$F$6,2,FALSE),"")</f>
        <v/>
      </c>
      <c r="BQ321" s="1136" t="str">
        <f>IF(L321="Si",VLOOKUP($D$8,'Tablas Técnicas'!$I$4:$J$6,2,FALSE),"")</f>
        <v/>
      </c>
      <c r="BR321" s="1134" t="str">
        <f>IF(O321="Si",VLOOKUP($D$8,'Tablas Técnicas'!$I$7:$J$9,2,FALSE),"")</f>
        <v/>
      </c>
      <c r="BS321" s="1151"/>
      <c r="BT321" s="261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92"/>
      <c r="BV321" s="1128"/>
      <c r="BW321" s="1183" t="str">
        <f>IF(SUM(BT321:BU321)=0,"N/A",SUM(BT321:BU321))</f>
        <v>N/A</v>
      </c>
      <c r="BX321" s="261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83" t="str">
        <f>IF(BX321=0,"N/A",BX321)</f>
        <v>N/A</v>
      </c>
      <c r="BZ321" s="1492"/>
      <c r="CA321" s="1100"/>
      <c r="DR321" s="1100"/>
      <c r="DT321" s="1515"/>
      <c r="DU321" s="1565"/>
      <c r="DV321" s="1566" t="str">
        <f>IF(E321="","",E321)&amp;IF(I321="No",""," (Mant.)")&amp;IF(L321="No",""," (Sme)")&amp;IF(O321="No",""," (SMa)")</f>
        <v/>
      </c>
      <c r="DW321" s="1566"/>
      <c r="DX321" s="1571"/>
      <c r="DY321" s="1516"/>
      <c r="DZ321" s="1100"/>
      <c r="EA321" s="1660">
        <f t="shared" si="4"/>
        <v>1</v>
      </c>
    </row>
    <row r="322" spans="1:131" x14ac:dyDescent="0.2">
      <c r="A322" s="1096"/>
      <c r="B322" s="1096"/>
      <c r="C322" s="1497"/>
      <c r="D322" s="1643" t="s">
        <v>2310</v>
      </c>
      <c r="E322" s="1160"/>
      <c r="F322" s="1176"/>
      <c r="G322" s="1146" t="str">
        <f>IF(E322=0,"",VLOOKUP(E322,'Tablas Técnicas'!$A$14:$V$771,3,FALSE))</f>
        <v/>
      </c>
      <c r="H322" s="1171" t="str">
        <f>IF($E322=0,"",VLOOKUP($E322,'Tablas Técnicas'!$A$14:$V$771,4,FALSE))</f>
        <v/>
      </c>
      <c r="I322" s="1144" t="s">
        <v>2234</v>
      </c>
      <c r="J322" s="1608" t="str">
        <f>IF(E322=0,"",VLOOKUP(E322,'Tablas Técnicas'!$A$14:$V$771,5,FALSE))</f>
        <v/>
      </c>
      <c r="K322" s="1172" t="str">
        <f>IF(I322="Si",IF(E322=0,"",VLOOKUP(E322,'Tablas Técnicas'!$A$14:$V$771,5,FALSE)),"")</f>
        <v/>
      </c>
      <c r="L322" s="1144" t="s">
        <v>2234</v>
      </c>
      <c r="M322" s="1608" t="str">
        <f>IF(E322=0,"",VLOOKUP(E322,'Tablas Técnicas'!$A$14:$V$771,6,FALSE))</f>
        <v/>
      </c>
      <c r="N322" s="1147" t="str">
        <f>IF(L322="Si",IF(E322=0,"",VLOOKUP(E322,'Tablas Técnicas'!$A$14:$V$771,6,FALSE)),"")</f>
        <v/>
      </c>
      <c r="O322" s="1144" t="s">
        <v>2234</v>
      </c>
      <c r="P322" s="1608" t="str">
        <f>IF(E322=0,"",VLOOKUP(E322,'Tablas Técnicas'!$A$14:$V$771,7,FALSE))</f>
        <v/>
      </c>
      <c r="Q322" s="1147" t="str">
        <f>IF(O322="Si",IF(E322=0,"",VLOOKUP(E322,'Tablas Técnicas'!$A$14:$V$771,7,FALSE)),"")</f>
        <v/>
      </c>
      <c r="R322" s="1193" t="str">
        <f>IF(E322=0,"",VLOOKUP(E322,'Tablas Técnicas'!$A$14:$V$771,8,FALSE))</f>
        <v/>
      </c>
      <c r="S322" s="1161" t="str">
        <f>IF(R322=$D$8,$D$8,IF(R322=2,2,IF(R322=3,3,R322)))</f>
        <v/>
      </c>
      <c r="T322" s="4482" t="s">
        <v>5232</v>
      </c>
      <c r="U322" s="4483"/>
      <c r="V322" s="2616"/>
      <c r="W322" s="4484"/>
      <c r="X322" s="4485"/>
      <c r="Y322" s="4485"/>
      <c r="Z322" s="4485"/>
      <c r="AA322" s="4485"/>
      <c r="AB322" s="4485"/>
      <c r="AC322" s="4485"/>
      <c r="AD322" s="4485"/>
      <c r="AE322" s="4485"/>
      <c r="AF322" s="4486"/>
      <c r="AG322" s="4484"/>
      <c r="AH322" s="4485"/>
      <c r="AI322" s="4485"/>
      <c r="AJ322" s="4485"/>
      <c r="AK322" s="4485"/>
      <c r="AL322" s="4485"/>
      <c r="AM322" s="4485"/>
      <c r="AN322" s="4485"/>
      <c r="AO322" s="4485"/>
      <c r="AP322" s="4486"/>
      <c r="AQ322" s="4484"/>
      <c r="AR322" s="4485"/>
      <c r="AS322" s="4485"/>
      <c r="AT322" s="4485"/>
      <c r="AU322" s="4485"/>
      <c r="AV322" s="4485"/>
      <c r="AW322" s="4485"/>
      <c r="AX322" s="4485"/>
      <c r="AY322" s="4485"/>
      <c r="AZ322" s="4486"/>
      <c r="BA322" s="4484"/>
      <c r="BB322" s="4485"/>
      <c r="BC322" s="4485"/>
      <c r="BD322" s="4485"/>
      <c r="BE322" s="4485"/>
      <c r="BF322" s="4485"/>
      <c r="BG322" s="4485"/>
      <c r="BH322" s="4485"/>
      <c r="BI322" s="4485"/>
      <c r="BJ322" s="4486"/>
      <c r="BK322" s="1171">
        <f>SUM(K318:K322)-SUM(V322:BA322)</f>
        <v>0</v>
      </c>
      <c r="BL322" s="1629"/>
      <c r="BM322" s="1630"/>
      <c r="BN322" s="1165"/>
      <c r="BO322" s="1166"/>
      <c r="BP322" s="1167" t="str">
        <f>IF(I322="Si",VLOOKUP($D$8,'Tablas Técnicas'!$E$4:$F$6,2,FALSE),"")</f>
        <v/>
      </c>
      <c r="BQ322" s="1137" t="str">
        <f>IF(L322="Si",VLOOKUP($D$8,'Tablas Técnicas'!$I$4:$J$6,2,FALSE),"")</f>
        <v/>
      </c>
      <c r="BR322" s="1168" t="str">
        <f>IF(O322="Si",VLOOKUP($D$8,'Tablas Técnicas'!$I$7:$J$9,2,FALSE),"")</f>
        <v/>
      </c>
      <c r="BS322" s="1151"/>
      <c r="BT322" s="2609" t="s">
        <v>2231</v>
      </c>
      <c r="BU322" s="2610" t="s">
        <v>5236</v>
      </c>
      <c r="BV322" s="1128"/>
      <c r="BW322" s="2610" t="s">
        <v>5237</v>
      </c>
      <c r="BX322" s="2609" t="s">
        <v>5238</v>
      </c>
      <c r="BY322" s="1489" t="s">
        <v>5238</v>
      </c>
      <c r="BZ322" s="1492"/>
      <c r="CA322" s="1096"/>
      <c r="DR322" s="1096"/>
      <c r="DT322" s="1514"/>
      <c r="DU322" s="1569"/>
      <c r="DV322" s="1566" t="str">
        <f>IF(E322="","",E322)&amp;IF(I322="No",""," (Mant.)")&amp;IF(L322="No",""," (Sme)")&amp;IF(O322="No",""," (SMa)")</f>
        <v/>
      </c>
      <c r="DW322" s="1566"/>
      <c r="DX322" s="1568"/>
      <c r="DY322" s="1513"/>
      <c r="DZ322" s="1096"/>
      <c r="EA322" s="1660">
        <f t="shared" si="4"/>
        <v>1</v>
      </c>
    </row>
    <row r="323" spans="1:131" x14ac:dyDescent="0.2">
      <c r="A323" s="1096"/>
      <c r="B323" s="159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97"/>
      <c r="D323" s="1644">
        <v>4</v>
      </c>
      <c r="E323" s="1423"/>
      <c r="F323" s="1173"/>
      <c r="G323" s="1174"/>
      <c r="H323" s="2559">
        <f>IF(AND(OR(ISNUMBER(SEARCH("Afinidad Elemental ("&amp;BK318&amp;")",Principal!$AF$30)),ISNUMBER(SEARCH("Afinidad Elemental ("&amp;BL318&amp;")",Principal!$AF$30)),ISNUMBER(SEARCH("Afinidad Elemental ("&amp;BM318&amp;")",Principal!$AF$30))),SUM(H318:H322)&gt;=5),-5,0)</f>
        <v>0</v>
      </c>
      <c r="I323" s="1603"/>
      <c r="J323" s="1606"/>
      <c r="K323" s="1174"/>
      <c r="L323" s="1603"/>
      <c r="M323" s="1606"/>
      <c r="N323" s="1174"/>
      <c r="O323" s="1603"/>
      <c r="P323" s="1606"/>
      <c r="Q323" s="1174"/>
      <c r="R323" s="1175"/>
      <c r="S323" s="1174"/>
      <c r="T323" s="1174"/>
      <c r="U323" s="1174"/>
      <c r="V323" s="1174"/>
      <c r="W323" s="1174"/>
      <c r="X323" s="1174"/>
      <c r="Y323" s="1174"/>
      <c r="Z323" s="1174"/>
      <c r="AA323" s="1174"/>
      <c r="AB323" s="1174"/>
      <c r="AC323" s="1174"/>
      <c r="AD323" s="1174"/>
      <c r="AE323" s="1174"/>
      <c r="AF323" s="1174"/>
      <c r="AG323" s="1174"/>
      <c r="AH323" s="1174"/>
      <c r="AI323" s="1174"/>
      <c r="AJ323" s="1174"/>
      <c r="AK323" s="1174"/>
      <c r="AL323" s="1174"/>
      <c r="AM323" s="1174"/>
      <c r="AN323" s="1174"/>
      <c r="AO323" s="1174"/>
      <c r="AP323" s="1174"/>
      <c r="AQ323" s="1174"/>
      <c r="AR323" s="1174"/>
      <c r="AS323" s="1174"/>
      <c r="AT323" s="1174"/>
      <c r="AU323" s="1174"/>
      <c r="AV323" s="1174"/>
      <c r="AW323" s="1174"/>
      <c r="AX323" s="1174"/>
      <c r="AY323" s="1174"/>
      <c r="AZ323" s="1174"/>
      <c r="BA323" s="1174"/>
      <c r="BB323" s="1174"/>
      <c r="BC323" s="1174"/>
      <c r="BD323" s="1174"/>
      <c r="BE323" s="1174"/>
      <c r="BF323" s="1174"/>
      <c r="BG323" s="1174"/>
      <c r="BH323" s="1174"/>
      <c r="BI323" s="1174"/>
      <c r="BJ323" s="1174"/>
      <c r="BK323" s="1174"/>
      <c r="BL323" s="1174"/>
      <c r="BM323" s="1184"/>
      <c r="BN323" s="1185">
        <f>SUM(K323:K326)</f>
        <v>0</v>
      </c>
      <c r="BO323" s="1128" t="str">
        <f>IF(E323=0,"",(AF323+AP323+AZ323+BJ323))</f>
        <v/>
      </c>
      <c r="BP323" s="1186" t="str">
        <f>IF(I323="Si",VLOOKUP($D$8,'Tablas Técnicas'!$E$4:$F$6,2,FALSE),"")</f>
        <v/>
      </c>
      <c r="BQ323" s="1187" t="str">
        <f>IF(L323="Si",VLOOKUP($D$8,'Tablas Técnicas'!$I$4:$J$6,2,FALSE),"")</f>
        <v/>
      </c>
      <c r="BR323" s="1185" t="str">
        <f>IF(O323="Si",VLOOKUP($D$8,'Tablas Técnicas'!$I$7:$J$9,2,FALSE),"")</f>
        <v/>
      </c>
      <c r="BS323" s="1151"/>
      <c r="BT323" s="261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92"/>
      <c r="BV323" s="1128"/>
      <c r="BW323" s="1183" t="str">
        <f>IF(SUM(BT323:BU323)=0,"N/A",SUM(BT323:BU323))</f>
        <v>N/A</v>
      </c>
      <c r="BX323" s="261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83" t="str">
        <f>IF(BX323=0,"N/A",BX323)</f>
        <v>N/A</v>
      </c>
      <c r="BZ323" s="1492"/>
      <c r="CA323" s="1096"/>
      <c r="DR323" s="1096"/>
      <c r="DT323" s="1514"/>
      <c r="DU323" s="1569"/>
      <c r="DV323" s="1570"/>
      <c r="DW323" s="1566"/>
      <c r="DX323" s="1568"/>
      <c r="DY323" s="1513"/>
      <c r="DZ323" s="1096"/>
      <c r="EA323" s="1660">
        <f t="shared" si="4"/>
        <v>1</v>
      </c>
    </row>
    <row r="324" spans="1:131" x14ac:dyDescent="0.2">
      <c r="A324" s="1096"/>
      <c r="B324" s="1096"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97"/>
      <c r="D324" s="1643" t="s">
        <v>2310</v>
      </c>
      <c r="E324" s="1140"/>
      <c r="F324" s="1176"/>
      <c r="G324" s="1146" t="str">
        <f>IF(E324=0,"",VLOOKUP(E324,'Tablas Técnicas'!$A$14:$V$771,3,FALSE))</f>
        <v/>
      </c>
      <c r="H324" s="1188" t="str">
        <f>IF($E324=0,"",VLOOKUP($E324,'Tablas Técnicas'!$A$14:$V$771,4,FALSE))</f>
        <v/>
      </c>
      <c r="I324" s="1144" t="s">
        <v>2234</v>
      </c>
      <c r="J324" s="1607" t="str">
        <f>IF(E324=0,"",VLOOKUP(E324,'Tablas Técnicas'!$A$14:$V$771,5,FALSE))</f>
        <v/>
      </c>
      <c r="K324" s="1190" t="str">
        <f>IF(I324="Si",IF(E324=0,"",VLOOKUP(E324,'Tablas Técnicas'!$A$14:$V$771,5,FALSE)),"")</f>
        <v/>
      </c>
      <c r="L324" s="1144" t="s">
        <v>2234</v>
      </c>
      <c r="M324" s="1607" t="str">
        <f>IF(E324=0,"",VLOOKUP(E324,'Tablas Técnicas'!$A$14:$V$771,6,FALSE))</f>
        <v/>
      </c>
      <c r="N324" s="1147" t="str">
        <f>IF(L324="Si",IF(E324=0,"",VLOOKUP(E324,'Tablas Técnicas'!$A$14:$V$771,6,FALSE)),"")</f>
        <v/>
      </c>
      <c r="O324" s="1144" t="s">
        <v>2234</v>
      </c>
      <c r="P324" s="1607" t="str">
        <f>IF(E324=0,"",VLOOKUP(E324,'Tablas Técnicas'!$A$14:$V$771,7,FALSE))</f>
        <v/>
      </c>
      <c r="Q324" s="1147" t="str">
        <f>IF(O324="Si",IF(E324=0,"",VLOOKUP(E324,'Tablas Técnicas'!$A$14:$V$771,7,FALSE)),"")</f>
        <v/>
      </c>
      <c r="R324" s="1189" t="str">
        <f>IF(E324=0,"",VLOOKUP(E324,'Tablas Técnicas'!$A$14:$V$771,8,FALSE))</f>
        <v/>
      </c>
      <c r="S324" s="1161" t="str">
        <f>IF(R324=$D$8,$D$8,IF(R324=2,2,IF(R324=3,3,R324)))</f>
        <v/>
      </c>
      <c r="T324" s="1190" t="str">
        <f>IF(E324=0,"",VLOOKUP(E324,'Tablas Técnicas'!$A$14:$V$771,9,FALSE))</f>
        <v/>
      </c>
      <c r="U324" s="1190" t="str">
        <f>IF(E324=0,"",VLOOKUP(E324,'Tablas Técnicas'!$A$14:$V$771,10,FALSE))</f>
        <v/>
      </c>
      <c r="V324" s="1191" t="str">
        <f>IF(E324=0,"",VLOOKUP(E324,'Tablas Técnicas'!$A$14:$V$771,11,FALSE))</f>
        <v/>
      </c>
      <c r="W324" s="1144"/>
      <c r="X324" s="1145" t="e">
        <f>VLOOKUP(E324,'Tablas Técnicas'!$A$14:$V$771,12,FALSE)</f>
        <v>#N/A</v>
      </c>
      <c r="Y324" s="1145" t="e">
        <f>IF(W324=X324,VLOOKUP(E324,'Tablas Técnicas'!$A$14:$V$771,13,FALSE),0)</f>
        <v>#N/A</v>
      </c>
      <c r="Z324" s="1145" t="e">
        <f>VLOOKUP(E324,'Tablas Técnicas'!$A$14:$V$771,14,FALSE)</f>
        <v>#N/A</v>
      </c>
      <c r="AA324" s="1145" t="e">
        <f>IF(W324=Z324,VLOOKUP(E324,'Tablas Técnicas'!$A$14:$V$616,15,FALSE),0)</f>
        <v>#N/A</v>
      </c>
      <c r="AB324" s="1145" t="e">
        <f>VLOOKUP(E324,'Tablas Técnicas'!$A$14:$V$771,16,FALSE)</f>
        <v>#N/A</v>
      </c>
      <c r="AC324" s="1145" t="e">
        <f>IF(W324=AB324,VLOOKUP(E324,'Tablas Técnicas'!$A$14:$V$616,17,FALSE),0)</f>
        <v>#N/A</v>
      </c>
      <c r="AD324" s="1145" t="e">
        <f>VLOOKUP(E324,'Tablas Técnicas'!$A$14:$V$771,18,FALSE)</f>
        <v>#N/A</v>
      </c>
      <c r="AE324" s="1145" t="e">
        <f>IF(W324=AD324,VLOOKUP(E324,'Tablas Técnicas'!$A$14:$V$771,19,FALSE),0)</f>
        <v>#N/A</v>
      </c>
      <c r="AF324" s="1163" t="str">
        <f>IF(E324=0,"",(Y324+AA324+AC324+AE324))</f>
        <v/>
      </c>
      <c r="AG324" s="1144"/>
      <c r="AH324" s="1162" t="e">
        <f>VLOOKUP(E324,'Tablas Técnicas'!$A$14:$V$771,12,FALSE)</f>
        <v>#N/A</v>
      </c>
      <c r="AI324" s="1162" t="e">
        <f>IF(AG324=AH324,VLOOKUP(E324,'Tablas Técnicas'!$A$14:$V$771,13,FALSE),0)</f>
        <v>#N/A</v>
      </c>
      <c r="AJ324" s="1162" t="e">
        <f>VLOOKUP(E324,'Tablas Técnicas'!$A$14:$V$771,14,FALSE)</f>
        <v>#N/A</v>
      </c>
      <c r="AK324" s="1162" t="e">
        <f>IF(AG324=AJ324,VLOOKUP(E324,'Tablas Técnicas'!$A$14:$V$771,15,FALSE),0)</f>
        <v>#N/A</v>
      </c>
      <c r="AL324" s="1162" t="e">
        <f>VLOOKUP(E324,'Tablas Técnicas'!$A$14:$V$771,16,FALSE)</f>
        <v>#N/A</v>
      </c>
      <c r="AM324" s="1162" t="e">
        <f>IF(AG324=AL324,VLOOKUP(E324,'Tablas Técnicas'!$A$14:$V$771,17,FALSE),0)</f>
        <v>#N/A</v>
      </c>
      <c r="AN324" s="1162" t="e">
        <f>VLOOKUP(E324,'Tablas Técnicas'!$A$14:$V$771,18,FALSE)</f>
        <v>#N/A</v>
      </c>
      <c r="AO324" s="1162" t="e">
        <f>IF(AG324=AN324,VLOOKUP(E324,'Tablas Técnicas'!$A$14:$V$771,19,FALSE),0)</f>
        <v>#N/A</v>
      </c>
      <c r="AP324" s="2620" t="str">
        <f>IF(E324=0,"",(AI324+AK324+AM324+AO324))</f>
        <v/>
      </c>
      <c r="AQ324" s="1144"/>
      <c r="AR324" s="1162" t="e">
        <f>VLOOKUP(E324,'Tablas Técnicas'!$A$14:$V$771,12,FALSE)</f>
        <v>#N/A</v>
      </c>
      <c r="AS324" s="1162" t="e">
        <f>IF(AQ324=AR324,VLOOKUP(E324,'Tablas Técnicas'!$A$14:$V$771,13,FALSE),0)</f>
        <v>#N/A</v>
      </c>
      <c r="AT324" s="1162" t="e">
        <f>VLOOKUP(E324,'Tablas Técnicas'!$A$14:$V$771,14,FALSE)</f>
        <v>#N/A</v>
      </c>
      <c r="AU324" s="1162" t="e">
        <f>IF(AQ324=AT324,VLOOKUP(E324,'Tablas Técnicas'!$A$14:$V$771,15,FALSE),0)</f>
        <v>#N/A</v>
      </c>
      <c r="AV324" s="1162" t="e">
        <f>VLOOKUP(E324,'Tablas Técnicas'!$A$14:$V$771,16,FALSE)</f>
        <v>#N/A</v>
      </c>
      <c r="AW324" s="1162" t="e">
        <f>IF(AQ324=AV324,VLOOKUP(E324,'Tablas Técnicas'!$A$14:$V$771,17,FALSE),0)</f>
        <v>#N/A</v>
      </c>
      <c r="AX324" s="1162" t="e">
        <f>VLOOKUP(E324,'Tablas Técnicas'!$A$14:$V$771,18,FALSE)</f>
        <v>#N/A</v>
      </c>
      <c r="AY324" s="1162" t="e">
        <f>IF(AQ324=AX324,VLOOKUP(E324,'Tablas Técnicas'!$A$14:$V$771,19,FALSE),0)</f>
        <v>#N/A</v>
      </c>
      <c r="AZ324" s="1163" t="str">
        <f>IF(E324=0,"",(AS324+AU324+AW324+AY324))</f>
        <v/>
      </c>
      <c r="BA324" s="1144"/>
      <c r="BB324" s="1162" t="e">
        <f>VLOOKUP(E324,'Tablas Técnicas'!$A$14:$V$771,12,FALSE)</f>
        <v>#N/A</v>
      </c>
      <c r="BC324" s="1162" t="e">
        <f>IF(BA324=BB324,VLOOKUP(E324,'Tablas Técnicas'!$A$14:$V$771,13,FALSE),0)</f>
        <v>#N/A</v>
      </c>
      <c r="BD324" s="1162" t="e">
        <f>VLOOKUP(E324,'Tablas Técnicas'!$A$14:$V$771,14,FALSE)</f>
        <v>#N/A</v>
      </c>
      <c r="BE324" s="1162" t="e">
        <f>IF(BA324=BD324,VLOOKUP(E324,'Tablas Técnicas'!$A$14:$V$771,15,FALSE),0)</f>
        <v>#N/A</v>
      </c>
      <c r="BF324" s="1162" t="e">
        <f>VLOOKUP(E324,'Tablas Técnicas'!$A$14:$V$771,16,FALSE)</f>
        <v>#N/A</v>
      </c>
      <c r="BG324" s="1162" t="e">
        <f>IF(BA324=BF324,VLOOKUP(E324,'Tablas Técnicas'!$A$14:$V$771,17,FALSE),0)</f>
        <v>#N/A</v>
      </c>
      <c r="BH324" s="1162" t="e">
        <f>VLOOKUP(E324,'Tablas Técnicas'!$A$14:$V$771,18,FALSE)</f>
        <v>#N/A</v>
      </c>
      <c r="BI324" s="1162" t="e">
        <f>IF(BA324=BH324,VLOOKUP(E324,'Tablas Técnicas'!$A$14:$V$771,19,FALSE),0)</f>
        <v>#N/A</v>
      </c>
      <c r="BJ324" s="2620" t="str">
        <f>IF(E324=0,"",(BC324+BE324+BG324+BI324))</f>
        <v/>
      </c>
      <c r="BK324" s="1190" t="str">
        <f>IF(E324=0,"",VLOOKUP(E324,'Tablas Técnicas'!$A$14:$V$771,20,FALSE))</f>
        <v/>
      </c>
      <c r="BL324" s="1177" t="str">
        <f>IF(E324=0,"",VLOOKUP(E324,'Tablas Técnicas'!$A$14:$V$771,21,FALSE))</f>
        <v/>
      </c>
      <c r="BM324" s="1148" t="str">
        <f>IF(E324=0,"",VLOOKUP(E324,'Tablas Técnicas'!$A$14:$V$771,22,FALSE))</f>
        <v/>
      </c>
      <c r="BN324" s="1149"/>
      <c r="BO324" s="1150"/>
      <c r="BP324" s="1135" t="str">
        <f>IF(I324="Si",VLOOKUP($D$8,'Tablas Técnicas'!$E$4:$F$6,2,FALSE),"")</f>
        <v/>
      </c>
      <c r="BQ324" s="1136" t="str">
        <f>IF(L324="Si",VLOOKUP($D$8,'Tablas Técnicas'!$I$4:$J$6,2,FALSE),"")</f>
        <v/>
      </c>
      <c r="BR324" s="1134" t="str">
        <f>IF(O324="Si",VLOOKUP($D$8,'Tablas Técnicas'!$I$7:$J$9,2,FALSE),"")</f>
        <v/>
      </c>
      <c r="BS324" s="1151"/>
      <c r="BT324" s="2609" t="s">
        <v>2236</v>
      </c>
      <c r="BU324" s="2610" t="s">
        <v>5236</v>
      </c>
      <c r="BV324" s="1128"/>
      <c r="BW324" s="2610" t="s">
        <v>5237</v>
      </c>
      <c r="BX324" s="2609" t="s">
        <v>5238</v>
      </c>
      <c r="BY324" s="1489" t="s">
        <v>5238</v>
      </c>
      <c r="BZ324" s="1492"/>
      <c r="CA324" s="1096"/>
      <c r="DR324" s="1096"/>
      <c r="DT324" s="1514"/>
      <c r="DU324" s="1569"/>
      <c r="DV324" s="1566" t="str">
        <f>IF(E324="","",", "&amp;E324)&amp;IF(I324="No",""," (Mant.)")&amp;IF(L324="No",""," (Sme)")&amp;IF(O324="No",""," (SMa)")</f>
        <v/>
      </c>
      <c r="DW324" s="1566"/>
      <c r="DX324" s="1568"/>
      <c r="DY324" s="1513"/>
      <c r="DZ324" s="1096"/>
      <c r="EA324" s="1660">
        <f t="shared" si="4"/>
        <v>1</v>
      </c>
    </row>
    <row r="325" spans="1:131" x14ac:dyDescent="0.2">
      <c r="A325" s="1096"/>
      <c r="B325" s="1096"/>
      <c r="C325" s="1497"/>
      <c r="D325" s="1642" t="s">
        <v>2310</v>
      </c>
      <c r="E325" s="1152"/>
      <c r="F325" s="1182"/>
      <c r="G325" s="1627" t="str">
        <f>IF(E325=0,"",VLOOKUP(E325,'Tablas Técnicas'!$A$14:$V$771,3,FALSE))</f>
        <v/>
      </c>
      <c r="H325" s="1155" t="str">
        <f>IF($E325=0,"",VLOOKUP($E325,'Tablas Técnicas'!$A$14:$V$771,4,FALSE))</f>
        <v/>
      </c>
      <c r="I325" s="1156" t="s">
        <v>2234</v>
      </c>
      <c r="J325" s="1605" t="str">
        <f>IF(E325=0,"",VLOOKUP(E325,'Tablas Técnicas'!$A$14:$V$771,5,FALSE))</f>
        <v/>
      </c>
      <c r="K325" s="1158" t="str">
        <f>IF(I325="Si",IF(E325=0,"",VLOOKUP(E325,'Tablas Técnicas'!$A$14:$V$771,5,FALSE)),"")</f>
        <v/>
      </c>
      <c r="L325" s="1156" t="s">
        <v>2234</v>
      </c>
      <c r="M325" s="1605" t="str">
        <f>IF(E325=0,"",VLOOKUP(E325,'Tablas Técnicas'!$A$14:$V$771,6,FALSE))</f>
        <v/>
      </c>
      <c r="N325" s="1159" t="str">
        <f>IF(L325="Si",IF(E325=0,"",VLOOKUP(E325,'Tablas Técnicas'!$A$14:$V$771,6,FALSE)),"")</f>
        <v/>
      </c>
      <c r="O325" s="1156" t="s">
        <v>2234</v>
      </c>
      <c r="P325" s="1605" t="str">
        <f>IF(E325=0,"",VLOOKUP(E325,'Tablas Técnicas'!$A$14:$V$771,7,FALSE))</f>
        <v/>
      </c>
      <c r="Q325" s="1159" t="str">
        <f>IF(O325="Si",IF(E325=0,"",VLOOKUP(E325,'Tablas Técnicas'!$A$14:$V$771,7,FALSE)),"")</f>
        <v/>
      </c>
      <c r="R325" s="1157" t="str">
        <f>IF(E325=0,"",VLOOKUP(E325,'Tablas Técnicas'!$A$14:$V$771,8,FALSE))</f>
        <v/>
      </c>
      <c r="S325" s="1155" t="str">
        <f>IF(R325=$D$8,$D$8,IF(R325=2,2,IF(R325=3,3,R325)))</f>
        <v/>
      </c>
      <c r="T325" s="4475" t="s">
        <v>5228</v>
      </c>
      <c r="U325" s="4476"/>
      <c r="V325" s="4476"/>
      <c r="W325" s="4476"/>
      <c r="X325" s="4476"/>
      <c r="Y325" s="4476"/>
      <c r="Z325" s="4476"/>
      <c r="AA325" s="4476"/>
      <c r="AB325" s="4476"/>
      <c r="AC325" s="4476"/>
      <c r="AD325" s="4476"/>
      <c r="AE325" s="4476"/>
      <c r="AF325" s="4476"/>
      <c r="AG325" s="4476"/>
      <c r="AH325" s="4476"/>
      <c r="AI325" s="4476"/>
      <c r="AJ325" s="4476"/>
      <c r="AK325" s="4476"/>
      <c r="AL325" s="4476"/>
      <c r="AM325" s="4476"/>
      <c r="AN325" s="4476"/>
      <c r="AO325" s="4476"/>
      <c r="AP325" s="4476"/>
      <c r="AQ325" s="4476"/>
      <c r="AR325" s="4476"/>
      <c r="AS325" s="4476"/>
      <c r="AT325" s="4476"/>
      <c r="AU325" s="4476"/>
      <c r="AV325" s="4476"/>
      <c r="AW325" s="4476"/>
      <c r="AX325" s="4476"/>
      <c r="AY325" s="4476"/>
      <c r="AZ325" s="4476"/>
      <c r="BA325" s="4476"/>
      <c r="BB325" s="4476"/>
      <c r="BC325" s="4476"/>
      <c r="BD325" s="4476"/>
      <c r="BE325" s="4476"/>
      <c r="BF325" s="4476"/>
      <c r="BG325" s="4476"/>
      <c r="BH325" s="4476"/>
      <c r="BI325" s="4476"/>
      <c r="BJ325" s="4476"/>
      <c r="BK325" s="4477"/>
      <c r="BL325" s="1627"/>
      <c r="BM325" s="1628"/>
      <c r="BN325" s="1149"/>
      <c r="BO325" s="1150"/>
      <c r="BP325" s="1135" t="str">
        <f>IF(I325="Si",VLOOKUP($D$8,'Tablas Técnicas'!$E$4:$F$6,2,FALSE),"")</f>
        <v/>
      </c>
      <c r="BQ325" s="1136" t="str">
        <f>IF(L325="Si",VLOOKUP($D$8,'Tablas Técnicas'!$I$4:$J$6,2,FALSE),"")</f>
        <v/>
      </c>
      <c r="BR325" s="1134" t="str">
        <f>IF(O325="Si",VLOOKUP($D$8,'Tablas Técnicas'!$I$7:$J$9,2,FALSE),"")</f>
        <v/>
      </c>
      <c r="BS325" s="1151"/>
      <c r="BT325" s="261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92"/>
      <c r="BV325" s="1128"/>
      <c r="BW325" s="1183" t="str">
        <f>IF(SUM(BT325:BU325)=0,"N/A",SUM(BT325:BU325))</f>
        <v>N/A</v>
      </c>
      <c r="BX325" s="261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83" t="str">
        <f>IF(BX325=0,"N/A",BX325)</f>
        <v>N/A</v>
      </c>
      <c r="BZ325" s="1492"/>
      <c r="CA325" s="1096"/>
      <c r="DR325" s="1096"/>
      <c r="DT325" s="1514"/>
      <c r="DU325" s="1569"/>
      <c r="DV325" s="1566" t="str">
        <f>IF(E325="",""," "&amp;E325)&amp;IF(I325="No",""," (Mant.)")&amp;IF(L325="No",""," (Sme)")&amp;IF(O325="No",""," (SMa)")</f>
        <v/>
      </c>
      <c r="DW325" s="1566"/>
      <c r="DX325" s="1568"/>
      <c r="DY325" s="1513"/>
      <c r="DZ325" s="1096"/>
      <c r="EA325" s="1660">
        <f t="shared" si="4"/>
        <v>1</v>
      </c>
    </row>
    <row r="326" spans="1:131" x14ac:dyDescent="0.2">
      <c r="A326" s="1096"/>
      <c r="B326" s="1096"/>
      <c r="C326" s="1497"/>
      <c r="D326" s="1643" t="s">
        <v>2310</v>
      </c>
      <c r="E326" s="1160"/>
      <c r="F326" s="1176"/>
      <c r="G326" s="1146" t="str">
        <f>IF(E326=0,"",VLOOKUP(E326,'Tablas Técnicas'!$A$14:$V$771,3,FALSE))</f>
        <v/>
      </c>
      <c r="H326" s="2619" t="str">
        <f>IF($E326=0,"",VLOOKUP($E326,'Tablas Técnicas'!$A$14:$V$771,4,FALSE))</f>
        <v/>
      </c>
      <c r="I326" s="1144" t="s">
        <v>2234</v>
      </c>
      <c r="J326" s="1601" t="str">
        <f>IF(E326=0,"",VLOOKUP(E326,'Tablas Técnicas'!$A$14:$V$771,5,FALSE))</f>
        <v/>
      </c>
      <c r="K326" s="1163" t="str">
        <f>IF(I326="Si",IF(E326=0,"",VLOOKUP(E326,'Tablas Técnicas'!$A$14:$V$771,5,FALSE)),"")</f>
        <v/>
      </c>
      <c r="L326" s="1144" t="s">
        <v>2234</v>
      </c>
      <c r="M326" s="1601" t="str">
        <f>IF(E326=0,"",VLOOKUP(E326,'Tablas Técnicas'!$A$14:$V$771,6,FALSE))</f>
        <v/>
      </c>
      <c r="N326" s="1147" t="str">
        <f>IF(L326="Si",IF(E326=0,"",VLOOKUP(E326,'Tablas Técnicas'!$A$14:$V$771,6,FALSE)),"")</f>
        <v/>
      </c>
      <c r="O326" s="1144" t="s">
        <v>2234</v>
      </c>
      <c r="P326" s="1601" t="str">
        <f>IF(E326=0,"",VLOOKUP(E326,'Tablas Técnicas'!$A$14:$V$771,7,FALSE))</f>
        <v/>
      </c>
      <c r="Q326" s="1147" t="str">
        <f>IF(O326="Si",IF(E326=0,"",VLOOKUP(E326,'Tablas Técnicas'!$A$14:$V$771,7,FALSE)),"")</f>
        <v/>
      </c>
      <c r="R326" s="1162" t="str">
        <f>IF(E326=0,"",VLOOKUP(E326,'Tablas Técnicas'!$A$14:$V$771,8,FALSE))</f>
        <v/>
      </c>
      <c r="S326" s="2619" t="str">
        <f>IF(R326=$D$8,$D$8,IF(R326=2,2,IF(R326=3,3,R326)))</f>
        <v/>
      </c>
      <c r="T326" s="4487"/>
      <c r="U326" s="4488"/>
      <c r="V326" s="2617" t="str">
        <f>IF(OR(V324=0,V324=""),"N/A",V324)</f>
        <v>N/A</v>
      </c>
      <c r="W326" s="4487" t="str">
        <f xml:space="preserve"> IF(OR(AF324=0,AF324=""),"N/A",W324)</f>
        <v>N/A</v>
      </c>
      <c r="X326" s="4489"/>
      <c r="Y326" s="4489"/>
      <c r="Z326" s="4489"/>
      <c r="AA326" s="4489"/>
      <c r="AB326" s="4489"/>
      <c r="AC326" s="4489"/>
      <c r="AD326" s="4489"/>
      <c r="AE326" s="4489"/>
      <c r="AF326" s="4488"/>
      <c r="AG326" s="4487" t="str">
        <f xml:space="preserve"> IF(OR(AP324="",AP324=0),"N/A",AG324)</f>
        <v>N/A</v>
      </c>
      <c r="AH326" s="4489"/>
      <c r="AI326" s="4489"/>
      <c r="AJ326" s="4489"/>
      <c r="AK326" s="4489"/>
      <c r="AL326" s="4489"/>
      <c r="AM326" s="4489"/>
      <c r="AN326" s="4489"/>
      <c r="AO326" s="4489"/>
      <c r="AP326" s="4488"/>
      <c r="AQ326" s="4487" t="str">
        <f xml:space="preserve"> IF(OR(AZ324="",AZ324=0),"N/A",AQ324)</f>
        <v>N/A</v>
      </c>
      <c r="AR326" s="4489"/>
      <c r="AS326" s="4489"/>
      <c r="AT326" s="4489"/>
      <c r="AU326" s="4489"/>
      <c r="AV326" s="4489"/>
      <c r="AW326" s="4489"/>
      <c r="AX326" s="4489"/>
      <c r="AY326" s="4489"/>
      <c r="AZ326" s="4488"/>
      <c r="BA326" s="4487" t="str">
        <f xml:space="preserve"> IF(OR(BJ324="",BJ324=0),"N/A",BA324)</f>
        <v>N/A</v>
      </c>
      <c r="BB326" s="4489"/>
      <c r="BC326" s="4489"/>
      <c r="BD326" s="4489"/>
      <c r="BE326" s="4489"/>
      <c r="BF326" s="4489"/>
      <c r="BG326" s="4489"/>
      <c r="BH326" s="4489"/>
      <c r="BI326" s="4489"/>
      <c r="BJ326" s="4488"/>
      <c r="BK326" s="1164" t="s">
        <v>5229</v>
      </c>
      <c r="BL326" s="1146"/>
      <c r="BM326" s="1181"/>
      <c r="BN326" s="1165"/>
      <c r="BO326" s="1166"/>
      <c r="BP326" s="1167" t="str">
        <f>IF(I326="Si",VLOOKUP($D$8,'Tablas Técnicas'!$E$4:$F$6,2,FALSE),"")</f>
        <v/>
      </c>
      <c r="BQ326" s="1137" t="str">
        <f>IF(L326="Si",VLOOKUP($D$8,'Tablas Técnicas'!$I$4:$J$6,2,FALSE),"")</f>
        <v/>
      </c>
      <c r="BR326" s="1168" t="str">
        <f>IF(O326="Si",VLOOKUP($D$8,'Tablas Técnicas'!$I$7:$J$9,2,FALSE),"")</f>
        <v/>
      </c>
      <c r="BS326" s="1151"/>
      <c r="BT326" s="2609" t="s">
        <v>2244</v>
      </c>
      <c r="BU326" s="2610" t="s">
        <v>5236</v>
      </c>
      <c r="BV326" s="1128"/>
      <c r="BW326" s="2610" t="s">
        <v>5237</v>
      </c>
      <c r="BX326" s="2609" t="s">
        <v>5238</v>
      </c>
      <c r="BY326" s="1489" t="s">
        <v>5238</v>
      </c>
      <c r="BZ326" s="1492"/>
      <c r="CA326" s="1096"/>
      <c r="DR326" s="1096"/>
      <c r="DT326" s="1514"/>
      <c r="DU326" s="1569"/>
      <c r="DV326" s="1566" t="str">
        <f>IF(E326="","",E326)&amp;IF(I326="No",""," (Mant.)")&amp;IF(L326="No",""," (Sme)")&amp;IF(O326="No",""," (SMa)")</f>
        <v/>
      </c>
      <c r="DW326" s="1567"/>
      <c r="DX326" s="1568"/>
      <c r="DY326" s="1513"/>
      <c r="DZ326" s="1096"/>
      <c r="EA326" s="1660">
        <f t="shared" si="4"/>
        <v>1</v>
      </c>
    </row>
    <row r="327" spans="1:131" x14ac:dyDescent="0.2">
      <c r="A327" s="1096"/>
      <c r="B327" s="1096"/>
      <c r="C327" s="1497"/>
      <c r="D327" s="1642" t="s">
        <v>2310</v>
      </c>
      <c r="E327" s="1152"/>
      <c r="F327" s="1182"/>
      <c r="G327" s="1627" t="str">
        <f>IF(E327=0,"",VLOOKUP(E327,'Tablas Técnicas'!$A$14:$V$771,3,FALSE))</f>
        <v/>
      </c>
      <c r="H327" s="1155" t="str">
        <f>IF($E327=0,"",VLOOKUP($E327,'Tablas Técnicas'!$A$14:$V$771,4,FALSE))</f>
        <v/>
      </c>
      <c r="I327" s="1156" t="s">
        <v>2234</v>
      </c>
      <c r="J327" s="1605" t="str">
        <f>IF(E327=0,"",VLOOKUP(E327,'Tablas Técnicas'!$A$14:$V$771,5,FALSE))</f>
        <v/>
      </c>
      <c r="K327" s="1158" t="str">
        <f>IF(I327="Si",IF(E327=0,"",VLOOKUP(E327,'Tablas Técnicas'!$A$14:$V$771,5,FALSE)),"")</f>
        <v/>
      </c>
      <c r="L327" s="1156" t="s">
        <v>2234</v>
      </c>
      <c r="M327" s="1605" t="str">
        <f>IF(E327=0,"",VLOOKUP(E327,'Tablas Técnicas'!$A$14:$V$771,6,FALSE))</f>
        <v/>
      </c>
      <c r="N327" s="1159" t="str">
        <f>IF(L327="Si",IF(E327=0,"",VLOOKUP(E327,'Tablas Técnicas'!$A$14:$V$771,6,FALSE)),"")</f>
        <v/>
      </c>
      <c r="O327" s="1156" t="s">
        <v>2234</v>
      </c>
      <c r="P327" s="1605" t="str">
        <f>IF(E327=0,"",VLOOKUP(E327,'Tablas Técnicas'!$A$14:$V$771,7,FALSE))</f>
        <v/>
      </c>
      <c r="Q327" s="1159" t="str">
        <f>IF(O327="Si",IF(E327=0,"",VLOOKUP(E327,'Tablas Técnicas'!$A$14:$V$771,7,FALSE)),"")</f>
        <v/>
      </c>
      <c r="R327" s="1157" t="str">
        <f>IF(E327=0,"",VLOOKUP(E327,'Tablas Técnicas'!$A$14:$V$771,8,FALSE))</f>
        <v/>
      </c>
      <c r="S327" s="1155" t="str">
        <f>IF(R327=$D$8,$D$8,IF(R327=2,2,IF(R327=3,3,R327)))</f>
        <v/>
      </c>
      <c r="T327" s="4490" t="s">
        <v>5230</v>
      </c>
      <c r="U327" s="4491"/>
      <c r="V327" s="2618"/>
      <c r="W327" s="4492"/>
      <c r="X327" s="4493"/>
      <c r="Y327" s="4493"/>
      <c r="Z327" s="4493"/>
      <c r="AA327" s="4493"/>
      <c r="AB327" s="4493"/>
      <c r="AC327" s="4493"/>
      <c r="AD327" s="4493"/>
      <c r="AE327" s="4493"/>
      <c r="AF327" s="4494"/>
      <c r="AG327" s="4492"/>
      <c r="AH327" s="4493"/>
      <c r="AI327" s="4493"/>
      <c r="AJ327" s="4493"/>
      <c r="AK327" s="4493"/>
      <c r="AL327" s="4493"/>
      <c r="AM327" s="4493"/>
      <c r="AN327" s="4493"/>
      <c r="AO327" s="4493"/>
      <c r="AP327" s="4494"/>
      <c r="AQ327" s="4492"/>
      <c r="AR327" s="4493"/>
      <c r="AS327" s="4493"/>
      <c r="AT327" s="4493"/>
      <c r="AU327" s="4493"/>
      <c r="AV327" s="4493"/>
      <c r="AW327" s="4493"/>
      <c r="AX327" s="4493"/>
      <c r="AY327" s="4493"/>
      <c r="AZ327" s="4494"/>
      <c r="BA327" s="4492"/>
      <c r="BB327" s="4493"/>
      <c r="BC327" s="4493"/>
      <c r="BD327" s="4493"/>
      <c r="BE327" s="4493"/>
      <c r="BF327" s="4493"/>
      <c r="BG327" s="4493"/>
      <c r="BH327" s="4493"/>
      <c r="BI327" s="4493"/>
      <c r="BJ327" s="4494"/>
      <c r="BK327" s="1155">
        <f>(SUM(G324:G328)+IF(AF324="",0,AF324)+IF(AP324="",0,AP324)+IF(AZ324="",0,AZ324)+IF(BJ324="",0,BJ324)+SUM(K324:K328)+SUM(N324:N328)+SUM(Q324:Q328))- SUM(V327:BA327)</f>
        <v>0</v>
      </c>
      <c r="BL327" s="1627"/>
      <c r="BM327" s="1628"/>
      <c r="BN327" s="1149"/>
      <c r="BO327" s="1150"/>
      <c r="BP327" s="1135" t="str">
        <f>IF(I327="Si",VLOOKUP($D$8,'Tablas Técnicas'!$E$4:$F$6,2,FALSE),"")</f>
        <v/>
      </c>
      <c r="BQ327" s="1136" t="str">
        <f>IF(L327="Si",VLOOKUP($D$8,'Tablas Técnicas'!$I$4:$J$6,2,FALSE),"")</f>
        <v/>
      </c>
      <c r="BR327" s="1134" t="str">
        <f>IF(O327="Si",VLOOKUP($D$8,'Tablas Técnicas'!$I$7:$J$9,2,FALSE),"")</f>
        <v/>
      </c>
      <c r="BS327" s="1151"/>
      <c r="BT327" s="261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92"/>
      <c r="BV327" s="1128"/>
      <c r="BW327" s="1183" t="str">
        <f>IF(SUM(BT327:BU327)=0,"N/A",SUM(BT327:BU327))</f>
        <v>N/A</v>
      </c>
      <c r="BX327" s="261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83" t="str">
        <f>IF(BX327=0,"N/A",BX327)</f>
        <v>N/A</v>
      </c>
      <c r="BZ327" s="1492"/>
      <c r="CA327" s="1096"/>
      <c r="DR327" s="1096"/>
      <c r="DT327" s="1514"/>
      <c r="DU327" s="1569"/>
      <c r="DV327" s="1566" t="str">
        <f>IF(E327="","",E327)&amp;IF(I327="No",""," (Mant.)")&amp;IF(L327="No",""," (Sme)")&amp;IF(O327="No",""," (SMa)")</f>
        <v/>
      </c>
      <c r="DW327" s="1567"/>
      <c r="DX327" s="1568"/>
      <c r="DY327" s="1513"/>
      <c r="DZ327" s="1096"/>
      <c r="EA327" s="1660">
        <f t="shared" si="4"/>
        <v>1</v>
      </c>
    </row>
    <row r="328" spans="1:131" x14ac:dyDescent="0.2">
      <c r="A328" s="1096"/>
      <c r="B328" s="1096"/>
      <c r="C328" s="1497"/>
      <c r="D328" s="1643" t="s">
        <v>2310</v>
      </c>
      <c r="E328" s="1160"/>
      <c r="F328" s="1176"/>
      <c r="G328" s="1146" t="str">
        <f>IF(E328=0,"",VLOOKUP(E328,'Tablas Técnicas'!$A$14:$V$771,3,FALSE))</f>
        <v/>
      </c>
      <c r="H328" s="1171" t="str">
        <f>IF($E328=0,"",VLOOKUP($E328,'Tablas Técnicas'!$A$14:$V$771,4,FALSE))</f>
        <v/>
      </c>
      <c r="I328" s="1144" t="s">
        <v>2234</v>
      </c>
      <c r="J328" s="1608" t="str">
        <f>IF(E328=0,"",VLOOKUP(E328,'Tablas Técnicas'!$A$14:$V$771,5,FALSE))</f>
        <v/>
      </c>
      <c r="K328" s="1172" t="str">
        <f>IF(I328="Si",IF(E328=0,"",VLOOKUP(E328,'Tablas Técnicas'!$A$14:$V$771,5,FALSE)),"")</f>
        <v/>
      </c>
      <c r="L328" s="1144" t="s">
        <v>2234</v>
      </c>
      <c r="M328" s="1608" t="str">
        <f>IF(E328=0,"",VLOOKUP(E328,'Tablas Técnicas'!$A$14:$V$771,6,FALSE))</f>
        <v/>
      </c>
      <c r="N328" s="1147" t="str">
        <f>IF(L328="Si",IF(E328=0,"",VLOOKUP(E328,'Tablas Técnicas'!$A$14:$V$771,6,FALSE)),"")</f>
        <v/>
      </c>
      <c r="O328" s="1144" t="s">
        <v>2234</v>
      </c>
      <c r="P328" s="1608" t="str">
        <f>IF(E328=0,"",VLOOKUP(E328,'Tablas Técnicas'!$A$14:$V$771,7,FALSE))</f>
        <v/>
      </c>
      <c r="Q328" s="1147" t="str">
        <f>IF(O328="Si",IF(E328=0,"",VLOOKUP(E328,'Tablas Técnicas'!$A$14:$V$771,7,FALSE)),"")</f>
        <v/>
      </c>
      <c r="R328" s="1193" t="str">
        <f>IF(E328=0,"",VLOOKUP(E328,'Tablas Técnicas'!$A$14:$V$771,8,FALSE))</f>
        <v/>
      </c>
      <c r="S328" s="1161" t="str">
        <f>IF(R328=$D$8,$D$8,IF(R328=2,2,IF(R328=3,3,R328)))</f>
        <v/>
      </c>
      <c r="T328" s="4482" t="s">
        <v>5232</v>
      </c>
      <c r="U328" s="4483"/>
      <c r="V328" s="2616"/>
      <c r="W328" s="4484"/>
      <c r="X328" s="4485"/>
      <c r="Y328" s="4485"/>
      <c r="Z328" s="4485"/>
      <c r="AA328" s="4485"/>
      <c r="AB328" s="4485"/>
      <c r="AC328" s="4485"/>
      <c r="AD328" s="4485"/>
      <c r="AE328" s="4485"/>
      <c r="AF328" s="4486"/>
      <c r="AG328" s="4484"/>
      <c r="AH328" s="4485"/>
      <c r="AI328" s="4485"/>
      <c r="AJ328" s="4485"/>
      <c r="AK328" s="4485"/>
      <c r="AL328" s="4485"/>
      <c r="AM328" s="4485"/>
      <c r="AN328" s="4485"/>
      <c r="AO328" s="4485"/>
      <c r="AP328" s="4486"/>
      <c r="AQ328" s="4484"/>
      <c r="AR328" s="4485"/>
      <c r="AS328" s="4485"/>
      <c r="AT328" s="4485"/>
      <c r="AU328" s="4485"/>
      <c r="AV328" s="4485"/>
      <c r="AW328" s="4485"/>
      <c r="AX328" s="4485"/>
      <c r="AY328" s="4485"/>
      <c r="AZ328" s="4486"/>
      <c r="BA328" s="4484"/>
      <c r="BB328" s="4485"/>
      <c r="BC328" s="4485"/>
      <c r="BD328" s="4485"/>
      <c r="BE328" s="4485"/>
      <c r="BF328" s="4485"/>
      <c r="BG328" s="4485"/>
      <c r="BH328" s="4485"/>
      <c r="BI328" s="4485"/>
      <c r="BJ328" s="4486"/>
      <c r="BK328" s="1171">
        <f>SUM(K324:K328)-SUM(V328:BA328)</f>
        <v>0</v>
      </c>
      <c r="BL328" s="1629"/>
      <c r="BM328" s="1630"/>
      <c r="BN328" s="1165"/>
      <c r="BO328" s="1166"/>
      <c r="BP328" s="1167" t="str">
        <f>IF(I328="Si",VLOOKUP($D$8,'Tablas Técnicas'!$E$4:$F$6,2,FALSE),"")</f>
        <v/>
      </c>
      <c r="BQ328" s="1137" t="str">
        <f>IF(L328="Si",VLOOKUP($D$8,'Tablas Técnicas'!$I$4:$J$6,2,FALSE),"")</f>
        <v/>
      </c>
      <c r="BR328" s="1168" t="str">
        <f>IF(O328="Si",VLOOKUP($D$8,'Tablas Técnicas'!$I$7:$J$9,2,FALSE),"")</f>
        <v/>
      </c>
      <c r="BS328" s="1151"/>
      <c r="BT328" s="2609" t="s">
        <v>2245</v>
      </c>
      <c r="BU328" s="2610" t="s">
        <v>5236</v>
      </c>
      <c r="BV328" s="1128"/>
      <c r="BW328" s="2610" t="s">
        <v>5237</v>
      </c>
      <c r="BX328" s="2609" t="s">
        <v>5238</v>
      </c>
      <c r="BY328" s="1489" t="s">
        <v>5238</v>
      </c>
      <c r="BZ328" s="1492"/>
      <c r="CA328" s="1096"/>
      <c r="DR328" s="1096"/>
      <c r="DT328" s="1514"/>
      <c r="DU328" s="1569"/>
      <c r="DV328" s="1566" t="str">
        <f>IF(E328="","",E328)&amp;IF(I328="No",""," (Mant.)")&amp;IF(L328="No",""," (Sme)")&amp;IF(O328="No",""," (SMa)")</f>
        <v/>
      </c>
      <c r="DW328" s="1567"/>
      <c r="DX328" s="1568"/>
      <c r="DY328" s="1513"/>
      <c r="DZ328" s="1096"/>
      <c r="EA328" s="1660">
        <f t="shared" si="4"/>
        <v>1</v>
      </c>
    </row>
    <row r="329" spans="1:131" x14ac:dyDescent="0.2">
      <c r="A329" s="1096"/>
      <c r="B329" s="159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97"/>
      <c r="D329" s="1644">
        <v>5</v>
      </c>
      <c r="E329" s="1423"/>
      <c r="F329" s="1173"/>
      <c r="G329" s="1174"/>
      <c r="H329" s="2559">
        <f>IF(AND(OR(ISNUMBER(SEARCH("Afinidad Elemental ("&amp;BK324&amp;")",Principal!$AF$30)),ISNUMBER(SEARCH("Afinidad Elemental ("&amp;BL324&amp;")",Principal!$AF$30)),ISNUMBER(SEARCH("Afinidad Elemental ("&amp;BM324&amp;")",Principal!$AF$30))),SUM(H324:H328)&gt;=5),-5,0)</f>
        <v>0</v>
      </c>
      <c r="I329" s="1603"/>
      <c r="J329" s="1606"/>
      <c r="K329" s="1174"/>
      <c r="L329" s="1603"/>
      <c r="M329" s="1606"/>
      <c r="N329" s="1174"/>
      <c r="O329" s="1603"/>
      <c r="P329" s="1606"/>
      <c r="Q329" s="1174"/>
      <c r="R329" s="1175"/>
      <c r="S329" s="1174"/>
      <c r="T329" s="1174"/>
      <c r="U329" s="1174"/>
      <c r="V329" s="1174"/>
      <c r="W329" s="1174"/>
      <c r="X329" s="1174"/>
      <c r="Y329" s="1174"/>
      <c r="Z329" s="1174"/>
      <c r="AA329" s="1174"/>
      <c r="AB329" s="1174"/>
      <c r="AC329" s="1174"/>
      <c r="AD329" s="1174"/>
      <c r="AE329" s="1174"/>
      <c r="AF329" s="1174"/>
      <c r="AG329" s="1174"/>
      <c r="AH329" s="1174"/>
      <c r="AI329" s="1174"/>
      <c r="AJ329" s="1174"/>
      <c r="AK329" s="1174"/>
      <c r="AL329" s="1174"/>
      <c r="AM329" s="1174"/>
      <c r="AN329" s="1174"/>
      <c r="AO329" s="1174"/>
      <c r="AP329" s="1174"/>
      <c r="AQ329" s="1174"/>
      <c r="AR329" s="1174"/>
      <c r="AS329" s="1174"/>
      <c r="AT329" s="1174"/>
      <c r="AU329" s="1174"/>
      <c r="AV329" s="1174"/>
      <c r="AW329" s="1174"/>
      <c r="AX329" s="1174"/>
      <c r="AY329" s="1174"/>
      <c r="AZ329" s="1174"/>
      <c r="BA329" s="1174"/>
      <c r="BB329" s="1174"/>
      <c r="BC329" s="1174"/>
      <c r="BD329" s="1174"/>
      <c r="BE329" s="1174"/>
      <c r="BF329" s="1174"/>
      <c r="BG329" s="1174"/>
      <c r="BH329" s="1174"/>
      <c r="BI329" s="1174"/>
      <c r="BJ329" s="1174"/>
      <c r="BK329" s="1174"/>
      <c r="BL329" s="1174"/>
      <c r="BM329" s="1184"/>
      <c r="BN329" s="1185">
        <f>SUM(K329:K332)</f>
        <v>0</v>
      </c>
      <c r="BO329" s="1128" t="str">
        <f>IF(E329=0,"",(AF329+AP329+AZ329+BJ329))</f>
        <v/>
      </c>
      <c r="BP329" s="1186" t="str">
        <f>IF(I329="Si",VLOOKUP($D$8,'Tablas Técnicas'!$E$4:$F$6,2,FALSE),"")</f>
        <v/>
      </c>
      <c r="BQ329" s="1187" t="str">
        <f>IF(L329="Si",VLOOKUP($D$8,'Tablas Técnicas'!$I$4:$J$6,2,FALSE),"")</f>
        <v/>
      </c>
      <c r="BR329" s="1185" t="str">
        <f>IF(O329="Si",VLOOKUP($D$8,'Tablas Técnicas'!$I$7:$J$9,2,FALSE),"")</f>
        <v/>
      </c>
      <c r="BS329" s="1151"/>
      <c r="BT329" s="261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92"/>
      <c r="BV329" s="1128"/>
      <c r="BW329" s="1183" t="str">
        <f>IF(SUM(BT329:BU329)=0,"N/A",SUM(BT329:BU329))</f>
        <v>N/A</v>
      </c>
      <c r="BX329" s="261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83" t="str">
        <f>IF(BX329=0,"N/A",BX329)</f>
        <v>N/A</v>
      </c>
      <c r="BZ329" s="1492"/>
      <c r="CA329" s="1096"/>
      <c r="DR329" s="1096"/>
      <c r="DT329" s="1514"/>
      <c r="DU329" s="1569"/>
      <c r="DV329" s="1570"/>
      <c r="DW329" s="1567"/>
      <c r="DX329" s="1568"/>
      <c r="DY329" s="1513"/>
      <c r="DZ329" s="1096"/>
      <c r="EA329" s="1660">
        <f t="shared" si="4"/>
        <v>1</v>
      </c>
    </row>
    <row r="330" spans="1:131" ht="12" thickBot="1" x14ac:dyDescent="0.25">
      <c r="A330" s="1096"/>
      <c r="B330" s="1096"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97"/>
      <c r="D330" s="1643" t="s">
        <v>2310</v>
      </c>
      <c r="E330" s="1140"/>
      <c r="F330" s="1176"/>
      <c r="G330" s="1146" t="str">
        <f>IF(E330=0,"",VLOOKUP(E330,'Tablas Técnicas'!$A$14:$V$771,3,FALSE))</f>
        <v/>
      </c>
      <c r="H330" s="1188" t="str">
        <f>IF($E330=0,"",VLOOKUP($E330,'Tablas Técnicas'!$A$14:$V$771,4,FALSE))</f>
        <v/>
      </c>
      <c r="I330" s="1144" t="s">
        <v>2234</v>
      </c>
      <c r="J330" s="1607" t="str">
        <f>IF(E330=0,"",VLOOKUP(E330,'Tablas Técnicas'!$A$14:$V$771,5,FALSE))</f>
        <v/>
      </c>
      <c r="K330" s="1190" t="str">
        <f>IF(I330="Si",IF(E330=0,"",VLOOKUP(E330,'Tablas Técnicas'!$A$14:$V$771,5,FALSE)),"")</f>
        <v/>
      </c>
      <c r="L330" s="1144" t="s">
        <v>2234</v>
      </c>
      <c r="M330" s="1607" t="str">
        <f>IF(E330=0,"",VLOOKUP(E330,'Tablas Técnicas'!$A$14:$V$771,6,FALSE))</f>
        <v/>
      </c>
      <c r="N330" s="1147" t="str">
        <f>IF(L330="Si",IF(E330=0,"",VLOOKUP(E330,'Tablas Técnicas'!$A$14:$V$771,6,FALSE)),"")</f>
        <v/>
      </c>
      <c r="O330" s="1144" t="s">
        <v>2234</v>
      </c>
      <c r="P330" s="1607" t="str">
        <f>IF(E330=0,"",VLOOKUP(E330,'Tablas Técnicas'!$A$14:$V$771,7,FALSE))</f>
        <v/>
      </c>
      <c r="Q330" s="1147" t="str">
        <f>IF(O330="Si",IF(E330=0,"",VLOOKUP(E330,'Tablas Técnicas'!$A$14:$V$771,7,FALSE)),"")</f>
        <v/>
      </c>
      <c r="R330" s="1189" t="str">
        <f>IF(E330=0,"",VLOOKUP(E330,'Tablas Técnicas'!$A$14:$V$771,8,FALSE))</f>
        <v/>
      </c>
      <c r="S330" s="1161" t="str">
        <f>IF(R330=$D$8,$D$8,IF(R330=2,2,IF(R330=3,3,R330)))</f>
        <v/>
      </c>
      <c r="T330" s="1190" t="str">
        <f>IF(E330=0,"",VLOOKUP(E330,'Tablas Técnicas'!$A$14:$V$771,9,FALSE))</f>
        <v/>
      </c>
      <c r="U330" s="1190" t="str">
        <f>IF(E330=0,"",VLOOKUP(E330,'Tablas Técnicas'!$A$14:$V$771,10,FALSE))</f>
        <v/>
      </c>
      <c r="V330" s="1191" t="str">
        <f>IF(E330=0,"",VLOOKUP(E330,'Tablas Técnicas'!$A$14:$V$771,11,FALSE))</f>
        <v/>
      </c>
      <c r="W330" s="1144"/>
      <c r="X330" s="1145" t="e">
        <f>VLOOKUP(E330,'Tablas Técnicas'!$A$14:$V$771,12,FALSE)</f>
        <v>#N/A</v>
      </c>
      <c r="Y330" s="1145" t="e">
        <f>IF(W330=X330,VLOOKUP(E330,'Tablas Técnicas'!$A$14:$V$771,13,FALSE),0)</f>
        <v>#N/A</v>
      </c>
      <c r="Z330" s="1145" t="e">
        <f>VLOOKUP(E330,'Tablas Técnicas'!$A$14:$V$771,14,FALSE)</f>
        <v>#N/A</v>
      </c>
      <c r="AA330" s="1145" t="e">
        <f>IF(W330=Z330,VLOOKUP(E330,'Tablas Técnicas'!$A$14:$V$616,15,FALSE),0)</f>
        <v>#N/A</v>
      </c>
      <c r="AB330" s="1145" t="e">
        <f>VLOOKUP(E330,'Tablas Técnicas'!$A$14:$V$771,16,FALSE)</f>
        <v>#N/A</v>
      </c>
      <c r="AC330" s="1145" t="e">
        <f>IF(W330=AB330,VLOOKUP(E330,'Tablas Técnicas'!$A$14:$V$616,17,FALSE),0)</f>
        <v>#N/A</v>
      </c>
      <c r="AD330" s="1145" t="e">
        <f>VLOOKUP(E330,'Tablas Técnicas'!$A$14:$V$771,18,FALSE)</f>
        <v>#N/A</v>
      </c>
      <c r="AE330" s="1145" t="e">
        <f>IF(W330=AD330,VLOOKUP(E330,'Tablas Técnicas'!$A$14:$V$771,19,FALSE),0)</f>
        <v>#N/A</v>
      </c>
      <c r="AF330" s="1163" t="str">
        <f>IF(E330=0,"",(Y330+AA330+AC330+AE330))</f>
        <v/>
      </c>
      <c r="AG330" s="1144"/>
      <c r="AH330" s="1162" t="e">
        <f>VLOOKUP(E330,'Tablas Técnicas'!$A$14:$V$771,12,FALSE)</f>
        <v>#N/A</v>
      </c>
      <c r="AI330" s="1162" t="e">
        <f>IF(AG330=AH330,VLOOKUP(E330,'Tablas Técnicas'!$A$14:$V$771,13,FALSE),0)</f>
        <v>#N/A</v>
      </c>
      <c r="AJ330" s="1162" t="e">
        <f>VLOOKUP(E330,'Tablas Técnicas'!$A$14:$V$771,14,FALSE)</f>
        <v>#N/A</v>
      </c>
      <c r="AK330" s="1162" t="e">
        <f>IF(AG330=AJ330,VLOOKUP(E330,'Tablas Técnicas'!$A$14:$V$771,15,FALSE),0)</f>
        <v>#N/A</v>
      </c>
      <c r="AL330" s="1162" t="e">
        <f>VLOOKUP(E330,'Tablas Técnicas'!$A$14:$V$771,16,FALSE)</f>
        <v>#N/A</v>
      </c>
      <c r="AM330" s="1162" t="e">
        <f>IF(AG330=AL330,VLOOKUP(E330,'Tablas Técnicas'!$A$14:$V$771,17,FALSE),0)</f>
        <v>#N/A</v>
      </c>
      <c r="AN330" s="1162" t="e">
        <f>VLOOKUP(E330,'Tablas Técnicas'!$A$14:$V$771,18,FALSE)</f>
        <v>#N/A</v>
      </c>
      <c r="AO330" s="1162" t="e">
        <f>IF(AG330=AN330,VLOOKUP(E330,'Tablas Técnicas'!$A$14:$V$771,19,FALSE),0)</f>
        <v>#N/A</v>
      </c>
      <c r="AP330" s="2620" t="str">
        <f>IF(E330=0,"",(AI330+AK330+AM330+AO330))</f>
        <v/>
      </c>
      <c r="AQ330" s="1144"/>
      <c r="AR330" s="1162" t="e">
        <f>VLOOKUP(E330,'Tablas Técnicas'!$A$14:$V$771,12,FALSE)</f>
        <v>#N/A</v>
      </c>
      <c r="AS330" s="1162" t="e">
        <f>IF(AQ330=AR330,VLOOKUP(E330,'Tablas Técnicas'!$A$14:$V$771,13,FALSE),0)</f>
        <v>#N/A</v>
      </c>
      <c r="AT330" s="1162" t="e">
        <f>VLOOKUP(E330,'Tablas Técnicas'!$A$14:$V$771,14,FALSE)</f>
        <v>#N/A</v>
      </c>
      <c r="AU330" s="1162" t="e">
        <f>IF(AQ330=AT330,VLOOKUP(E330,'Tablas Técnicas'!$A$14:$V$771,15,FALSE),0)</f>
        <v>#N/A</v>
      </c>
      <c r="AV330" s="1162" t="e">
        <f>VLOOKUP(E330,'Tablas Técnicas'!$A$14:$V$771,16,FALSE)</f>
        <v>#N/A</v>
      </c>
      <c r="AW330" s="1162" t="e">
        <f>IF(AQ330=AV330,VLOOKUP(E330,'Tablas Técnicas'!$A$14:$V$771,17,FALSE),0)</f>
        <v>#N/A</v>
      </c>
      <c r="AX330" s="1162" t="e">
        <f>VLOOKUP(E330,'Tablas Técnicas'!$A$14:$V$771,18,FALSE)</f>
        <v>#N/A</v>
      </c>
      <c r="AY330" s="1162" t="e">
        <f>IF(AQ330=AX330,VLOOKUP(E330,'Tablas Técnicas'!$A$14:$V$771,19,FALSE),0)</f>
        <v>#N/A</v>
      </c>
      <c r="AZ330" s="1163" t="str">
        <f>IF(E330=0,"",(AS330+AU330+AW330+AY330))</f>
        <v/>
      </c>
      <c r="BA330" s="1144"/>
      <c r="BB330" s="1162" t="e">
        <f>VLOOKUP(E330,'Tablas Técnicas'!$A$14:$V$771,12,FALSE)</f>
        <v>#N/A</v>
      </c>
      <c r="BC330" s="1162" t="e">
        <f>IF(BA330=BB330,VLOOKUP(E330,'Tablas Técnicas'!$A$14:$V$771,13,FALSE),0)</f>
        <v>#N/A</v>
      </c>
      <c r="BD330" s="1162" t="e">
        <f>VLOOKUP(E330,'Tablas Técnicas'!$A$14:$V$771,14,FALSE)</f>
        <v>#N/A</v>
      </c>
      <c r="BE330" s="1162" t="e">
        <f>IF(BA330=BD330,VLOOKUP(E330,'Tablas Técnicas'!$A$14:$V$771,15,FALSE),0)</f>
        <v>#N/A</v>
      </c>
      <c r="BF330" s="1162" t="e">
        <f>VLOOKUP(E330,'Tablas Técnicas'!$A$14:$V$771,16,FALSE)</f>
        <v>#N/A</v>
      </c>
      <c r="BG330" s="1162" t="e">
        <f>IF(BA330=BF330,VLOOKUP(E330,'Tablas Técnicas'!$A$14:$V$771,17,FALSE),0)</f>
        <v>#N/A</v>
      </c>
      <c r="BH330" s="1162" t="e">
        <f>VLOOKUP(E330,'Tablas Técnicas'!$A$14:$V$771,18,FALSE)</f>
        <v>#N/A</v>
      </c>
      <c r="BI330" s="1162" t="e">
        <f>IF(BA330=BH330,VLOOKUP(E330,'Tablas Técnicas'!$A$14:$V$771,19,FALSE),0)</f>
        <v>#N/A</v>
      </c>
      <c r="BJ330" s="2620" t="str">
        <f>IF(E330=0,"",(BC330+BE330+BG330+BI330))</f>
        <v/>
      </c>
      <c r="BK330" s="1190" t="str">
        <f>IF(E330=0,"",VLOOKUP(E330,'Tablas Técnicas'!$A$14:$V$771,20,FALSE))</f>
        <v/>
      </c>
      <c r="BL330" s="1177" t="str">
        <f>IF(E330=0,"",VLOOKUP(E330,'Tablas Técnicas'!$A$14:$V$771,21,FALSE))</f>
        <v/>
      </c>
      <c r="BM330" s="1148" t="str">
        <f>IF(E330=0,"",VLOOKUP(E330,'Tablas Técnicas'!$A$14:$V$771,22,FALSE))</f>
        <v/>
      </c>
      <c r="BN330" s="1149"/>
      <c r="BO330" s="1150"/>
      <c r="BP330" s="1135" t="str">
        <f>IF(I330="Si",VLOOKUP($D$8,'Tablas Técnicas'!$E$4:$F$6,2,FALSE),"")</f>
        <v/>
      </c>
      <c r="BQ330" s="1136" t="str">
        <f>IF(L330="Si",VLOOKUP($D$8,'Tablas Técnicas'!$I$4:$J$6,2,FALSE),"")</f>
        <v/>
      </c>
      <c r="BR330" s="1134" t="str">
        <f>IF(O330="Si",VLOOKUP($D$8,'Tablas Técnicas'!$I$7:$J$9,2,FALSE),"")</f>
        <v/>
      </c>
      <c r="BS330" s="1151"/>
      <c r="BU330" s="4442"/>
      <c r="BV330" s="4442"/>
      <c r="BW330" s="4442"/>
      <c r="BX330" s="1108"/>
      <c r="BY330" s="1475"/>
      <c r="BZ330" s="1492"/>
      <c r="CA330" s="1096"/>
      <c r="DR330" s="1096"/>
      <c r="DT330" s="1515"/>
      <c r="DU330" s="1618" t="str">
        <f>DU306&amp;DU307&amp;DU308&amp;DU309&amp;DU310&amp;DU311</f>
        <v/>
      </c>
      <c r="DV330" s="1619" t="str">
        <f>DV306&amp;DV307&amp;DV308&amp;DV309&amp;DV310&amp;DV312&amp;DV313&amp;DV314&amp;DV315&amp;DV316&amp;DV318&amp;DV319&amp;DV320&amp;DV321&amp;DV322&amp;DV324&amp;DV325&amp;DV326&amp;DV327&amp;DV328</f>
        <v/>
      </c>
      <c r="DW330" s="1620" t="str">
        <f>DW306&amp;DW307&amp;DW308</f>
        <v/>
      </c>
      <c r="DX330" s="1621" t="str">
        <f>IF(DX312="",DX306,DX312)</f>
        <v/>
      </c>
      <c r="DY330" s="1516"/>
      <c r="DZ330" s="1096"/>
      <c r="EA330" s="1660">
        <f t="shared" ref="EA330:EA375" si="5">EA329</f>
        <v>1</v>
      </c>
    </row>
    <row r="331" spans="1:131" x14ac:dyDescent="0.2">
      <c r="A331" s="1096"/>
      <c r="B331" s="1096"/>
      <c r="C331" s="1497"/>
      <c r="D331" s="1642" t="s">
        <v>2310</v>
      </c>
      <c r="E331" s="1152"/>
      <c r="F331" s="1182"/>
      <c r="G331" s="1627" t="str">
        <f>IF(E331=0,"",VLOOKUP(E331,'Tablas Técnicas'!$A$14:$V$771,3,FALSE))</f>
        <v/>
      </c>
      <c r="H331" s="1155" t="str">
        <f>IF($E331=0,"",VLOOKUP($E331,'Tablas Técnicas'!$A$14:$V$771,4,FALSE))</f>
        <v/>
      </c>
      <c r="I331" s="1156" t="s">
        <v>2234</v>
      </c>
      <c r="J331" s="1605" t="str">
        <f>IF(E331=0,"",VLOOKUP(E331,'Tablas Técnicas'!$A$14:$V$771,5,FALSE))</f>
        <v/>
      </c>
      <c r="K331" s="1158" t="str">
        <f>IF(I331="Si",IF(E331=0,"",VLOOKUP(E331,'Tablas Técnicas'!$A$14:$V$771,5,FALSE)),"")</f>
        <v/>
      </c>
      <c r="L331" s="1156" t="s">
        <v>2234</v>
      </c>
      <c r="M331" s="1605" t="str">
        <f>IF(E331=0,"",VLOOKUP(E331,'Tablas Técnicas'!$A$14:$V$771,6,FALSE))</f>
        <v/>
      </c>
      <c r="N331" s="1159" t="str">
        <f>IF(L331="Si",IF(E331=0,"",VLOOKUP(E331,'Tablas Técnicas'!$A$14:$V$771,6,FALSE)),"")</f>
        <v/>
      </c>
      <c r="O331" s="1156" t="s">
        <v>2234</v>
      </c>
      <c r="P331" s="1605" t="str">
        <f>IF(E331=0,"",VLOOKUP(E331,'Tablas Técnicas'!$A$14:$V$771,7,FALSE))</f>
        <v/>
      </c>
      <c r="Q331" s="1159" t="str">
        <f>IF(O331="Si",IF(E331=0,"",VLOOKUP(E331,'Tablas Técnicas'!$A$14:$V$771,7,FALSE)),"")</f>
        <v/>
      </c>
      <c r="R331" s="1157" t="str">
        <f>IF(E331=0,"",VLOOKUP(E331,'Tablas Técnicas'!$A$14:$V$771,8,FALSE))</f>
        <v/>
      </c>
      <c r="S331" s="1155" t="str">
        <f>IF(R331=$D$8,$D$8,IF(R331=2,2,IF(R331=3,3,R331)))</f>
        <v/>
      </c>
      <c r="T331" s="4475" t="s">
        <v>5228</v>
      </c>
      <c r="U331" s="4476"/>
      <c r="V331" s="4476"/>
      <c r="W331" s="4476"/>
      <c r="X331" s="4476"/>
      <c r="Y331" s="4476"/>
      <c r="Z331" s="4476"/>
      <c r="AA331" s="4476"/>
      <c r="AB331" s="4476"/>
      <c r="AC331" s="4476"/>
      <c r="AD331" s="4476"/>
      <c r="AE331" s="4476"/>
      <c r="AF331" s="4476"/>
      <c r="AG331" s="4476"/>
      <c r="AH331" s="4476"/>
      <c r="AI331" s="4476"/>
      <c r="AJ331" s="4476"/>
      <c r="AK331" s="4476"/>
      <c r="AL331" s="4476"/>
      <c r="AM331" s="4476"/>
      <c r="AN331" s="4476"/>
      <c r="AO331" s="4476"/>
      <c r="AP331" s="4476"/>
      <c r="AQ331" s="4476"/>
      <c r="AR331" s="4476"/>
      <c r="AS331" s="4476"/>
      <c r="AT331" s="4476"/>
      <c r="AU331" s="4476"/>
      <c r="AV331" s="4476"/>
      <c r="AW331" s="4476"/>
      <c r="AX331" s="4476"/>
      <c r="AY331" s="4476"/>
      <c r="AZ331" s="4476"/>
      <c r="BA331" s="4476"/>
      <c r="BB331" s="4476"/>
      <c r="BC331" s="4476"/>
      <c r="BD331" s="4476"/>
      <c r="BE331" s="4476"/>
      <c r="BF331" s="4476"/>
      <c r="BG331" s="4476"/>
      <c r="BH331" s="4476"/>
      <c r="BI331" s="4476"/>
      <c r="BJ331" s="4476"/>
      <c r="BK331" s="4477"/>
      <c r="BL331" s="1627"/>
      <c r="BM331" s="1628"/>
      <c r="BN331" s="1149"/>
      <c r="BO331" s="1150"/>
      <c r="BP331" s="1135" t="str">
        <f>IF(I331="Si",VLOOKUP($D$8,'Tablas Técnicas'!$E$4:$F$6,2,FALSE),"")</f>
        <v/>
      </c>
      <c r="BQ331" s="1136" t="str">
        <f>IF(L331="Si",VLOOKUP($D$8,'Tablas Técnicas'!$I$4:$J$6,2,FALSE),"")</f>
        <v/>
      </c>
      <c r="BR331" s="1134" t="str">
        <f>IF(O331="Si",VLOOKUP($D$8,'Tablas Técnicas'!$I$7:$J$9,2,FALSE),"")</f>
        <v/>
      </c>
      <c r="BS331" s="1151"/>
      <c r="BT331" s="1194"/>
      <c r="BU331" s="1232"/>
      <c r="BV331" s="1232"/>
      <c r="BW331" s="1232"/>
      <c r="BX331" s="1108"/>
      <c r="BY331" s="1474"/>
      <c r="BZ331" s="1492"/>
      <c r="CA331" s="1096"/>
      <c r="DR331" s="1096"/>
      <c r="DT331" s="1514"/>
      <c r="DU331" s="1567"/>
      <c r="DV331" s="1566" t="str">
        <f>IF(E331="","",E331)&amp;IF(I331="No",""," (Mant.)")&amp;IF(L331="No",""," (Sme)")&amp;IF(O331="No",""," (SMa)")</f>
        <v/>
      </c>
      <c r="DW331" s="1567"/>
      <c r="DX331" s="1567"/>
      <c r="DY331" s="1513"/>
      <c r="DZ331" s="1096"/>
      <c r="EA331" s="1660">
        <f t="shared" si="5"/>
        <v>1</v>
      </c>
    </row>
    <row r="332" spans="1:131" x14ac:dyDescent="0.2">
      <c r="A332" s="1096"/>
      <c r="B332" s="1096"/>
      <c r="C332" s="1497"/>
      <c r="D332" s="1643" t="s">
        <v>2310</v>
      </c>
      <c r="E332" s="1160"/>
      <c r="F332" s="1176"/>
      <c r="G332" s="1146" t="str">
        <f>IF(E332=0,"",VLOOKUP(E332,'Tablas Técnicas'!$A$14:$V$771,3,FALSE))</f>
        <v/>
      </c>
      <c r="H332" s="2619" t="str">
        <f>IF($E332=0,"",VLOOKUP($E332,'Tablas Técnicas'!$A$14:$V$771,4,FALSE))</f>
        <v/>
      </c>
      <c r="I332" s="1144" t="s">
        <v>2234</v>
      </c>
      <c r="J332" s="1601" t="str">
        <f>IF(E332=0,"",VLOOKUP(E332,'Tablas Técnicas'!$A$14:$V$771,5,FALSE))</f>
        <v/>
      </c>
      <c r="K332" s="1163" t="str">
        <f>IF(I332="Si",IF(E332=0,"",VLOOKUP(E332,'Tablas Técnicas'!$A$14:$V$771,5,FALSE)),"")</f>
        <v/>
      </c>
      <c r="L332" s="1144" t="s">
        <v>2234</v>
      </c>
      <c r="M332" s="1601" t="str">
        <f>IF(E332=0,"",VLOOKUP(E332,'Tablas Técnicas'!$A$14:$V$771,6,FALSE))</f>
        <v/>
      </c>
      <c r="N332" s="1147" t="str">
        <f>IF(L332="Si",IF(E332=0,"",VLOOKUP(E332,'Tablas Técnicas'!$A$14:$V$771,6,FALSE)),"")</f>
        <v/>
      </c>
      <c r="O332" s="1144" t="s">
        <v>2234</v>
      </c>
      <c r="P332" s="1601" t="str">
        <f>IF(E332=0,"",VLOOKUP(E332,'Tablas Técnicas'!$A$14:$V$771,7,FALSE))</f>
        <v/>
      </c>
      <c r="Q332" s="1147" t="str">
        <f>IF(O332="Si",IF(E332=0,"",VLOOKUP(E332,'Tablas Técnicas'!$A$14:$V$771,7,FALSE)),"")</f>
        <v/>
      </c>
      <c r="R332" s="1162" t="str">
        <f>IF(E332=0,"",VLOOKUP(E332,'Tablas Técnicas'!$A$14:$V$771,8,FALSE))</f>
        <v/>
      </c>
      <c r="S332" s="2619" t="str">
        <f>IF(R332=$D$8,$D$8,IF(R332=2,2,IF(R332=3,3,R332)))</f>
        <v/>
      </c>
      <c r="T332" s="4487"/>
      <c r="U332" s="4488"/>
      <c r="V332" s="2617" t="str">
        <f>IF(OR(V330=0,V330=""),"N/A",V330)</f>
        <v>N/A</v>
      </c>
      <c r="W332" s="4487" t="str">
        <f xml:space="preserve"> IF(OR(AF330=0,AF330=""),"N/A",W330)</f>
        <v>N/A</v>
      </c>
      <c r="X332" s="4489"/>
      <c r="Y332" s="4489"/>
      <c r="Z332" s="4489"/>
      <c r="AA332" s="4489"/>
      <c r="AB332" s="4489"/>
      <c r="AC332" s="4489"/>
      <c r="AD332" s="4489"/>
      <c r="AE332" s="4489"/>
      <c r="AF332" s="4488"/>
      <c r="AG332" s="4487" t="str">
        <f xml:space="preserve"> IF(OR(AP330="",AP330=0),"N/A",AG330)</f>
        <v>N/A</v>
      </c>
      <c r="AH332" s="4489"/>
      <c r="AI332" s="4489"/>
      <c r="AJ332" s="4489"/>
      <c r="AK332" s="4489"/>
      <c r="AL332" s="4489"/>
      <c r="AM332" s="4489"/>
      <c r="AN332" s="4489"/>
      <c r="AO332" s="4489"/>
      <c r="AP332" s="4488"/>
      <c r="AQ332" s="4487" t="str">
        <f xml:space="preserve"> IF(OR(AZ330="",AZ330=0),"N/A",AQ330)</f>
        <v>N/A</v>
      </c>
      <c r="AR332" s="4489"/>
      <c r="AS332" s="4489"/>
      <c r="AT332" s="4489"/>
      <c r="AU332" s="4489"/>
      <c r="AV332" s="4489"/>
      <c r="AW332" s="4489"/>
      <c r="AX332" s="4489"/>
      <c r="AY332" s="4489"/>
      <c r="AZ332" s="4488"/>
      <c r="BA332" s="4487" t="str">
        <f xml:space="preserve"> IF(OR(BJ330="",BJ330=0),"N/A",BA330)</f>
        <v>N/A</v>
      </c>
      <c r="BB332" s="4489"/>
      <c r="BC332" s="4489"/>
      <c r="BD332" s="4489"/>
      <c r="BE332" s="4489"/>
      <c r="BF332" s="4489"/>
      <c r="BG332" s="4489"/>
      <c r="BH332" s="4489"/>
      <c r="BI332" s="4489"/>
      <c r="BJ332" s="4488"/>
      <c r="BK332" s="1164" t="s">
        <v>5229</v>
      </c>
      <c r="BL332" s="1146"/>
      <c r="BM332" s="1181"/>
      <c r="BN332" s="1165"/>
      <c r="BO332" s="1166"/>
      <c r="BP332" s="1167" t="str">
        <f>IF(I332="Si",VLOOKUP($D$8,'Tablas Técnicas'!$E$4:$F$6,2,FALSE),"")</f>
        <v/>
      </c>
      <c r="BQ332" s="1137" t="str">
        <f>IF(L332="Si",VLOOKUP($D$8,'Tablas Técnicas'!$I$4:$J$6,2,FALSE),"")</f>
        <v/>
      </c>
      <c r="BR332" s="1168" t="str">
        <f>IF(O332="Si",VLOOKUP($D$8,'Tablas Técnicas'!$I$7:$J$9,2,FALSE),"")</f>
        <v/>
      </c>
      <c r="BS332" s="1151"/>
      <c r="BU332" s="4443"/>
      <c r="BV332" s="4443"/>
      <c r="BW332" s="4443"/>
      <c r="BX332" s="1108"/>
      <c r="BY332" s="1474"/>
      <c r="BZ332" s="1492"/>
      <c r="CA332" s="1096"/>
      <c r="DR332" s="1096"/>
      <c r="DT332" s="1514"/>
      <c r="DU332" s="1567"/>
      <c r="DV332" s="1566" t="str">
        <f>IF(E332="","",E332)&amp;IF(I332="No",""," (Mant.)")&amp;IF(L332="No",""," (Sme)")&amp;IF(O332="No",""," (SMa)")</f>
        <v/>
      </c>
      <c r="DW332" s="1567"/>
      <c r="DX332" s="1567"/>
      <c r="DY332" s="1513"/>
      <c r="DZ332" s="1096"/>
      <c r="EA332" s="1660">
        <f t="shared" si="5"/>
        <v>1</v>
      </c>
    </row>
    <row r="333" spans="1:131" x14ac:dyDescent="0.2">
      <c r="A333" s="1096"/>
      <c r="B333" s="1096"/>
      <c r="C333" s="1497"/>
      <c r="D333" s="1642" t="s">
        <v>2310</v>
      </c>
      <c r="E333" s="1152"/>
      <c r="F333" s="1182"/>
      <c r="G333" s="1627" t="str">
        <f>IF(E333=0,"",VLOOKUP(E333,'Tablas Técnicas'!$A$14:$V$771,3,FALSE))</f>
        <v/>
      </c>
      <c r="H333" s="1155" t="str">
        <f>IF($E333=0,"",VLOOKUP($E333,'Tablas Técnicas'!$A$14:$V$771,4,FALSE))</f>
        <v/>
      </c>
      <c r="I333" s="1156" t="s">
        <v>2234</v>
      </c>
      <c r="J333" s="1605" t="str">
        <f>IF(E333=0,"",VLOOKUP(E333,'Tablas Técnicas'!$A$14:$V$771,5,FALSE))</f>
        <v/>
      </c>
      <c r="K333" s="1158" t="str">
        <f>IF(I333="Si",IF(E333=0,"",VLOOKUP(E333,'Tablas Técnicas'!$A$14:$V$771,5,FALSE)),"")</f>
        <v/>
      </c>
      <c r="L333" s="1156" t="s">
        <v>2234</v>
      </c>
      <c r="M333" s="1605" t="str">
        <f>IF(E333=0,"",VLOOKUP(E333,'Tablas Técnicas'!$A$14:$V$771,6,FALSE))</f>
        <v/>
      </c>
      <c r="N333" s="1159" t="str">
        <f>IF(L333="Si",IF(E333=0,"",VLOOKUP(E333,'Tablas Técnicas'!$A$14:$V$771,6,FALSE)),"")</f>
        <v/>
      </c>
      <c r="O333" s="1156" t="s">
        <v>2234</v>
      </c>
      <c r="P333" s="1605" t="str">
        <f>IF(E333=0,"",VLOOKUP(E333,'Tablas Técnicas'!$A$14:$V$771,7,FALSE))</f>
        <v/>
      </c>
      <c r="Q333" s="1159" t="str">
        <f>IF(O333="Si",IF(E333=0,"",VLOOKUP(E333,'Tablas Técnicas'!$A$14:$V$771,7,FALSE)),"")</f>
        <v/>
      </c>
      <c r="R333" s="1157" t="str">
        <f>IF(E333=0,"",VLOOKUP(E333,'Tablas Técnicas'!$A$14:$V$771,8,FALSE))</f>
        <v/>
      </c>
      <c r="S333" s="1155" t="str">
        <f>IF(R333=$D$8,$D$8,IF(R333=2,2,IF(R333=3,3,R333)))</f>
        <v/>
      </c>
      <c r="T333" s="4490" t="s">
        <v>5230</v>
      </c>
      <c r="U333" s="4491"/>
      <c r="V333" s="2618"/>
      <c r="W333" s="4492"/>
      <c r="X333" s="4493"/>
      <c r="Y333" s="4493"/>
      <c r="Z333" s="4493"/>
      <c r="AA333" s="4493"/>
      <c r="AB333" s="4493"/>
      <c r="AC333" s="4493"/>
      <c r="AD333" s="4493"/>
      <c r="AE333" s="4493"/>
      <c r="AF333" s="4494"/>
      <c r="AG333" s="4492"/>
      <c r="AH333" s="4493"/>
      <c r="AI333" s="4493"/>
      <c r="AJ333" s="4493"/>
      <c r="AK333" s="4493"/>
      <c r="AL333" s="4493"/>
      <c r="AM333" s="4493"/>
      <c r="AN333" s="4493"/>
      <c r="AO333" s="4493"/>
      <c r="AP333" s="4494"/>
      <c r="AQ333" s="4492"/>
      <c r="AR333" s="4493"/>
      <c r="AS333" s="4493"/>
      <c r="AT333" s="4493"/>
      <c r="AU333" s="4493"/>
      <c r="AV333" s="4493"/>
      <c r="AW333" s="4493"/>
      <c r="AX333" s="4493"/>
      <c r="AY333" s="4493"/>
      <c r="AZ333" s="4494"/>
      <c r="BA333" s="4492"/>
      <c r="BB333" s="4493"/>
      <c r="BC333" s="4493"/>
      <c r="BD333" s="4493"/>
      <c r="BE333" s="4493"/>
      <c r="BF333" s="4493"/>
      <c r="BG333" s="4493"/>
      <c r="BH333" s="4493"/>
      <c r="BI333" s="4493"/>
      <c r="BJ333" s="4494"/>
      <c r="BK333" s="1155">
        <f>(SUM(G330:G334)+IF(AF330="",0,AF330)+IF(AP330="",0,AP330)+IF(AZ330="",0,AZ330)+IF(BJ330="",0,BJ330)+SUM(K330:K334)+SUM(N330:N334)+SUM(Q330:Q334))- SUM(V333:BA333)</f>
        <v>0</v>
      </c>
      <c r="BL333" s="1627"/>
      <c r="BM333" s="1628"/>
      <c r="BN333" s="1149"/>
      <c r="BO333" s="1150"/>
      <c r="BP333" s="1135" t="str">
        <f>IF(I333="Si",VLOOKUP($D$8,'Tablas Técnicas'!$E$4:$F$6,2,FALSE),"")</f>
        <v/>
      </c>
      <c r="BQ333" s="1136" t="str">
        <f>IF(L333="Si",VLOOKUP($D$8,'Tablas Técnicas'!$I$4:$J$6,2,FALSE),"")</f>
        <v/>
      </c>
      <c r="BR333" s="1134" t="str">
        <f>IF(O333="Si",VLOOKUP($D$8,'Tablas Técnicas'!$I$7:$J$9,2,FALSE),"")</f>
        <v/>
      </c>
      <c r="BS333" s="1151"/>
      <c r="BU333" s="1232"/>
      <c r="BV333" s="1232"/>
      <c r="BW333" s="1232"/>
      <c r="BX333" s="1108"/>
      <c r="BY333" s="1474"/>
      <c r="BZ333" s="1492"/>
      <c r="CA333" s="1100"/>
      <c r="DR333" s="1100"/>
      <c r="DT333" s="1514"/>
      <c r="DU333" s="1622"/>
      <c r="DV333" s="1566" t="str">
        <f>IF(E333="","",E333)&amp;IF(I333="No",""," (Mant.)")&amp;IF(L333="No",""," (Sme)")&amp;IF(O333="No",""," (SMa)")</f>
        <v/>
      </c>
      <c r="DW333" s="1622"/>
      <c r="DX333" s="1622"/>
      <c r="DY333" s="1513"/>
      <c r="DZ333" s="1100"/>
      <c r="EA333" s="1660">
        <f t="shared" si="5"/>
        <v>1</v>
      </c>
    </row>
    <row r="334" spans="1:131" x14ac:dyDescent="0.2">
      <c r="A334" s="1096"/>
      <c r="B334" s="1096"/>
      <c r="C334" s="1497"/>
      <c r="D334" s="1643" t="s">
        <v>2310</v>
      </c>
      <c r="E334" s="1160"/>
      <c r="F334" s="1176"/>
      <c r="G334" s="1146" t="str">
        <f>IF(E334=0,"",VLOOKUP(E334,'Tablas Técnicas'!$A$14:$V$771,3,FALSE))</f>
        <v/>
      </c>
      <c r="H334" s="1161" t="str">
        <f>IF($E334=0,"",VLOOKUP($E334,'Tablas Técnicas'!$A$14:$V$771,4,FALSE))</f>
        <v/>
      </c>
      <c r="I334" s="1144" t="s">
        <v>2234</v>
      </c>
      <c r="J334" s="1601" t="str">
        <f>IF(E334=0,"",VLOOKUP(E334,'Tablas Técnicas'!$A$14:$V$771,5,FALSE))</f>
        <v/>
      </c>
      <c r="K334" s="1163" t="str">
        <f>IF(I334="Si",IF(E334=0,"",VLOOKUP(E334,'Tablas Técnicas'!$A$14:$V$771,5,FALSE)),"")</f>
        <v/>
      </c>
      <c r="L334" s="1144" t="s">
        <v>2234</v>
      </c>
      <c r="M334" s="1601" t="str">
        <f>IF(E334=0,"",VLOOKUP(E334,'Tablas Técnicas'!$A$14:$V$771,6,FALSE))</f>
        <v/>
      </c>
      <c r="N334" s="1147" t="str">
        <f>IF(L334="Si",IF(E334=0,"",VLOOKUP(E334,'Tablas Técnicas'!$A$14:$V$771,6,FALSE)),"")</f>
        <v/>
      </c>
      <c r="O334" s="1144" t="s">
        <v>2234</v>
      </c>
      <c r="P334" s="1601" t="str">
        <f>IF(E334=0,"",VLOOKUP(E334,'Tablas Técnicas'!$A$14:$V$771,7,FALSE))</f>
        <v/>
      </c>
      <c r="Q334" s="1147" t="str">
        <f>IF(O334="Si",IF(E334=0,"",VLOOKUP(E334,'Tablas Técnicas'!$A$14:$V$771,7,FALSE)),"")</f>
        <v/>
      </c>
      <c r="R334" s="1162" t="str">
        <f>IF(E334=0,"",VLOOKUP(E334,'Tablas Técnicas'!$A$14:$V$771,8,FALSE))</f>
        <v/>
      </c>
      <c r="S334" s="1161" t="str">
        <f>IF(R334=$D$8,$D$8,IF(R334=2,2,IF(R334=3,3,R334)))</f>
        <v/>
      </c>
      <c r="T334" s="4495" t="s">
        <v>5232</v>
      </c>
      <c r="U334" s="4496"/>
      <c r="V334" s="2621"/>
      <c r="W334" s="4497"/>
      <c r="X334" s="4498"/>
      <c r="Y334" s="4498"/>
      <c r="Z334" s="4498"/>
      <c r="AA334" s="4498"/>
      <c r="AB334" s="4498"/>
      <c r="AC334" s="4498"/>
      <c r="AD334" s="4498"/>
      <c r="AE334" s="4498"/>
      <c r="AF334" s="4499"/>
      <c r="AG334" s="4497"/>
      <c r="AH334" s="4498"/>
      <c r="AI334" s="4498"/>
      <c r="AJ334" s="4498"/>
      <c r="AK334" s="4498"/>
      <c r="AL334" s="4498"/>
      <c r="AM334" s="4498"/>
      <c r="AN334" s="4498"/>
      <c r="AO334" s="4498"/>
      <c r="AP334" s="4499"/>
      <c r="AQ334" s="4497"/>
      <c r="AR334" s="4498"/>
      <c r="AS334" s="4498"/>
      <c r="AT334" s="4498"/>
      <c r="AU334" s="4498"/>
      <c r="AV334" s="4498"/>
      <c r="AW334" s="4498"/>
      <c r="AX334" s="4498"/>
      <c r="AY334" s="4498"/>
      <c r="AZ334" s="4499"/>
      <c r="BA334" s="4497"/>
      <c r="BB334" s="4498"/>
      <c r="BC334" s="4498"/>
      <c r="BD334" s="4498"/>
      <c r="BE334" s="4498"/>
      <c r="BF334" s="4498"/>
      <c r="BG334" s="4498"/>
      <c r="BH334" s="4498"/>
      <c r="BI334" s="4498"/>
      <c r="BJ334" s="4499"/>
      <c r="BK334" s="1161">
        <f>SUM(K330:K334)-SUM(V334:BA334)</f>
        <v>0</v>
      </c>
      <c r="BL334" s="1146"/>
      <c r="BM334" s="1181"/>
      <c r="BN334" s="1165"/>
      <c r="BO334" s="1166"/>
      <c r="BP334" s="1167" t="str">
        <f>IF(I334="Si",VLOOKUP($D$8,'Tablas Técnicas'!$E$4:$F$6,2,FALSE),"")</f>
        <v/>
      </c>
      <c r="BQ334" s="1137" t="str">
        <f>IF(L334="Si",VLOOKUP($D$8,'Tablas Técnicas'!$I$4:$J$6,2,FALSE),"")</f>
        <v/>
      </c>
      <c r="BR334" s="1168" t="str">
        <f>IF(O334="Si",VLOOKUP($D$8,'Tablas Técnicas'!$I$7:$J$9,2,FALSE),"")</f>
        <v/>
      </c>
      <c r="BS334" s="1151"/>
      <c r="BU334" s="1232"/>
      <c r="BV334" s="1232"/>
      <c r="BW334" s="1232"/>
      <c r="BX334" s="1108"/>
      <c r="BY334" s="1474"/>
      <c r="BZ334" s="1492"/>
      <c r="CA334" s="1096"/>
      <c r="DR334" s="1096"/>
      <c r="DT334" s="1514"/>
      <c r="DU334" s="1567"/>
      <c r="DV334" s="1566" t="str">
        <f>IF(E334="","",E334)&amp;IF(I334="No",""," (Mant.)")&amp;IF(L334="No",""," (Sme)")&amp;IF(O334="No",""," (SMa)")</f>
        <v/>
      </c>
      <c r="DW334" s="1567"/>
      <c r="DX334" s="1567"/>
      <c r="DY334" s="1513"/>
      <c r="DZ334" s="1096"/>
      <c r="EA334" s="1660">
        <f t="shared" si="5"/>
        <v>1</v>
      </c>
    </row>
    <row r="335" spans="1:131" x14ac:dyDescent="0.2">
      <c r="A335" s="1096"/>
      <c r="B335" s="1096"/>
      <c r="C335" s="1497"/>
      <c r="D335" s="1645"/>
      <c r="E335" s="1594" t="s">
        <v>5239</v>
      </c>
      <c r="F335" s="1173"/>
      <c r="G335" s="1174"/>
      <c r="H335" s="2559">
        <f>IF(AND(OR(ISNUMBER(SEARCH("Afinidad Elemental ("&amp;BK330&amp;")",Principal!$AF$30)),ISNUMBER(SEARCH("Afinidad Elemental ("&amp;BL330&amp;")",Principal!$AF$30)),ISNUMBER(SEARCH("Afinidad Elemental ("&amp;BM330&amp;")",Principal!$AF$30))),SUM(H330:H334)&gt;=5),-5,0)</f>
        <v>0</v>
      </c>
      <c r="I335" s="1174"/>
      <c r="J335" s="1175"/>
      <c r="K335" s="1174"/>
      <c r="L335" s="1174"/>
      <c r="M335" s="1175"/>
      <c r="N335" s="1174"/>
      <c r="O335" s="1174"/>
      <c r="P335" s="1175"/>
      <c r="Q335" s="1174"/>
      <c r="R335" s="1175"/>
      <c r="S335" s="1174"/>
      <c r="T335" s="1174"/>
      <c r="U335" s="1195"/>
      <c r="V335" s="1195"/>
      <c r="W335" s="1195"/>
      <c r="X335" s="1195"/>
      <c r="Y335" s="1195"/>
      <c r="Z335" s="1195"/>
      <c r="AA335" s="1195"/>
      <c r="AB335" s="1195"/>
      <c r="AC335" s="1195"/>
      <c r="AD335" s="1195"/>
      <c r="AE335" s="1195"/>
      <c r="AF335" s="1195"/>
      <c r="AG335" s="1195"/>
      <c r="AH335" s="1195"/>
      <c r="AI335" s="1195"/>
      <c r="AJ335" s="1195"/>
      <c r="AK335" s="1195"/>
      <c r="AL335" s="1195"/>
      <c r="AM335" s="1195"/>
      <c r="AN335" s="1195"/>
      <c r="AO335" s="1195"/>
      <c r="AP335" s="1195"/>
      <c r="AQ335" s="1195"/>
      <c r="AR335" s="1195"/>
      <c r="AS335" s="1195"/>
      <c r="AT335" s="1195"/>
      <c r="AU335" s="1195"/>
      <c r="AV335" s="1195"/>
      <c r="AW335" s="1195"/>
      <c r="AX335" s="1195"/>
      <c r="AY335" s="1195"/>
      <c r="AZ335" s="1195"/>
      <c r="BA335" s="1195"/>
      <c r="BB335" s="1195"/>
      <c r="BC335" s="1195"/>
      <c r="BD335" s="1195"/>
      <c r="BE335" s="1195"/>
      <c r="BF335" s="1195"/>
      <c r="BG335" s="1195"/>
      <c r="BH335" s="1195"/>
      <c r="BI335" s="1195"/>
      <c r="BJ335" s="1195"/>
      <c r="BK335" s="4481"/>
      <c r="BL335" s="4481"/>
      <c r="BM335" s="4445"/>
      <c r="BN335" s="1134">
        <f>SUM(K335:K338)</f>
        <v>0</v>
      </c>
      <c r="BO335" s="1128">
        <f>IF(E335=0,"",(AF335+AP335+AZ335+BJ335))</f>
        <v>0</v>
      </c>
      <c r="BP335" s="1135" t="str">
        <f>IF(I335="Si",VLOOKUP($D$8,'Tablas Técnicas'!$E$4:$F$6,2,FALSE),"")</f>
        <v/>
      </c>
      <c r="BQ335" s="1136" t="str">
        <f>IF(L335="Si",VLOOKUP($D$8,'Tablas Técnicas'!$I$4:$J$6,2,FALSE),"")</f>
        <v/>
      </c>
      <c r="BR335" s="1134" t="str">
        <f>IF(O335="Si",VLOOKUP($D$8,'Tablas Técnicas'!$I$7:$J$9,2,FALSE),"")</f>
        <v/>
      </c>
      <c r="BS335" s="1151"/>
      <c r="BT335" s="4444" t="s">
        <v>5241</v>
      </c>
      <c r="BU335" s="4445"/>
      <c r="BV335" s="1128"/>
      <c r="BW335" s="1108"/>
      <c r="BX335" s="1108"/>
      <c r="BY335" s="1474"/>
      <c r="BZ335" s="1492"/>
      <c r="CA335" s="1096"/>
      <c r="DR335" s="1096"/>
      <c r="DT335" s="1514"/>
      <c r="DU335" s="1567"/>
      <c r="DV335" s="1567"/>
      <c r="DW335" s="1567"/>
      <c r="DX335" s="1567"/>
      <c r="DY335" s="1513"/>
      <c r="DZ335" s="1096"/>
      <c r="EA335" s="1660">
        <f t="shared" si="5"/>
        <v>1</v>
      </c>
    </row>
    <row r="336" spans="1:131" ht="12" x14ac:dyDescent="0.2">
      <c r="A336" s="1096"/>
      <c r="B336" s="1096"/>
      <c r="C336" s="1497"/>
      <c r="D336" s="1646" t="s">
        <v>5240</v>
      </c>
      <c r="E336" s="1140"/>
      <c r="F336" s="1163"/>
      <c r="G336" s="1163"/>
      <c r="H336" s="1161" t="str">
        <f>IF(D304=0,"",IF(E336=0,"",VLOOKUP(E336,'Tablas Técnicas'!$A$14:$V$771,4,FALSE)))</f>
        <v/>
      </c>
      <c r="I336" s="1163"/>
      <c r="J336" s="1163"/>
      <c r="K336" s="1196"/>
      <c r="L336" s="1163"/>
      <c r="M336" s="1163"/>
      <c r="N336" s="1196"/>
      <c r="O336" s="1163"/>
      <c r="P336" s="1163"/>
      <c r="Q336" s="1163"/>
      <c r="R336" s="1162" t="str">
        <f>IF(E336=0,"",VLOOKUP(E336,'Tablas Técnicas'!$A$14:$V$771,8,FALSE))</f>
        <v/>
      </c>
      <c r="S336" s="1188" t="str">
        <f>IF(R336=$D$8,$D$8,IF(R336=2,2,IF(R336=3,3,R336)))</f>
        <v/>
      </c>
      <c r="T336" s="1163" t="str">
        <f>IF(E336=0,"",VLOOKUP(E336,'Tablas Técnicas'!$A$14:$V$771,9,FALSE))</f>
        <v/>
      </c>
      <c r="U336" s="1190" t="str">
        <f>IF(E336=0,"",VLOOKUP(E336,'Tablas Técnicas'!$A$14:$V$771,10,FALSE))</f>
        <v/>
      </c>
      <c r="V336" s="1191"/>
      <c r="W336" s="1191"/>
      <c r="X336" s="1190"/>
      <c r="Y336" s="1190"/>
      <c r="Z336" s="1190"/>
      <c r="AA336" s="1190"/>
      <c r="AB336" s="1190"/>
      <c r="AC336" s="1190"/>
      <c r="AD336" s="1190"/>
      <c r="AE336" s="1190"/>
      <c r="AF336" s="1190"/>
      <c r="AG336" s="4478" t="str">
        <f>IF(OR(E336='Tablas Técnicas'!A$678,E336='Tablas Técnicas'!A$679,E337='Tablas Técnicas'!A$678,E337='Tablas Técnicas'!A$679,E338='Tablas Técnicas'!A$678,E338='Tablas Técnicas'!A$679),"Selecciona la atadura elemental:","")</f>
        <v/>
      </c>
      <c r="AH336" s="4479"/>
      <c r="AI336" s="4479"/>
      <c r="AJ336" s="4479"/>
      <c r="AK336" s="4479"/>
      <c r="AL336" s="4479"/>
      <c r="AM336" s="4479"/>
      <c r="AN336" s="4479"/>
      <c r="AO336" s="4479"/>
      <c r="AP336" s="4479"/>
      <c r="AQ336" s="4479"/>
      <c r="AR336" s="4479"/>
      <c r="AS336" s="4479"/>
      <c r="AT336" s="4479"/>
      <c r="AU336" s="4479"/>
      <c r="AV336" s="4479"/>
      <c r="AW336" s="4479"/>
      <c r="AX336" s="4479"/>
      <c r="AY336" s="4479"/>
      <c r="AZ336" s="4479"/>
      <c r="BA336" s="4479"/>
      <c r="BB336" s="4479"/>
      <c r="BC336" s="4479"/>
      <c r="BD336" s="4479"/>
      <c r="BE336" s="4479"/>
      <c r="BF336" s="4479"/>
      <c r="BG336" s="4479"/>
      <c r="BH336" s="4479"/>
      <c r="BI336" s="4479"/>
      <c r="BJ336" s="4479"/>
      <c r="BK336" s="4480"/>
      <c r="BL336" s="1631"/>
      <c r="BM336" s="1631"/>
      <c r="BN336" s="1163"/>
      <c r="BO336" s="1163"/>
      <c r="BP336" s="1196"/>
      <c r="BQ336" s="1163"/>
      <c r="BR336" s="1163"/>
      <c r="BS336" s="1163"/>
      <c r="BT336" s="4446">
        <f>D304</f>
        <v>1</v>
      </c>
      <c r="BU336" s="4447"/>
      <c r="BV336" s="1128">
        <f>IF(BV335=0,0,VLOOKUP(BV335,'Tablas Técnicas'!$M$4:$N$7,2,FALSE))</f>
        <v>0</v>
      </c>
      <c r="BW336" s="1108"/>
      <c r="BX336" s="1108"/>
      <c r="BY336" s="1474"/>
      <c r="BZ336" s="1492"/>
      <c r="CA336" s="1096"/>
      <c r="DR336" s="1096"/>
      <c r="DT336" s="1514"/>
      <c r="DU336" s="1567"/>
      <c r="DV336" s="1567"/>
      <c r="DW336" s="1567"/>
      <c r="DX336" s="1567"/>
      <c r="DY336" s="1513"/>
      <c r="DZ336" s="1096"/>
      <c r="EA336" s="1660">
        <f t="shared" si="5"/>
        <v>1</v>
      </c>
    </row>
    <row r="337" spans="1:132" x14ac:dyDescent="0.2">
      <c r="A337" s="1096"/>
      <c r="B337" s="1096"/>
      <c r="C337" s="1497"/>
      <c r="D337" s="1642" t="s">
        <v>5242</v>
      </c>
      <c r="E337" s="1197"/>
      <c r="F337" s="1595"/>
      <c r="G337" s="1596"/>
      <c r="H337" s="1153" t="str">
        <f>IF(VALUE(D304)&gt;1,IF(E337=0,"",VLOOKUP(E337,'Tablas Técnicas'!$A$14:$V$771,4,FALSE)),"")</f>
        <v/>
      </c>
      <c r="I337" s="1595"/>
      <c r="J337" s="1596"/>
      <c r="K337" s="1596"/>
      <c r="L337" s="1595"/>
      <c r="M337" s="1596"/>
      <c r="N337" s="1597"/>
      <c r="O337" s="1596"/>
      <c r="P337" s="1596"/>
      <c r="Q337" s="1596"/>
      <c r="R337" s="1157" t="str">
        <f>IF(E337=0,"",VLOOKUP(E337,'Tablas Técnicas'!$A$14:$V$771,8,FALSE))</f>
        <v/>
      </c>
      <c r="S337" s="1155" t="str">
        <f>IF(R337=$D$8,$D$8,IF(R337=2,2,IF(R337=3,3,R337)))</f>
        <v/>
      </c>
      <c r="T337" s="1158" t="str">
        <f>IF(E337=0,"",VLOOKUP(E337,'Tablas Técnicas'!$A$14:$V$771,9,FALSE))</f>
        <v/>
      </c>
      <c r="U337" s="1158" t="str">
        <f>IF(E337=0,"",VLOOKUP(E337,'Tablas Técnicas'!$A$14:$V$771,10,FALSE))</f>
        <v/>
      </c>
      <c r="V337" s="1595"/>
      <c r="W337" s="1595"/>
      <c r="X337" s="1596"/>
      <c r="Y337" s="1596"/>
      <c r="Z337" s="1596"/>
      <c r="AA337" s="1596"/>
      <c r="AB337" s="1596"/>
      <c r="AC337" s="1596"/>
      <c r="AD337" s="1596"/>
      <c r="AE337" s="1596"/>
      <c r="AF337" s="1596"/>
      <c r="AG337" s="1598"/>
      <c r="AH337" s="1599"/>
      <c r="AI337" s="1599"/>
      <c r="AJ337" s="1599"/>
      <c r="AK337" s="1599"/>
      <c r="AL337" s="1599"/>
      <c r="AM337" s="1599"/>
      <c r="AN337" s="1599"/>
      <c r="AO337" s="1599"/>
      <c r="AP337" s="1597"/>
      <c r="AQ337" s="1599"/>
      <c r="AR337" s="1599"/>
      <c r="AS337" s="1599"/>
      <c r="AT337" s="1599"/>
      <c r="AU337" s="1599"/>
      <c r="AV337" s="1599"/>
      <c r="AW337" s="1599"/>
      <c r="AX337" s="1599"/>
      <c r="AY337" s="1599"/>
      <c r="AZ337" s="1600"/>
      <c r="BA337" s="1596"/>
      <c r="BB337" s="1596"/>
      <c r="BC337" s="1596"/>
      <c r="BD337" s="1596"/>
      <c r="BE337" s="1596"/>
      <c r="BF337" s="1596"/>
      <c r="BG337" s="1596"/>
      <c r="BH337" s="1596"/>
      <c r="BI337" s="1596"/>
      <c r="BJ337" s="1597"/>
      <c r="BK337" s="1596"/>
      <c r="BL337" s="1632"/>
      <c r="BM337" s="1633"/>
      <c r="BN337" s="1596"/>
      <c r="BO337" s="1596"/>
      <c r="BP337" s="1597"/>
      <c r="BQ337" s="1596"/>
      <c r="BR337" s="1596"/>
      <c r="BS337" s="1596"/>
      <c r="BU337" s="2608"/>
      <c r="BV337" s="1128"/>
      <c r="BW337" s="1108"/>
      <c r="BX337" s="1108"/>
      <c r="BY337" s="1474"/>
      <c r="BZ337" s="1492"/>
      <c r="CA337" s="1096"/>
      <c r="DR337" s="1096"/>
      <c r="DT337" s="1514"/>
      <c r="DU337" s="1567"/>
      <c r="DV337" s="1567"/>
      <c r="DW337" s="1567"/>
      <c r="DX337" s="1567"/>
      <c r="DY337" s="1513"/>
      <c r="DZ337" s="1096"/>
      <c r="EA337" s="1660">
        <f t="shared" si="5"/>
        <v>1</v>
      </c>
    </row>
    <row r="338" spans="1:132" x14ac:dyDescent="0.2">
      <c r="A338" s="1096"/>
      <c r="B338" s="1096"/>
      <c r="C338" s="1497"/>
      <c r="D338" s="1647" t="s">
        <v>5243</v>
      </c>
      <c r="E338" s="1198"/>
      <c r="F338" s="2614"/>
      <c r="G338" s="1172"/>
      <c r="H338" s="1171" t="str">
        <f>IF(VALUE(D304)=3,IF(E338=0,"",VLOOKUP(E338,'Tablas Técnicas'!$A$14:$V$771,4,FALSE)),"")</f>
        <v/>
      </c>
      <c r="I338" s="1172"/>
      <c r="J338" s="1172"/>
      <c r="K338" s="1172"/>
      <c r="L338" s="2614"/>
      <c r="M338" s="1172"/>
      <c r="N338" s="1172"/>
      <c r="O338" s="2614"/>
      <c r="P338" s="1172"/>
      <c r="Q338" s="1172"/>
      <c r="R338" s="1193" t="str">
        <f>IF(E338=0,"",VLOOKUP(E338,'Tablas Técnicas'!$A$14:$V$771,8,FALSE))</f>
        <v/>
      </c>
      <c r="S338" s="1171" t="str">
        <f>IF(R338=$D$8,$D$8,IF(R338=2,2,IF(R338=3,3,R338)))</f>
        <v/>
      </c>
      <c r="T338" s="1172" t="str">
        <f>IF(E338=0,"",VLOOKUP(E338,'Tablas Técnicas'!$A$14:$V$771,9,FALSE))</f>
        <v/>
      </c>
      <c r="U338" s="1172" t="str">
        <f>IF(E338=0,"",VLOOKUP(E338,'Tablas Técnicas'!$A$14:$V$771,10,FALSE))</f>
        <v/>
      </c>
      <c r="V338" s="2614"/>
      <c r="W338" s="1486"/>
      <c r="X338" s="1486"/>
      <c r="Y338" s="1486"/>
      <c r="Z338" s="1486"/>
      <c r="AA338" s="1486"/>
      <c r="AB338" s="1486"/>
      <c r="AC338" s="1486"/>
      <c r="AD338" s="1486"/>
      <c r="AE338" s="1486"/>
      <c r="AF338" s="1487"/>
      <c r="AG338" s="2614"/>
      <c r="AH338" s="1172"/>
      <c r="AI338" s="1172"/>
      <c r="AJ338" s="1172"/>
      <c r="AK338" s="1172"/>
      <c r="AL338" s="1172"/>
      <c r="AM338" s="1172"/>
      <c r="AN338" s="1172"/>
      <c r="AO338" s="1172"/>
      <c r="AP338" s="2615"/>
      <c r="AQ338" s="1172"/>
      <c r="AR338" s="1172"/>
      <c r="AS338" s="1172"/>
      <c r="AT338" s="1172"/>
      <c r="AU338" s="1172"/>
      <c r="AV338" s="1172"/>
      <c r="AW338" s="1172"/>
      <c r="AX338" s="1172"/>
      <c r="AY338" s="1172"/>
      <c r="AZ338" s="2615"/>
      <c r="BA338" s="1172"/>
      <c r="BB338" s="1172"/>
      <c r="BC338" s="1172"/>
      <c r="BD338" s="1172"/>
      <c r="BE338" s="1172"/>
      <c r="BF338" s="1172"/>
      <c r="BG338" s="1172"/>
      <c r="BH338" s="1172"/>
      <c r="BI338" s="1172"/>
      <c r="BJ338" s="2615"/>
      <c r="BK338" s="1172"/>
      <c r="BL338" s="1629"/>
      <c r="BM338" s="1634"/>
      <c r="BN338" s="1172"/>
      <c r="BO338" s="1172"/>
      <c r="BP338" s="1172"/>
      <c r="BQ338" s="2614"/>
      <c r="BR338" s="1172"/>
      <c r="BS338" s="1172"/>
      <c r="BT338" s="2608"/>
      <c r="BU338" s="2608"/>
      <c r="BV338" s="1128">
        <f>IF(BV337=0,0,VLOOKUP(BV337,'Tablas Técnicas'!$M$4:$N$7,2,FALSE))</f>
        <v>0</v>
      </c>
      <c r="BW338" s="1108"/>
      <c r="BX338" s="1108"/>
      <c r="BY338" s="1474"/>
      <c r="BZ338" s="1492"/>
      <c r="CA338" s="1100"/>
      <c r="DR338" s="1100"/>
      <c r="DT338" s="1517"/>
      <c r="DU338" s="1623"/>
      <c r="DV338" s="1623"/>
      <c r="DW338" s="1623"/>
      <c r="DX338" s="1623"/>
      <c r="DY338" s="1518"/>
      <c r="DZ338" s="1100"/>
      <c r="EA338" s="1660">
        <f t="shared" si="5"/>
        <v>1</v>
      </c>
    </row>
    <row r="339" spans="1:132" x14ac:dyDescent="0.2">
      <c r="A339" s="1100"/>
      <c r="B339" s="1100"/>
      <c r="C339" s="1497"/>
      <c r="D339" s="1648"/>
      <c r="E339" s="2350"/>
      <c r="F339" s="1108"/>
      <c r="G339" s="2350"/>
      <c r="H339" s="2350"/>
      <c r="I339" s="1108"/>
      <c r="J339" s="2350"/>
      <c r="K339" s="2350"/>
      <c r="L339" s="2350"/>
      <c r="M339" s="2350"/>
      <c r="N339" s="2350"/>
      <c r="O339" s="2350"/>
      <c r="P339" s="2350"/>
      <c r="Q339" s="2350"/>
      <c r="R339" s="2350"/>
      <c r="S339" s="2350"/>
      <c r="T339" s="2350"/>
      <c r="U339" s="2350"/>
      <c r="V339" s="2350"/>
      <c r="W339" s="2350"/>
      <c r="X339" s="2350"/>
      <c r="Y339" s="2350"/>
      <c r="Z339" s="2350"/>
      <c r="AA339" s="2350"/>
      <c r="AB339" s="2350"/>
      <c r="AC339" s="2350"/>
      <c r="AD339" s="2350"/>
      <c r="AE339" s="2350"/>
      <c r="AF339" s="2350"/>
      <c r="AG339" s="2350"/>
      <c r="AH339" s="2350"/>
      <c r="AI339" s="2350"/>
      <c r="AJ339" s="2350"/>
      <c r="AK339" s="2350"/>
      <c r="AL339" s="2350"/>
      <c r="AM339" s="2350"/>
      <c r="AN339" s="2350"/>
      <c r="AO339" s="2350"/>
      <c r="AP339" s="2350"/>
      <c r="AQ339" s="2350"/>
      <c r="AR339" s="2350"/>
      <c r="AS339" s="2350"/>
      <c r="AT339" s="2350"/>
      <c r="AU339" s="2350"/>
      <c r="AV339" s="2350"/>
      <c r="AW339" s="2350"/>
      <c r="AX339" s="2350"/>
      <c r="AY339" s="2350"/>
      <c r="AZ339" s="2350"/>
      <c r="BA339" s="2350"/>
      <c r="BB339" s="2350"/>
      <c r="BC339" s="2350"/>
      <c r="BD339" s="2350"/>
      <c r="BE339" s="2350"/>
      <c r="BF339" s="2350"/>
      <c r="BG339" s="2350"/>
      <c r="BH339" s="2350"/>
      <c r="BI339" s="2350"/>
      <c r="BJ339" s="2350"/>
      <c r="BK339" s="2350"/>
      <c r="BL339" s="2350"/>
      <c r="BM339" s="2350"/>
      <c r="BN339" s="1101">
        <f>SUM(BN344:BN359)</f>
        <v>0</v>
      </c>
      <c r="BO339" s="1101">
        <f>SUM(BO344:BO359)</f>
        <v>0</v>
      </c>
      <c r="BP339" s="1101">
        <f>SUM(BP344:BP359)</f>
        <v>0</v>
      </c>
      <c r="BQ339" s="1101">
        <f>SUM(BQ344:BQ359)</f>
        <v>0</v>
      </c>
      <c r="BR339" s="1101">
        <f>SUM(BR344:BR359)</f>
        <v>0</v>
      </c>
      <c r="BS339" s="1199"/>
      <c r="BU339" s="2350"/>
      <c r="BW339" s="1108"/>
      <c r="BX339" s="1108"/>
      <c r="BY339" s="1117"/>
      <c r="BZ339" s="1492"/>
      <c r="CA339" s="1096"/>
      <c r="DR339" s="1096"/>
      <c r="DT339" s="1514"/>
      <c r="DU339" s="1567"/>
      <c r="DV339" s="1567"/>
      <c r="DW339" s="1567"/>
      <c r="DX339" s="1567"/>
      <c r="DY339" s="1513"/>
      <c r="DZ339" s="1096"/>
      <c r="EA339" s="1660">
        <f t="shared" si="5"/>
        <v>1</v>
      </c>
    </row>
    <row r="340" spans="1:132" x14ac:dyDescent="0.2">
      <c r="A340" s="1096"/>
      <c r="B340" s="1096"/>
      <c r="C340" s="1497"/>
      <c r="D340" s="1640" t="s">
        <v>8726</v>
      </c>
      <c r="E340" s="1114"/>
      <c r="F340" s="1114"/>
      <c r="G340" s="1114"/>
      <c r="H340" s="1114"/>
      <c r="I340" s="1114"/>
      <c r="J340" s="1115"/>
      <c r="K340" s="1114"/>
      <c r="L340" s="1114"/>
      <c r="M340" s="1115"/>
      <c r="N340" s="1114"/>
      <c r="O340" s="1114"/>
      <c r="P340" s="1115"/>
      <c r="Q340" s="1114"/>
      <c r="R340" s="1115"/>
      <c r="S340" s="1114"/>
      <c r="T340" s="1114"/>
      <c r="U340" s="1114"/>
      <c r="V340" s="1114"/>
      <c r="W340" s="1108"/>
      <c r="X340" s="1115"/>
      <c r="Y340" s="1115"/>
      <c r="Z340" s="1115"/>
      <c r="AA340" s="1115"/>
      <c r="AB340" s="1115"/>
      <c r="AC340" s="1115"/>
      <c r="AD340" s="1115"/>
      <c r="AE340" s="1115"/>
      <c r="AF340" s="1114"/>
      <c r="AG340" s="1108"/>
      <c r="AH340" s="1115"/>
      <c r="AI340" s="1115"/>
      <c r="AJ340" s="1115"/>
      <c r="AK340" s="1115"/>
      <c r="AL340" s="1115"/>
      <c r="AM340" s="1115"/>
      <c r="AN340" s="1115"/>
      <c r="AO340" s="1115"/>
      <c r="AP340" s="1108"/>
      <c r="AQ340" s="1108"/>
      <c r="AR340" s="1115"/>
      <c r="AS340" s="1115"/>
      <c r="AT340" s="1115"/>
      <c r="AU340" s="1115"/>
      <c r="AV340" s="1115"/>
      <c r="AW340" s="1115"/>
      <c r="AX340" s="1115"/>
      <c r="AY340" s="1115"/>
      <c r="AZ340" s="1108"/>
      <c r="BA340" s="1108"/>
      <c r="BB340" s="1115"/>
      <c r="BC340" s="1115"/>
      <c r="BD340" s="1115"/>
      <c r="BE340" s="1115"/>
      <c r="BF340" s="1115"/>
      <c r="BG340" s="1115"/>
      <c r="BH340" s="1115"/>
      <c r="BI340" s="1115"/>
      <c r="BJ340" s="1108"/>
      <c r="BK340" s="1108"/>
      <c r="BL340" s="1108"/>
      <c r="BM340" s="1108"/>
      <c r="BN340" s="1101">
        <f>SUM(BN342:BN375)</f>
        <v>0</v>
      </c>
      <c r="BO340" s="1101">
        <f>SUM(BO342:BO375)</f>
        <v>0</v>
      </c>
      <c r="BP340" s="1101">
        <f>MAX(BP342:BP375)</f>
        <v>0</v>
      </c>
      <c r="BQ340" s="1101">
        <f>MAX(BQ342:BQ375)</f>
        <v>0</v>
      </c>
      <c r="BR340" s="1101">
        <f>MAX(BR342:BR375)</f>
        <v>0</v>
      </c>
      <c r="BS340" s="1116"/>
      <c r="BU340" s="2608"/>
      <c r="BV340" s="1118"/>
      <c r="BW340" s="1108"/>
      <c r="BX340" s="1108"/>
      <c r="BY340" s="1474"/>
      <c r="BZ340" s="1492"/>
      <c r="CA340" s="1096"/>
      <c r="DR340" s="1096"/>
      <c r="DT340" s="1514"/>
      <c r="DU340" s="1567"/>
      <c r="DV340" s="1567"/>
      <c r="DW340" s="1567"/>
      <c r="DX340" s="1567"/>
      <c r="DY340" s="1513"/>
      <c r="DZ340" s="1096"/>
      <c r="EA340" s="1660">
        <f t="shared" si="5"/>
        <v>1</v>
      </c>
    </row>
    <row r="341" spans="1:132" ht="12" thickBot="1" x14ac:dyDescent="0.25">
      <c r="A341" s="1096"/>
      <c r="B341" s="1096"/>
      <c r="C341" s="1497"/>
      <c r="D341" s="1641">
        <v>1</v>
      </c>
      <c r="E341" s="1119" t="s">
        <v>9094</v>
      </c>
      <c r="F341" s="1120" t="s">
        <v>2333</v>
      </c>
      <c r="G341" s="1121" t="s">
        <v>2334</v>
      </c>
      <c r="H341" s="1121" t="s">
        <v>2356</v>
      </c>
      <c r="I341" s="1122" t="s">
        <v>4020</v>
      </c>
      <c r="J341" s="1123"/>
      <c r="K341" s="1124"/>
      <c r="L341" s="1122" t="s">
        <v>4021</v>
      </c>
      <c r="M341" s="1123"/>
      <c r="N341" s="1124"/>
      <c r="O341" s="1122" t="s">
        <v>4022</v>
      </c>
      <c r="P341" s="1123"/>
      <c r="Q341" s="1124"/>
      <c r="R341" s="1125" t="s">
        <v>5219</v>
      </c>
      <c r="S341" s="1121" t="s">
        <v>3990</v>
      </c>
      <c r="T341" s="2613" t="s">
        <v>2252</v>
      </c>
      <c r="U341" s="2613" t="s">
        <v>2223</v>
      </c>
      <c r="V341" s="2613" t="s">
        <v>4023</v>
      </c>
      <c r="W341" s="4473" t="s">
        <v>4024</v>
      </c>
      <c r="X341" s="4473"/>
      <c r="Y341" s="4473"/>
      <c r="Z341" s="4473"/>
      <c r="AA341" s="4473"/>
      <c r="AB341" s="4473"/>
      <c r="AC341" s="4473"/>
      <c r="AD341" s="4473"/>
      <c r="AE341" s="4473"/>
      <c r="AF341" s="4473"/>
      <c r="AG341" s="4473"/>
      <c r="AH341" s="4473"/>
      <c r="AI341" s="4473"/>
      <c r="AJ341" s="4473"/>
      <c r="AK341" s="4473"/>
      <c r="AL341" s="4473"/>
      <c r="AM341" s="4473"/>
      <c r="AN341" s="4473"/>
      <c r="AO341" s="4473"/>
      <c r="AP341" s="4473"/>
      <c r="AQ341" s="4473"/>
      <c r="AR341" s="4473"/>
      <c r="AS341" s="4473"/>
      <c r="AT341" s="4473"/>
      <c r="AU341" s="4473"/>
      <c r="AV341" s="4473"/>
      <c r="AW341" s="4473"/>
      <c r="AX341" s="4473"/>
      <c r="AY341" s="4473"/>
      <c r="AZ341" s="4473"/>
      <c r="BA341" s="4473"/>
      <c r="BB341" s="4473"/>
      <c r="BC341" s="4473"/>
      <c r="BD341" s="4473"/>
      <c r="BE341" s="4473"/>
      <c r="BF341" s="4473"/>
      <c r="BG341" s="4473"/>
      <c r="BH341" s="4473"/>
      <c r="BI341" s="4473"/>
      <c r="BJ341" s="4473"/>
      <c r="BK341" s="4473" t="s">
        <v>4025</v>
      </c>
      <c r="BL341" s="4473"/>
      <c r="BM341" s="4474"/>
      <c r="BN341" s="1126" t="s">
        <v>5220</v>
      </c>
      <c r="BO341" s="1126" t="s">
        <v>5221</v>
      </c>
      <c r="BP341" s="1126" t="s">
        <v>5222</v>
      </c>
      <c r="BQ341" s="1126" t="s">
        <v>5223</v>
      </c>
      <c r="BR341" s="1126" t="s">
        <v>5224</v>
      </c>
      <c r="BS341" s="1127" t="s">
        <v>5225</v>
      </c>
      <c r="BT341" s="4448" t="s">
        <v>5226</v>
      </c>
      <c r="BU341" s="4449"/>
      <c r="BV341" s="1128"/>
      <c r="BW341" s="1108"/>
      <c r="BX341" s="1108"/>
      <c r="BY341" s="1474"/>
      <c r="BZ341" s="1492"/>
      <c r="CA341" s="1096"/>
      <c r="DR341" s="1096"/>
      <c r="DT341" s="1514"/>
      <c r="DU341" s="1567"/>
      <c r="DV341" s="1567"/>
      <c r="DW341" s="1567"/>
      <c r="DX341" s="1567"/>
      <c r="DY341" s="1513"/>
      <c r="DZ341" s="1096"/>
      <c r="EB341" s="2558">
        <f>D341</f>
        <v>1</v>
      </c>
    </row>
    <row r="342" spans="1:132" x14ac:dyDescent="0.2">
      <c r="A342" s="1129"/>
      <c r="B342" s="159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98"/>
      <c r="D342" s="1642">
        <v>1</v>
      </c>
      <c r="E342" s="1423"/>
      <c r="F342" s="1130"/>
      <c r="G342" s="1131"/>
      <c r="H342" s="1131"/>
      <c r="I342" s="1131"/>
      <c r="J342" s="1132"/>
      <c r="K342" s="1131"/>
      <c r="L342" s="1131"/>
      <c r="M342" s="1132"/>
      <c r="N342" s="1131"/>
      <c r="O342" s="1131"/>
      <c r="P342" s="1132"/>
      <c r="Q342" s="1131"/>
      <c r="R342" s="1132"/>
      <c r="S342" s="1131"/>
      <c r="T342" s="1131"/>
      <c r="U342" s="1131"/>
      <c r="V342" s="1131"/>
      <c r="W342" s="1131"/>
      <c r="X342" s="1131"/>
      <c r="Y342" s="1131"/>
      <c r="Z342" s="1131"/>
      <c r="AA342" s="1131"/>
      <c r="AB342" s="1131"/>
      <c r="AC342" s="1131"/>
      <c r="AD342" s="1131"/>
      <c r="AE342" s="1131"/>
      <c r="AF342" s="1131"/>
      <c r="AG342" s="1131"/>
      <c r="AH342" s="1131"/>
      <c r="AI342" s="1131"/>
      <c r="AJ342" s="1131"/>
      <c r="AK342" s="1131"/>
      <c r="AL342" s="1131"/>
      <c r="AM342" s="1131"/>
      <c r="AN342" s="1131"/>
      <c r="AO342" s="1131"/>
      <c r="AP342" s="1131"/>
      <c r="AQ342" s="1131"/>
      <c r="AR342" s="1131"/>
      <c r="AS342" s="1131"/>
      <c r="AT342" s="1131"/>
      <c r="AU342" s="1131"/>
      <c r="AV342" s="1131"/>
      <c r="AW342" s="1131"/>
      <c r="AX342" s="1131"/>
      <c r="AY342" s="1131"/>
      <c r="AZ342" s="1131"/>
      <c r="BA342" s="1131"/>
      <c r="BB342" s="1131"/>
      <c r="BC342" s="1131"/>
      <c r="BD342" s="1131"/>
      <c r="BE342" s="1131"/>
      <c r="BF342" s="1131"/>
      <c r="BG342" s="1131"/>
      <c r="BH342" s="1131"/>
      <c r="BI342" s="1131"/>
      <c r="BJ342" s="1131"/>
      <c r="BK342" s="1131"/>
      <c r="BL342" s="1131"/>
      <c r="BM342" s="1133"/>
      <c r="BN342" s="1134">
        <f>SUM(K342:K345)</f>
        <v>0</v>
      </c>
      <c r="BO342" s="1128" t="str">
        <f>IF(E342=0,"",(AF342+AP342+AZ342+BJ342))</f>
        <v/>
      </c>
      <c r="BP342" s="1135" t="str">
        <f>IF(I342="Si",VLOOKUP($D$8,'Tablas Técnicas'!$E$4:$F$6,2,FALSE),"")</f>
        <v/>
      </c>
      <c r="BQ342" s="1136" t="str">
        <f>IF(L342="Si",VLOOKUP($D$8,'Tablas Técnicas'!$I$4:$J$6,2,FALSE),"")</f>
        <v/>
      </c>
      <c r="BR342" s="1134" t="str">
        <f>IF(O342="Si",VLOOKUP($D$8,'Tablas Técnicas'!$I$7:$J$9,2,FALSE),"")</f>
        <v/>
      </c>
      <c r="BS342" s="1137">
        <f>VLOOKUP(D341,'Tablas Técnicas'!$P$6:$R$8,3)</f>
        <v>50</v>
      </c>
      <c r="BT342" s="1138">
        <f>VLOOKUP(D341,'Tablas Técnicas'!$P$6:$R$8,3,FALSE)</f>
        <v>50</v>
      </c>
      <c r="BU342" s="1139">
        <f>VLOOKUP(D341,'Tablas Técnicas'!$P$6:$R$8,2,FALSE)</f>
        <v>20</v>
      </c>
      <c r="BV342" s="1128">
        <f>IF(D341=0,"",VLOOKUP(D341,'Tablas Técnicas'!$L$4:$N$7,2,FALSE))</f>
        <v>3</v>
      </c>
      <c r="BW342" s="1108"/>
      <c r="BX342" s="1108"/>
      <c r="BY342" s="1474"/>
      <c r="BZ342" s="1492"/>
      <c r="CA342" s="1096"/>
      <c r="DR342" s="1096"/>
      <c r="DT342" s="1514"/>
      <c r="DU342" s="1614" t="s">
        <v>2345</v>
      </c>
      <c r="DV342" s="1615" t="s">
        <v>4001</v>
      </c>
      <c r="DW342" s="1615" t="s">
        <v>3987</v>
      </c>
      <c r="DX342" s="1616" t="s">
        <v>8729</v>
      </c>
      <c r="DY342" s="1513"/>
      <c r="DZ342" s="1096"/>
      <c r="EA342" s="1660">
        <f>EB341</f>
        <v>1</v>
      </c>
    </row>
    <row r="343" spans="1:132" x14ac:dyDescent="0.2">
      <c r="A343" s="1096"/>
      <c r="B343" s="1096"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97"/>
      <c r="D343" s="1643" t="s">
        <v>2310</v>
      </c>
      <c r="E343" s="1140"/>
      <c r="F343" s="1141" t="str">
        <f>IF(E343=0,"",VLOOKUP(E343,'Tablas Técnicas'!$A$14:$V$771,2,FALSE))</f>
        <v/>
      </c>
      <c r="G343" s="1142"/>
      <c r="H343" s="1143" t="str">
        <f>IF($E343=0,"",VLOOKUP($E343,'Tablas Técnicas'!$A$14:$V$771,4,FALSE))</f>
        <v/>
      </c>
      <c r="I343" s="1144" t="s">
        <v>2234</v>
      </c>
      <c r="J343" s="1602" t="str">
        <f>IF(E343=0,"",VLOOKUP(E343,'Tablas Técnicas'!$A$14:$V$771,5,FALSE))</f>
        <v/>
      </c>
      <c r="K343" s="1146" t="str">
        <f>IF(I343="Si",IF(E343=0,"",VLOOKUP(E343,'Tablas Técnicas'!$A$14:$V$771,5,FALSE)),"")</f>
        <v/>
      </c>
      <c r="L343" s="1144" t="s">
        <v>2234</v>
      </c>
      <c r="M343" s="1602" t="str">
        <f>IF(E343=0,"",VLOOKUP(E343,'Tablas Técnicas'!$A$14:$V$771,6,FALSE))</f>
        <v/>
      </c>
      <c r="N343" s="1147" t="str">
        <f>IF(L343="Si",IF(E343=0,"",VLOOKUP(E343,'Tablas Técnicas'!$A$14:$V$771,6,FALSE)),"")</f>
        <v/>
      </c>
      <c r="O343" s="1144" t="s">
        <v>2234</v>
      </c>
      <c r="P343" s="1602" t="str">
        <f>IF(E343=0,"",VLOOKUP(E343,'Tablas Técnicas'!$A$14:$V$771,7,FALSE))</f>
        <v/>
      </c>
      <c r="Q343" s="1147" t="str">
        <f>IF(O343="Si",IF(E343=0,"",VLOOKUP(E343,'Tablas Técnicas'!$A$14:$V$771,7,FALSE)),"")</f>
        <v/>
      </c>
      <c r="R343" s="1145" t="str">
        <f>IF(E343=0,"",VLOOKUP(E343,'Tablas Técnicas'!$A$14:$V$771,8,FALSE))</f>
        <v/>
      </c>
      <c r="S343" s="1143" t="str">
        <f>IF(R343=$D$8,$D$8,IF(R343=2,2,IF(R343=3,3,R343)))</f>
        <v/>
      </c>
      <c r="T343" s="1146" t="str">
        <f>IF(E343=0,"",VLOOKUP(E343,'Tablas Técnicas'!$A$14:$V$771,9,FALSE))</f>
        <v/>
      </c>
      <c r="U343" s="1146" t="str">
        <f>IF(E343=0,"",VLOOKUP(E343,'Tablas Técnicas'!$A$14:$V$771,10,FALSE))</f>
        <v/>
      </c>
      <c r="V343" s="1141" t="str">
        <f>IF(E343=0,"",VLOOKUP(E343,'Tablas Técnicas'!$A$14:$V$771,11,FALSE))</f>
        <v/>
      </c>
      <c r="W343" s="1144"/>
      <c r="X343" s="1145" t="e">
        <f>VLOOKUP(E343,'Tablas Técnicas'!$A$14:$V$771,12,FALSE)</f>
        <v>#N/A</v>
      </c>
      <c r="Y343" s="1145" t="e">
        <f>IF(W343=X343,VLOOKUP(E343,'Tablas Técnicas'!$A$14:$V$771,13,FALSE),0)</f>
        <v>#N/A</v>
      </c>
      <c r="Z343" s="1145" t="e">
        <f>VLOOKUP(E343,'Tablas Técnicas'!$A$14:$V$771,14,FALSE)</f>
        <v>#N/A</v>
      </c>
      <c r="AA343" s="1145" t="e">
        <f>IF(W343=Z343,VLOOKUP(E343,'Tablas Técnicas'!$A$14:$V$616,15,FALSE),0)</f>
        <v>#N/A</v>
      </c>
      <c r="AB343" s="1145" t="e">
        <f>VLOOKUP(E343,'Tablas Técnicas'!$A$14:$V$771,16,FALSE)</f>
        <v>#N/A</v>
      </c>
      <c r="AC343" s="1145" t="e">
        <f>IF(W343=AB343,VLOOKUP(E343,'Tablas Técnicas'!$A$14:$V$616,17,FALSE),0)</f>
        <v>#N/A</v>
      </c>
      <c r="AD343" s="1145" t="e">
        <f>VLOOKUP(E343,'Tablas Técnicas'!$A$14:$V$771,18,FALSE)</f>
        <v>#N/A</v>
      </c>
      <c r="AE343" s="1145" t="e">
        <f>IF(W343=AD343,VLOOKUP(E343,'Tablas Técnicas'!$A$14:$V$771,19,FALSE),0)</f>
        <v>#N/A</v>
      </c>
      <c r="AF343" s="1147" t="str">
        <f>IF(E343=0,"",(Y343+AA343+AC343+AE343))</f>
        <v/>
      </c>
      <c r="AG343" s="1144"/>
      <c r="AH343" s="1145" t="e">
        <f>VLOOKUP(E343,'Tablas Técnicas'!$A$14:$V$771,12,FALSE)</f>
        <v>#N/A</v>
      </c>
      <c r="AI343" s="1145" t="e">
        <f>IF(AG343=AH343,VLOOKUP(E343,'Tablas Técnicas'!$A$14:$V$771,13,FALSE),0)</f>
        <v>#N/A</v>
      </c>
      <c r="AJ343" s="1145" t="e">
        <f>VLOOKUP(E343,'Tablas Técnicas'!$A$14:$V$771,14,FALSE)</f>
        <v>#N/A</v>
      </c>
      <c r="AK343" s="1145" t="e">
        <f>IF(AG343=AJ343,VLOOKUP(E343,'Tablas Técnicas'!$A$14:$V$771,15,FALSE),0)</f>
        <v>#N/A</v>
      </c>
      <c r="AL343" s="1145" t="e">
        <f>VLOOKUP(E343,'Tablas Técnicas'!$A$14:$V$771,16,FALSE)</f>
        <v>#N/A</v>
      </c>
      <c r="AM343" s="1145" t="e">
        <f>IF(AG343=AL343,VLOOKUP(E343,'Tablas Técnicas'!$A$14:$V$771,17,FALSE),0)</f>
        <v>#N/A</v>
      </c>
      <c r="AN343" s="1145" t="e">
        <f>VLOOKUP(E343,'Tablas Técnicas'!$A$14:$V$771,18,FALSE)</f>
        <v>#N/A</v>
      </c>
      <c r="AO343" s="1145" t="e">
        <f>IF(AG343=AN343,VLOOKUP(E343,'Tablas Técnicas'!$A$14:$V$771,19,FALSE),0)</f>
        <v>#N/A</v>
      </c>
      <c r="AP343" s="1147" t="str">
        <f>IF(E343=0,"",(AI343+AK343+AM343+AO343))</f>
        <v/>
      </c>
      <c r="AQ343" s="1144"/>
      <c r="AR343" s="1145" t="e">
        <f>VLOOKUP(E343,'Tablas Técnicas'!$A$14:$V$771,12,FALSE)</f>
        <v>#N/A</v>
      </c>
      <c r="AS343" s="1145" t="e">
        <f>IF(AQ343=AR343,VLOOKUP(E343,'Tablas Técnicas'!$A$14:$V$771,13,FALSE),0)</f>
        <v>#N/A</v>
      </c>
      <c r="AT343" s="1145" t="e">
        <f>VLOOKUP(E343,'Tablas Técnicas'!$A$14:$V$771,14,FALSE)</f>
        <v>#N/A</v>
      </c>
      <c r="AU343" s="1145" t="e">
        <f>IF(AQ343=AT343,VLOOKUP(E343,'Tablas Técnicas'!$A$14:$V$771,15,FALSE),0)</f>
        <v>#N/A</v>
      </c>
      <c r="AV343" s="1145" t="e">
        <f>VLOOKUP(E343,'Tablas Técnicas'!$A$14:$V$771,16,FALSE)</f>
        <v>#N/A</v>
      </c>
      <c r="AW343" s="1145" t="e">
        <f>IF(AQ343=AV343,VLOOKUP(E343,'Tablas Técnicas'!$A$14:$V$771,17,FALSE),0)</f>
        <v>#N/A</v>
      </c>
      <c r="AX343" s="1145" t="e">
        <f>VLOOKUP(E343,'Tablas Técnicas'!$A$14:$V$771,18,FALSE)</f>
        <v>#N/A</v>
      </c>
      <c r="AY343" s="1145" t="e">
        <f>IF(AQ343=AX343,VLOOKUP(E343,'Tablas Técnicas'!$A$14:$V$771,19,FALSE),0)</f>
        <v>#N/A</v>
      </c>
      <c r="AZ343" s="1146" t="str">
        <f>IF(E343=0,"",(AS343+AU343+AW343+AY343))</f>
        <v/>
      </c>
      <c r="BA343" s="1144"/>
      <c r="BB343" s="1145" t="e">
        <f>VLOOKUP(E343,'Tablas Técnicas'!$A$14:$V$771,12,FALSE)</f>
        <v>#N/A</v>
      </c>
      <c r="BC343" s="1145" t="e">
        <f>IF(BA343=BB343,VLOOKUP(E343,'Tablas Técnicas'!$A$14:$V$771,13,FALSE),0)</f>
        <v>#N/A</v>
      </c>
      <c r="BD343" s="1145" t="e">
        <f>VLOOKUP(E343,'Tablas Técnicas'!$A$14:$V$771,14,FALSE)</f>
        <v>#N/A</v>
      </c>
      <c r="BE343" s="1145" t="e">
        <f>IF(BA343=BD343,VLOOKUP(E343,'Tablas Técnicas'!$A$14:$V$771,15,FALSE),0)</f>
        <v>#N/A</v>
      </c>
      <c r="BF343" s="1145" t="e">
        <f>VLOOKUP(E343,'Tablas Técnicas'!$A$14:$V$771,16,FALSE)</f>
        <v>#N/A</v>
      </c>
      <c r="BG343" s="1145" t="e">
        <f>IF(BA343=BF343,VLOOKUP(E343,'Tablas Técnicas'!$A$14:$V$771,17,FALSE),0)</f>
        <v>#N/A</v>
      </c>
      <c r="BH343" s="1145" t="e">
        <f>VLOOKUP(E343,'Tablas Técnicas'!$A$14:$V$771,18,FALSE)</f>
        <v>#N/A</v>
      </c>
      <c r="BI343" s="1145" t="e">
        <f>IF(BA343=BH343,VLOOKUP(E343,'Tablas Técnicas'!$A$14:$V$771,19,FALSE),0)</f>
        <v>#N/A</v>
      </c>
      <c r="BJ343" s="1147" t="str">
        <f>IF(E343=0,"",(BC343+BE343+BG343+BI343))</f>
        <v/>
      </c>
      <c r="BK343" s="1146" t="str">
        <f>IF(E343=0,"",VLOOKUP(E343,'Tablas Técnicas'!$A$14:$V$771,20,FALSE))</f>
        <v/>
      </c>
      <c r="BL343" s="1146" t="str">
        <f>IF(E343=0,"",VLOOKUP(E343,'Tablas Técnicas'!$A$14:$V$771,21,FALSE))</f>
        <v/>
      </c>
      <c r="BM343" s="1148" t="str">
        <f>IF(E343=0,"",VLOOKUP(E343,'Tablas Técnicas'!$A$14:$V$771,22,FALSE))</f>
        <v/>
      </c>
      <c r="BN343" s="1149"/>
      <c r="BO343" s="1150"/>
      <c r="BP343" s="1135" t="str">
        <f>IF(I343="Si",VLOOKUP($D$8,'Tablas Técnicas'!$E$4:$F$6,2,FALSE),"")</f>
        <v/>
      </c>
      <c r="BQ343" s="1136" t="str">
        <f>IF(L343="Si",VLOOKUP($D$8,'Tablas Técnicas'!$I$4:$J$6,2,FALSE),"")</f>
        <v/>
      </c>
      <c r="BR343" s="1134" t="str">
        <f>IF(O343="Si",VLOOKUP($D$8,'Tablas Técnicas'!$I$7:$J$9,2,FALSE),"")</f>
        <v/>
      </c>
      <c r="BS343" s="1151"/>
      <c r="BT343" s="4448" t="s">
        <v>5227</v>
      </c>
      <c r="BU343" s="4449"/>
      <c r="BV343" s="1128"/>
      <c r="BW343" s="1108"/>
      <c r="BX343" s="1108"/>
      <c r="BY343" s="1474"/>
      <c r="BZ343" s="1492"/>
      <c r="CA343" s="1096"/>
      <c r="DR343" s="1096"/>
      <c r="DT343" s="1514"/>
      <c r="DU343" s="1565" t="str">
        <f>IF(BW356="N/A","",BT355&amp;" "&amp;BW356&amp;IF(BY356="N/A"," "," ("&amp;BY356&amp;") "))</f>
        <v/>
      </c>
      <c r="DV343" s="1566" t="str">
        <f>IF(E343="","",E343)&amp;IF(I343="No",""," (Mant.)")&amp;IF(L343="No",""," (Sme)")&amp;IF(O343="No",""," (SMa)")</f>
        <v/>
      </c>
      <c r="DW343" s="1567" t="str">
        <f>IF(E373="","",E373)</f>
        <v/>
      </c>
      <c r="DX343" s="445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13"/>
      <c r="DZ343" s="1096"/>
      <c r="EA343" s="1660">
        <f t="shared" si="5"/>
        <v>1</v>
      </c>
    </row>
    <row r="344" spans="1:132" ht="12.75" customHeight="1" x14ac:dyDescent="0.2">
      <c r="A344" s="1096"/>
      <c r="B344" s="1096"/>
      <c r="C344" s="1497"/>
      <c r="D344" s="1642" t="s">
        <v>2310</v>
      </c>
      <c r="E344" s="1152"/>
      <c r="F344" s="1153" t="str">
        <f>IF(E344=0,"",VLOOKUP(E344,'Tablas Técnicas'!$A$14:$V$771,2,FALSE))</f>
        <v/>
      </c>
      <c r="G344" s="1154"/>
      <c r="H344" s="1155" t="str">
        <f>IF($E344=0,"",VLOOKUP($E344,'Tablas Técnicas'!$A$14:$V$771,4,FALSE))</f>
        <v/>
      </c>
      <c r="I344" s="1156" t="s">
        <v>2234</v>
      </c>
      <c r="J344" s="1605" t="str">
        <f>IF(E344=0,"",VLOOKUP(E344,'Tablas Técnicas'!$A$14:$V$771,5,FALSE))</f>
        <v/>
      </c>
      <c r="K344" s="1158" t="str">
        <f>IF(I344="Si",IF(E344=0,"",VLOOKUP(E344,'Tablas Técnicas'!$A$14:$V$771,5,FALSE)),"")</f>
        <v/>
      </c>
      <c r="L344" s="1156" t="s">
        <v>2234</v>
      </c>
      <c r="M344" s="1605" t="str">
        <f>IF(E344=0,"",VLOOKUP(E344,'Tablas Técnicas'!$A$14:$V$771,6,FALSE))</f>
        <v/>
      </c>
      <c r="N344" s="1159" t="str">
        <f>IF(L344="Si",IF(E344=0,"",VLOOKUP(E344,'Tablas Técnicas'!$A$14:$V$771,6,FALSE)),"")</f>
        <v/>
      </c>
      <c r="O344" s="1156" t="s">
        <v>2234</v>
      </c>
      <c r="P344" s="1605" t="str">
        <f>IF(E344=0,"",VLOOKUP(E344,'Tablas Técnicas'!$A$14:$V$771,7,FALSE))</f>
        <v/>
      </c>
      <c r="Q344" s="1159" t="str">
        <f>IF(O344="Si",IF(E344=0,"",VLOOKUP(E344,'Tablas Técnicas'!$A$14:$V$771,7,FALSE)),"")</f>
        <v/>
      </c>
      <c r="R344" s="1157" t="str">
        <f>IF(E344=0,"",VLOOKUP(E344,'Tablas Técnicas'!$A$14:$V$771,8,FALSE))</f>
        <v/>
      </c>
      <c r="S344" s="1155" t="str">
        <f>IF(R344=$D$8,$D$8,IF(R344=2,2,IF(R344=3,3,R344)))</f>
        <v/>
      </c>
      <c r="T344" s="4475" t="s">
        <v>5228</v>
      </c>
      <c r="U344" s="4476"/>
      <c r="V344" s="4476"/>
      <c r="W344" s="4476"/>
      <c r="X344" s="4476"/>
      <c r="Y344" s="4476"/>
      <c r="Z344" s="4476"/>
      <c r="AA344" s="4476"/>
      <c r="AB344" s="4476"/>
      <c r="AC344" s="4476"/>
      <c r="AD344" s="4476"/>
      <c r="AE344" s="4476"/>
      <c r="AF344" s="4476"/>
      <c r="AG344" s="4476"/>
      <c r="AH344" s="4476"/>
      <c r="AI344" s="4476"/>
      <c r="AJ344" s="4476"/>
      <c r="AK344" s="4476"/>
      <c r="AL344" s="4476"/>
      <c r="AM344" s="4476"/>
      <c r="AN344" s="4476"/>
      <c r="AO344" s="4476"/>
      <c r="AP344" s="4476"/>
      <c r="AQ344" s="4476"/>
      <c r="AR344" s="4476"/>
      <c r="AS344" s="4476"/>
      <c r="AT344" s="4476"/>
      <c r="AU344" s="4476"/>
      <c r="AV344" s="4476"/>
      <c r="AW344" s="4476"/>
      <c r="AX344" s="4476"/>
      <c r="AY344" s="4476"/>
      <c r="AZ344" s="4476"/>
      <c r="BA344" s="4476"/>
      <c r="BB344" s="4476"/>
      <c r="BC344" s="4476"/>
      <c r="BD344" s="4476"/>
      <c r="BE344" s="4476"/>
      <c r="BF344" s="4476"/>
      <c r="BG344" s="4476"/>
      <c r="BH344" s="4476"/>
      <c r="BI344" s="4476"/>
      <c r="BJ344" s="4476"/>
      <c r="BK344" s="4477"/>
      <c r="BL344" s="1627"/>
      <c r="BM344" s="1628"/>
      <c r="BN344" s="1149"/>
      <c r="BO344" s="1150"/>
      <c r="BP344" s="1135" t="str">
        <f>IF(I344="Si",VLOOKUP($D$8,'Tablas Técnicas'!$E$4:$F$6,2,FALSE),"")</f>
        <v/>
      </c>
      <c r="BQ344" s="1136" t="str">
        <f>IF(L344="Si",VLOOKUP($D$8,'Tablas Técnicas'!$I$4:$J$6,2,FALSE),"")</f>
        <v/>
      </c>
      <c r="BR344" s="1134" t="str">
        <f>IF(O344="Si",VLOOKUP($D$8,'Tablas Técnicas'!$I$7:$J$9,2,FALSE),"")</f>
        <v/>
      </c>
      <c r="BS344" s="1151"/>
      <c r="BT344" s="445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51"/>
      <c r="BV344" s="1128"/>
      <c r="BW344" s="1108"/>
      <c r="BX344" s="1108"/>
      <c r="BY344" s="1474"/>
      <c r="BZ344" s="1492"/>
      <c r="CA344" s="1096"/>
      <c r="DR344" s="1096"/>
      <c r="DT344" s="1514"/>
      <c r="DU344" s="1565" t="str">
        <f>IF(BW358="N/A","",BT357&amp;" "&amp;BW358&amp;IF(BY358="N/A"," "," ("&amp;BY358&amp;") "))</f>
        <v/>
      </c>
      <c r="DV344" s="1566" t="str">
        <f>IF(E344="",""," "&amp;E344)&amp;IF(I344="No",""," (Mant.)")&amp;IF(L344="No",""," (Sme)")&amp;IF(O344="No",""," (SMa)")</f>
        <v/>
      </c>
      <c r="DW344" s="1567" t="str">
        <f>IF(E374="","",", "&amp;E374)</f>
        <v/>
      </c>
      <c r="DX344" s="4454"/>
      <c r="DY344" s="1513"/>
      <c r="DZ344" s="1096"/>
      <c r="EA344" s="1660">
        <f t="shared" si="5"/>
        <v>1</v>
      </c>
    </row>
    <row r="345" spans="1:132" x14ac:dyDescent="0.2">
      <c r="A345" s="1096"/>
      <c r="B345" s="1096"/>
      <c r="C345" s="1497"/>
      <c r="D345" s="1643" t="s">
        <v>2310</v>
      </c>
      <c r="E345" s="1160"/>
      <c r="F345" s="2619" t="str">
        <f>IF(E345=0,"",VLOOKUP(E345,'Tablas Técnicas'!$A$14:$V$771,2,FALSE))</f>
        <v/>
      </c>
      <c r="G345" s="1142"/>
      <c r="H345" s="1161" t="str">
        <f>IF($E345=0,"",VLOOKUP($E345,'Tablas Técnicas'!$A$14:$V$771,4,FALSE))</f>
        <v/>
      </c>
      <c r="I345" s="1144" t="s">
        <v>2234</v>
      </c>
      <c r="J345" s="1601" t="str">
        <f>IF(E345=0,"",VLOOKUP(E345,'Tablas Técnicas'!$A$14:$V$771,5,FALSE))</f>
        <v/>
      </c>
      <c r="K345" s="1163" t="str">
        <f>IF(I345="Si",IF(E345=0,"",VLOOKUP(E345,'Tablas Técnicas'!$A$14:$V$771,5,FALSE)),"")</f>
        <v/>
      </c>
      <c r="L345" s="1144" t="s">
        <v>2234</v>
      </c>
      <c r="M345" s="1601" t="str">
        <f>IF(E345=0,"",VLOOKUP(E345,'Tablas Técnicas'!$A$14:$V$771,6,FALSE))</f>
        <v/>
      </c>
      <c r="N345" s="1147" t="str">
        <f>IF(L345="Si",IF(E345=0,"",VLOOKUP(E345,'Tablas Técnicas'!$A$14:$V$771,6,FALSE)),"")</f>
        <v/>
      </c>
      <c r="O345" s="1144" t="s">
        <v>2234</v>
      </c>
      <c r="P345" s="1601" t="str">
        <f>IF(E345=0,"",VLOOKUP(E345,'Tablas Técnicas'!$A$14:$V$771,7,FALSE))</f>
        <v/>
      </c>
      <c r="Q345" s="1147" t="str">
        <f>IF(O345="Si",IF(E345=0,"",VLOOKUP(E345,'Tablas Técnicas'!$A$14:$V$771,7,FALSE)),"")</f>
        <v/>
      </c>
      <c r="R345" s="1162" t="str">
        <f>IF(E345=0,"",VLOOKUP(E345,'Tablas Técnicas'!$A$14:$V$771,8,FALSE))</f>
        <v/>
      </c>
      <c r="S345" s="2619" t="str">
        <f>IF(R345=$D$8,$D$8,IF(R345=2,2,IF(R345=3,3,R345)))</f>
        <v/>
      </c>
      <c r="T345" s="4487"/>
      <c r="U345" s="4488"/>
      <c r="V345" s="2617" t="str">
        <f>IF(OR(V343=0,V343=""),"N/A",V343)</f>
        <v>N/A</v>
      </c>
      <c r="W345" s="4487" t="str">
        <f xml:space="preserve"> IF(OR(AF343=0,AF343=""),"N/A",W343)</f>
        <v>N/A</v>
      </c>
      <c r="X345" s="4489"/>
      <c r="Y345" s="4489"/>
      <c r="Z345" s="4489"/>
      <c r="AA345" s="4489"/>
      <c r="AB345" s="4489"/>
      <c r="AC345" s="4489"/>
      <c r="AD345" s="4489"/>
      <c r="AE345" s="4489"/>
      <c r="AF345" s="4488"/>
      <c r="AG345" s="4487" t="str">
        <f xml:space="preserve"> IF(OR(AP343="",AP343=0),"N/A",AG343)</f>
        <v>N/A</v>
      </c>
      <c r="AH345" s="4489"/>
      <c r="AI345" s="4489"/>
      <c r="AJ345" s="4489"/>
      <c r="AK345" s="4489"/>
      <c r="AL345" s="4489"/>
      <c r="AM345" s="4489"/>
      <c r="AN345" s="4489"/>
      <c r="AO345" s="4489"/>
      <c r="AP345" s="4488"/>
      <c r="AQ345" s="4487" t="str">
        <f xml:space="preserve"> IF(OR(AZ343="",AZ343=0),"N/A",AQ343)</f>
        <v>N/A</v>
      </c>
      <c r="AR345" s="4489"/>
      <c r="AS345" s="4489"/>
      <c r="AT345" s="4489"/>
      <c r="AU345" s="4489"/>
      <c r="AV345" s="4489"/>
      <c r="AW345" s="4489"/>
      <c r="AX345" s="4489"/>
      <c r="AY345" s="4489"/>
      <c r="AZ345" s="4488"/>
      <c r="BA345" s="4487" t="str">
        <f xml:space="preserve"> IF(OR(BJ343="",BJ343=0),"N/A",BA343)</f>
        <v>N/A</v>
      </c>
      <c r="BB345" s="4489"/>
      <c r="BC345" s="4489"/>
      <c r="BD345" s="4489"/>
      <c r="BE345" s="4489"/>
      <c r="BF345" s="4489"/>
      <c r="BG345" s="4489"/>
      <c r="BH345" s="4489"/>
      <c r="BI345" s="4489"/>
      <c r="BJ345" s="4488"/>
      <c r="BK345" s="1164" t="s">
        <v>5229</v>
      </c>
      <c r="BL345" s="1146"/>
      <c r="BM345" s="1181"/>
      <c r="BN345" s="1165"/>
      <c r="BO345" s="1166"/>
      <c r="BP345" s="1167" t="str">
        <f>IF(I345="Si",VLOOKUP($D$8,'Tablas Técnicas'!$E$4:$F$6,2,FALSE),"")</f>
        <v/>
      </c>
      <c r="BQ345" s="1137" t="str">
        <f>IF(L345="Si",VLOOKUP($D$8,'Tablas Técnicas'!$I$4:$J$6,2,FALSE),"")</f>
        <v/>
      </c>
      <c r="BR345" s="1168" t="str">
        <f>IF(O345="Si",VLOOKUP($D$8,'Tablas Técnicas'!$I$7:$J$9,2,FALSE),"")</f>
        <v/>
      </c>
      <c r="BS345" s="1169"/>
      <c r="BU345" s="2608"/>
      <c r="BV345" s="1128"/>
      <c r="BW345" s="1108"/>
      <c r="BX345" s="1108"/>
      <c r="BY345" s="1474"/>
      <c r="BZ345" s="1492"/>
      <c r="CA345" s="1096"/>
      <c r="DR345" s="1096"/>
      <c r="DT345" s="1514"/>
      <c r="DU345" s="1565" t="str">
        <f>IF(BW360="N/A","",BT359&amp;" "&amp;BW360&amp;IF(BY360="N/A"," "," ("&amp;BY360&amp;") "))</f>
        <v/>
      </c>
      <c r="DV345" s="1566" t="str">
        <f>IF(E345="","",E345)&amp;IF(I345="No",""," (Mant.)")&amp;IF(L345="No",""," (Sme)")&amp;IF(O345="No",""," (SMa)")</f>
        <v/>
      </c>
      <c r="DW345" s="1567" t="str">
        <f>IF(E375="","",", "&amp;E375)</f>
        <v/>
      </c>
      <c r="DX345" s="4454"/>
      <c r="DY345" s="1513"/>
      <c r="DZ345" s="1096"/>
      <c r="EA345" s="1660">
        <f t="shared" si="5"/>
        <v>1</v>
      </c>
    </row>
    <row r="346" spans="1:132" x14ac:dyDescent="0.2">
      <c r="A346" s="1096"/>
      <c r="B346" s="1096"/>
      <c r="C346" s="1497"/>
      <c r="D346" s="1642" t="s">
        <v>2310</v>
      </c>
      <c r="E346" s="1152"/>
      <c r="F346" s="1153" t="str">
        <f>IF(E346=0,"",VLOOKUP(E346,'Tablas Técnicas'!$A$14:$V$771,2,FALSE))</f>
        <v/>
      </c>
      <c r="G346" s="1154"/>
      <c r="H346" s="1155" t="str">
        <f>IF($E346=0,"",VLOOKUP($E346,'Tablas Técnicas'!$A$14:$V$771,4,FALSE))</f>
        <v/>
      </c>
      <c r="I346" s="1156" t="s">
        <v>2234</v>
      </c>
      <c r="J346" s="1605" t="str">
        <f>IF(E346=0,"",VLOOKUP(E346,'Tablas Técnicas'!$A$14:$V$771,5,FALSE))</f>
        <v/>
      </c>
      <c r="K346" s="1158" t="str">
        <f>IF(I346="Si",IF(E346=0,"",VLOOKUP(E346,'Tablas Técnicas'!$A$14:$V$771,5,FALSE)),"")</f>
        <v/>
      </c>
      <c r="L346" s="1156" t="s">
        <v>2234</v>
      </c>
      <c r="M346" s="1605" t="str">
        <f>IF(E346=0,"",VLOOKUP(E346,'Tablas Técnicas'!$A$14:$V$771,6,FALSE))</f>
        <v/>
      </c>
      <c r="N346" s="1159" t="str">
        <f>IF(L346="Si",IF(E346=0,"",VLOOKUP(E346,'Tablas Técnicas'!$A$14:$V$771,6,FALSE)),"")</f>
        <v/>
      </c>
      <c r="O346" s="1156" t="s">
        <v>2234</v>
      </c>
      <c r="P346" s="1605" t="str">
        <f>IF(E346=0,"",VLOOKUP(E346,'Tablas Técnicas'!$A$14:$V$771,7,FALSE))</f>
        <v/>
      </c>
      <c r="Q346" s="1159" t="str">
        <f>IF(O346="Si",IF(E346=0,"",VLOOKUP(E346,'Tablas Técnicas'!$A$14:$V$771,7,FALSE)),"")</f>
        <v/>
      </c>
      <c r="R346" s="1157" t="str">
        <f>IF(E346=0,"",VLOOKUP(E346,'Tablas Técnicas'!$A$14:$V$771,8,FALSE))</f>
        <v/>
      </c>
      <c r="S346" s="1155" t="str">
        <f>IF(R346=$D$8,$D$8,IF(R346=2,2,IF(R346=3,3,R346)))</f>
        <v/>
      </c>
      <c r="T346" s="4490" t="s">
        <v>5230</v>
      </c>
      <c r="U346" s="4491"/>
      <c r="V346" s="2618"/>
      <c r="W346" s="4492"/>
      <c r="X346" s="4493"/>
      <c r="Y346" s="4493"/>
      <c r="Z346" s="4493"/>
      <c r="AA346" s="4493"/>
      <c r="AB346" s="4493"/>
      <c r="AC346" s="4493"/>
      <c r="AD346" s="4493"/>
      <c r="AE346" s="4493"/>
      <c r="AF346" s="4494"/>
      <c r="AG346" s="4492"/>
      <c r="AH346" s="4493"/>
      <c r="AI346" s="4493"/>
      <c r="AJ346" s="4493"/>
      <c r="AK346" s="4493"/>
      <c r="AL346" s="4493"/>
      <c r="AM346" s="4493"/>
      <c r="AN346" s="4493"/>
      <c r="AO346" s="4493"/>
      <c r="AP346" s="4494"/>
      <c r="AQ346" s="4492"/>
      <c r="AR346" s="4493"/>
      <c r="AS346" s="4493"/>
      <c r="AT346" s="4493"/>
      <c r="AU346" s="4493"/>
      <c r="AV346" s="4493"/>
      <c r="AW346" s="4493"/>
      <c r="AX346" s="4493"/>
      <c r="AY346" s="4493"/>
      <c r="AZ346" s="4494"/>
      <c r="BA346" s="4492"/>
      <c r="BB346" s="4493"/>
      <c r="BC346" s="4493"/>
      <c r="BD346" s="4493"/>
      <c r="BE346" s="4493"/>
      <c r="BF346" s="4493"/>
      <c r="BG346" s="4493"/>
      <c r="BH346" s="4493"/>
      <c r="BI346" s="4493"/>
      <c r="BJ346" s="4494"/>
      <c r="BK346" s="1155">
        <f>(SUM(F343:F347)+IF(AF343="",0,AF343)+IF(AP343="",0,AP343)+IF(AZ343="",0,AZ343)+IF(BJ343="",0,BJ343)+SUM(K343:K347)+SUM(N343:N347)+SUM(Q343:Q347))- SUM(V346:BA346)</f>
        <v>0</v>
      </c>
      <c r="BL346" s="1627"/>
      <c r="BM346" s="1628"/>
      <c r="BN346" s="1149"/>
      <c r="BO346" s="1150"/>
      <c r="BP346" s="1135" t="str">
        <f>IF(I346="Si",VLOOKUP($D$8,'Tablas Técnicas'!$E$4:$F$6,2,FALSE),"")</f>
        <v/>
      </c>
      <c r="BQ346" s="1136" t="str">
        <f>IF(L346="Si",VLOOKUP($D$8,'Tablas Técnicas'!$I$4:$J$6,2,FALSE),"")</f>
        <v/>
      </c>
      <c r="BR346" s="1134" t="str">
        <f>IF(O346="Si",VLOOKUP($D$8,'Tablas Técnicas'!$I$7:$J$9,2,FALSE),"")</f>
        <v/>
      </c>
      <c r="BS346" s="1151"/>
      <c r="BT346" s="4448" t="s">
        <v>5231</v>
      </c>
      <c r="BU346" s="4449"/>
      <c r="BV346" s="1128"/>
      <c r="BW346" s="1108"/>
      <c r="BX346" s="1108"/>
      <c r="BY346" s="1474"/>
      <c r="BZ346" s="1492"/>
      <c r="CA346" s="1096"/>
      <c r="DR346" s="1096"/>
      <c r="DT346" s="1514"/>
      <c r="DU346" s="1565" t="str">
        <f>IF(BW362="N/A","",BT361&amp;" "&amp;BW362&amp;IF(BY362="N/A"," "," ("&amp;BY362&amp;") "))</f>
        <v/>
      </c>
      <c r="DV346" s="1566" t="str">
        <f>IF(E346="","",E346)&amp;IF(I346="No",""," (Mant.)")&amp;IF(L346="No",""," (Sme)")&amp;IF(O346="No",""," (SMa)")</f>
        <v/>
      </c>
      <c r="DW346" s="1567"/>
      <c r="DX346" s="4454"/>
      <c r="DY346" s="1513"/>
      <c r="DZ346" s="1096"/>
      <c r="EA346" s="1660">
        <f t="shared" si="5"/>
        <v>1</v>
      </c>
    </row>
    <row r="347" spans="1:132" x14ac:dyDescent="0.2">
      <c r="A347" s="1096"/>
      <c r="B347" s="1096"/>
      <c r="C347" s="1497"/>
      <c r="D347" s="1643" t="s">
        <v>2310</v>
      </c>
      <c r="E347" s="1160"/>
      <c r="F347" s="2619" t="str">
        <f>IF(E347=0,"",VLOOKUP(E347,'Tablas Técnicas'!$A$14:$V$771,2,FALSE))</f>
        <v/>
      </c>
      <c r="G347" s="1142"/>
      <c r="H347" s="1161" t="str">
        <f>IF($E347=0,"",VLOOKUP($E347,'Tablas Técnicas'!$A$14:$V$771,4,FALSE))</f>
        <v/>
      </c>
      <c r="I347" s="1144" t="s">
        <v>2234</v>
      </c>
      <c r="J347" s="1601" t="str">
        <f>IF(E347=0,"",VLOOKUP(E347,'Tablas Técnicas'!$A$14:$V$771,5,FALSE))</f>
        <v/>
      </c>
      <c r="K347" s="1163" t="str">
        <f>IF(I347="Si",IF(E347=0,"",VLOOKUP(E347,'Tablas Técnicas'!$A$14:$V$771,5,FALSE)),"")</f>
        <v/>
      </c>
      <c r="L347" s="1144" t="s">
        <v>2234</v>
      </c>
      <c r="M347" s="1601" t="str">
        <f>IF(E347=0,"",VLOOKUP(E347,'Tablas Técnicas'!$A$14:$V$771,6,FALSE))</f>
        <v/>
      </c>
      <c r="N347" s="1147" t="str">
        <f>IF(L347="Si",IF(E347=0,"",VLOOKUP(E347,'Tablas Técnicas'!$A$14:$V$771,6,FALSE)),"")</f>
        <v/>
      </c>
      <c r="O347" s="1144" t="s">
        <v>2234</v>
      </c>
      <c r="P347" s="1601" t="str">
        <f>IF(E347=0,"",VLOOKUP(E347,'Tablas Técnicas'!$A$14:$V$771,7,FALSE))</f>
        <v/>
      </c>
      <c r="Q347" s="1147" t="str">
        <f>IF(O347="Si",IF(E347=0,"",VLOOKUP(E347,'Tablas Técnicas'!$A$14:$V$771,7,FALSE)),"")</f>
        <v/>
      </c>
      <c r="R347" s="1162" t="str">
        <f>IF(E347=0,"",VLOOKUP(E347,'Tablas Técnicas'!$A$14:$V$771,8,FALSE))</f>
        <v/>
      </c>
      <c r="S347" s="1161" t="str">
        <f>IF(R347=$D$8,$D$8,IF(R347=2,2,IF(R347=3,3,R347)))</f>
        <v/>
      </c>
      <c r="T347" s="4482" t="s">
        <v>5232</v>
      </c>
      <c r="U347" s="4483"/>
      <c r="V347" s="2616"/>
      <c r="W347" s="4484"/>
      <c r="X347" s="4485"/>
      <c r="Y347" s="4485"/>
      <c r="Z347" s="4485"/>
      <c r="AA347" s="4485"/>
      <c r="AB347" s="4485"/>
      <c r="AC347" s="4485"/>
      <c r="AD347" s="4485"/>
      <c r="AE347" s="4485"/>
      <c r="AF347" s="4486"/>
      <c r="AG347" s="4484"/>
      <c r="AH347" s="4485"/>
      <c r="AI347" s="4485"/>
      <c r="AJ347" s="4485"/>
      <c r="AK347" s="4485"/>
      <c r="AL347" s="4485"/>
      <c r="AM347" s="4485"/>
      <c r="AN347" s="4485"/>
      <c r="AO347" s="4485"/>
      <c r="AP347" s="4486"/>
      <c r="AQ347" s="4484"/>
      <c r="AR347" s="4485"/>
      <c r="AS347" s="4485"/>
      <c r="AT347" s="4485"/>
      <c r="AU347" s="4485"/>
      <c r="AV347" s="4485"/>
      <c r="AW347" s="4485"/>
      <c r="AX347" s="4485"/>
      <c r="AY347" s="4485"/>
      <c r="AZ347" s="4486"/>
      <c r="BA347" s="4484"/>
      <c r="BB347" s="4485"/>
      <c r="BC347" s="4485"/>
      <c r="BD347" s="4485"/>
      <c r="BE347" s="4485"/>
      <c r="BF347" s="4485"/>
      <c r="BG347" s="4485"/>
      <c r="BH347" s="4485"/>
      <c r="BI347" s="4485"/>
      <c r="BJ347" s="4486"/>
      <c r="BK347" s="1171">
        <f>SUM(K343:K347)-SUM(V347:BA347)</f>
        <v>0</v>
      </c>
      <c r="BL347" s="1629"/>
      <c r="BM347" s="1630"/>
      <c r="BN347" s="1165"/>
      <c r="BO347" s="1166"/>
      <c r="BP347" s="1167" t="str">
        <f>IF(I347="Si",VLOOKUP($D$8,'Tablas Técnicas'!$E$4:$F$6,2,FALSE),"")</f>
        <v/>
      </c>
      <c r="BQ347" s="1137" t="str">
        <f>IF(L347="Si",VLOOKUP($D$8,'Tablas Técnicas'!$I$4:$J$6,2,FALSE),"")</f>
        <v/>
      </c>
      <c r="BR347" s="1168" t="str">
        <f>IF(O347="Si",VLOOKUP($D$8,'Tablas Técnicas'!$I$7:$J$9,2,FALSE),"")</f>
        <v/>
      </c>
      <c r="BS347" s="1169"/>
      <c r="BT347" s="4452" t="s">
        <v>2234</v>
      </c>
      <c r="BU347" s="4453"/>
      <c r="BV347" s="1128"/>
      <c r="BW347" s="1108"/>
      <c r="BX347" s="1108"/>
      <c r="BY347" s="1474"/>
      <c r="BZ347" s="1492"/>
      <c r="CA347" s="1096"/>
      <c r="DR347" s="1096"/>
      <c r="DT347" s="1514"/>
      <c r="DU347" s="1565" t="str">
        <f>IF(BW364="N/A","",BT363&amp;" "&amp;BW364&amp;IF(BY364="N/A"," "," ("&amp;BY364&amp;") "))</f>
        <v/>
      </c>
      <c r="DV347" s="1566" t="str">
        <f>IF(E347="","",E347)&amp;IF(I347="No",""," (Mant.)")&amp;IF(L347="No",""," (Sme)")&amp;IF(O347="No",""," (SMa)")</f>
        <v/>
      </c>
      <c r="DW347" s="1567"/>
      <c r="DX347" s="4454"/>
      <c r="DY347" s="1513"/>
      <c r="DZ347" s="1096"/>
      <c r="EA347" s="1660">
        <f t="shared" si="5"/>
        <v>1</v>
      </c>
    </row>
    <row r="348" spans="1:132" x14ac:dyDescent="0.2">
      <c r="A348" s="1096"/>
      <c r="B348" s="159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97"/>
      <c r="D348" s="1644">
        <v>2</v>
      </c>
      <c r="E348" s="1423"/>
      <c r="F348" s="1173"/>
      <c r="G348" s="1174"/>
      <c r="H348" s="2559">
        <f>IF(AND(OR(ISNUMBER(SEARCH("Afinidad Elemental ("&amp;BK343&amp;")",Principal!$AF$30)),ISNUMBER(SEARCH("Afinidad Elemental ("&amp;BL343&amp;")",Principal!$AF$30)),ISNUMBER(SEARCH("Afinidad Elemental ("&amp;BM343&amp;")",Principal!$AF$30))),SUM(H343:H347)&gt;=5),-5,0)</f>
        <v>0</v>
      </c>
      <c r="I348" s="1603"/>
      <c r="J348" s="1606"/>
      <c r="K348" s="1174"/>
      <c r="L348" s="1603"/>
      <c r="M348" s="1606"/>
      <c r="N348" s="1174"/>
      <c r="O348" s="1603"/>
      <c r="P348" s="1606"/>
      <c r="Q348" s="1174"/>
      <c r="R348" s="1175"/>
      <c r="S348" s="1174"/>
      <c r="T348" s="1174"/>
      <c r="U348" s="1131"/>
      <c r="V348" s="1131"/>
      <c r="W348" s="1131"/>
      <c r="X348" s="1131"/>
      <c r="Y348" s="1131"/>
      <c r="Z348" s="1131"/>
      <c r="AA348" s="1131"/>
      <c r="AB348" s="1131"/>
      <c r="AC348" s="1131"/>
      <c r="AD348" s="1131"/>
      <c r="AE348" s="1131"/>
      <c r="AF348" s="1131"/>
      <c r="AG348" s="1131"/>
      <c r="AH348" s="1131"/>
      <c r="AI348" s="1131"/>
      <c r="AJ348" s="1131"/>
      <c r="AK348" s="1131"/>
      <c r="AL348" s="1131"/>
      <c r="AM348" s="1131"/>
      <c r="AN348" s="1131"/>
      <c r="AO348" s="1131"/>
      <c r="AP348" s="1131"/>
      <c r="AQ348" s="1131"/>
      <c r="AR348" s="1131"/>
      <c r="AS348" s="1131"/>
      <c r="AT348" s="1131"/>
      <c r="AU348" s="1131"/>
      <c r="AV348" s="1131"/>
      <c r="AW348" s="1131"/>
      <c r="AX348" s="1131"/>
      <c r="AY348" s="1131"/>
      <c r="AZ348" s="1131"/>
      <c r="BA348" s="1131"/>
      <c r="BB348" s="1131"/>
      <c r="BC348" s="1131"/>
      <c r="BD348" s="1131"/>
      <c r="BE348" s="1131"/>
      <c r="BF348" s="1131"/>
      <c r="BG348" s="1131"/>
      <c r="BH348" s="1131"/>
      <c r="BI348" s="1131"/>
      <c r="BJ348" s="1131"/>
      <c r="BK348" s="1131"/>
      <c r="BL348" s="1131"/>
      <c r="BM348" s="1133"/>
      <c r="BN348" s="1134">
        <f>SUM(K348:K351)</f>
        <v>0</v>
      </c>
      <c r="BO348" s="1128" t="str">
        <f>IF(E348=0,"",(AF348+AP348+AZ348+BJ348))</f>
        <v/>
      </c>
      <c r="BP348" s="1135" t="str">
        <f>IF(I348="Si",VLOOKUP($D$8,'Tablas Técnicas'!$E$4:$F$6,2,FALSE),"")</f>
        <v/>
      </c>
      <c r="BQ348" s="1136" t="str">
        <f>IF(L348="Si",VLOOKUP($D$8,'Tablas Técnicas'!$I$4:$J$6,2,FALSE),"")</f>
        <v/>
      </c>
      <c r="BR348" s="1134" t="str">
        <f>IF(O348="Si",VLOOKUP($D$8,'Tablas Técnicas'!$I$7:$J$9,2,FALSE),"")</f>
        <v/>
      </c>
      <c r="BS348" s="1151"/>
      <c r="BT348" s="4448" t="s">
        <v>5233</v>
      </c>
      <c r="BU348" s="4449"/>
      <c r="BV348" s="1128"/>
      <c r="BW348" s="1108"/>
      <c r="BX348" s="1108"/>
      <c r="BY348" s="1474"/>
      <c r="BZ348" s="1492"/>
      <c r="CA348" s="1096"/>
      <c r="DR348" s="1096"/>
      <c r="DT348" s="1514"/>
      <c r="DU348" s="1565" t="str">
        <f>IF(BW366="N/A","",BT365&amp;" "&amp;BW366&amp;IF(BY366="N/A"," "," ("&amp;BY366&amp;") "))</f>
        <v/>
      </c>
      <c r="DV348" s="1570"/>
      <c r="DW348" s="1567"/>
      <c r="DX348" s="1617" t="s">
        <v>2373</v>
      </c>
      <c r="DY348" s="1513"/>
      <c r="DZ348" s="1096"/>
      <c r="EA348" s="1660">
        <f t="shared" si="5"/>
        <v>1</v>
      </c>
    </row>
    <row r="349" spans="1:132" x14ac:dyDescent="0.2">
      <c r="A349" s="1096"/>
      <c r="B349" s="1096"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97"/>
      <c r="D349" s="1643" t="s">
        <v>2310</v>
      </c>
      <c r="E349" s="1140"/>
      <c r="F349" s="1176"/>
      <c r="G349" s="1146" t="str">
        <f>IF(E349=0,"",VLOOKUP(E349,'Tablas Técnicas'!$A$14:$V$771,3,FALSE))</f>
        <v/>
      </c>
      <c r="H349" s="1178" t="str">
        <f>IF($E349=0,"",VLOOKUP($E349,'Tablas Técnicas'!$A$14:$V$771,4,FALSE))</f>
        <v/>
      </c>
      <c r="I349" s="1144" t="s">
        <v>2234</v>
      </c>
      <c r="J349" s="1604" t="str">
        <f>IF(E349=0,"",VLOOKUP(E349,'Tablas Técnicas'!$A$14:$V$771,5,FALSE))</f>
        <v/>
      </c>
      <c r="K349" s="1177" t="str">
        <f>IF(I349="Si",IF(E349=0,"",VLOOKUP(E349,'Tablas Técnicas'!$A$14:$V$771,5,FALSE)),"")</f>
        <v/>
      </c>
      <c r="L349" s="1144" t="s">
        <v>2234</v>
      </c>
      <c r="M349" s="1604" t="str">
        <f>IF(E349=0,"",VLOOKUP(E349,'Tablas Técnicas'!$A$14:$V$771,6,FALSE))</f>
        <v/>
      </c>
      <c r="N349" s="1147" t="str">
        <f>IF(L349="Si",IF(E349=0,"",VLOOKUP(E349,'Tablas Técnicas'!$A$14:$V$771,6,FALSE)),"")</f>
        <v/>
      </c>
      <c r="O349" s="1144" t="s">
        <v>2234</v>
      </c>
      <c r="P349" s="1604" t="str">
        <f>IF(E349=0,"",VLOOKUP(E349,'Tablas Técnicas'!$A$14:$V$771,7,FALSE))</f>
        <v/>
      </c>
      <c r="Q349" s="1147" t="str">
        <f>IF(O349="Si",IF(E349=0,"",VLOOKUP(E349,'Tablas Técnicas'!$A$14:$V$771,7,FALSE)),"")</f>
        <v/>
      </c>
      <c r="R349" s="1179" t="str">
        <f>IF(E349=0,"",VLOOKUP(E349,'Tablas Técnicas'!$A$14:$V$771,8,FALSE))</f>
        <v/>
      </c>
      <c r="S349" s="1178" t="str">
        <f>IF(R349=$D$8,$D$8,IF(R349=2,2,IF(R349=3,3,R349)))</f>
        <v/>
      </c>
      <c r="T349" s="1146" t="str">
        <f>IF(E349=0,"",VLOOKUP(E349,'Tablas Técnicas'!$A$14:$V$771,9,FALSE))</f>
        <v/>
      </c>
      <c r="U349" s="1146" t="str">
        <f>IF(E349=0,"",VLOOKUP(E349,'Tablas Técnicas'!$A$14:$V$771,10,FALSE))</f>
        <v/>
      </c>
      <c r="V349" s="1141" t="str">
        <f>IF(E349=0,"",VLOOKUP(E349,'Tablas Técnicas'!$A$14:$V$771,11,FALSE))</f>
        <v/>
      </c>
      <c r="W349" s="1144"/>
      <c r="X349" s="1145" t="e">
        <f>VLOOKUP(E349,'Tablas Técnicas'!$A$14:$V$771,12,FALSE)</f>
        <v>#N/A</v>
      </c>
      <c r="Y349" s="1145" t="e">
        <f>IF(W349=X349,VLOOKUP(E349,'Tablas Técnicas'!$A$14:$V$771,13,FALSE),0)</f>
        <v>#N/A</v>
      </c>
      <c r="Z349" s="1145" t="e">
        <f>VLOOKUP(E349,'Tablas Técnicas'!$A$14:$V$771,14,FALSE)</f>
        <v>#N/A</v>
      </c>
      <c r="AA349" s="1145" t="e">
        <f>IF(W349=Z349,VLOOKUP(E349,'Tablas Técnicas'!$A$14:$V$616,15,FALSE),0)</f>
        <v>#N/A</v>
      </c>
      <c r="AB349" s="1145" t="e">
        <f>VLOOKUP(E349,'Tablas Técnicas'!$A$14:$V$771,16,FALSE)</f>
        <v>#N/A</v>
      </c>
      <c r="AC349" s="1145" t="e">
        <f>IF(W349=AB349,VLOOKUP(E349,'Tablas Técnicas'!$A$14:$V$616,17,FALSE),0)</f>
        <v>#N/A</v>
      </c>
      <c r="AD349" s="1145" t="e">
        <f>VLOOKUP(E349,'Tablas Técnicas'!$A$14:$V$771,18,FALSE)</f>
        <v>#N/A</v>
      </c>
      <c r="AE349" s="1145" t="e">
        <f>IF(W349=AD349,VLOOKUP(E349,'Tablas Técnicas'!$A$14:$V$771,19,FALSE),0)</f>
        <v>#N/A</v>
      </c>
      <c r="AF349" s="1146" t="str">
        <f>IF(E349=0,"",(Y349+AA349+AC349+AE349))</f>
        <v/>
      </c>
      <c r="AG349" s="1144"/>
      <c r="AH349" s="1179" t="e">
        <f>VLOOKUP(E349,'Tablas Técnicas'!$A$14:$V$771,12,FALSE)</f>
        <v>#N/A</v>
      </c>
      <c r="AI349" s="1179" t="e">
        <f>IF(AG349=AH349,VLOOKUP(E349,'Tablas Técnicas'!$A$14:$V$771,13,FALSE),0)</f>
        <v>#N/A</v>
      </c>
      <c r="AJ349" s="1179" t="e">
        <f>VLOOKUP(E349,'Tablas Técnicas'!$A$14:$V$771,14,FALSE)</f>
        <v>#N/A</v>
      </c>
      <c r="AK349" s="1179" t="e">
        <f>IF(AG349=AJ349,VLOOKUP(E349,'Tablas Técnicas'!$A$14:$V$771,15,FALSE),0)</f>
        <v>#N/A</v>
      </c>
      <c r="AL349" s="1179" t="e">
        <f>VLOOKUP(E349,'Tablas Técnicas'!$A$14:$V$771,16,FALSE)</f>
        <v>#N/A</v>
      </c>
      <c r="AM349" s="1179" t="e">
        <f>IF(AG349=AL349,VLOOKUP(E349,'Tablas Técnicas'!$A$14:$V$771,17,FALSE),0)</f>
        <v>#N/A</v>
      </c>
      <c r="AN349" s="1179" t="e">
        <f>VLOOKUP(E349,'Tablas Técnicas'!$A$14:$V$771,18,FALSE)</f>
        <v>#N/A</v>
      </c>
      <c r="AO349" s="1179" t="e">
        <f>IF(AG349=AN349,VLOOKUP(E349,'Tablas Técnicas'!$A$14:$V$771,19,FALSE),0)</f>
        <v>#N/A</v>
      </c>
      <c r="AP349" s="1180" t="str">
        <f>IF(E349=0,"",(AI349+AK349+AM349+AO349))</f>
        <v/>
      </c>
      <c r="AQ349" s="1144"/>
      <c r="AR349" s="1145" t="e">
        <f>VLOOKUP(E349,'Tablas Técnicas'!$A$14:$V$771,12,FALSE)</f>
        <v>#N/A</v>
      </c>
      <c r="AS349" s="1145" t="e">
        <f>IF(AQ349=AR349,VLOOKUP(E349,'Tablas Técnicas'!$A$14:$V$771,13,FALSE),0)</f>
        <v>#N/A</v>
      </c>
      <c r="AT349" s="1145" t="e">
        <f>VLOOKUP(E349,'Tablas Técnicas'!$A$14:$V$771,14,FALSE)</f>
        <v>#N/A</v>
      </c>
      <c r="AU349" s="1145" t="e">
        <f>IF(AQ349=AT349,VLOOKUP(E349,'Tablas Técnicas'!$A$14:$V$771,15,FALSE),0)</f>
        <v>#N/A</v>
      </c>
      <c r="AV349" s="1145" t="e">
        <f>VLOOKUP(E349,'Tablas Técnicas'!$A$14:$V$771,16,FALSE)</f>
        <v>#N/A</v>
      </c>
      <c r="AW349" s="1145" t="e">
        <f>IF(AQ349=AV349,VLOOKUP(E349,'Tablas Técnicas'!$A$14:$V$771,17,FALSE),0)</f>
        <v>#N/A</v>
      </c>
      <c r="AX349" s="1145" t="e">
        <f>VLOOKUP(E349,'Tablas Técnicas'!$A$14:$V$771,18,FALSE)</f>
        <v>#N/A</v>
      </c>
      <c r="AY349" s="1145" t="e">
        <f>IF(AQ349=AX349,VLOOKUP(E349,'Tablas Técnicas'!$A$14:$V$771,19,FALSE),0)</f>
        <v>#N/A</v>
      </c>
      <c r="AZ349" s="1146" t="str">
        <f>IF(E349=0,"",(AS349+AU349+AW349+AY349))</f>
        <v/>
      </c>
      <c r="BA349" s="1144"/>
      <c r="BB349" s="1145" t="e">
        <f>VLOOKUP(E349,'Tablas Técnicas'!$A$14:$V$771,12,FALSE)</f>
        <v>#N/A</v>
      </c>
      <c r="BC349" s="1145" t="e">
        <f>IF(BA349=BB349,VLOOKUP(E349,'Tablas Técnicas'!$A$14:$V$771,13,FALSE),0)</f>
        <v>#N/A</v>
      </c>
      <c r="BD349" s="1145" t="e">
        <f>VLOOKUP(E349,'Tablas Técnicas'!$A$14:$V$771,14,FALSE)</f>
        <v>#N/A</v>
      </c>
      <c r="BE349" s="1145" t="e">
        <f>IF(BA349=BD349,VLOOKUP(E349,'Tablas Técnicas'!$A$14:$V$771,15,FALSE),0)</f>
        <v>#N/A</v>
      </c>
      <c r="BF349" s="1145" t="e">
        <f>VLOOKUP(E349,'Tablas Técnicas'!$A$14:$V$771,16,FALSE)</f>
        <v>#N/A</v>
      </c>
      <c r="BG349" s="1145" t="e">
        <f>IF(BA349=BF349,VLOOKUP(E349,'Tablas Técnicas'!$A$14:$V$771,17,FALSE),0)</f>
        <v>#N/A</v>
      </c>
      <c r="BH349" s="1145" t="e">
        <f>VLOOKUP(E349,'Tablas Técnicas'!$A$14:$V$771,18,FALSE)</f>
        <v>#N/A</v>
      </c>
      <c r="BI349" s="1145" t="e">
        <f>IF(BA349=BH349,VLOOKUP(E349,'Tablas Técnicas'!$A$14:$V$771,19,FALSE),0)</f>
        <v>#N/A</v>
      </c>
      <c r="BJ349" s="1147" t="str">
        <f>IF(E349=0,"",(BC349+BE349+BG349+BI349))</f>
        <v/>
      </c>
      <c r="BK349" s="1146" t="str">
        <f>IF(E349=0,"",VLOOKUP(E349,'Tablas Técnicas'!$A$14:$V$771,20,FALSE))</f>
        <v/>
      </c>
      <c r="BL349" s="1146" t="str">
        <f>IF(E349=0,"",VLOOKUP(E349,'Tablas Técnicas'!$A$14:$V$771,21,FALSE))</f>
        <v/>
      </c>
      <c r="BM349" s="1181" t="str">
        <f>IF(E349=0,"",VLOOKUP(E349,'Tablas Técnicas'!$A$14:$V$771,22,FALSE))</f>
        <v/>
      </c>
      <c r="BN349" s="1149"/>
      <c r="BO349" s="1150"/>
      <c r="BP349" s="1135" t="str">
        <f>IF(I349="Si",VLOOKUP($D$8,'Tablas Técnicas'!$E$4:$F$6,2,FALSE),"")</f>
        <v/>
      </c>
      <c r="BQ349" s="1136" t="str">
        <f>IF(L349="Si",VLOOKUP($D$8,'Tablas Técnicas'!$I$4:$J$6,2,FALSE),"")</f>
        <v/>
      </c>
      <c r="BR349" s="1134" t="str">
        <f>IF(O349="Si",VLOOKUP($D$8,'Tablas Técnicas'!$I$7:$J$9,2,FALSE),"")</f>
        <v/>
      </c>
      <c r="BS349" s="1151"/>
      <c r="BT349" s="4452" t="s">
        <v>5213</v>
      </c>
      <c r="BU349" s="4453"/>
      <c r="BV349" s="1128"/>
      <c r="BW349" s="1108"/>
      <c r="BX349" s="1108"/>
      <c r="BY349" s="1474"/>
      <c r="BZ349" s="1492"/>
      <c r="CA349" s="1096"/>
      <c r="DR349" s="1096"/>
      <c r="DT349" s="1515"/>
      <c r="DU349" s="1569"/>
      <c r="DV349" s="1566" t="str">
        <f>IF(E349="","",", "&amp;E349)&amp;IF(I349="No",""," (Mant.)")&amp;IF(L349="No",""," (Sme)")&amp;IF(O349="No",""," (SMa)")</f>
        <v/>
      </c>
      <c r="DW349" s="1567"/>
      <c r="DX349" s="1568" t="str">
        <f>IF(ISNUMBER(FIND('Tablas Técnicas'!A$678,DW367)),BL373&amp;BM373,IF(ISNUMBER(FIND('Tablas Técnicas'!A$679,DW367)),BL373&amp;" "&amp;BM373,""))</f>
        <v/>
      </c>
      <c r="DY349" s="1516"/>
      <c r="DZ349" s="1096"/>
      <c r="EA349" s="1660">
        <f t="shared" si="5"/>
        <v>1</v>
      </c>
    </row>
    <row r="350" spans="1:132" x14ac:dyDescent="0.2">
      <c r="A350" s="1096"/>
      <c r="B350" s="1096"/>
      <c r="C350" s="1497"/>
      <c r="D350" s="1642" t="s">
        <v>2310</v>
      </c>
      <c r="E350" s="1152"/>
      <c r="F350" s="1182"/>
      <c r="G350" s="1627" t="str">
        <f>IF(E350=0,"",VLOOKUP(E350,'Tablas Técnicas'!$A$14:$V$771,3,FALSE))</f>
        <v/>
      </c>
      <c r="H350" s="1155" t="str">
        <f>IF($E350=0,"",VLOOKUP($E350,'Tablas Técnicas'!$A$14:$V$771,4,FALSE))</f>
        <v/>
      </c>
      <c r="I350" s="1156" t="s">
        <v>2234</v>
      </c>
      <c r="J350" s="1605" t="str">
        <f>IF(E350=0,"",VLOOKUP(E350,'Tablas Técnicas'!$A$14:$V$771,5,FALSE))</f>
        <v/>
      </c>
      <c r="K350" s="1158" t="str">
        <f>IF(I350="Si",IF(E350=0,"",VLOOKUP(E350,'Tablas Técnicas'!$A$14:$V$771,5,FALSE)),"")</f>
        <v/>
      </c>
      <c r="L350" s="1156" t="s">
        <v>2234</v>
      </c>
      <c r="M350" s="1605" t="str">
        <f>IF(E350=0,"",VLOOKUP(E350,'Tablas Técnicas'!$A$14:$V$771,6,FALSE))</f>
        <v/>
      </c>
      <c r="N350" s="1159" t="str">
        <f>IF(L350="Si",IF(E350=0,"",VLOOKUP(E350,'Tablas Técnicas'!$A$14:$V$771,6,FALSE)),"")</f>
        <v/>
      </c>
      <c r="O350" s="1156" t="s">
        <v>2234</v>
      </c>
      <c r="P350" s="1605" t="str">
        <f>IF(E350=0,"",VLOOKUP(E350,'Tablas Técnicas'!$A$14:$V$771,7,FALSE))</f>
        <v/>
      </c>
      <c r="Q350" s="1159" t="str">
        <f>IF(O350="Si",IF(E350=0,"",VLOOKUP(E350,'Tablas Técnicas'!$A$14:$V$771,7,FALSE)),"")</f>
        <v/>
      </c>
      <c r="R350" s="1157" t="str">
        <f>IF(E350=0,"",VLOOKUP(E350,'Tablas Técnicas'!$A$14:$V$771,8,FALSE))</f>
        <v/>
      </c>
      <c r="S350" s="1155" t="str">
        <f>IF(R350=$D$8,$D$8,IF(R350=2,2,IF(R350=3,3,R350)))</f>
        <v/>
      </c>
      <c r="T350" s="4475" t="s">
        <v>5228</v>
      </c>
      <c r="U350" s="4476"/>
      <c r="V350" s="4476"/>
      <c r="W350" s="4476"/>
      <c r="X350" s="4476"/>
      <c r="Y350" s="4476"/>
      <c r="Z350" s="4476"/>
      <c r="AA350" s="4476"/>
      <c r="AB350" s="4476"/>
      <c r="AC350" s="4476"/>
      <c r="AD350" s="4476"/>
      <c r="AE350" s="4476"/>
      <c r="AF350" s="4476"/>
      <c r="AG350" s="4476"/>
      <c r="AH350" s="4476"/>
      <c r="AI350" s="4476"/>
      <c r="AJ350" s="4476"/>
      <c r="AK350" s="4476"/>
      <c r="AL350" s="4476"/>
      <c r="AM350" s="4476"/>
      <c r="AN350" s="4476"/>
      <c r="AO350" s="4476"/>
      <c r="AP350" s="4476"/>
      <c r="AQ350" s="4476"/>
      <c r="AR350" s="4476"/>
      <c r="AS350" s="4476"/>
      <c r="AT350" s="4476"/>
      <c r="AU350" s="4476"/>
      <c r="AV350" s="4476"/>
      <c r="AW350" s="4476"/>
      <c r="AX350" s="4476"/>
      <c r="AY350" s="4476"/>
      <c r="AZ350" s="4476"/>
      <c r="BA350" s="4476"/>
      <c r="BB350" s="4476"/>
      <c r="BC350" s="4476"/>
      <c r="BD350" s="4476"/>
      <c r="BE350" s="4476"/>
      <c r="BF350" s="4476"/>
      <c r="BG350" s="4476"/>
      <c r="BH350" s="4476"/>
      <c r="BI350" s="4476"/>
      <c r="BJ350" s="4476"/>
      <c r="BK350" s="4477"/>
      <c r="BL350" s="1627"/>
      <c r="BM350" s="1628"/>
      <c r="BN350" s="1149"/>
      <c r="BO350" s="1150"/>
      <c r="BP350" s="1135" t="str">
        <f>IF(I350="Si",VLOOKUP($D$8,'Tablas Técnicas'!$E$4:$F$6,2,FALSE),"")</f>
        <v/>
      </c>
      <c r="BQ350" s="1136" t="str">
        <f>IF(L350="Si",VLOOKUP($D$8,'Tablas Técnicas'!$I$4:$J$6,2,FALSE),"")</f>
        <v/>
      </c>
      <c r="BR350" s="1134" t="str">
        <f>IF(O350="Si",VLOOKUP($D$8,'Tablas Técnicas'!$I$7:$J$9,2,FALSE),"")</f>
        <v/>
      </c>
      <c r="BS350" s="1151"/>
      <c r="BT350" s="4448" t="s">
        <v>5234</v>
      </c>
      <c r="BU350" s="4449"/>
      <c r="BV350" s="1128"/>
      <c r="BW350" s="1108"/>
      <c r="BX350" s="1108"/>
      <c r="BY350" s="1474"/>
      <c r="BZ350" s="1492"/>
      <c r="CA350" s="1096"/>
      <c r="DR350" s="1096"/>
      <c r="DT350" s="1514"/>
      <c r="DU350" s="1565"/>
      <c r="DV350" s="1566" t="str">
        <f>IF(E350="",""," "&amp;E350)&amp;IF(I350="No",""," (Mant.)")&amp;IF(L350="No",""," (Sme)")&amp;IF(O350="No",""," (SMa)")</f>
        <v/>
      </c>
      <c r="DW350" s="1567"/>
      <c r="DX350" s="1568"/>
      <c r="DY350" s="1513"/>
      <c r="DZ350" s="1096"/>
      <c r="EA350" s="1660">
        <f t="shared" si="5"/>
        <v>1</v>
      </c>
    </row>
    <row r="351" spans="1:132" x14ac:dyDescent="0.2">
      <c r="A351" s="1096"/>
      <c r="B351" s="1096"/>
      <c r="C351" s="1497"/>
      <c r="D351" s="1643" t="s">
        <v>2310</v>
      </c>
      <c r="E351" s="1160"/>
      <c r="F351" s="1176"/>
      <c r="G351" s="1146" t="str">
        <f>IF(E351=0,"",VLOOKUP(E351,'Tablas Técnicas'!$A$14:$V$771,3,FALSE))</f>
        <v/>
      </c>
      <c r="H351" s="2619" t="str">
        <f>IF($E351=0,"",VLOOKUP($E351,'Tablas Técnicas'!$A$14:$V$771,4,FALSE))</f>
        <v/>
      </c>
      <c r="I351" s="1144" t="s">
        <v>2234</v>
      </c>
      <c r="J351" s="1601" t="str">
        <f>IF(E351=0,"",VLOOKUP(E351,'Tablas Técnicas'!$A$14:$V$771,5,FALSE))</f>
        <v/>
      </c>
      <c r="K351" s="1163" t="str">
        <f>IF(I351="Si",IF(E351=0,"",VLOOKUP(E351,'Tablas Técnicas'!$A$14:$V$771,5,FALSE)),"")</f>
        <v/>
      </c>
      <c r="L351" s="1144" t="s">
        <v>2234</v>
      </c>
      <c r="M351" s="1601" t="str">
        <f>IF(E351=0,"",VLOOKUP(E351,'Tablas Técnicas'!$A$14:$V$771,6,FALSE))</f>
        <v/>
      </c>
      <c r="N351" s="1147" t="str">
        <f>IF(L351="Si",IF(E351=0,"",VLOOKUP(E351,'Tablas Técnicas'!$A$14:$V$771,6,FALSE)),"")</f>
        <v/>
      </c>
      <c r="O351" s="1144" t="s">
        <v>2234</v>
      </c>
      <c r="P351" s="1601" t="str">
        <f>IF(E351=0,"",VLOOKUP(E351,'Tablas Técnicas'!$A$14:$V$771,7,FALSE))</f>
        <v/>
      </c>
      <c r="Q351" s="1147" t="str">
        <f>IF(O351="Si",IF(E351=0,"",VLOOKUP(E351,'Tablas Técnicas'!$A$14:$V$771,7,FALSE)),"")</f>
        <v/>
      </c>
      <c r="R351" s="1162" t="str">
        <f>IF(E351=0,"",VLOOKUP(E351,'Tablas Técnicas'!$A$14:$V$771,8,FALSE))</f>
        <v/>
      </c>
      <c r="S351" s="2619" t="str">
        <f>IF(R351=$D$8,$D$8,IF(R351=2,2,IF(R351=3,3,R351)))</f>
        <v/>
      </c>
      <c r="T351" s="4487"/>
      <c r="U351" s="4488"/>
      <c r="V351" s="2617" t="str">
        <f>IF(OR(V349=0,V349=""),"N/A",V349)</f>
        <v>N/A</v>
      </c>
      <c r="W351" s="4487" t="str">
        <f xml:space="preserve"> IF(OR(AF349=0,AF349=""),"N/A",W349)</f>
        <v>N/A</v>
      </c>
      <c r="X351" s="4489"/>
      <c r="Y351" s="4489"/>
      <c r="Z351" s="4489"/>
      <c r="AA351" s="4489"/>
      <c r="AB351" s="4489"/>
      <c r="AC351" s="4489"/>
      <c r="AD351" s="4489"/>
      <c r="AE351" s="4489"/>
      <c r="AF351" s="4488"/>
      <c r="AG351" s="4487" t="str">
        <f xml:space="preserve"> IF(OR(AP349="",AP349=0),"N/A",AG349)</f>
        <v>N/A</v>
      </c>
      <c r="AH351" s="4489"/>
      <c r="AI351" s="4489"/>
      <c r="AJ351" s="4489"/>
      <c r="AK351" s="4489"/>
      <c r="AL351" s="4489"/>
      <c r="AM351" s="4489"/>
      <c r="AN351" s="4489"/>
      <c r="AO351" s="4489"/>
      <c r="AP351" s="4488"/>
      <c r="AQ351" s="4487" t="str">
        <f xml:space="preserve"> IF(OR(AZ349="",AZ349=0),"N/A",AQ349)</f>
        <v>N/A</v>
      </c>
      <c r="AR351" s="4489"/>
      <c r="AS351" s="4489"/>
      <c r="AT351" s="4489"/>
      <c r="AU351" s="4489"/>
      <c r="AV351" s="4489"/>
      <c r="AW351" s="4489"/>
      <c r="AX351" s="4489"/>
      <c r="AY351" s="4489"/>
      <c r="AZ351" s="4488"/>
      <c r="BA351" s="4487" t="str">
        <f xml:space="preserve"> IF(OR(BJ349="",BJ349=0),"N/A",BA349)</f>
        <v>N/A</v>
      </c>
      <c r="BB351" s="4489"/>
      <c r="BC351" s="4489"/>
      <c r="BD351" s="4489"/>
      <c r="BE351" s="4489"/>
      <c r="BF351" s="4489"/>
      <c r="BG351" s="4489"/>
      <c r="BH351" s="4489"/>
      <c r="BI351" s="4489"/>
      <c r="BJ351" s="4488"/>
      <c r="BK351" s="1164" t="s">
        <v>5229</v>
      </c>
      <c r="BL351" s="1146"/>
      <c r="BM351" s="1181"/>
      <c r="BN351" s="1149"/>
      <c r="BO351" s="1166"/>
      <c r="BP351" s="1135" t="str">
        <f>IF(I351="Si",VLOOKUP($D$8,'Tablas Técnicas'!$E$4:$F$6,2,FALSE),"")</f>
        <v/>
      </c>
      <c r="BQ351" s="1136" t="str">
        <f>IF(L351="Si",VLOOKUP($D$8,'Tablas Técnicas'!$I$4:$J$6,2,FALSE),"")</f>
        <v/>
      </c>
      <c r="BR351" s="1134" t="str">
        <f>IF(O351="Si",VLOOKUP($D$8,'Tablas Técnicas'!$I$7:$J$9,2,FALSE),"")</f>
        <v/>
      </c>
      <c r="BS351" s="1151"/>
      <c r="BT351" s="4452" t="s">
        <v>5207</v>
      </c>
      <c r="BU351" s="4453"/>
      <c r="BV351" s="1128"/>
      <c r="BW351" s="1108"/>
      <c r="BX351" s="1108"/>
      <c r="BY351" s="1474"/>
      <c r="BZ351" s="1492"/>
      <c r="CA351" s="1096"/>
      <c r="DR351" s="1096"/>
      <c r="DT351" s="1514"/>
      <c r="DU351" s="1569"/>
      <c r="DV351" s="1566" t="str">
        <f>IF(E351="","",E351)&amp;IF(I351="No",""," (Mant.)")&amp;IF(L351="No",""," (Sme)")&amp;IF(O351="No",""," (SMa)")</f>
        <v/>
      </c>
      <c r="DW351" s="1567"/>
      <c r="DX351" s="1568"/>
      <c r="DY351" s="1513"/>
      <c r="DZ351" s="1096"/>
      <c r="EA351" s="1660">
        <f t="shared" si="5"/>
        <v>1</v>
      </c>
    </row>
    <row r="352" spans="1:132" x14ac:dyDescent="0.2">
      <c r="A352" s="1096"/>
      <c r="B352" s="1096"/>
      <c r="C352" s="1497"/>
      <c r="D352" s="1642" t="s">
        <v>2310</v>
      </c>
      <c r="E352" s="1152"/>
      <c r="F352" s="1182"/>
      <c r="G352" s="1627" t="str">
        <f>IF(E352=0,"",VLOOKUP(E352,'Tablas Técnicas'!$A$14:$V$771,3,FALSE))</f>
        <v/>
      </c>
      <c r="H352" s="1155" t="str">
        <f>IF($E352=0,"",VLOOKUP($E352,'Tablas Técnicas'!$A$14:$V$771,4,FALSE))</f>
        <v/>
      </c>
      <c r="I352" s="1156" t="s">
        <v>2234</v>
      </c>
      <c r="J352" s="1605" t="str">
        <f>IF(E352=0,"",VLOOKUP(E352,'Tablas Técnicas'!$A$14:$V$771,5,FALSE))</f>
        <v/>
      </c>
      <c r="K352" s="1158" t="str">
        <f>IF(I352="Si",IF(E352=0,"",VLOOKUP(E352,'Tablas Técnicas'!$A$14:$V$771,5,FALSE)),"")</f>
        <v/>
      </c>
      <c r="L352" s="1156" t="s">
        <v>2234</v>
      </c>
      <c r="M352" s="1605" t="str">
        <f>IF(E352=0,"",VLOOKUP(E352,'Tablas Técnicas'!$A$14:$V$771,6,FALSE))</f>
        <v/>
      </c>
      <c r="N352" s="1159" t="str">
        <f>IF(L352="Si",IF(E352=0,"",VLOOKUP(E352,'Tablas Técnicas'!$A$14:$V$771,6,FALSE)),"")</f>
        <v/>
      </c>
      <c r="O352" s="1156" t="s">
        <v>2234</v>
      </c>
      <c r="P352" s="1605" t="str">
        <f>IF(E352=0,"",VLOOKUP(E352,'Tablas Técnicas'!$A$14:$V$771,7,FALSE))</f>
        <v/>
      </c>
      <c r="Q352" s="1159" t="str">
        <f>IF(O352="Si",IF(E352=0,"",VLOOKUP(E352,'Tablas Técnicas'!$A$14:$V$771,7,FALSE)),"")</f>
        <v/>
      </c>
      <c r="R352" s="1157" t="str">
        <f>IF(E352=0,"",VLOOKUP(E352,'Tablas Técnicas'!$A$14:$V$771,8,FALSE))</f>
        <v/>
      </c>
      <c r="S352" s="1155" t="str">
        <f>IF(R352=$D$8,$D$8,IF(R352=2,2,IF(R352=3,3,R352)))</f>
        <v/>
      </c>
      <c r="T352" s="4490" t="s">
        <v>5230</v>
      </c>
      <c r="U352" s="4491"/>
      <c r="V352" s="2618"/>
      <c r="W352" s="4492"/>
      <c r="X352" s="4493"/>
      <c r="Y352" s="4493"/>
      <c r="Z352" s="4493"/>
      <c r="AA352" s="4493"/>
      <c r="AB352" s="4493"/>
      <c r="AC352" s="4493"/>
      <c r="AD352" s="4493"/>
      <c r="AE352" s="4493"/>
      <c r="AF352" s="4494"/>
      <c r="AG352" s="4492"/>
      <c r="AH352" s="4493"/>
      <c r="AI352" s="4493"/>
      <c r="AJ352" s="4493"/>
      <c r="AK352" s="4493"/>
      <c r="AL352" s="4493"/>
      <c r="AM352" s="4493"/>
      <c r="AN352" s="4493"/>
      <c r="AO352" s="4493"/>
      <c r="AP352" s="4494"/>
      <c r="AQ352" s="4492"/>
      <c r="AR352" s="4493"/>
      <c r="AS352" s="4493"/>
      <c r="AT352" s="4493"/>
      <c r="AU352" s="4493"/>
      <c r="AV352" s="4493"/>
      <c r="AW352" s="4493"/>
      <c r="AX352" s="4493"/>
      <c r="AY352" s="4493"/>
      <c r="AZ352" s="4494"/>
      <c r="BA352" s="4492"/>
      <c r="BB352" s="4493"/>
      <c r="BC352" s="4493"/>
      <c r="BD352" s="4493"/>
      <c r="BE352" s="4493"/>
      <c r="BF352" s="4493"/>
      <c r="BG352" s="4493"/>
      <c r="BH352" s="4493"/>
      <c r="BI352" s="4493"/>
      <c r="BJ352" s="4494"/>
      <c r="BK352" s="1155">
        <f>(SUM(G349:G353)+IF(AF349="",0,AF349)+IF(AP349="",0,AP349)+IF(AZ349="",0,AZ349)+IF(BJ349="",0,BJ349)+SUM(K349:K353)+SUM(N349:N353)+SUM(Q349:Q353))- SUM(V352:BA352)</f>
        <v>0</v>
      </c>
      <c r="BL352" s="1627"/>
      <c r="BM352" s="1628"/>
      <c r="BN352" s="1149"/>
      <c r="BO352" s="1150"/>
      <c r="BP352" s="1135" t="str">
        <f>IF(I352="Si",VLOOKUP($D$8,'Tablas Técnicas'!$E$4:$F$6,2,FALSE),"")</f>
        <v/>
      </c>
      <c r="BQ352" s="1136" t="str">
        <f>IF(L352="Si",VLOOKUP($D$8,'Tablas Técnicas'!$I$4:$J$6,2,FALSE),"")</f>
        <v/>
      </c>
      <c r="BR352" s="1134" t="str">
        <f>IF(O352="Si",VLOOKUP($D$8,'Tablas Técnicas'!$I$7:$J$9,2,FALSE),"")</f>
        <v/>
      </c>
      <c r="BS352" s="1151"/>
      <c r="BT352" s="4444" t="s">
        <v>5235</v>
      </c>
      <c r="BU352" s="4445"/>
      <c r="BV352" s="1128"/>
      <c r="BW352" s="1108"/>
      <c r="BX352" s="1108"/>
      <c r="BY352" s="1474"/>
      <c r="BZ352" s="1492"/>
      <c r="CA352" s="1096"/>
      <c r="DR352" s="1096"/>
      <c r="DT352" s="1514"/>
      <c r="DU352" s="1565"/>
      <c r="DV352" s="1566" t="str">
        <f>IF(E352="","",E352)&amp;IF(I352="No",""," (Mant.)")&amp;IF(L352="No",""," (Sme)")&amp;IF(O352="No",""," (SMa)")</f>
        <v/>
      </c>
      <c r="DW352" s="1567"/>
      <c r="DX352" s="1568"/>
      <c r="DY352" s="1513"/>
      <c r="DZ352" s="1096"/>
      <c r="EA352" s="1660">
        <f t="shared" si="5"/>
        <v>1</v>
      </c>
    </row>
    <row r="353" spans="1:131" x14ac:dyDescent="0.2">
      <c r="A353" s="1096"/>
      <c r="B353" s="1096"/>
      <c r="C353" s="1497"/>
      <c r="D353" s="1643" t="s">
        <v>2310</v>
      </c>
      <c r="E353" s="1160"/>
      <c r="F353" s="1176"/>
      <c r="G353" s="1146" t="str">
        <f>IF(E353=0,"",VLOOKUP(E353,'Tablas Técnicas'!$A$14:$V$771,3,FALSE))</f>
        <v/>
      </c>
      <c r="H353" s="1161" t="str">
        <f>IF($E353=0,"",VLOOKUP($E353,'Tablas Técnicas'!$A$14:$V$771,4,FALSE))</f>
        <v/>
      </c>
      <c r="I353" s="1144" t="s">
        <v>2234</v>
      </c>
      <c r="J353" s="1601" t="str">
        <f>IF(E353=0,"",VLOOKUP(E353,'Tablas Técnicas'!$A$14:$V$771,5,FALSE))</f>
        <v/>
      </c>
      <c r="K353" s="1163" t="str">
        <f>IF(I353="Si",IF(E353=0,"",VLOOKUP(E353,'Tablas Técnicas'!$A$14:$V$771,5,FALSE)),"")</f>
        <v/>
      </c>
      <c r="L353" s="1144" t="s">
        <v>2234</v>
      </c>
      <c r="M353" s="1601" t="str">
        <f>IF(E353=0,"",VLOOKUP(E353,'Tablas Técnicas'!$A$14:$V$771,6,FALSE))</f>
        <v/>
      </c>
      <c r="N353" s="1147" t="str">
        <f>IF(L353="Si",IF(E353=0,"",VLOOKUP(E353,'Tablas Técnicas'!$A$14:$V$771,6,FALSE)),"")</f>
        <v/>
      </c>
      <c r="O353" s="1144" t="s">
        <v>2234</v>
      </c>
      <c r="P353" s="1601" t="str">
        <f>IF(E353=0,"",VLOOKUP(E353,'Tablas Técnicas'!$A$14:$V$771,7,FALSE))</f>
        <v/>
      </c>
      <c r="Q353" s="1147" t="str">
        <f>IF(O353="Si",IF(E353=0,"",VLOOKUP(E353,'Tablas Técnicas'!$A$14:$V$771,7,FALSE)),"")</f>
        <v/>
      </c>
      <c r="R353" s="1162" t="str">
        <f>IF(E353=0,"",VLOOKUP(E353,'Tablas Técnicas'!$A$14:$V$771,8,FALSE))</f>
        <v/>
      </c>
      <c r="S353" s="1161" t="str">
        <f>IF(R353=$D$8,$D$8,IF(R353=2,2,IF(R353=3,3,R353)))</f>
        <v/>
      </c>
      <c r="T353" s="4482" t="s">
        <v>5232</v>
      </c>
      <c r="U353" s="4483"/>
      <c r="V353" s="2616"/>
      <c r="W353" s="4484"/>
      <c r="X353" s="4485"/>
      <c r="Y353" s="4485"/>
      <c r="Z353" s="4485"/>
      <c r="AA353" s="4485"/>
      <c r="AB353" s="4485"/>
      <c r="AC353" s="4485"/>
      <c r="AD353" s="4485"/>
      <c r="AE353" s="4485"/>
      <c r="AF353" s="4486"/>
      <c r="AG353" s="4484"/>
      <c r="AH353" s="4485"/>
      <c r="AI353" s="4485"/>
      <c r="AJ353" s="4485"/>
      <c r="AK353" s="4485"/>
      <c r="AL353" s="4485"/>
      <c r="AM353" s="4485"/>
      <c r="AN353" s="4485"/>
      <c r="AO353" s="4485"/>
      <c r="AP353" s="4486"/>
      <c r="AQ353" s="4484"/>
      <c r="AR353" s="4485"/>
      <c r="AS353" s="4485"/>
      <c r="AT353" s="4485"/>
      <c r="AU353" s="4485"/>
      <c r="AV353" s="4485"/>
      <c r="AW353" s="4485"/>
      <c r="AX353" s="4485"/>
      <c r="AY353" s="4485"/>
      <c r="AZ353" s="4486"/>
      <c r="BA353" s="4484"/>
      <c r="BB353" s="4485"/>
      <c r="BC353" s="4485"/>
      <c r="BD353" s="4485"/>
      <c r="BE353" s="4485"/>
      <c r="BF353" s="4485"/>
      <c r="BG353" s="4485"/>
      <c r="BH353" s="4485"/>
      <c r="BI353" s="4485"/>
      <c r="BJ353" s="4486"/>
      <c r="BK353" s="1171">
        <f>SUM(K349:K353)-SUM(V353:BA353)</f>
        <v>0</v>
      </c>
      <c r="BL353" s="1629"/>
      <c r="BM353" s="1630"/>
      <c r="BN353" s="1149"/>
      <c r="BO353" s="1166"/>
      <c r="BP353" s="1135" t="str">
        <f>IF(I353="Si",VLOOKUP($D$8,'Tablas Técnicas'!$E$4:$F$6,2,FALSE),"")</f>
        <v/>
      </c>
      <c r="BQ353" s="1136" t="str">
        <f>IF(L353="Si",VLOOKUP($D$8,'Tablas Técnicas'!$I$4:$J$6,2,FALSE),"")</f>
        <v/>
      </c>
      <c r="BR353" s="1134" t="str">
        <f>IF(O353="Si",VLOOKUP($D$8,'Tablas Técnicas'!$I$7:$J$9,2,FALSE),"")</f>
        <v/>
      </c>
      <c r="BS353" s="1151"/>
      <c r="BT353" s="1183">
        <f>IF(BT347="No",0,IF(D341=0,0,VLOOKUP(D341,'Tablas Técnicas'!$L$4:$N$7,2,FALSE)))+IF(BT349="Bajar coste de CM",0,IF(BT349="-5 CM",2,IF(BT349="-10 CM",4,IF(BT349="-15 CM",6,IF(BT349="-20 CM",8,0)))))+IF(BT351="Bajar coste de Ki",0,IF(BT351="-1 Ki",-1,IF(BT351="-2 Ki",-2,IF(BT351="-3 Ki",-3,IF(BT351="-4 Ki",-4,IF(BT351="-5 Ki",-5,0))))))-BU356-BU358-BU360-BU362-BU364-BU366</f>
        <v>0</v>
      </c>
      <c r="BU353" s="2612">
        <f>IF(BT347="No",0,IF(D341=0,0,VLOOKUP(D341,'Tablas Técnicas'!$L$4:$N$7,2,FALSE)))+IF(BT349="Bajar coste de CM",0,IF(BT349="-5 CM",2,IF(BT349="-10 CM",4,IF(BT349="-15 CM",6,IF(BT349="-20 CM",8,0)))))+IF(BT351="Bajar coste de Ki",0,IF(BT351="-1 Ki",-1,IF(BT351="-2 Ki",-2,IF(BT351="-3 Ki",-3,IF(BT351="-4 Ki",-4,IF(BT351="-5 Ki",-5,0))))))</f>
        <v>0</v>
      </c>
      <c r="BV353" s="1128"/>
      <c r="BW353" s="1108"/>
      <c r="BX353" s="1108"/>
      <c r="BY353" s="1474"/>
      <c r="BZ353" s="1492"/>
      <c r="CA353" s="1096"/>
      <c r="DR353" s="1096"/>
      <c r="DT353" s="1514"/>
      <c r="DU353" s="1569"/>
      <c r="DV353" s="1566" t="str">
        <f>IF(E353="","",E353)&amp;IF(I353="No",""," (Mant.)")&amp;IF(L353="No",""," (Sme)")&amp;IF(O353="No",""," (SMa)")</f>
        <v/>
      </c>
      <c r="DW353" s="1567"/>
      <c r="DX353" s="1568"/>
      <c r="DY353" s="1513"/>
      <c r="DZ353" s="1096"/>
      <c r="EA353" s="1660">
        <f t="shared" si="5"/>
        <v>1</v>
      </c>
    </row>
    <row r="354" spans="1:131" x14ac:dyDescent="0.2">
      <c r="A354" s="1096"/>
      <c r="B354" s="159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97"/>
      <c r="D354" s="1644">
        <v>3</v>
      </c>
      <c r="E354" s="1423"/>
      <c r="F354" s="1173"/>
      <c r="G354" s="1174"/>
      <c r="H354" s="2559">
        <f>IF(AND(OR(ISNUMBER(SEARCH("Afinidad Elemental ("&amp;BK349&amp;")",Principal!$AF$30)),ISNUMBER(SEARCH("Afinidad Elemental ("&amp;BL349&amp;")",Principal!$AF$30)),ISNUMBER(SEARCH("Afinidad Elemental ("&amp;BM349&amp;")",Principal!$AF$30))),SUM(H349:H353)&gt;=5),-5,0)</f>
        <v>0</v>
      </c>
      <c r="I354" s="1603"/>
      <c r="J354" s="1606"/>
      <c r="K354" s="1174"/>
      <c r="L354" s="1603"/>
      <c r="M354" s="1606"/>
      <c r="N354" s="1174"/>
      <c r="O354" s="1603"/>
      <c r="P354" s="1606"/>
      <c r="Q354" s="1174"/>
      <c r="R354" s="1175"/>
      <c r="S354" s="1174"/>
      <c r="T354" s="1174"/>
      <c r="U354" s="1174"/>
      <c r="V354" s="1174"/>
      <c r="W354" s="1174"/>
      <c r="X354" s="1174"/>
      <c r="Y354" s="1174"/>
      <c r="Z354" s="1174"/>
      <c r="AA354" s="1174"/>
      <c r="AB354" s="1174"/>
      <c r="AC354" s="1174"/>
      <c r="AD354" s="1174"/>
      <c r="AE354" s="1174"/>
      <c r="AF354" s="1174"/>
      <c r="AG354" s="1174"/>
      <c r="AH354" s="1174"/>
      <c r="AI354" s="1174"/>
      <c r="AJ354" s="1174"/>
      <c r="AK354" s="1174"/>
      <c r="AL354" s="1174"/>
      <c r="AM354" s="1174"/>
      <c r="AN354" s="1174"/>
      <c r="AO354" s="1174"/>
      <c r="AP354" s="1174"/>
      <c r="AQ354" s="1174"/>
      <c r="AR354" s="1174"/>
      <c r="AS354" s="1174"/>
      <c r="AT354" s="1174"/>
      <c r="AU354" s="1174"/>
      <c r="AV354" s="1174"/>
      <c r="AW354" s="1174"/>
      <c r="AX354" s="1174"/>
      <c r="AY354" s="1174"/>
      <c r="AZ354" s="1174"/>
      <c r="BA354" s="1174"/>
      <c r="BB354" s="1174"/>
      <c r="BC354" s="1174"/>
      <c r="BD354" s="1174"/>
      <c r="BE354" s="1174"/>
      <c r="BF354" s="1174"/>
      <c r="BG354" s="1174"/>
      <c r="BH354" s="1174"/>
      <c r="BI354" s="1174"/>
      <c r="BJ354" s="1174"/>
      <c r="BK354" s="1174"/>
      <c r="BL354" s="1174"/>
      <c r="BM354" s="1184"/>
      <c r="BN354" s="1185">
        <f>SUM(K354:K357)</f>
        <v>0</v>
      </c>
      <c r="BO354" s="1128" t="str">
        <f>IF(E354=0,"",(AF354+AP354+AZ354+BJ354))</f>
        <v/>
      </c>
      <c r="BP354" s="1186" t="str">
        <f>IF(I354="Si",VLOOKUP($D$8,'Tablas Técnicas'!$E$4:$F$6,2,FALSE),"")</f>
        <v/>
      </c>
      <c r="BQ354" s="1187" t="str">
        <f>IF(L354="Si",VLOOKUP($D$8,'Tablas Técnicas'!$I$4:$J$6,2,FALSE),"")</f>
        <v/>
      </c>
      <c r="BR354" s="1185" t="str">
        <f>IF(O354="Si",VLOOKUP($D$8,'Tablas Técnicas'!$I$7:$J$9,2,FALSE),"")</f>
        <v/>
      </c>
      <c r="BS354" s="1151"/>
      <c r="BU354" s="2608"/>
      <c r="BV354" s="1128"/>
      <c r="BW354" s="1108"/>
      <c r="BX354" s="1108"/>
      <c r="BY354" s="1474"/>
      <c r="BZ354" s="1492"/>
      <c r="CA354" s="1096"/>
      <c r="DR354" s="1096"/>
      <c r="DT354" s="1514"/>
      <c r="DU354" s="1569"/>
      <c r="DV354" s="1570"/>
      <c r="DW354" s="1567"/>
      <c r="DX354" s="1568"/>
      <c r="DY354" s="1513"/>
      <c r="DZ354" s="1096"/>
      <c r="EA354" s="1660">
        <f t="shared" si="5"/>
        <v>1</v>
      </c>
    </row>
    <row r="355" spans="1:131" x14ac:dyDescent="0.2">
      <c r="A355" s="1096"/>
      <c r="B355" s="1096"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97"/>
      <c r="D355" s="1643" t="s">
        <v>2310</v>
      </c>
      <c r="E355" s="1140"/>
      <c r="F355" s="1176"/>
      <c r="G355" s="1146" t="str">
        <f>IF(E355=0,"",VLOOKUP(E355,'Tablas Técnicas'!$A$14:$V$771,3,FALSE))</f>
        <v/>
      </c>
      <c r="H355" s="1188" t="str">
        <f>IF($E355=0,"",VLOOKUP($E355,'Tablas Técnicas'!$A$14:$V$771,4,FALSE))</f>
        <v/>
      </c>
      <c r="I355" s="1144" t="s">
        <v>2234</v>
      </c>
      <c r="J355" s="1607" t="str">
        <f>IF(E355=0,"",VLOOKUP(E355,'Tablas Técnicas'!$A$14:$V$771,5,FALSE))</f>
        <v/>
      </c>
      <c r="K355" s="1190" t="str">
        <f>IF(I355="Si",IF(E355=0,"",VLOOKUP(E355,'Tablas Técnicas'!$A$14:$V$771,5,FALSE)),"")</f>
        <v/>
      </c>
      <c r="L355" s="1144" t="s">
        <v>2234</v>
      </c>
      <c r="M355" s="1607" t="str">
        <f>IF(E355=0,"",VLOOKUP(E355,'Tablas Técnicas'!$A$14:$V$771,6,FALSE))</f>
        <v/>
      </c>
      <c r="N355" s="1147" t="str">
        <f>IF(L355="Si",IF(E355=0,"",VLOOKUP(E355,'Tablas Técnicas'!$A$14:$V$771,6,FALSE)),"")</f>
        <v/>
      </c>
      <c r="O355" s="1144" t="s">
        <v>2234</v>
      </c>
      <c r="P355" s="1607" t="str">
        <f>IF(E355=0,"",VLOOKUP(E355,'Tablas Técnicas'!$A$14:$V$771,7,FALSE))</f>
        <v/>
      </c>
      <c r="Q355" s="1147" t="str">
        <f>IF(O355="Si",IF(E355=0,"",VLOOKUP(E355,'Tablas Técnicas'!$A$14:$V$771,7,FALSE)),"")</f>
        <v/>
      </c>
      <c r="R355" s="1189" t="str">
        <f>IF(E355=0,"",VLOOKUP(E355,'Tablas Técnicas'!$A$14:$V$771,8,FALSE))</f>
        <v/>
      </c>
      <c r="S355" s="1161" t="str">
        <f>IF(R355=$D$8,$D$8,IF(R355=2,2,IF(R355=3,3,R355)))</f>
        <v/>
      </c>
      <c r="T355" s="1190" t="str">
        <f>IF(E355=0,"",VLOOKUP(E355,'Tablas Técnicas'!$A$14:$V$771,9,FALSE))</f>
        <v/>
      </c>
      <c r="U355" s="1190" t="str">
        <f>IF(E355=0,"",VLOOKUP(E355,'Tablas Técnicas'!$A$14:$V$771,10,FALSE))</f>
        <v/>
      </c>
      <c r="V355" s="1191" t="str">
        <f>IF(E355=0,"",VLOOKUP(E355,'Tablas Técnicas'!$A$14:$V$771,11,FALSE))</f>
        <v/>
      </c>
      <c r="W355" s="1144"/>
      <c r="X355" s="1145" t="e">
        <f>VLOOKUP(E355,'Tablas Técnicas'!$A$14:$V$771,12,FALSE)</f>
        <v>#N/A</v>
      </c>
      <c r="Y355" s="1145" t="e">
        <f>IF(W355=X355,VLOOKUP(E355,'Tablas Técnicas'!$A$14:$V$771,13,FALSE),0)</f>
        <v>#N/A</v>
      </c>
      <c r="Z355" s="1145" t="e">
        <f>VLOOKUP(E355,'Tablas Técnicas'!$A$14:$V$771,14,FALSE)</f>
        <v>#N/A</v>
      </c>
      <c r="AA355" s="1145" t="e">
        <f>IF(W355=Z355,VLOOKUP(E355,'Tablas Técnicas'!$A$14:$V$616,15,FALSE),0)</f>
        <v>#N/A</v>
      </c>
      <c r="AB355" s="1145" t="e">
        <f>VLOOKUP(E355,'Tablas Técnicas'!$A$14:$V$771,16,FALSE)</f>
        <v>#N/A</v>
      </c>
      <c r="AC355" s="1145" t="e">
        <f>IF(W355=AB355,VLOOKUP(E355,'Tablas Técnicas'!$A$14:$V$616,17,FALSE),0)</f>
        <v>#N/A</v>
      </c>
      <c r="AD355" s="1145" t="e">
        <f>VLOOKUP(E355,'Tablas Técnicas'!$A$14:$V$771,18,FALSE)</f>
        <v>#N/A</v>
      </c>
      <c r="AE355" s="1145" t="e">
        <f>IF(W355=AD355,VLOOKUP(E355,'Tablas Técnicas'!$A$14:$V$771,19,FALSE),0)</f>
        <v>#N/A</v>
      </c>
      <c r="AF355" s="1163" t="str">
        <f>IF(E355=0,"",(Y355+AA355+AC355+AE355))</f>
        <v/>
      </c>
      <c r="AG355" s="1144"/>
      <c r="AH355" s="1162" t="e">
        <f>VLOOKUP(E355,'Tablas Técnicas'!$A$14:$V$771,12,FALSE)</f>
        <v>#N/A</v>
      </c>
      <c r="AI355" s="1162" t="e">
        <f>IF(AG355=AH355,VLOOKUP(E355,'Tablas Técnicas'!$A$14:$V$771,13,FALSE),0)</f>
        <v>#N/A</v>
      </c>
      <c r="AJ355" s="1162" t="e">
        <f>VLOOKUP(E355,'Tablas Técnicas'!$A$14:$V$771,14,FALSE)</f>
        <v>#N/A</v>
      </c>
      <c r="AK355" s="1162" t="e">
        <f>IF(AG355=AJ355,VLOOKUP(E355,'Tablas Técnicas'!$A$14:$V$771,15,FALSE),0)</f>
        <v>#N/A</v>
      </c>
      <c r="AL355" s="1162" t="e">
        <f>VLOOKUP(E355,'Tablas Técnicas'!$A$14:$V$771,16,FALSE)</f>
        <v>#N/A</v>
      </c>
      <c r="AM355" s="1162" t="e">
        <f>IF(AG355=AL355,VLOOKUP(E355,'Tablas Técnicas'!$A$14:$V$771,17,FALSE),0)</f>
        <v>#N/A</v>
      </c>
      <c r="AN355" s="1162" t="e">
        <f>VLOOKUP(E355,'Tablas Técnicas'!$A$14:$V$771,18,FALSE)</f>
        <v>#N/A</v>
      </c>
      <c r="AO355" s="1162" t="e">
        <f>IF(AG355=AN355,VLOOKUP(E355,'Tablas Técnicas'!$A$14:$V$771,19,FALSE),0)</f>
        <v>#N/A</v>
      </c>
      <c r="AP355" s="2620" t="str">
        <f>IF(E355=0,"",(AI355+AK355+AM355+AO355))</f>
        <v/>
      </c>
      <c r="AQ355" s="1144"/>
      <c r="AR355" s="1162" t="e">
        <f>VLOOKUP(E355,'Tablas Técnicas'!$A$14:$V$771,12,FALSE)</f>
        <v>#N/A</v>
      </c>
      <c r="AS355" s="1162" t="e">
        <f>IF(AQ355=AR355,VLOOKUP(E355,'Tablas Técnicas'!$A$14:$V$771,13,FALSE),0)</f>
        <v>#N/A</v>
      </c>
      <c r="AT355" s="1162" t="e">
        <f>VLOOKUP(E355,'Tablas Técnicas'!$A$14:$V$771,14,FALSE)</f>
        <v>#N/A</v>
      </c>
      <c r="AU355" s="1162" t="e">
        <f>IF(AQ355=AT355,VLOOKUP(E355,'Tablas Técnicas'!$A$14:$V$771,15,FALSE),0)</f>
        <v>#N/A</v>
      </c>
      <c r="AV355" s="1162" t="e">
        <f>VLOOKUP(E355,'Tablas Técnicas'!$A$14:$V$771,16,FALSE)</f>
        <v>#N/A</v>
      </c>
      <c r="AW355" s="1162" t="e">
        <f>IF(AQ355=AV355,VLOOKUP(E355,'Tablas Técnicas'!$A$14:$V$771,17,FALSE),0)</f>
        <v>#N/A</v>
      </c>
      <c r="AX355" s="1162" t="e">
        <f>VLOOKUP(E355,'Tablas Técnicas'!$A$14:$V$771,18,FALSE)</f>
        <v>#N/A</v>
      </c>
      <c r="AY355" s="1162" t="e">
        <f>IF(AQ355=AX355,VLOOKUP(E355,'Tablas Técnicas'!$A$14:$V$771,19,FALSE),0)</f>
        <v>#N/A</v>
      </c>
      <c r="AZ355" s="1163" t="str">
        <f>IF(E355=0,"",(AS355+AU355+AW355+AY355))</f>
        <v/>
      </c>
      <c r="BA355" s="1144"/>
      <c r="BB355" s="1162" t="e">
        <f>VLOOKUP(E355,'Tablas Técnicas'!$A$14:$V$771,12,FALSE)</f>
        <v>#N/A</v>
      </c>
      <c r="BC355" s="1162" t="e">
        <f>IF(BA355=BB355,VLOOKUP(E355,'Tablas Técnicas'!$A$14:$V$771,13,FALSE),0)</f>
        <v>#N/A</v>
      </c>
      <c r="BD355" s="1162" t="e">
        <f>VLOOKUP(E355,'Tablas Técnicas'!$A$14:$V$771,14,FALSE)</f>
        <v>#N/A</v>
      </c>
      <c r="BE355" s="1162" t="e">
        <f>IF(BA355=BD355,VLOOKUP(E355,'Tablas Técnicas'!$A$14:$V$771,15,FALSE),0)</f>
        <v>#N/A</v>
      </c>
      <c r="BF355" s="1162" t="e">
        <f>VLOOKUP(E355,'Tablas Técnicas'!$A$14:$V$771,16,FALSE)</f>
        <v>#N/A</v>
      </c>
      <c r="BG355" s="1162" t="e">
        <f>IF(BA355=BF355,VLOOKUP(E355,'Tablas Técnicas'!$A$14:$V$771,17,FALSE),0)</f>
        <v>#N/A</v>
      </c>
      <c r="BH355" s="1162" t="e">
        <f>VLOOKUP(E355,'Tablas Técnicas'!$A$14:$V$771,18,FALSE)</f>
        <v>#N/A</v>
      </c>
      <c r="BI355" s="1162" t="e">
        <f>IF(BA355=BH355,VLOOKUP(E355,'Tablas Técnicas'!$A$14:$V$771,19,FALSE),0)</f>
        <v>#N/A</v>
      </c>
      <c r="BJ355" s="2620" t="str">
        <f>IF(E355=0,"",(BC355+BE355+BG355+BI355))</f>
        <v/>
      </c>
      <c r="BK355" s="1190" t="str">
        <f>IF(E355=0,"",VLOOKUP(E355,'Tablas Técnicas'!$A$14:$V$771,20,FALSE))</f>
        <v/>
      </c>
      <c r="BL355" s="1177" t="str">
        <f>IF(E355=0,"",VLOOKUP(E355,'Tablas Técnicas'!$A$14:$V$771,21,FALSE))</f>
        <v/>
      </c>
      <c r="BM355" s="1148" t="str">
        <f>IF(E355=0,"",VLOOKUP(E355,'Tablas Técnicas'!$A$14:$V$771,22,FALSE))</f>
        <v/>
      </c>
      <c r="BN355" s="1149"/>
      <c r="BO355" s="1150"/>
      <c r="BP355" s="1135" t="str">
        <f>IF(I355="Si",VLOOKUP($D$8,'Tablas Técnicas'!$E$4:$F$6,2,FALSE),"")</f>
        <v/>
      </c>
      <c r="BQ355" s="1136" t="str">
        <f>IF(L355="Si",VLOOKUP($D$8,'Tablas Técnicas'!$I$4:$J$6,2,FALSE),"")</f>
        <v/>
      </c>
      <c r="BR355" s="1134" t="str">
        <f>IF(O355="Si",VLOOKUP($D$8,'Tablas Técnicas'!$I$7:$J$9,2,FALSE),"")</f>
        <v/>
      </c>
      <c r="BS355" s="1151"/>
      <c r="BT355" s="2609" t="s">
        <v>2226</v>
      </c>
      <c r="BU355" s="2610" t="s">
        <v>5236</v>
      </c>
      <c r="BV355" s="1128"/>
      <c r="BW355" s="2610" t="s">
        <v>5237</v>
      </c>
      <c r="BX355" s="2609" t="s">
        <v>5238</v>
      </c>
      <c r="BY355" s="1488" t="s">
        <v>5238</v>
      </c>
      <c r="BZ355" s="1492"/>
      <c r="CA355" s="1096"/>
      <c r="DR355" s="1096"/>
      <c r="DT355" s="1514"/>
      <c r="DU355" s="1569"/>
      <c r="DV355" s="1566" t="str">
        <f>IF(E355="","",", "&amp;E355)&amp;IF(I355="No",""," (Mant.)")&amp;IF(L355="No",""," (Sme)")&amp;IF(O355="No",""," (SMa)")</f>
        <v/>
      </c>
      <c r="DW355" s="1567"/>
      <c r="DX355" s="1568"/>
      <c r="DY355" s="1513"/>
      <c r="DZ355" s="1096"/>
      <c r="EA355" s="1660">
        <f t="shared" si="5"/>
        <v>1</v>
      </c>
    </row>
    <row r="356" spans="1:131" x14ac:dyDescent="0.2">
      <c r="A356" s="1096"/>
      <c r="B356" s="1096"/>
      <c r="C356" s="1497"/>
      <c r="D356" s="1642" t="s">
        <v>2310</v>
      </c>
      <c r="E356" s="1152"/>
      <c r="F356" s="1182"/>
      <c r="G356" s="1627" t="str">
        <f>IF(E356=0,"",VLOOKUP(E356,'Tablas Técnicas'!$A$14:$V$771,3,FALSE))</f>
        <v/>
      </c>
      <c r="H356" s="1155" t="str">
        <f>IF($E356=0,"",VLOOKUP($E356,'Tablas Técnicas'!$A$14:$V$771,4,FALSE))</f>
        <v/>
      </c>
      <c r="I356" s="1156" t="s">
        <v>2234</v>
      </c>
      <c r="J356" s="1605" t="str">
        <f>IF(E356=0,"",VLOOKUP(E356,'Tablas Técnicas'!$A$14:$V$771,5,FALSE))</f>
        <v/>
      </c>
      <c r="K356" s="1158" t="str">
        <f>IF(I356="Si",IF(E356=0,"",VLOOKUP(E356,'Tablas Técnicas'!$A$14:$V$771,5,FALSE)),"")</f>
        <v/>
      </c>
      <c r="L356" s="1156" t="s">
        <v>2234</v>
      </c>
      <c r="M356" s="1605" t="str">
        <f>IF(E356=0,"",VLOOKUP(E356,'Tablas Técnicas'!$A$14:$V$771,6,FALSE))</f>
        <v/>
      </c>
      <c r="N356" s="1159" t="str">
        <f>IF(L356="Si",IF(E356=0,"",VLOOKUP(E356,'Tablas Técnicas'!$A$14:$V$771,6,FALSE)),"")</f>
        <v/>
      </c>
      <c r="O356" s="1156" t="s">
        <v>2234</v>
      </c>
      <c r="P356" s="1605" t="str">
        <f>IF(E356=0,"",VLOOKUP(E356,'Tablas Técnicas'!$A$14:$V$771,7,FALSE))</f>
        <v/>
      </c>
      <c r="Q356" s="1159" t="str">
        <f>IF(O356="Si",IF(E356=0,"",VLOOKUP(E356,'Tablas Técnicas'!$A$14:$V$771,7,FALSE)),"")</f>
        <v/>
      </c>
      <c r="R356" s="1157" t="str">
        <f>IF(E356=0,"",VLOOKUP(E356,'Tablas Técnicas'!$A$14:$V$771,8,FALSE))</f>
        <v/>
      </c>
      <c r="S356" s="1155" t="str">
        <f>IF(R356=$D$8,$D$8,IF(R356=2,2,IF(R356=3,3,R356)))</f>
        <v/>
      </c>
      <c r="T356" s="4475" t="s">
        <v>5228</v>
      </c>
      <c r="U356" s="4476"/>
      <c r="V356" s="4476"/>
      <c r="W356" s="4476"/>
      <c r="X356" s="4476"/>
      <c r="Y356" s="4476"/>
      <c r="Z356" s="4476"/>
      <c r="AA356" s="4476"/>
      <c r="AB356" s="4476"/>
      <c r="AC356" s="4476"/>
      <c r="AD356" s="4476"/>
      <c r="AE356" s="4476"/>
      <c r="AF356" s="4476"/>
      <c r="AG356" s="4476"/>
      <c r="AH356" s="4476"/>
      <c r="AI356" s="4476"/>
      <c r="AJ356" s="4476"/>
      <c r="AK356" s="4476"/>
      <c r="AL356" s="4476"/>
      <c r="AM356" s="4476"/>
      <c r="AN356" s="4476"/>
      <c r="AO356" s="4476"/>
      <c r="AP356" s="4476"/>
      <c r="AQ356" s="4476"/>
      <c r="AR356" s="4476"/>
      <c r="AS356" s="4476"/>
      <c r="AT356" s="4476"/>
      <c r="AU356" s="4476"/>
      <c r="AV356" s="4476"/>
      <c r="AW356" s="4476"/>
      <c r="AX356" s="4476"/>
      <c r="AY356" s="4476"/>
      <c r="AZ356" s="4476"/>
      <c r="BA356" s="4476"/>
      <c r="BB356" s="4476"/>
      <c r="BC356" s="4476"/>
      <c r="BD356" s="4476"/>
      <c r="BE356" s="4476"/>
      <c r="BF356" s="4476"/>
      <c r="BG356" s="4476"/>
      <c r="BH356" s="4476"/>
      <c r="BI356" s="4476"/>
      <c r="BJ356" s="4476"/>
      <c r="BK356" s="4477"/>
      <c r="BL356" s="1627"/>
      <c r="BM356" s="1628"/>
      <c r="BN356" s="1149"/>
      <c r="BO356" s="1150"/>
      <c r="BP356" s="1135" t="str">
        <f>IF(I356="Si",VLOOKUP($D$8,'Tablas Técnicas'!$E$4:$F$6,2,FALSE),"")</f>
        <v/>
      </c>
      <c r="BQ356" s="1136" t="str">
        <f>IF(L356="Si",VLOOKUP($D$8,'Tablas Técnicas'!$I$4:$J$6,2,FALSE),"")</f>
        <v/>
      </c>
      <c r="BR356" s="1134" t="str">
        <f>IF(O356="Si",VLOOKUP($D$8,'Tablas Técnicas'!$I$7:$J$9,2,FALSE),"")</f>
        <v/>
      </c>
      <c r="BS356" s="1151"/>
      <c r="BT356" s="261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92"/>
      <c r="BV356" s="1128"/>
      <c r="BW356" s="1183" t="str">
        <f>IF(SUM(BT356:BU356)=0,"N/A",SUM(BT356:BU356))</f>
        <v>N/A</v>
      </c>
      <c r="BX356" s="261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83" t="str">
        <f>IF(BX356=0,"N/A",BX356)</f>
        <v>N/A</v>
      </c>
      <c r="BZ356" s="1492"/>
      <c r="CA356" s="1096"/>
      <c r="DR356" s="1096"/>
      <c r="DT356" s="1514"/>
      <c r="DU356" s="1569"/>
      <c r="DV356" s="1566" t="str">
        <f>IF(E356="",""," "&amp;E356)&amp;IF(I356="No",""," (Mant.)")&amp;IF(L356="No",""," (Sme)")&amp;IF(O356="No",""," (SMa)")</f>
        <v/>
      </c>
      <c r="DW356" s="1567"/>
      <c r="DX356" s="1568"/>
      <c r="DY356" s="1513"/>
      <c r="DZ356" s="1096"/>
      <c r="EA356" s="1660">
        <f t="shared" si="5"/>
        <v>1</v>
      </c>
    </row>
    <row r="357" spans="1:131" x14ac:dyDescent="0.2">
      <c r="A357" s="1096"/>
      <c r="B357" s="1096"/>
      <c r="C357" s="1497"/>
      <c r="D357" s="1643" t="s">
        <v>2310</v>
      </c>
      <c r="E357" s="1160"/>
      <c r="F357" s="1176"/>
      <c r="G357" s="1146" t="str">
        <f>IF(E357=0,"",VLOOKUP(E357,'Tablas Técnicas'!$A$14:$V$771,3,FALSE))</f>
        <v/>
      </c>
      <c r="H357" s="2619" t="str">
        <f>IF($E357=0,"",VLOOKUP($E357,'Tablas Técnicas'!$A$14:$V$771,4,FALSE))</f>
        <v/>
      </c>
      <c r="I357" s="1144" t="s">
        <v>2234</v>
      </c>
      <c r="J357" s="1601" t="str">
        <f>IF(E357=0,"",VLOOKUP(E357,'Tablas Técnicas'!$A$14:$V$771,5,FALSE))</f>
        <v/>
      </c>
      <c r="K357" s="1163" t="str">
        <f>IF(I357="Si",IF(E357=0,"",VLOOKUP(E357,'Tablas Técnicas'!$A$14:$V$771,5,FALSE)),"")</f>
        <v/>
      </c>
      <c r="L357" s="1144" t="s">
        <v>2234</v>
      </c>
      <c r="M357" s="1601" t="str">
        <f>IF(E357=0,"",VLOOKUP(E357,'Tablas Técnicas'!$A$14:$V$771,6,FALSE))</f>
        <v/>
      </c>
      <c r="N357" s="1147" t="str">
        <f>IF(L357="Si",IF(E357=0,"",VLOOKUP(E357,'Tablas Técnicas'!$A$14:$V$771,6,FALSE)),"")</f>
        <v/>
      </c>
      <c r="O357" s="1144" t="s">
        <v>2234</v>
      </c>
      <c r="P357" s="1601" t="str">
        <f>IF(E357=0,"",VLOOKUP(E357,'Tablas Técnicas'!$A$14:$V$771,7,FALSE))</f>
        <v/>
      </c>
      <c r="Q357" s="1147" t="str">
        <f>IF(O357="Si",IF(E357=0,"",VLOOKUP(E357,'Tablas Técnicas'!$A$14:$V$771,7,FALSE)),"")</f>
        <v/>
      </c>
      <c r="R357" s="1162" t="str">
        <f>IF(E357=0,"",VLOOKUP(E357,'Tablas Técnicas'!$A$14:$V$771,8,FALSE))</f>
        <v/>
      </c>
      <c r="S357" s="2619" t="str">
        <f>IF(R357=$D$8,$D$8,IF(R357=2,2,IF(R357=3,3,R357)))</f>
        <v/>
      </c>
      <c r="T357" s="4487"/>
      <c r="U357" s="4488"/>
      <c r="V357" s="2617" t="str">
        <f>IF(OR(V355=0,V355=""),"N/A",V355)</f>
        <v>N/A</v>
      </c>
      <c r="W357" s="4487" t="str">
        <f xml:space="preserve"> IF(OR(AF355=0,AF355=""),"N/A",W355)</f>
        <v>N/A</v>
      </c>
      <c r="X357" s="4489"/>
      <c r="Y357" s="4489"/>
      <c r="Z357" s="4489"/>
      <c r="AA357" s="4489"/>
      <c r="AB357" s="4489"/>
      <c r="AC357" s="4489"/>
      <c r="AD357" s="4489"/>
      <c r="AE357" s="4489"/>
      <c r="AF357" s="4488"/>
      <c r="AG357" s="4487" t="str">
        <f xml:space="preserve"> IF(OR(AP355="",AP355=0),"N/A",AG355)</f>
        <v>N/A</v>
      </c>
      <c r="AH357" s="4489"/>
      <c r="AI357" s="4489"/>
      <c r="AJ357" s="4489"/>
      <c r="AK357" s="4489"/>
      <c r="AL357" s="4489"/>
      <c r="AM357" s="4489"/>
      <c r="AN357" s="4489"/>
      <c r="AO357" s="4489"/>
      <c r="AP357" s="4488"/>
      <c r="AQ357" s="4487" t="str">
        <f xml:space="preserve"> IF(OR(AZ355="",AZ355=0),"N/A",AQ355)</f>
        <v>N/A</v>
      </c>
      <c r="AR357" s="4489"/>
      <c r="AS357" s="4489"/>
      <c r="AT357" s="4489"/>
      <c r="AU357" s="4489"/>
      <c r="AV357" s="4489"/>
      <c r="AW357" s="4489"/>
      <c r="AX357" s="4489"/>
      <c r="AY357" s="4489"/>
      <c r="AZ357" s="4488"/>
      <c r="BA357" s="4487" t="str">
        <f xml:space="preserve"> IF(OR(BJ355="",BJ355=0),"N/A",BA355)</f>
        <v>N/A</v>
      </c>
      <c r="BB357" s="4489"/>
      <c r="BC357" s="4489"/>
      <c r="BD357" s="4489"/>
      <c r="BE357" s="4489"/>
      <c r="BF357" s="4489"/>
      <c r="BG357" s="4489"/>
      <c r="BH357" s="4489"/>
      <c r="BI357" s="4489"/>
      <c r="BJ357" s="4488"/>
      <c r="BK357" s="1164" t="s">
        <v>5229</v>
      </c>
      <c r="BL357" s="1146"/>
      <c r="BM357" s="1181"/>
      <c r="BN357" s="1165"/>
      <c r="BO357" s="1166"/>
      <c r="BP357" s="1167" t="str">
        <f>IF(I357="Si",VLOOKUP($D$8,'Tablas Técnicas'!$E$4:$F$6,2,FALSE),"")</f>
        <v/>
      </c>
      <c r="BQ357" s="1137" t="str">
        <f>IF(L357="Si",VLOOKUP($D$8,'Tablas Técnicas'!$I$4:$J$6,2,FALSE),"")</f>
        <v/>
      </c>
      <c r="BR357" s="1168" t="str">
        <f>IF(O357="Si",VLOOKUP($D$8,'Tablas Técnicas'!$I$7:$J$9,2,FALSE),"")</f>
        <v/>
      </c>
      <c r="BS357" s="1151"/>
      <c r="BT357" s="2609" t="s">
        <v>2354</v>
      </c>
      <c r="BU357" s="2610" t="s">
        <v>5236</v>
      </c>
      <c r="BV357" s="1128"/>
      <c r="BW357" s="2610" t="s">
        <v>5237</v>
      </c>
      <c r="BX357" s="2609" t="s">
        <v>5238</v>
      </c>
      <c r="BY357" s="1489" t="s">
        <v>5238</v>
      </c>
      <c r="BZ357" s="1492"/>
      <c r="CA357" s="1096"/>
      <c r="DR357" s="1096"/>
      <c r="DT357" s="1514"/>
      <c r="DU357" s="1569"/>
      <c r="DV357" s="1566" t="str">
        <f>IF(E357="","",E357)&amp;IF(I357="No",""," (Mant.)")&amp;IF(L357="No",""," (Sme)")&amp;IF(O357="No",""," (SMa)")</f>
        <v/>
      </c>
      <c r="DW357" s="1566"/>
      <c r="DX357" s="1568"/>
      <c r="DY357" s="1513"/>
      <c r="DZ357" s="1096"/>
      <c r="EA357" s="1660">
        <f t="shared" si="5"/>
        <v>1</v>
      </c>
    </row>
    <row r="358" spans="1:131" x14ac:dyDescent="0.2">
      <c r="A358" s="1096"/>
      <c r="B358" s="1096"/>
      <c r="C358" s="1497"/>
      <c r="D358" s="1642" t="s">
        <v>2310</v>
      </c>
      <c r="E358" s="1152"/>
      <c r="F358" s="1182"/>
      <c r="G358" s="1627" t="str">
        <f>IF(E358=0,"",VLOOKUP(E358,'Tablas Técnicas'!$A$14:$V$771,3,FALSE))</f>
        <v/>
      </c>
      <c r="H358" s="1155" t="str">
        <f>IF($E358=0,"",VLOOKUP($E358,'Tablas Técnicas'!$A$14:$V$771,4,FALSE))</f>
        <v/>
      </c>
      <c r="I358" s="1156" t="s">
        <v>2234</v>
      </c>
      <c r="J358" s="1605" t="str">
        <f>IF(E358=0,"",VLOOKUP(E358,'Tablas Técnicas'!$A$14:$V$771,5,FALSE))</f>
        <v/>
      </c>
      <c r="K358" s="1158" t="str">
        <f>IF(I358="Si",IF(E358=0,"",VLOOKUP(E358,'Tablas Técnicas'!$A$14:$V$771,5,FALSE)),"")</f>
        <v/>
      </c>
      <c r="L358" s="1156" t="s">
        <v>2234</v>
      </c>
      <c r="M358" s="1605" t="str">
        <f>IF(E358=0,"",VLOOKUP(E358,'Tablas Técnicas'!$A$14:$V$771,6,FALSE))</f>
        <v/>
      </c>
      <c r="N358" s="1159" t="str">
        <f>IF(L358="Si",IF(E358=0,"",VLOOKUP(E358,'Tablas Técnicas'!$A$14:$V$771,6,FALSE)),"")</f>
        <v/>
      </c>
      <c r="O358" s="1156" t="s">
        <v>2234</v>
      </c>
      <c r="P358" s="1605" t="str">
        <f>IF(E358=0,"",VLOOKUP(E358,'Tablas Técnicas'!$A$14:$V$771,7,FALSE))</f>
        <v/>
      </c>
      <c r="Q358" s="1159" t="str">
        <f>IF(O358="Si",IF(E358=0,"",VLOOKUP(E358,'Tablas Técnicas'!$A$14:$V$771,7,FALSE)),"")</f>
        <v/>
      </c>
      <c r="R358" s="1157" t="str">
        <f>IF(E358=0,"",VLOOKUP(E358,'Tablas Técnicas'!$A$14:$V$771,8,FALSE))</f>
        <v/>
      </c>
      <c r="S358" s="1155" t="str">
        <f>IF(R358=$D$8,$D$8,IF(R358=2,2,IF(R358=3,3,R358)))</f>
        <v/>
      </c>
      <c r="T358" s="4490" t="s">
        <v>5230</v>
      </c>
      <c r="U358" s="4491"/>
      <c r="V358" s="2618"/>
      <c r="W358" s="4492"/>
      <c r="X358" s="4493"/>
      <c r="Y358" s="4493"/>
      <c r="Z358" s="4493"/>
      <c r="AA358" s="4493"/>
      <c r="AB358" s="4493"/>
      <c r="AC358" s="4493"/>
      <c r="AD358" s="4493"/>
      <c r="AE358" s="4493"/>
      <c r="AF358" s="4494"/>
      <c r="AG358" s="4492"/>
      <c r="AH358" s="4493"/>
      <c r="AI358" s="4493"/>
      <c r="AJ358" s="4493"/>
      <c r="AK358" s="4493"/>
      <c r="AL358" s="4493"/>
      <c r="AM358" s="4493"/>
      <c r="AN358" s="4493"/>
      <c r="AO358" s="4493"/>
      <c r="AP358" s="4494"/>
      <c r="AQ358" s="4492"/>
      <c r="AR358" s="4493"/>
      <c r="AS358" s="4493"/>
      <c r="AT358" s="4493"/>
      <c r="AU358" s="4493"/>
      <c r="AV358" s="4493"/>
      <c r="AW358" s="4493"/>
      <c r="AX358" s="4493"/>
      <c r="AY358" s="4493"/>
      <c r="AZ358" s="4494"/>
      <c r="BA358" s="4492"/>
      <c r="BB358" s="4493"/>
      <c r="BC358" s="4493"/>
      <c r="BD358" s="4493"/>
      <c r="BE358" s="4493"/>
      <c r="BF358" s="4493"/>
      <c r="BG358" s="4493"/>
      <c r="BH358" s="4493"/>
      <c r="BI358" s="4493"/>
      <c r="BJ358" s="4494"/>
      <c r="BK358" s="1155">
        <f>(SUM(G355:G359)+IF(AF355="",0,AF355)+IF(AP355="",0,AP355)+IF(AZ355="",0,AZ355)+IF(BJ355="",0,BJ355)+SUM(K355:K359)+SUM(N355:N359)+SUM(Q355:Q359))- SUM(V358:BA358)</f>
        <v>0</v>
      </c>
      <c r="BL358" s="1627"/>
      <c r="BM358" s="1628"/>
      <c r="BN358" s="1149"/>
      <c r="BO358" s="1150"/>
      <c r="BP358" s="1135" t="str">
        <f>IF(I358="Si",VLOOKUP($D$8,'Tablas Técnicas'!$E$4:$F$6,2,FALSE),"")</f>
        <v/>
      </c>
      <c r="BQ358" s="1136" t="str">
        <f>IF(L358="Si",VLOOKUP($D$8,'Tablas Técnicas'!$I$4:$J$6,2,FALSE),"")</f>
        <v/>
      </c>
      <c r="BR358" s="1134" t="str">
        <f>IF(O358="Si",VLOOKUP($D$8,'Tablas Técnicas'!$I$7:$J$9,2,FALSE),"")</f>
        <v/>
      </c>
      <c r="BS358" s="1151"/>
      <c r="BT358" s="261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92"/>
      <c r="BV358" s="1128"/>
      <c r="BW358" s="1183" t="str">
        <f>IF(SUM(BT358:BU358)=0,"N/A",SUM(BT358:BU358))</f>
        <v>N/A</v>
      </c>
      <c r="BX358" s="261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83" t="str">
        <f>IF(BX358=0,"N/A",BX358)</f>
        <v>N/A</v>
      </c>
      <c r="BZ358" s="1492"/>
      <c r="CA358" s="1100"/>
      <c r="DR358" s="1100"/>
      <c r="DT358" s="1515"/>
      <c r="DU358" s="1565"/>
      <c r="DV358" s="1566" t="str">
        <f>IF(E358="","",E358)&amp;IF(I358="No",""," (Mant.)")&amp;IF(L358="No",""," (Sme)")&amp;IF(O358="No",""," (SMa)")</f>
        <v/>
      </c>
      <c r="DW358" s="1566"/>
      <c r="DX358" s="1571"/>
      <c r="DY358" s="1516"/>
      <c r="DZ358" s="1100"/>
      <c r="EA358" s="1660">
        <f t="shared" si="5"/>
        <v>1</v>
      </c>
    </row>
    <row r="359" spans="1:131" x14ac:dyDescent="0.2">
      <c r="A359" s="1096"/>
      <c r="B359" s="1096"/>
      <c r="C359" s="1497"/>
      <c r="D359" s="1643" t="s">
        <v>2310</v>
      </c>
      <c r="E359" s="1160"/>
      <c r="F359" s="1176"/>
      <c r="G359" s="1146" t="str">
        <f>IF(E359=0,"",VLOOKUP(E359,'Tablas Técnicas'!$A$14:$V$771,3,FALSE))</f>
        <v/>
      </c>
      <c r="H359" s="1171" t="str">
        <f>IF($E359=0,"",VLOOKUP($E359,'Tablas Técnicas'!$A$14:$V$771,4,FALSE))</f>
        <v/>
      </c>
      <c r="I359" s="1144" t="s">
        <v>2234</v>
      </c>
      <c r="J359" s="1608" t="str">
        <f>IF(E359=0,"",VLOOKUP(E359,'Tablas Técnicas'!$A$14:$V$771,5,FALSE))</f>
        <v/>
      </c>
      <c r="K359" s="1172" t="str">
        <f>IF(I359="Si",IF(E359=0,"",VLOOKUP(E359,'Tablas Técnicas'!$A$14:$V$771,5,FALSE)),"")</f>
        <v/>
      </c>
      <c r="L359" s="1144" t="s">
        <v>2234</v>
      </c>
      <c r="M359" s="1608" t="str">
        <f>IF(E359=0,"",VLOOKUP(E359,'Tablas Técnicas'!$A$14:$V$771,6,FALSE))</f>
        <v/>
      </c>
      <c r="N359" s="1147" t="str">
        <f>IF(L359="Si",IF(E359=0,"",VLOOKUP(E359,'Tablas Técnicas'!$A$14:$V$771,6,FALSE)),"")</f>
        <v/>
      </c>
      <c r="O359" s="1144" t="s">
        <v>2234</v>
      </c>
      <c r="P359" s="1608" t="str">
        <f>IF(E359=0,"",VLOOKUP(E359,'Tablas Técnicas'!$A$14:$V$771,7,FALSE))</f>
        <v/>
      </c>
      <c r="Q359" s="1147" t="str">
        <f>IF(O359="Si",IF(E359=0,"",VLOOKUP(E359,'Tablas Técnicas'!$A$14:$V$771,7,FALSE)),"")</f>
        <v/>
      </c>
      <c r="R359" s="1193" t="str">
        <f>IF(E359=0,"",VLOOKUP(E359,'Tablas Técnicas'!$A$14:$V$771,8,FALSE))</f>
        <v/>
      </c>
      <c r="S359" s="1161" t="str">
        <f>IF(R359=$D$8,$D$8,IF(R359=2,2,IF(R359=3,3,R359)))</f>
        <v/>
      </c>
      <c r="T359" s="4482" t="s">
        <v>5232</v>
      </c>
      <c r="U359" s="4483"/>
      <c r="V359" s="2616"/>
      <c r="W359" s="4484"/>
      <c r="X359" s="4485"/>
      <c r="Y359" s="4485"/>
      <c r="Z359" s="4485"/>
      <c r="AA359" s="4485"/>
      <c r="AB359" s="4485"/>
      <c r="AC359" s="4485"/>
      <c r="AD359" s="4485"/>
      <c r="AE359" s="4485"/>
      <c r="AF359" s="4486"/>
      <c r="AG359" s="4484"/>
      <c r="AH359" s="4485"/>
      <c r="AI359" s="4485"/>
      <c r="AJ359" s="4485"/>
      <c r="AK359" s="4485"/>
      <c r="AL359" s="4485"/>
      <c r="AM359" s="4485"/>
      <c r="AN359" s="4485"/>
      <c r="AO359" s="4485"/>
      <c r="AP359" s="4486"/>
      <c r="AQ359" s="4484"/>
      <c r="AR359" s="4485"/>
      <c r="AS359" s="4485"/>
      <c r="AT359" s="4485"/>
      <c r="AU359" s="4485"/>
      <c r="AV359" s="4485"/>
      <c r="AW359" s="4485"/>
      <c r="AX359" s="4485"/>
      <c r="AY359" s="4485"/>
      <c r="AZ359" s="4486"/>
      <c r="BA359" s="4484"/>
      <c r="BB359" s="4485"/>
      <c r="BC359" s="4485"/>
      <c r="BD359" s="4485"/>
      <c r="BE359" s="4485"/>
      <c r="BF359" s="4485"/>
      <c r="BG359" s="4485"/>
      <c r="BH359" s="4485"/>
      <c r="BI359" s="4485"/>
      <c r="BJ359" s="4486"/>
      <c r="BK359" s="1171">
        <f>SUM(K355:K359)-SUM(V359:BA359)</f>
        <v>0</v>
      </c>
      <c r="BL359" s="1629"/>
      <c r="BM359" s="1630"/>
      <c r="BN359" s="1165"/>
      <c r="BO359" s="1166"/>
      <c r="BP359" s="1167" t="str">
        <f>IF(I359="Si",VLOOKUP($D$8,'Tablas Técnicas'!$E$4:$F$6,2,FALSE),"")</f>
        <v/>
      </c>
      <c r="BQ359" s="1137" t="str">
        <f>IF(L359="Si",VLOOKUP($D$8,'Tablas Técnicas'!$I$4:$J$6,2,FALSE),"")</f>
        <v/>
      </c>
      <c r="BR359" s="1168" t="str">
        <f>IF(O359="Si",VLOOKUP($D$8,'Tablas Técnicas'!$I$7:$J$9,2,FALSE),"")</f>
        <v/>
      </c>
      <c r="BS359" s="1151"/>
      <c r="BT359" s="2609" t="s">
        <v>2231</v>
      </c>
      <c r="BU359" s="2610" t="s">
        <v>5236</v>
      </c>
      <c r="BV359" s="1128"/>
      <c r="BW359" s="2610" t="s">
        <v>5237</v>
      </c>
      <c r="BX359" s="2609" t="s">
        <v>5238</v>
      </c>
      <c r="BY359" s="1489" t="s">
        <v>5238</v>
      </c>
      <c r="BZ359" s="1492"/>
      <c r="CA359" s="1096"/>
      <c r="DR359" s="1096"/>
      <c r="DT359" s="1514"/>
      <c r="DU359" s="1569"/>
      <c r="DV359" s="1566" t="str">
        <f>IF(E359="","",E359)&amp;IF(I359="No",""," (Mant.)")&amp;IF(L359="No",""," (Sme)")&amp;IF(O359="No",""," (SMa)")</f>
        <v/>
      </c>
      <c r="DW359" s="1566"/>
      <c r="DX359" s="1568"/>
      <c r="DY359" s="1513"/>
      <c r="DZ359" s="1096"/>
      <c r="EA359" s="1660">
        <f t="shared" si="5"/>
        <v>1</v>
      </c>
    </row>
    <row r="360" spans="1:131" x14ac:dyDescent="0.2">
      <c r="A360" s="1096"/>
      <c r="B360" s="159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97"/>
      <c r="D360" s="1644">
        <v>4</v>
      </c>
      <c r="E360" s="1423"/>
      <c r="F360" s="1173"/>
      <c r="G360" s="1174"/>
      <c r="H360" s="2559">
        <f>IF(AND(OR(ISNUMBER(SEARCH("Afinidad Elemental ("&amp;BK355&amp;")",Principal!$AF$30)),ISNUMBER(SEARCH("Afinidad Elemental ("&amp;BL355&amp;")",Principal!$AF$30)),ISNUMBER(SEARCH("Afinidad Elemental ("&amp;BM355&amp;")",Principal!$AF$30))),SUM(H355:H359)&gt;=5),-5,0)</f>
        <v>0</v>
      </c>
      <c r="I360" s="1603"/>
      <c r="J360" s="1606"/>
      <c r="K360" s="1174"/>
      <c r="L360" s="1603"/>
      <c r="M360" s="1606"/>
      <c r="N360" s="1174"/>
      <c r="O360" s="1603"/>
      <c r="P360" s="1606"/>
      <c r="Q360" s="1174"/>
      <c r="R360" s="1175"/>
      <c r="S360" s="1174"/>
      <c r="T360" s="1174"/>
      <c r="U360" s="1174"/>
      <c r="V360" s="1174"/>
      <c r="W360" s="1174"/>
      <c r="X360" s="1174"/>
      <c r="Y360" s="1174"/>
      <c r="Z360" s="1174"/>
      <c r="AA360" s="1174"/>
      <c r="AB360" s="1174"/>
      <c r="AC360" s="1174"/>
      <c r="AD360" s="1174"/>
      <c r="AE360" s="1174"/>
      <c r="AF360" s="1174"/>
      <c r="AG360" s="1174"/>
      <c r="AH360" s="1174"/>
      <c r="AI360" s="1174"/>
      <c r="AJ360" s="1174"/>
      <c r="AK360" s="1174"/>
      <c r="AL360" s="1174"/>
      <c r="AM360" s="1174"/>
      <c r="AN360" s="1174"/>
      <c r="AO360" s="1174"/>
      <c r="AP360" s="1174"/>
      <c r="AQ360" s="1174"/>
      <c r="AR360" s="1174"/>
      <c r="AS360" s="1174"/>
      <c r="AT360" s="1174"/>
      <c r="AU360" s="1174"/>
      <c r="AV360" s="1174"/>
      <c r="AW360" s="1174"/>
      <c r="AX360" s="1174"/>
      <c r="AY360" s="1174"/>
      <c r="AZ360" s="1174"/>
      <c r="BA360" s="1174"/>
      <c r="BB360" s="1174"/>
      <c r="BC360" s="1174"/>
      <c r="BD360" s="1174"/>
      <c r="BE360" s="1174"/>
      <c r="BF360" s="1174"/>
      <c r="BG360" s="1174"/>
      <c r="BH360" s="1174"/>
      <c r="BI360" s="1174"/>
      <c r="BJ360" s="1174"/>
      <c r="BK360" s="1174"/>
      <c r="BL360" s="1174"/>
      <c r="BM360" s="1184"/>
      <c r="BN360" s="1185">
        <f>SUM(K360:K363)</f>
        <v>0</v>
      </c>
      <c r="BO360" s="1128" t="str">
        <f>IF(E360=0,"",(AF360+AP360+AZ360+BJ360))</f>
        <v/>
      </c>
      <c r="BP360" s="1186" t="str">
        <f>IF(I360="Si",VLOOKUP($D$8,'Tablas Técnicas'!$E$4:$F$6,2,FALSE),"")</f>
        <v/>
      </c>
      <c r="BQ360" s="1187" t="str">
        <f>IF(L360="Si",VLOOKUP($D$8,'Tablas Técnicas'!$I$4:$J$6,2,FALSE),"")</f>
        <v/>
      </c>
      <c r="BR360" s="1185" t="str">
        <f>IF(O360="Si",VLOOKUP($D$8,'Tablas Técnicas'!$I$7:$J$9,2,FALSE),"")</f>
        <v/>
      </c>
      <c r="BS360" s="1151"/>
      <c r="BT360" s="261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92"/>
      <c r="BV360" s="1128"/>
      <c r="BW360" s="1183" t="str">
        <f>IF(SUM(BT360:BU360)=0,"N/A",SUM(BT360:BU360))</f>
        <v>N/A</v>
      </c>
      <c r="BX360" s="261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83" t="str">
        <f>IF(BX360=0,"N/A",BX360)</f>
        <v>N/A</v>
      </c>
      <c r="BZ360" s="1492"/>
      <c r="CA360" s="1096"/>
      <c r="DR360" s="1096"/>
      <c r="DT360" s="1514"/>
      <c r="DU360" s="1569"/>
      <c r="DV360" s="1570"/>
      <c r="DW360" s="1566"/>
      <c r="DX360" s="1568"/>
      <c r="DY360" s="1513"/>
      <c r="DZ360" s="1096"/>
      <c r="EA360" s="1660">
        <f t="shared" si="5"/>
        <v>1</v>
      </c>
    </row>
    <row r="361" spans="1:131" x14ac:dyDescent="0.2">
      <c r="A361" s="1096"/>
      <c r="B361" s="1096"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97"/>
      <c r="D361" s="1643" t="s">
        <v>2310</v>
      </c>
      <c r="E361" s="1140"/>
      <c r="F361" s="1176"/>
      <c r="G361" s="1146" t="str">
        <f>IF(E361=0,"",VLOOKUP(E361,'Tablas Técnicas'!$A$14:$V$771,3,FALSE))</f>
        <v/>
      </c>
      <c r="H361" s="1188" t="str">
        <f>IF($E361=0,"",VLOOKUP($E361,'Tablas Técnicas'!$A$14:$V$771,4,FALSE))</f>
        <v/>
      </c>
      <c r="I361" s="1144" t="s">
        <v>2234</v>
      </c>
      <c r="J361" s="1607" t="str">
        <f>IF(E361=0,"",VLOOKUP(E361,'Tablas Técnicas'!$A$14:$V$771,5,FALSE))</f>
        <v/>
      </c>
      <c r="K361" s="1190" t="str">
        <f>IF(I361="Si",IF(E361=0,"",VLOOKUP(E361,'Tablas Técnicas'!$A$14:$V$771,5,FALSE)),"")</f>
        <v/>
      </c>
      <c r="L361" s="1144" t="s">
        <v>2234</v>
      </c>
      <c r="M361" s="1607" t="str">
        <f>IF(E361=0,"",VLOOKUP(E361,'Tablas Técnicas'!$A$14:$V$771,6,FALSE))</f>
        <v/>
      </c>
      <c r="N361" s="1147" t="str">
        <f>IF(L361="Si",IF(E361=0,"",VLOOKUP(E361,'Tablas Técnicas'!$A$14:$V$771,6,FALSE)),"")</f>
        <v/>
      </c>
      <c r="O361" s="1144" t="s">
        <v>2234</v>
      </c>
      <c r="P361" s="1607" t="str">
        <f>IF(E361=0,"",VLOOKUP(E361,'Tablas Técnicas'!$A$14:$V$771,7,FALSE))</f>
        <v/>
      </c>
      <c r="Q361" s="1147" t="str">
        <f>IF(O361="Si",IF(E361=0,"",VLOOKUP(E361,'Tablas Técnicas'!$A$14:$V$771,7,FALSE)),"")</f>
        <v/>
      </c>
      <c r="R361" s="1189" t="str">
        <f>IF(E361=0,"",VLOOKUP(E361,'Tablas Técnicas'!$A$14:$V$771,8,FALSE))</f>
        <v/>
      </c>
      <c r="S361" s="1161" t="str">
        <f>IF(R361=$D$8,$D$8,IF(R361=2,2,IF(R361=3,3,R361)))</f>
        <v/>
      </c>
      <c r="T361" s="1190" t="str">
        <f>IF(E361=0,"",VLOOKUP(E361,'Tablas Técnicas'!$A$14:$V$771,9,FALSE))</f>
        <v/>
      </c>
      <c r="U361" s="1190" t="str">
        <f>IF(E361=0,"",VLOOKUP(E361,'Tablas Técnicas'!$A$14:$V$771,10,FALSE))</f>
        <v/>
      </c>
      <c r="V361" s="1191" t="str">
        <f>IF(E361=0,"",VLOOKUP(E361,'Tablas Técnicas'!$A$14:$V$771,11,FALSE))</f>
        <v/>
      </c>
      <c r="W361" s="1144"/>
      <c r="X361" s="1145" t="e">
        <f>VLOOKUP(E361,'Tablas Técnicas'!$A$14:$V$771,12,FALSE)</f>
        <v>#N/A</v>
      </c>
      <c r="Y361" s="1145" t="e">
        <f>IF(W361=X361,VLOOKUP(E361,'Tablas Técnicas'!$A$14:$V$771,13,FALSE),0)</f>
        <v>#N/A</v>
      </c>
      <c r="Z361" s="1145" t="e">
        <f>VLOOKUP(E361,'Tablas Técnicas'!$A$14:$V$771,14,FALSE)</f>
        <v>#N/A</v>
      </c>
      <c r="AA361" s="1145" t="e">
        <f>IF(W361=Z361,VLOOKUP(E361,'Tablas Técnicas'!$A$14:$V$616,15,FALSE),0)</f>
        <v>#N/A</v>
      </c>
      <c r="AB361" s="1145" t="e">
        <f>VLOOKUP(E361,'Tablas Técnicas'!$A$14:$V$771,16,FALSE)</f>
        <v>#N/A</v>
      </c>
      <c r="AC361" s="1145" t="e">
        <f>IF(W361=AB361,VLOOKUP(E361,'Tablas Técnicas'!$A$14:$V$616,17,FALSE),0)</f>
        <v>#N/A</v>
      </c>
      <c r="AD361" s="1145" t="e">
        <f>VLOOKUP(E361,'Tablas Técnicas'!$A$14:$V$771,18,FALSE)</f>
        <v>#N/A</v>
      </c>
      <c r="AE361" s="1145" t="e">
        <f>IF(W361=AD361,VLOOKUP(E361,'Tablas Técnicas'!$A$14:$V$771,19,FALSE),0)</f>
        <v>#N/A</v>
      </c>
      <c r="AF361" s="1163" t="str">
        <f>IF(E361=0,"",(Y361+AA361+AC361+AE361))</f>
        <v/>
      </c>
      <c r="AG361" s="1144"/>
      <c r="AH361" s="1162" t="e">
        <f>VLOOKUP(E361,'Tablas Técnicas'!$A$14:$V$771,12,FALSE)</f>
        <v>#N/A</v>
      </c>
      <c r="AI361" s="1162" t="e">
        <f>IF(AG361=AH361,VLOOKUP(E361,'Tablas Técnicas'!$A$14:$V$771,13,FALSE),0)</f>
        <v>#N/A</v>
      </c>
      <c r="AJ361" s="1162" t="e">
        <f>VLOOKUP(E361,'Tablas Técnicas'!$A$14:$V$771,14,FALSE)</f>
        <v>#N/A</v>
      </c>
      <c r="AK361" s="1162" t="e">
        <f>IF(AG361=AJ361,VLOOKUP(E361,'Tablas Técnicas'!$A$14:$V$771,15,FALSE),0)</f>
        <v>#N/A</v>
      </c>
      <c r="AL361" s="1162" t="e">
        <f>VLOOKUP(E361,'Tablas Técnicas'!$A$14:$V$771,16,FALSE)</f>
        <v>#N/A</v>
      </c>
      <c r="AM361" s="1162" t="e">
        <f>IF(AG361=AL361,VLOOKUP(E361,'Tablas Técnicas'!$A$14:$V$771,17,FALSE),0)</f>
        <v>#N/A</v>
      </c>
      <c r="AN361" s="1162" t="e">
        <f>VLOOKUP(E361,'Tablas Técnicas'!$A$14:$V$771,18,FALSE)</f>
        <v>#N/A</v>
      </c>
      <c r="AO361" s="1162" t="e">
        <f>IF(AG361=AN361,VLOOKUP(E361,'Tablas Técnicas'!$A$14:$V$771,19,FALSE),0)</f>
        <v>#N/A</v>
      </c>
      <c r="AP361" s="2620" t="str">
        <f>IF(E361=0,"",(AI361+AK361+AM361+AO361))</f>
        <v/>
      </c>
      <c r="AQ361" s="1144"/>
      <c r="AR361" s="1162" t="e">
        <f>VLOOKUP(E361,'Tablas Técnicas'!$A$14:$V$771,12,FALSE)</f>
        <v>#N/A</v>
      </c>
      <c r="AS361" s="1162" t="e">
        <f>IF(AQ361=AR361,VLOOKUP(E361,'Tablas Técnicas'!$A$14:$V$771,13,FALSE),0)</f>
        <v>#N/A</v>
      </c>
      <c r="AT361" s="1162" t="e">
        <f>VLOOKUP(E361,'Tablas Técnicas'!$A$14:$V$771,14,FALSE)</f>
        <v>#N/A</v>
      </c>
      <c r="AU361" s="1162" t="e">
        <f>IF(AQ361=AT361,VLOOKUP(E361,'Tablas Técnicas'!$A$14:$V$771,15,FALSE),0)</f>
        <v>#N/A</v>
      </c>
      <c r="AV361" s="1162" t="e">
        <f>VLOOKUP(E361,'Tablas Técnicas'!$A$14:$V$771,16,FALSE)</f>
        <v>#N/A</v>
      </c>
      <c r="AW361" s="1162" t="e">
        <f>IF(AQ361=AV361,VLOOKUP(E361,'Tablas Técnicas'!$A$14:$V$771,17,FALSE),0)</f>
        <v>#N/A</v>
      </c>
      <c r="AX361" s="1162" t="e">
        <f>VLOOKUP(E361,'Tablas Técnicas'!$A$14:$V$771,18,FALSE)</f>
        <v>#N/A</v>
      </c>
      <c r="AY361" s="1162" t="e">
        <f>IF(AQ361=AX361,VLOOKUP(E361,'Tablas Técnicas'!$A$14:$V$771,19,FALSE),0)</f>
        <v>#N/A</v>
      </c>
      <c r="AZ361" s="1163" t="str">
        <f>IF(E361=0,"",(AS361+AU361+AW361+AY361))</f>
        <v/>
      </c>
      <c r="BA361" s="1144"/>
      <c r="BB361" s="1162" t="e">
        <f>VLOOKUP(E361,'Tablas Técnicas'!$A$14:$V$771,12,FALSE)</f>
        <v>#N/A</v>
      </c>
      <c r="BC361" s="1162" t="e">
        <f>IF(BA361=BB361,VLOOKUP(E361,'Tablas Técnicas'!$A$14:$V$771,13,FALSE),0)</f>
        <v>#N/A</v>
      </c>
      <c r="BD361" s="1162" t="e">
        <f>VLOOKUP(E361,'Tablas Técnicas'!$A$14:$V$771,14,FALSE)</f>
        <v>#N/A</v>
      </c>
      <c r="BE361" s="1162" t="e">
        <f>IF(BA361=BD361,VLOOKUP(E361,'Tablas Técnicas'!$A$14:$V$771,15,FALSE),0)</f>
        <v>#N/A</v>
      </c>
      <c r="BF361" s="1162" t="e">
        <f>VLOOKUP(E361,'Tablas Técnicas'!$A$14:$V$771,16,FALSE)</f>
        <v>#N/A</v>
      </c>
      <c r="BG361" s="1162" t="e">
        <f>IF(BA361=BF361,VLOOKUP(E361,'Tablas Técnicas'!$A$14:$V$771,17,FALSE),0)</f>
        <v>#N/A</v>
      </c>
      <c r="BH361" s="1162" t="e">
        <f>VLOOKUP(E361,'Tablas Técnicas'!$A$14:$V$771,18,FALSE)</f>
        <v>#N/A</v>
      </c>
      <c r="BI361" s="1162" t="e">
        <f>IF(BA361=BH361,VLOOKUP(E361,'Tablas Técnicas'!$A$14:$V$771,19,FALSE),0)</f>
        <v>#N/A</v>
      </c>
      <c r="BJ361" s="2620" t="str">
        <f>IF(E361=0,"",(BC361+BE361+BG361+BI361))</f>
        <v/>
      </c>
      <c r="BK361" s="1190" t="str">
        <f>IF(E361=0,"",VLOOKUP(E361,'Tablas Técnicas'!$A$14:$V$771,20,FALSE))</f>
        <v/>
      </c>
      <c r="BL361" s="1177" t="str">
        <f>IF(E361=0,"",VLOOKUP(E361,'Tablas Técnicas'!$A$14:$V$771,21,FALSE))</f>
        <v/>
      </c>
      <c r="BM361" s="1148" t="str">
        <f>IF(E361=0,"",VLOOKUP(E361,'Tablas Técnicas'!$A$14:$V$771,22,FALSE))</f>
        <v/>
      </c>
      <c r="BN361" s="1149"/>
      <c r="BO361" s="1150"/>
      <c r="BP361" s="1135" t="str">
        <f>IF(I361="Si",VLOOKUP($D$8,'Tablas Técnicas'!$E$4:$F$6,2,FALSE),"")</f>
        <v/>
      </c>
      <c r="BQ361" s="1136" t="str">
        <f>IF(L361="Si",VLOOKUP($D$8,'Tablas Técnicas'!$I$4:$J$6,2,FALSE),"")</f>
        <v/>
      </c>
      <c r="BR361" s="1134" t="str">
        <f>IF(O361="Si",VLOOKUP($D$8,'Tablas Técnicas'!$I$7:$J$9,2,FALSE),"")</f>
        <v/>
      </c>
      <c r="BS361" s="1151"/>
      <c r="BT361" s="2609" t="s">
        <v>2236</v>
      </c>
      <c r="BU361" s="2610" t="s">
        <v>5236</v>
      </c>
      <c r="BV361" s="1128"/>
      <c r="BW361" s="2610" t="s">
        <v>5237</v>
      </c>
      <c r="BX361" s="2609" t="s">
        <v>5238</v>
      </c>
      <c r="BY361" s="1489" t="s">
        <v>5238</v>
      </c>
      <c r="BZ361" s="1492"/>
      <c r="CA361" s="1096"/>
      <c r="DR361" s="1096"/>
      <c r="DT361" s="1514"/>
      <c r="DU361" s="1569"/>
      <c r="DV361" s="1566" t="str">
        <f>IF(E361="","",", "&amp;E361)&amp;IF(I361="No",""," (Mant.)")&amp;IF(L361="No",""," (Sme)")&amp;IF(O361="No",""," (SMa)")</f>
        <v/>
      </c>
      <c r="DW361" s="1566"/>
      <c r="DX361" s="1568"/>
      <c r="DY361" s="1513"/>
      <c r="DZ361" s="1096"/>
      <c r="EA361" s="1660">
        <f t="shared" si="5"/>
        <v>1</v>
      </c>
    </row>
    <row r="362" spans="1:131" x14ac:dyDescent="0.2">
      <c r="A362" s="1096"/>
      <c r="B362" s="1096"/>
      <c r="C362" s="1497"/>
      <c r="D362" s="1642" t="s">
        <v>2310</v>
      </c>
      <c r="E362" s="1152"/>
      <c r="F362" s="1182"/>
      <c r="G362" s="1627" t="str">
        <f>IF(E362=0,"",VLOOKUP(E362,'Tablas Técnicas'!$A$14:$V$771,3,FALSE))</f>
        <v/>
      </c>
      <c r="H362" s="1155" t="str">
        <f>IF($E362=0,"",VLOOKUP($E362,'Tablas Técnicas'!$A$14:$V$771,4,FALSE))</f>
        <v/>
      </c>
      <c r="I362" s="1156" t="s">
        <v>2234</v>
      </c>
      <c r="J362" s="1605" t="str">
        <f>IF(E362=0,"",VLOOKUP(E362,'Tablas Técnicas'!$A$14:$V$771,5,FALSE))</f>
        <v/>
      </c>
      <c r="K362" s="1158" t="str">
        <f>IF(I362="Si",IF(E362=0,"",VLOOKUP(E362,'Tablas Técnicas'!$A$14:$V$771,5,FALSE)),"")</f>
        <v/>
      </c>
      <c r="L362" s="1156" t="s">
        <v>2234</v>
      </c>
      <c r="M362" s="1605" t="str">
        <f>IF(E362=0,"",VLOOKUP(E362,'Tablas Técnicas'!$A$14:$V$771,6,FALSE))</f>
        <v/>
      </c>
      <c r="N362" s="1159" t="str">
        <f>IF(L362="Si",IF(E362=0,"",VLOOKUP(E362,'Tablas Técnicas'!$A$14:$V$771,6,FALSE)),"")</f>
        <v/>
      </c>
      <c r="O362" s="1156" t="s">
        <v>2234</v>
      </c>
      <c r="P362" s="1605" t="str">
        <f>IF(E362=0,"",VLOOKUP(E362,'Tablas Técnicas'!$A$14:$V$771,7,FALSE))</f>
        <v/>
      </c>
      <c r="Q362" s="1159" t="str">
        <f>IF(O362="Si",IF(E362=0,"",VLOOKUP(E362,'Tablas Técnicas'!$A$14:$V$771,7,FALSE)),"")</f>
        <v/>
      </c>
      <c r="R362" s="1157" t="str">
        <f>IF(E362=0,"",VLOOKUP(E362,'Tablas Técnicas'!$A$14:$V$771,8,FALSE))</f>
        <v/>
      </c>
      <c r="S362" s="1155" t="str">
        <f>IF(R362=$D$8,$D$8,IF(R362=2,2,IF(R362=3,3,R362)))</f>
        <v/>
      </c>
      <c r="T362" s="4475" t="s">
        <v>5228</v>
      </c>
      <c r="U362" s="4476"/>
      <c r="V362" s="4476"/>
      <c r="W362" s="4476"/>
      <c r="X362" s="4476"/>
      <c r="Y362" s="4476"/>
      <c r="Z362" s="4476"/>
      <c r="AA362" s="4476"/>
      <c r="AB362" s="4476"/>
      <c r="AC362" s="4476"/>
      <c r="AD362" s="4476"/>
      <c r="AE362" s="4476"/>
      <c r="AF362" s="4476"/>
      <c r="AG362" s="4476"/>
      <c r="AH362" s="4476"/>
      <c r="AI362" s="4476"/>
      <c r="AJ362" s="4476"/>
      <c r="AK362" s="4476"/>
      <c r="AL362" s="4476"/>
      <c r="AM362" s="4476"/>
      <c r="AN362" s="4476"/>
      <c r="AO362" s="4476"/>
      <c r="AP362" s="4476"/>
      <c r="AQ362" s="4476"/>
      <c r="AR362" s="4476"/>
      <c r="AS362" s="4476"/>
      <c r="AT362" s="4476"/>
      <c r="AU362" s="4476"/>
      <c r="AV362" s="4476"/>
      <c r="AW362" s="4476"/>
      <c r="AX362" s="4476"/>
      <c r="AY362" s="4476"/>
      <c r="AZ362" s="4476"/>
      <c r="BA362" s="4476"/>
      <c r="BB362" s="4476"/>
      <c r="BC362" s="4476"/>
      <c r="BD362" s="4476"/>
      <c r="BE362" s="4476"/>
      <c r="BF362" s="4476"/>
      <c r="BG362" s="4476"/>
      <c r="BH362" s="4476"/>
      <c r="BI362" s="4476"/>
      <c r="BJ362" s="4476"/>
      <c r="BK362" s="4477"/>
      <c r="BL362" s="1627"/>
      <c r="BM362" s="1628"/>
      <c r="BN362" s="1149"/>
      <c r="BO362" s="1150"/>
      <c r="BP362" s="1135" t="str">
        <f>IF(I362="Si",VLOOKUP($D$8,'Tablas Técnicas'!$E$4:$F$6,2,FALSE),"")</f>
        <v/>
      </c>
      <c r="BQ362" s="1136" t="str">
        <f>IF(L362="Si",VLOOKUP($D$8,'Tablas Técnicas'!$I$4:$J$6,2,FALSE),"")</f>
        <v/>
      </c>
      <c r="BR362" s="1134" t="str">
        <f>IF(O362="Si",VLOOKUP($D$8,'Tablas Técnicas'!$I$7:$J$9,2,FALSE),"")</f>
        <v/>
      </c>
      <c r="BS362" s="1151"/>
      <c r="BT362" s="261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92"/>
      <c r="BV362" s="1128"/>
      <c r="BW362" s="1183" t="str">
        <f>IF(SUM(BT362:BU362)=0,"N/A",SUM(BT362:BU362))</f>
        <v>N/A</v>
      </c>
      <c r="BX362" s="261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83" t="str">
        <f>IF(BX362=0,"N/A",BX362)</f>
        <v>N/A</v>
      </c>
      <c r="BZ362" s="1492"/>
      <c r="CA362" s="1096"/>
      <c r="DR362" s="1096"/>
      <c r="DT362" s="1514"/>
      <c r="DU362" s="1569"/>
      <c r="DV362" s="1566" t="str">
        <f>IF(E362="",""," "&amp;E362)&amp;IF(I362="No",""," (Mant.)")&amp;IF(L362="No",""," (Sme)")&amp;IF(O362="No",""," (SMa)")</f>
        <v/>
      </c>
      <c r="DW362" s="1566"/>
      <c r="DX362" s="1568"/>
      <c r="DY362" s="1513"/>
      <c r="DZ362" s="1096"/>
      <c r="EA362" s="1660">
        <f t="shared" si="5"/>
        <v>1</v>
      </c>
    </row>
    <row r="363" spans="1:131" x14ac:dyDescent="0.2">
      <c r="A363" s="1096"/>
      <c r="B363" s="1096"/>
      <c r="C363" s="1497"/>
      <c r="D363" s="1643" t="s">
        <v>2310</v>
      </c>
      <c r="E363" s="1160"/>
      <c r="F363" s="1176"/>
      <c r="G363" s="1146" t="str">
        <f>IF(E363=0,"",VLOOKUP(E363,'Tablas Técnicas'!$A$14:$V$771,3,FALSE))</f>
        <v/>
      </c>
      <c r="H363" s="2619" t="str">
        <f>IF($E363=0,"",VLOOKUP($E363,'Tablas Técnicas'!$A$14:$V$771,4,FALSE))</f>
        <v/>
      </c>
      <c r="I363" s="1144" t="s">
        <v>2234</v>
      </c>
      <c r="J363" s="1601" t="str">
        <f>IF(E363=0,"",VLOOKUP(E363,'Tablas Técnicas'!$A$14:$V$771,5,FALSE))</f>
        <v/>
      </c>
      <c r="K363" s="1163" t="str">
        <f>IF(I363="Si",IF(E363=0,"",VLOOKUP(E363,'Tablas Técnicas'!$A$14:$V$771,5,FALSE)),"")</f>
        <v/>
      </c>
      <c r="L363" s="1144" t="s">
        <v>2234</v>
      </c>
      <c r="M363" s="1601" t="str">
        <f>IF(E363=0,"",VLOOKUP(E363,'Tablas Técnicas'!$A$14:$V$771,6,FALSE))</f>
        <v/>
      </c>
      <c r="N363" s="1147" t="str">
        <f>IF(L363="Si",IF(E363=0,"",VLOOKUP(E363,'Tablas Técnicas'!$A$14:$V$771,6,FALSE)),"")</f>
        <v/>
      </c>
      <c r="O363" s="1144" t="s">
        <v>2234</v>
      </c>
      <c r="P363" s="1601" t="str">
        <f>IF(E363=0,"",VLOOKUP(E363,'Tablas Técnicas'!$A$14:$V$771,7,FALSE))</f>
        <v/>
      </c>
      <c r="Q363" s="1147" t="str">
        <f>IF(O363="Si",IF(E363=0,"",VLOOKUP(E363,'Tablas Técnicas'!$A$14:$V$771,7,FALSE)),"")</f>
        <v/>
      </c>
      <c r="R363" s="1162" t="str">
        <f>IF(E363=0,"",VLOOKUP(E363,'Tablas Técnicas'!$A$14:$V$771,8,FALSE))</f>
        <v/>
      </c>
      <c r="S363" s="2619" t="str">
        <f>IF(R363=$D$8,$D$8,IF(R363=2,2,IF(R363=3,3,R363)))</f>
        <v/>
      </c>
      <c r="T363" s="4487"/>
      <c r="U363" s="4488"/>
      <c r="V363" s="2617" t="str">
        <f>IF(OR(V361=0,V361=""),"N/A",V361)</f>
        <v>N/A</v>
      </c>
      <c r="W363" s="4487" t="str">
        <f xml:space="preserve"> IF(OR(AF361=0,AF361=""),"N/A",W361)</f>
        <v>N/A</v>
      </c>
      <c r="X363" s="4489"/>
      <c r="Y363" s="4489"/>
      <c r="Z363" s="4489"/>
      <c r="AA363" s="4489"/>
      <c r="AB363" s="4489"/>
      <c r="AC363" s="4489"/>
      <c r="AD363" s="4489"/>
      <c r="AE363" s="4489"/>
      <c r="AF363" s="4488"/>
      <c r="AG363" s="4487" t="str">
        <f xml:space="preserve"> IF(OR(AP361="",AP361=0),"N/A",AG361)</f>
        <v>N/A</v>
      </c>
      <c r="AH363" s="4489"/>
      <c r="AI363" s="4489"/>
      <c r="AJ363" s="4489"/>
      <c r="AK363" s="4489"/>
      <c r="AL363" s="4489"/>
      <c r="AM363" s="4489"/>
      <c r="AN363" s="4489"/>
      <c r="AO363" s="4489"/>
      <c r="AP363" s="4488"/>
      <c r="AQ363" s="4487" t="str">
        <f xml:space="preserve"> IF(OR(AZ361="",AZ361=0),"N/A",AQ361)</f>
        <v>N/A</v>
      </c>
      <c r="AR363" s="4489"/>
      <c r="AS363" s="4489"/>
      <c r="AT363" s="4489"/>
      <c r="AU363" s="4489"/>
      <c r="AV363" s="4489"/>
      <c r="AW363" s="4489"/>
      <c r="AX363" s="4489"/>
      <c r="AY363" s="4489"/>
      <c r="AZ363" s="4488"/>
      <c r="BA363" s="4487" t="str">
        <f xml:space="preserve"> IF(OR(BJ361="",BJ361=0),"N/A",BA361)</f>
        <v>N/A</v>
      </c>
      <c r="BB363" s="4489"/>
      <c r="BC363" s="4489"/>
      <c r="BD363" s="4489"/>
      <c r="BE363" s="4489"/>
      <c r="BF363" s="4489"/>
      <c r="BG363" s="4489"/>
      <c r="BH363" s="4489"/>
      <c r="BI363" s="4489"/>
      <c r="BJ363" s="4488"/>
      <c r="BK363" s="1164" t="s">
        <v>5229</v>
      </c>
      <c r="BL363" s="1146"/>
      <c r="BM363" s="1181"/>
      <c r="BN363" s="1165"/>
      <c r="BO363" s="1166"/>
      <c r="BP363" s="1167" t="str">
        <f>IF(I363="Si",VLOOKUP($D$8,'Tablas Técnicas'!$E$4:$F$6,2,FALSE),"")</f>
        <v/>
      </c>
      <c r="BQ363" s="1137" t="str">
        <f>IF(L363="Si",VLOOKUP($D$8,'Tablas Técnicas'!$I$4:$J$6,2,FALSE),"")</f>
        <v/>
      </c>
      <c r="BR363" s="1168" t="str">
        <f>IF(O363="Si",VLOOKUP($D$8,'Tablas Técnicas'!$I$7:$J$9,2,FALSE),"")</f>
        <v/>
      </c>
      <c r="BS363" s="1151"/>
      <c r="BT363" s="2609" t="s">
        <v>2244</v>
      </c>
      <c r="BU363" s="2610" t="s">
        <v>5236</v>
      </c>
      <c r="BV363" s="1128"/>
      <c r="BW363" s="2610" t="s">
        <v>5237</v>
      </c>
      <c r="BX363" s="2609" t="s">
        <v>5238</v>
      </c>
      <c r="BY363" s="1489" t="s">
        <v>5238</v>
      </c>
      <c r="BZ363" s="1492"/>
      <c r="CA363" s="1096"/>
      <c r="DR363" s="1096"/>
      <c r="DT363" s="1514"/>
      <c r="DU363" s="1569"/>
      <c r="DV363" s="1566" t="str">
        <f>IF(E363="","",E363)&amp;IF(I363="No",""," (Mant.)")&amp;IF(L363="No",""," (Sme)")&amp;IF(O363="No",""," (SMa)")</f>
        <v/>
      </c>
      <c r="DW363" s="1567"/>
      <c r="DX363" s="1568"/>
      <c r="DY363" s="1513"/>
      <c r="DZ363" s="1096"/>
      <c r="EA363" s="1660">
        <f t="shared" si="5"/>
        <v>1</v>
      </c>
    </row>
    <row r="364" spans="1:131" x14ac:dyDescent="0.2">
      <c r="A364" s="1096"/>
      <c r="B364" s="1096"/>
      <c r="C364" s="1497"/>
      <c r="D364" s="1642" t="s">
        <v>2310</v>
      </c>
      <c r="E364" s="1152"/>
      <c r="F364" s="1182"/>
      <c r="G364" s="1627" t="str">
        <f>IF(E364=0,"",VLOOKUP(E364,'Tablas Técnicas'!$A$14:$V$771,3,FALSE))</f>
        <v/>
      </c>
      <c r="H364" s="1155" t="str">
        <f>IF($E364=0,"",VLOOKUP($E364,'Tablas Técnicas'!$A$14:$V$771,4,FALSE))</f>
        <v/>
      </c>
      <c r="I364" s="1156" t="s">
        <v>2234</v>
      </c>
      <c r="J364" s="1605" t="str">
        <f>IF(E364=0,"",VLOOKUP(E364,'Tablas Técnicas'!$A$14:$V$771,5,FALSE))</f>
        <v/>
      </c>
      <c r="K364" s="1158" t="str">
        <f>IF(I364="Si",IF(E364=0,"",VLOOKUP(E364,'Tablas Técnicas'!$A$14:$V$771,5,FALSE)),"")</f>
        <v/>
      </c>
      <c r="L364" s="1156" t="s">
        <v>2234</v>
      </c>
      <c r="M364" s="1605" t="str">
        <f>IF(E364=0,"",VLOOKUP(E364,'Tablas Técnicas'!$A$14:$V$771,6,FALSE))</f>
        <v/>
      </c>
      <c r="N364" s="1159" t="str">
        <f>IF(L364="Si",IF(E364=0,"",VLOOKUP(E364,'Tablas Técnicas'!$A$14:$V$771,6,FALSE)),"")</f>
        <v/>
      </c>
      <c r="O364" s="1156" t="s">
        <v>2234</v>
      </c>
      <c r="P364" s="1605" t="str">
        <f>IF(E364=0,"",VLOOKUP(E364,'Tablas Técnicas'!$A$14:$V$771,7,FALSE))</f>
        <v/>
      </c>
      <c r="Q364" s="1159" t="str">
        <f>IF(O364="Si",IF(E364=0,"",VLOOKUP(E364,'Tablas Técnicas'!$A$14:$V$771,7,FALSE)),"")</f>
        <v/>
      </c>
      <c r="R364" s="1157" t="str">
        <f>IF(E364=0,"",VLOOKUP(E364,'Tablas Técnicas'!$A$14:$V$771,8,FALSE))</f>
        <v/>
      </c>
      <c r="S364" s="1155" t="str">
        <f>IF(R364=$D$8,$D$8,IF(R364=2,2,IF(R364=3,3,R364)))</f>
        <v/>
      </c>
      <c r="T364" s="4490" t="s">
        <v>5230</v>
      </c>
      <c r="U364" s="4491"/>
      <c r="V364" s="2618"/>
      <c r="W364" s="4492"/>
      <c r="X364" s="4493"/>
      <c r="Y364" s="4493"/>
      <c r="Z364" s="4493"/>
      <c r="AA364" s="4493"/>
      <c r="AB364" s="4493"/>
      <c r="AC364" s="4493"/>
      <c r="AD364" s="4493"/>
      <c r="AE364" s="4493"/>
      <c r="AF364" s="4494"/>
      <c r="AG364" s="4492"/>
      <c r="AH364" s="4493"/>
      <c r="AI364" s="4493"/>
      <c r="AJ364" s="4493"/>
      <c r="AK364" s="4493"/>
      <c r="AL364" s="4493"/>
      <c r="AM364" s="4493"/>
      <c r="AN364" s="4493"/>
      <c r="AO364" s="4493"/>
      <c r="AP364" s="4494"/>
      <c r="AQ364" s="4492"/>
      <c r="AR364" s="4493"/>
      <c r="AS364" s="4493"/>
      <c r="AT364" s="4493"/>
      <c r="AU364" s="4493"/>
      <c r="AV364" s="4493"/>
      <c r="AW364" s="4493"/>
      <c r="AX364" s="4493"/>
      <c r="AY364" s="4493"/>
      <c r="AZ364" s="4494"/>
      <c r="BA364" s="4492"/>
      <c r="BB364" s="4493"/>
      <c r="BC364" s="4493"/>
      <c r="BD364" s="4493"/>
      <c r="BE364" s="4493"/>
      <c r="BF364" s="4493"/>
      <c r="BG364" s="4493"/>
      <c r="BH364" s="4493"/>
      <c r="BI364" s="4493"/>
      <c r="BJ364" s="4494"/>
      <c r="BK364" s="1155">
        <f>(SUM(G361:G365)+IF(AF361="",0,AF361)+IF(AP361="",0,AP361)+IF(AZ361="",0,AZ361)+IF(BJ361="",0,BJ361)+SUM(K361:K365)+SUM(N361:N365)+SUM(Q361:Q365))- SUM(V364:BA364)</f>
        <v>0</v>
      </c>
      <c r="BL364" s="1627"/>
      <c r="BM364" s="1628"/>
      <c r="BN364" s="1149"/>
      <c r="BO364" s="1150"/>
      <c r="BP364" s="1135" t="str">
        <f>IF(I364="Si",VLOOKUP($D$8,'Tablas Técnicas'!$E$4:$F$6,2,FALSE),"")</f>
        <v/>
      </c>
      <c r="BQ364" s="1136" t="str">
        <f>IF(L364="Si",VLOOKUP($D$8,'Tablas Técnicas'!$I$4:$J$6,2,FALSE),"")</f>
        <v/>
      </c>
      <c r="BR364" s="1134" t="str">
        <f>IF(O364="Si",VLOOKUP($D$8,'Tablas Técnicas'!$I$7:$J$9,2,FALSE),"")</f>
        <v/>
      </c>
      <c r="BS364" s="1151"/>
      <c r="BT364" s="261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92"/>
      <c r="BV364" s="1128"/>
      <c r="BW364" s="1183" t="str">
        <f>IF(SUM(BT364:BU364)=0,"N/A",SUM(BT364:BU364))</f>
        <v>N/A</v>
      </c>
      <c r="BX364" s="261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83" t="str">
        <f>IF(BX364=0,"N/A",BX364)</f>
        <v>N/A</v>
      </c>
      <c r="BZ364" s="1492"/>
      <c r="CA364" s="1096"/>
      <c r="DR364" s="1096"/>
      <c r="DT364" s="1514"/>
      <c r="DU364" s="1569"/>
      <c r="DV364" s="1566" t="str">
        <f>IF(E364="","",E364)&amp;IF(I364="No",""," (Mant.)")&amp;IF(L364="No",""," (Sme)")&amp;IF(O364="No",""," (SMa)")</f>
        <v/>
      </c>
      <c r="DW364" s="1567"/>
      <c r="DX364" s="1568"/>
      <c r="DY364" s="1513"/>
      <c r="DZ364" s="1096"/>
      <c r="EA364" s="1660">
        <f t="shared" si="5"/>
        <v>1</v>
      </c>
    </row>
    <row r="365" spans="1:131" x14ac:dyDescent="0.2">
      <c r="A365" s="1096"/>
      <c r="B365" s="1096"/>
      <c r="C365" s="1497"/>
      <c r="D365" s="1643" t="s">
        <v>2310</v>
      </c>
      <c r="E365" s="1160"/>
      <c r="F365" s="1176"/>
      <c r="G365" s="1146" t="str">
        <f>IF(E365=0,"",VLOOKUP(E365,'Tablas Técnicas'!$A$14:$V$771,3,FALSE))</f>
        <v/>
      </c>
      <c r="H365" s="1171" t="str">
        <f>IF($E365=0,"",VLOOKUP($E365,'Tablas Técnicas'!$A$14:$V$771,4,FALSE))</f>
        <v/>
      </c>
      <c r="I365" s="1144" t="s">
        <v>2234</v>
      </c>
      <c r="J365" s="1608" t="str">
        <f>IF(E365=0,"",VLOOKUP(E365,'Tablas Técnicas'!$A$14:$V$771,5,FALSE))</f>
        <v/>
      </c>
      <c r="K365" s="1172" t="str">
        <f>IF(I365="Si",IF(E365=0,"",VLOOKUP(E365,'Tablas Técnicas'!$A$14:$V$771,5,FALSE)),"")</f>
        <v/>
      </c>
      <c r="L365" s="1144" t="s">
        <v>2234</v>
      </c>
      <c r="M365" s="1608" t="str">
        <f>IF(E365=0,"",VLOOKUP(E365,'Tablas Técnicas'!$A$14:$V$771,6,FALSE))</f>
        <v/>
      </c>
      <c r="N365" s="1147" t="str">
        <f>IF(L365="Si",IF(E365=0,"",VLOOKUP(E365,'Tablas Técnicas'!$A$14:$V$771,6,FALSE)),"")</f>
        <v/>
      </c>
      <c r="O365" s="1144" t="s">
        <v>2234</v>
      </c>
      <c r="P365" s="1608" t="str">
        <f>IF(E365=0,"",VLOOKUP(E365,'Tablas Técnicas'!$A$14:$V$771,7,FALSE))</f>
        <v/>
      </c>
      <c r="Q365" s="1147" t="str">
        <f>IF(O365="Si",IF(E365=0,"",VLOOKUP(E365,'Tablas Técnicas'!$A$14:$V$771,7,FALSE)),"")</f>
        <v/>
      </c>
      <c r="R365" s="1193" t="str">
        <f>IF(E365=0,"",VLOOKUP(E365,'Tablas Técnicas'!$A$14:$V$771,8,FALSE))</f>
        <v/>
      </c>
      <c r="S365" s="1161" t="str">
        <f>IF(R365=$D$8,$D$8,IF(R365=2,2,IF(R365=3,3,R365)))</f>
        <v/>
      </c>
      <c r="T365" s="4482" t="s">
        <v>5232</v>
      </c>
      <c r="U365" s="4483"/>
      <c r="V365" s="2616"/>
      <c r="W365" s="4484"/>
      <c r="X365" s="4485"/>
      <c r="Y365" s="4485"/>
      <c r="Z365" s="4485"/>
      <c r="AA365" s="4485"/>
      <c r="AB365" s="4485"/>
      <c r="AC365" s="4485"/>
      <c r="AD365" s="4485"/>
      <c r="AE365" s="4485"/>
      <c r="AF365" s="4486"/>
      <c r="AG365" s="4484"/>
      <c r="AH365" s="4485"/>
      <c r="AI365" s="4485"/>
      <c r="AJ365" s="4485"/>
      <c r="AK365" s="4485"/>
      <c r="AL365" s="4485"/>
      <c r="AM365" s="4485"/>
      <c r="AN365" s="4485"/>
      <c r="AO365" s="4485"/>
      <c r="AP365" s="4486"/>
      <c r="AQ365" s="4484"/>
      <c r="AR365" s="4485"/>
      <c r="AS365" s="4485"/>
      <c r="AT365" s="4485"/>
      <c r="AU365" s="4485"/>
      <c r="AV365" s="4485"/>
      <c r="AW365" s="4485"/>
      <c r="AX365" s="4485"/>
      <c r="AY365" s="4485"/>
      <c r="AZ365" s="4486"/>
      <c r="BA365" s="4484"/>
      <c r="BB365" s="4485"/>
      <c r="BC365" s="4485"/>
      <c r="BD365" s="4485"/>
      <c r="BE365" s="4485"/>
      <c r="BF365" s="4485"/>
      <c r="BG365" s="4485"/>
      <c r="BH365" s="4485"/>
      <c r="BI365" s="4485"/>
      <c r="BJ365" s="4486"/>
      <c r="BK365" s="1171">
        <f>SUM(K361:K365)-SUM(V365:BA365)</f>
        <v>0</v>
      </c>
      <c r="BL365" s="1629"/>
      <c r="BM365" s="1630"/>
      <c r="BN365" s="1165"/>
      <c r="BO365" s="1166"/>
      <c r="BP365" s="1167" t="str">
        <f>IF(I365="Si",VLOOKUP($D$8,'Tablas Técnicas'!$E$4:$F$6,2,FALSE),"")</f>
        <v/>
      </c>
      <c r="BQ365" s="1137" t="str">
        <f>IF(L365="Si",VLOOKUP($D$8,'Tablas Técnicas'!$I$4:$J$6,2,FALSE),"")</f>
        <v/>
      </c>
      <c r="BR365" s="1168" t="str">
        <f>IF(O365="Si",VLOOKUP($D$8,'Tablas Técnicas'!$I$7:$J$9,2,FALSE),"")</f>
        <v/>
      </c>
      <c r="BS365" s="1151"/>
      <c r="BT365" s="2609" t="s">
        <v>2245</v>
      </c>
      <c r="BU365" s="2610" t="s">
        <v>5236</v>
      </c>
      <c r="BV365" s="1128"/>
      <c r="BW365" s="2610" t="s">
        <v>5237</v>
      </c>
      <c r="BX365" s="2609" t="s">
        <v>5238</v>
      </c>
      <c r="BY365" s="1489" t="s">
        <v>5238</v>
      </c>
      <c r="BZ365" s="1492"/>
      <c r="CA365" s="1096"/>
      <c r="DR365" s="1096"/>
      <c r="DT365" s="1514"/>
      <c r="DU365" s="1569"/>
      <c r="DV365" s="1566" t="str">
        <f>IF(E365="","",E365)&amp;IF(I365="No",""," (Mant.)")&amp;IF(L365="No",""," (Sme)")&amp;IF(O365="No",""," (SMa)")</f>
        <v/>
      </c>
      <c r="DW365" s="1567"/>
      <c r="DX365" s="1568"/>
      <c r="DY365" s="1513"/>
      <c r="DZ365" s="1096"/>
      <c r="EA365" s="1660">
        <f t="shared" si="5"/>
        <v>1</v>
      </c>
    </row>
    <row r="366" spans="1:131" x14ac:dyDescent="0.2">
      <c r="A366" s="1096"/>
      <c r="B366" s="159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97"/>
      <c r="D366" s="1644">
        <v>5</v>
      </c>
      <c r="E366" s="1423"/>
      <c r="F366" s="1173"/>
      <c r="G366" s="1174"/>
      <c r="H366" s="2559">
        <f>IF(AND(OR(ISNUMBER(SEARCH("Afinidad Elemental ("&amp;BK361&amp;")",Principal!$AF$30)),ISNUMBER(SEARCH("Afinidad Elemental ("&amp;BL361&amp;")",Principal!$AF$30)),ISNUMBER(SEARCH("Afinidad Elemental ("&amp;BM361&amp;")",Principal!$AF$30))),SUM(H361:H365)&gt;=5),-5,0)</f>
        <v>0</v>
      </c>
      <c r="I366" s="1603"/>
      <c r="J366" s="1606"/>
      <c r="K366" s="1174"/>
      <c r="L366" s="1603"/>
      <c r="M366" s="1606"/>
      <c r="N366" s="1174"/>
      <c r="O366" s="1603"/>
      <c r="P366" s="1606"/>
      <c r="Q366" s="1174"/>
      <c r="R366" s="1175"/>
      <c r="S366" s="1174"/>
      <c r="T366" s="1174"/>
      <c r="U366" s="1174"/>
      <c r="V366" s="1174"/>
      <c r="W366" s="1174"/>
      <c r="X366" s="1174"/>
      <c r="Y366" s="1174"/>
      <c r="Z366" s="1174"/>
      <c r="AA366" s="1174"/>
      <c r="AB366" s="1174"/>
      <c r="AC366" s="1174"/>
      <c r="AD366" s="1174"/>
      <c r="AE366" s="1174"/>
      <c r="AF366" s="1174"/>
      <c r="AG366" s="1174"/>
      <c r="AH366" s="1174"/>
      <c r="AI366" s="1174"/>
      <c r="AJ366" s="1174"/>
      <c r="AK366" s="1174"/>
      <c r="AL366" s="1174"/>
      <c r="AM366" s="1174"/>
      <c r="AN366" s="1174"/>
      <c r="AO366" s="1174"/>
      <c r="AP366" s="1174"/>
      <c r="AQ366" s="1174"/>
      <c r="AR366" s="1174"/>
      <c r="AS366" s="1174"/>
      <c r="AT366" s="1174"/>
      <c r="AU366" s="1174"/>
      <c r="AV366" s="1174"/>
      <c r="AW366" s="1174"/>
      <c r="AX366" s="1174"/>
      <c r="AY366" s="1174"/>
      <c r="AZ366" s="1174"/>
      <c r="BA366" s="1174"/>
      <c r="BB366" s="1174"/>
      <c r="BC366" s="1174"/>
      <c r="BD366" s="1174"/>
      <c r="BE366" s="1174"/>
      <c r="BF366" s="1174"/>
      <c r="BG366" s="1174"/>
      <c r="BH366" s="1174"/>
      <c r="BI366" s="1174"/>
      <c r="BJ366" s="1174"/>
      <c r="BK366" s="1174"/>
      <c r="BL366" s="1174"/>
      <c r="BM366" s="1184"/>
      <c r="BN366" s="1185">
        <f>SUM(K366:K369)</f>
        <v>0</v>
      </c>
      <c r="BO366" s="1128" t="str">
        <f>IF(E366=0,"",(AF366+AP366+AZ366+BJ366))</f>
        <v/>
      </c>
      <c r="BP366" s="1186" t="str">
        <f>IF(I366="Si",VLOOKUP($D$8,'Tablas Técnicas'!$E$4:$F$6,2,FALSE),"")</f>
        <v/>
      </c>
      <c r="BQ366" s="1187" t="str">
        <f>IF(L366="Si",VLOOKUP($D$8,'Tablas Técnicas'!$I$4:$J$6,2,FALSE),"")</f>
        <v/>
      </c>
      <c r="BR366" s="1185" t="str">
        <f>IF(O366="Si",VLOOKUP($D$8,'Tablas Técnicas'!$I$7:$J$9,2,FALSE),"")</f>
        <v/>
      </c>
      <c r="BS366" s="1151"/>
      <c r="BT366" s="261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92"/>
      <c r="BV366" s="1128"/>
      <c r="BW366" s="1183" t="str">
        <f>IF(SUM(BT366:BU366)=0,"N/A",SUM(BT366:BU366))</f>
        <v>N/A</v>
      </c>
      <c r="BX366" s="261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83" t="str">
        <f>IF(BX366=0,"N/A",BX366)</f>
        <v>N/A</v>
      </c>
      <c r="BZ366" s="1492"/>
      <c r="CA366" s="1096"/>
      <c r="DR366" s="1096"/>
      <c r="DT366" s="1514"/>
      <c r="DU366" s="1569"/>
      <c r="DV366" s="1570"/>
      <c r="DW366" s="1567"/>
      <c r="DX366" s="1568"/>
      <c r="DY366" s="1513"/>
      <c r="DZ366" s="1096"/>
      <c r="EA366" s="1660">
        <f t="shared" si="5"/>
        <v>1</v>
      </c>
    </row>
    <row r="367" spans="1:131" ht="12" thickBot="1" x14ac:dyDescent="0.25">
      <c r="A367" s="1096"/>
      <c r="B367" s="1096"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97"/>
      <c r="D367" s="1643" t="s">
        <v>2310</v>
      </c>
      <c r="E367" s="1140"/>
      <c r="F367" s="1176"/>
      <c r="G367" s="1146" t="str">
        <f>IF(E367=0,"",VLOOKUP(E367,'Tablas Técnicas'!$A$14:$V$771,3,FALSE))</f>
        <v/>
      </c>
      <c r="H367" s="1188" t="str">
        <f>IF($E367=0,"",VLOOKUP($E367,'Tablas Técnicas'!$A$14:$V$771,4,FALSE))</f>
        <v/>
      </c>
      <c r="I367" s="1144" t="s">
        <v>2234</v>
      </c>
      <c r="J367" s="1607" t="str">
        <f>IF(E367=0,"",VLOOKUP(E367,'Tablas Técnicas'!$A$14:$V$771,5,FALSE))</f>
        <v/>
      </c>
      <c r="K367" s="1190" t="str">
        <f>IF(I367="Si",IF(E367=0,"",VLOOKUP(E367,'Tablas Técnicas'!$A$14:$V$771,5,FALSE)),"")</f>
        <v/>
      </c>
      <c r="L367" s="1144" t="s">
        <v>2234</v>
      </c>
      <c r="M367" s="1607" t="str">
        <f>IF(E367=0,"",VLOOKUP(E367,'Tablas Técnicas'!$A$14:$V$771,6,FALSE))</f>
        <v/>
      </c>
      <c r="N367" s="1147" t="str">
        <f>IF(L367="Si",IF(E367=0,"",VLOOKUP(E367,'Tablas Técnicas'!$A$14:$V$771,6,FALSE)),"")</f>
        <v/>
      </c>
      <c r="O367" s="1144" t="s">
        <v>2234</v>
      </c>
      <c r="P367" s="1607" t="str">
        <f>IF(E367=0,"",VLOOKUP(E367,'Tablas Técnicas'!$A$14:$V$771,7,FALSE))</f>
        <v/>
      </c>
      <c r="Q367" s="1147" t="str">
        <f>IF(O367="Si",IF(E367=0,"",VLOOKUP(E367,'Tablas Técnicas'!$A$14:$V$771,7,FALSE)),"")</f>
        <v/>
      </c>
      <c r="R367" s="1189" t="str">
        <f>IF(E367=0,"",VLOOKUP(E367,'Tablas Técnicas'!$A$14:$V$771,8,FALSE))</f>
        <v/>
      </c>
      <c r="S367" s="1161" t="str">
        <f>IF(R367=$D$8,$D$8,IF(R367=2,2,IF(R367=3,3,R367)))</f>
        <v/>
      </c>
      <c r="T367" s="1190" t="str">
        <f>IF(E367=0,"",VLOOKUP(E367,'Tablas Técnicas'!$A$14:$V$771,9,FALSE))</f>
        <v/>
      </c>
      <c r="U367" s="1190" t="str">
        <f>IF(E367=0,"",VLOOKUP(E367,'Tablas Técnicas'!$A$14:$V$771,10,FALSE))</f>
        <v/>
      </c>
      <c r="V367" s="1191" t="str">
        <f>IF(E367=0,"",VLOOKUP(E367,'Tablas Técnicas'!$A$14:$V$771,11,FALSE))</f>
        <v/>
      </c>
      <c r="W367" s="1144"/>
      <c r="X367" s="1145" t="e">
        <f>VLOOKUP(E367,'Tablas Técnicas'!$A$14:$V$771,12,FALSE)</f>
        <v>#N/A</v>
      </c>
      <c r="Y367" s="1145" t="e">
        <f>IF(W367=X367,VLOOKUP(E367,'Tablas Técnicas'!$A$14:$V$771,13,FALSE),0)</f>
        <v>#N/A</v>
      </c>
      <c r="Z367" s="1145" t="e">
        <f>VLOOKUP(E367,'Tablas Técnicas'!$A$14:$V$771,14,FALSE)</f>
        <v>#N/A</v>
      </c>
      <c r="AA367" s="1145" t="e">
        <f>IF(W367=Z367,VLOOKUP(E367,'Tablas Técnicas'!$A$14:$V$616,15,FALSE),0)</f>
        <v>#N/A</v>
      </c>
      <c r="AB367" s="1145" t="e">
        <f>VLOOKUP(E367,'Tablas Técnicas'!$A$14:$V$771,16,FALSE)</f>
        <v>#N/A</v>
      </c>
      <c r="AC367" s="1145" t="e">
        <f>IF(W367=AB367,VLOOKUP(E367,'Tablas Técnicas'!$A$14:$V$616,17,FALSE),0)</f>
        <v>#N/A</v>
      </c>
      <c r="AD367" s="1145" t="e">
        <f>VLOOKUP(E367,'Tablas Técnicas'!$A$14:$V$771,18,FALSE)</f>
        <v>#N/A</v>
      </c>
      <c r="AE367" s="1145" t="e">
        <f>IF(W367=AD367,VLOOKUP(E367,'Tablas Técnicas'!$A$14:$V$771,19,FALSE),0)</f>
        <v>#N/A</v>
      </c>
      <c r="AF367" s="1163" t="str">
        <f>IF(E367=0,"",(Y367+AA367+AC367+AE367))</f>
        <v/>
      </c>
      <c r="AG367" s="1144"/>
      <c r="AH367" s="1162" t="e">
        <f>VLOOKUP(E367,'Tablas Técnicas'!$A$14:$V$771,12,FALSE)</f>
        <v>#N/A</v>
      </c>
      <c r="AI367" s="1162" t="e">
        <f>IF(AG367=AH367,VLOOKUP(E367,'Tablas Técnicas'!$A$14:$V$771,13,FALSE),0)</f>
        <v>#N/A</v>
      </c>
      <c r="AJ367" s="1162" t="e">
        <f>VLOOKUP(E367,'Tablas Técnicas'!$A$14:$V$771,14,FALSE)</f>
        <v>#N/A</v>
      </c>
      <c r="AK367" s="1162" t="e">
        <f>IF(AG367=AJ367,VLOOKUP(E367,'Tablas Técnicas'!$A$14:$V$771,15,FALSE),0)</f>
        <v>#N/A</v>
      </c>
      <c r="AL367" s="1162" t="e">
        <f>VLOOKUP(E367,'Tablas Técnicas'!$A$14:$V$771,16,FALSE)</f>
        <v>#N/A</v>
      </c>
      <c r="AM367" s="1162" t="e">
        <f>IF(AG367=AL367,VLOOKUP(E367,'Tablas Técnicas'!$A$14:$V$771,17,FALSE),0)</f>
        <v>#N/A</v>
      </c>
      <c r="AN367" s="1162" t="e">
        <f>VLOOKUP(E367,'Tablas Técnicas'!$A$14:$V$771,18,FALSE)</f>
        <v>#N/A</v>
      </c>
      <c r="AO367" s="1162" t="e">
        <f>IF(AG367=AN367,VLOOKUP(E367,'Tablas Técnicas'!$A$14:$V$771,19,FALSE),0)</f>
        <v>#N/A</v>
      </c>
      <c r="AP367" s="2620" t="str">
        <f>IF(E367=0,"",(AI367+AK367+AM367+AO367))</f>
        <v/>
      </c>
      <c r="AQ367" s="1144"/>
      <c r="AR367" s="1162" t="e">
        <f>VLOOKUP(E367,'Tablas Técnicas'!$A$14:$V$771,12,FALSE)</f>
        <v>#N/A</v>
      </c>
      <c r="AS367" s="1162" t="e">
        <f>IF(AQ367=AR367,VLOOKUP(E367,'Tablas Técnicas'!$A$14:$V$771,13,FALSE),0)</f>
        <v>#N/A</v>
      </c>
      <c r="AT367" s="1162" t="e">
        <f>VLOOKUP(E367,'Tablas Técnicas'!$A$14:$V$771,14,FALSE)</f>
        <v>#N/A</v>
      </c>
      <c r="AU367" s="1162" t="e">
        <f>IF(AQ367=AT367,VLOOKUP(E367,'Tablas Técnicas'!$A$14:$V$771,15,FALSE),0)</f>
        <v>#N/A</v>
      </c>
      <c r="AV367" s="1162" t="e">
        <f>VLOOKUP(E367,'Tablas Técnicas'!$A$14:$V$771,16,FALSE)</f>
        <v>#N/A</v>
      </c>
      <c r="AW367" s="1162" t="e">
        <f>IF(AQ367=AV367,VLOOKUP(E367,'Tablas Técnicas'!$A$14:$V$771,17,FALSE),0)</f>
        <v>#N/A</v>
      </c>
      <c r="AX367" s="1162" t="e">
        <f>VLOOKUP(E367,'Tablas Técnicas'!$A$14:$V$771,18,FALSE)</f>
        <v>#N/A</v>
      </c>
      <c r="AY367" s="1162" t="e">
        <f>IF(AQ367=AX367,VLOOKUP(E367,'Tablas Técnicas'!$A$14:$V$771,19,FALSE),0)</f>
        <v>#N/A</v>
      </c>
      <c r="AZ367" s="1163" t="str">
        <f>IF(E367=0,"",(AS367+AU367+AW367+AY367))</f>
        <v/>
      </c>
      <c r="BA367" s="1144"/>
      <c r="BB367" s="1162" t="e">
        <f>VLOOKUP(E367,'Tablas Técnicas'!$A$14:$V$771,12,FALSE)</f>
        <v>#N/A</v>
      </c>
      <c r="BC367" s="1162" t="e">
        <f>IF(BA367=BB367,VLOOKUP(E367,'Tablas Técnicas'!$A$14:$V$771,13,FALSE),0)</f>
        <v>#N/A</v>
      </c>
      <c r="BD367" s="1162" t="e">
        <f>VLOOKUP(E367,'Tablas Técnicas'!$A$14:$V$771,14,FALSE)</f>
        <v>#N/A</v>
      </c>
      <c r="BE367" s="1162" t="e">
        <f>IF(BA367=BD367,VLOOKUP(E367,'Tablas Técnicas'!$A$14:$V$771,15,FALSE),0)</f>
        <v>#N/A</v>
      </c>
      <c r="BF367" s="1162" t="e">
        <f>VLOOKUP(E367,'Tablas Técnicas'!$A$14:$V$771,16,FALSE)</f>
        <v>#N/A</v>
      </c>
      <c r="BG367" s="1162" t="e">
        <f>IF(BA367=BF367,VLOOKUP(E367,'Tablas Técnicas'!$A$14:$V$771,17,FALSE),0)</f>
        <v>#N/A</v>
      </c>
      <c r="BH367" s="1162" t="e">
        <f>VLOOKUP(E367,'Tablas Técnicas'!$A$14:$V$771,18,FALSE)</f>
        <v>#N/A</v>
      </c>
      <c r="BI367" s="1162" t="e">
        <f>IF(BA367=BH367,VLOOKUP(E367,'Tablas Técnicas'!$A$14:$V$771,19,FALSE),0)</f>
        <v>#N/A</v>
      </c>
      <c r="BJ367" s="2620" t="str">
        <f>IF(E367=0,"",(BC367+BE367+BG367+BI367))</f>
        <v/>
      </c>
      <c r="BK367" s="1190" t="str">
        <f>IF(E367=0,"",VLOOKUP(E367,'Tablas Técnicas'!$A$14:$V$771,20,FALSE))</f>
        <v/>
      </c>
      <c r="BL367" s="1177" t="str">
        <f>IF(E367=0,"",VLOOKUP(E367,'Tablas Técnicas'!$A$14:$V$771,21,FALSE))</f>
        <v/>
      </c>
      <c r="BM367" s="1148" t="str">
        <f>IF(E367=0,"",VLOOKUP(E367,'Tablas Técnicas'!$A$14:$V$771,22,FALSE))</f>
        <v/>
      </c>
      <c r="BN367" s="1149"/>
      <c r="BO367" s="1150"/>
      <c r="BP367" s="1135" t="str">
        <f>IF(I367="Si",VLOOKUP($D$8,'Tablas Técnicas'!$E$4:$F$6,2,FALSE),"")</f>
        <v/>
      </c>
      <c r="BQ367" s="1136" t="str">
        <f>IF(L367="Si",VLOOKUP($D$8,'Tablas Técnicas'!$I$4:$J$6,2,FALSE),"")</f>
        <v/>
      </c>
      <c r="BR367" s="1134" t="str">
        <f>IF(O367="Si",VLOOKUP($D$8,'Tablas Técnicas'!$I$7:$J$9,2,FALSE),"")</f>
        <v/>
      </c>
      <c r="BS367" s="1151"/>
      <c r="BU367" s="4442"/>
      <c r="BV367" s="4442"/>
      <c r="BW367" s="4442"/>
      <c r="BX367" s="1108"/>
      <c r="BY367" s="1475"/>
      <c r="BZ367" s="1492"/>
      <c r="CA367" s="1096"/>
      <c r="DR367" s="1096"/>
      <c r="DT367" s="1515"/>
      <c r="DU367" s="1618" t="str">
        <f>DU343&amp;DU344&amp;DU345&amp;DU346&amp;DU347&amp;DU348</f>
        <v/>
      </c>
      <c r="DV367" s="1619" t="str">
        <f>DV343&amp;DV344&amp;DV345&amp;DV346&amp;DV347&amp;DV349&amp;DV350&amp;DV351&amp;DV352&amp;DV353&amp;DV355&amp;DV356&amp;DV357&amp;DV358&amp;DV359&amp;DV361&amp;DV362&amp;DV363&amp;DV364&amp;DV365</f>
        <v/>
      </c>
      <c r="DW367" s="1620" t="str">
        <f>DW343&amp;DW344&amp;DW345</f>
        <v/>
      </c>
      <c r="DX367" s="1621" t="str">
        <f>IF(DX349="",DX343,DX349)</f>
        <v/>
      </c>
      <c r="DY367" s="1516"/>
      <c r="DZ367" s="1096"/>
      <c r="EA367" s="1660">
        <f t="shared" si="5"/>
        <v>1</v>
      </c>
    </row>
    <row r="368" spans="1:131" x14ac:dyDescent="0.2">
      <c r="A368" s="1096"/>
      <c r="B368" s="1096"/>
      <c r="C368" s="1497"/>
      <c r="D368" s="1642" t="s">
        <v>2310</v>
      </c>
      <c r="E368" s="1152"/>
      <c r="F368" s="1182"/>
      <c r="G368" s="1627" t="str">
        <f>IF(E368=0,"",VLOOKUP(E368,'Tablas Técnicas'!$A$14:$V$771,3,FALSE))</f>
        <v/>
      </c>
      <c r="H368" s="1155" t="str">
        <f>IF($E368=0,"",VLOOKUP($E368,'Tablas Técnicas'!$A$14:$V$771,4,FALSE))</f>
        <v/>
      </c>
      <c r="I368" s="1156" t="s">
        <v>2234</v>
      </c>
      <c r="J368" s="1605" t="str">
        <f>IF(E368=0,"",VLOOKUP(E368,'Tablas Técnicas'!$A$14:$V$771,5,FALSE))</f>
        <v/>
      </c>
      <c r="K368" s="1158" t="str">
        <f>IF(I368="Si",IF(E368=0,"",VLOOKUP(E368,'Tablas Técnicas'!$A$14:$V$771,5,FALSE)),"")</f>
        <v/>
      </c>
      <c r="L368" s="1156" t="s">
        <v>2234</v>
      </c>
      <c r="M368" s="1605" t="str">
        <f>IF(E368=0,"",VLOOKUP(E368,'Tablas Técnicas'!$A$14:$V$771,6,FALSE))</f>
        <v/>
      </c>
      <c r="N368" s="1159" t="str">
        <f>IF(L368="Si",IF(E368=0,"",VLOOKUP(E368,'Tablas Técnicas'!$A$14:$V$771,6,FALSE)),"")</f>
        <v/>
      </c>
      <c r="O368" s="1156" t="s">
        <v>2234</v>
      </c>
      <c r="P368" s="1605" t="str">
        <f>IF(E368=0,"",VLOOKUP(E368,'Tablas Técnicas'!$A$14:$V$771,7,FALSE))</f>
        <v/>
      </c>
      <c r="Q368" s="1159" t="str">
        <f>IF(O368="Si",IF(E368=0,"",VLOOKUP(E368,'Tablas Técnicas'!$A$14:$V$771,7,FALSE)),"")</f>
        <v/>
      </c>
      <c r="R368" s="1157" t="str">
        <f>IF(E368=0,"",VLOOKUP(E368,'Tablas Técnicas'!$A$14:$V$771,8,FALSE))</f>
        <v/>
      </c>
      <c r="S368" s="1155" t="str">
        <f>IF(R368=$D$8,$D$8,IF(R368=2,2,IF(R368=3,3,R368)))</f>
        <v/>
      </c>
      <c r="T368" s="4475" t="s">
        <v>5228</v>
      </c>
      <c r="U368" s="4476"/>
      <c r="V368" s="4476"/>
      <c r="W368" s="4476"/>
      <c r="X368" s="4476"/>
      <c r="Y368" s="4476"/>
      <c r="Z368" s="4476"/>
      <c r="AA368" s="4476"/>
      <c r="AB368" s="4476"/>
      <c r="AC368" s="4476"/>
      <c r="AD368" s="4476"/>
      <c r="AE368" s="4476"/>
      <c r="AF368" s="4476"/>
      <c r="AG368" s="4476"/>
      <c r="AH368" s="4476"/>
      <c r="AI368" s="4476"/>
      <c r="AJ368" s="4476"/>
      <c r="AK368" s="4476"/>
      <c r="AL368" s="4476"/>
      <c r="AM368" s="4476"/>
      <c r="AN368" s="4476"/>
      <c r="AO368" s="4476"/>
      <c r="AP368" s="4476"/>
      <c r="AQ368" s="4476"/>
      <c r="AR368" s="4476"/>
      <c r="AS368" s="4476"/>
      <c r="AT368" s="4476"/>
      <c r="AU368" s="4476"/>
      <c r="AV368" s="4476"/>
      <c r="AW368" s="4476"/>
      <c r="AX368" s="4476"/>
      <c r="AY368" s="4476"/>
      <c r="AZ368" s="4476"/>
      <c r="BA368" s="4476"/>
      <c r="BB368" s="4476"/>
      <c r="BC368" s="4476"/>
      <c r="BD368" s="4476"/>
      <c r="BE368" s="4476"/>
      <c r="BF368" s="4476"/>
      <c r="BG368" s="4476"/>
      <c r="BH368" s="4476"/>
      <c r="BI368" s="4476"/>
      <c r="BJ368" s="4476"/>
      <c r="BK368" s="4477"/>
      <c r="BL368" s="1627"/>
      <c r="BM368" s="1628"/>
      <c r="BN368" s="1149"/>
      <c r="BO368" s="1150"/>
      <c r="BP368" s="1135" t="str">
        <f>IF(I368="Si",VLOOKUP($D$8,'Tablas Técnicas'!$E$4:$F$6,2,FALSE),"")</f>
        <v/>
      </c>
      <c r="BQ368" s="1136" t="str">
        <f>IF(L368="Si",VLOOKUP($D$8,'Tablas Técnicas'!$I$4:$J$6,2,FALSE),"")</f>
        <v/>
      </c>
      <c r="BR368" s="1134" t="str">
        <f>IF(O368="Si",VLOOKUP($D$8,'Tablas Técnicas'!$I$7:$J$9,2,FALSE),"")</f>
        <v/>
      </c>
      <c r="BS368" s="1151"/>
      <c r="BT368" s="1194"/>
      <c r="BU368" s="1232"/>
      <c r="BV368" s="1232"/>
      <c r="BW368" s="1232"/>
      <c r="BX368" s="1108"/>
      <c r="BY368" s="1474"/>
      <c r="BZ368" s="1492"/>
      <c r="CA368" s="1096"/>
      <c r="DR368" s="1096"/>
      <c r="DT368" s="1514"/>
      <c r="DU368" s="1567"/>
      <c r="DV368" s="1566" t="str">
        <f>IF(E368="","",E368)&amp;IF(I368="No",""," (Mant.)")&amp;IF(L368="No",""," (Sme)")&amp;IF(O368="No",""," (SMa)")</f>
        <v/>
      </c>
      <c r="DW368" s="1567"/>
      <c r="DX368" s="1567"/>
      <c r="DY368" s="1513"/>
      <c r="DZ368" s="1096"/>
      <c r="EA368" s="1660">
        <f t="shared" si="5"/>
        <v>1</v>
      </c>
    </row>
    <row r="369" spans="1:131" x14ac:dyDescent="0.2">
      <c r="A369" s="1096"/>
      <c r="B369" s="1096"/>
      <c r="C369" s="1497"/>
      <c r="D369" s="1643" t="s">
        <v>2310</v>
      </c>
      <c r="E369" s="1160"/>
      <c r="F369" s="1176"/>
      <c r="G369" s="1146" t="str">
        <f>IF(E369=0,"",VLOOKUP(E369,'Tablas Técnicas'!$A$14:$V$771,3,FALSE))</f>
        <v/>
      </c>
      <c r="H369" s="2619" t="str">
        <f>IF($E369=0,"",VLOOKUP($E369,'Tablas Técnicas'!$A$14:$V$771,4,FALSE))</f>
        <v/>
      </c>
      <c r="I369" s="1144" t="s">
        <v>2234</v>
      </c>
      <c r="J369" s="1601" t="str">
        <f>IF(E369=0,"",VLOOKUP(E369,'Tablas Técnicas'!$A$14:$V$771,5,FALSE))</f>
        <v/>
      </c>
      <c r="K369" s="1163" t="str">
        <f>IF(I369="Si",IF(E369=0,"",VLOOKUP(E369,'Tablas Técnicas'!$A$14:$V$771,5,FALSE)),"")</f>
        <v/>
      </c>
      <c r="L369" s="1144" t="s">
        <v>2234</v>
      </c>
      <c r="M369" s="1601" t="str">
        <f>IF(E369=0,"",VLOOKUP(E369,'Tablas Técnicas'!$A$14:$V$771,6,FALSE))</f>
        <v/>
      </c>
      <c r="N369" s="1147" t="str">
        <f>IF(L369="Si",IF(E369=0,"",VLOOKUP(E369,'Tablas Técnicas'!$A$14:$V$771,6,FALSE)),"")</f>
        <v/>
      </c>
      <c r="O369" s="1144" t="s">
        <v>2234</v>
      </c>
      <c r="P369" s="1601" t="str">
        <f>IF(E369=0,"",VLOOKUP(E369,'Tablas Técnicas'!$A$14:$V$771,7,FALSE))</f>
        <v/>
      </c>
      <c r="Q369" s="1147" t="str">
        <f>IF(O369="Si",IF(E369=0,"",VLOOKUP(E369,'Tablas Técnicas'!$A$14:$V$771,7,FALSE)),"")</f>
        <v/>
      </c>
      <c r="R369" s="1162" t="str">
        <f>IF(E369=0,"",VLOOKUP(E369,'Tablas Técnicas'!$A$14:$V$771,8,FALSE))</f>
        <v/>
      </c>
      <c r="S369" s="2619" t="str">
        <f>IF(R369=$D$8,$D$8,IF(R369=2,2,IF(R369=3,3,R369)))</f>
        <v/>
      </c>
      <c r="T369" s="4487"/>
      <c r="U369" s="4488"/>
      <c r="V369" s="2617" t="str">
        <f>IF(OR(V367=0,V367=""),"N/A",V367)</f>
        <v>N/A</v>
      </c>
      <c r="W369" s="4487" t="str">
        <f xml:space="preserve"> IF(OR(AF367=0,AF367=""),"N/A",W367)</f>
        <v>N/A</v>
      </c>
      <c r="X369" s="4489"/>
      <c r="Y369" s="4489"/>
      <c r="Z369" s="4489"/>
      <c r="AA369" s="4489"/>
      <c r="AB369" s="4489"/>
      <c r="AC369" s="4489"/>
      <c r="AD369" s="4489"/>
      <c r="AE369" s="4489"/>
      <c r="AF369" s="4488"/>
      <c r="AG369" s="4487" t="str">
        <f xml:space="preserve"> IF(OR(AP367="",AP367=0),"N/A",AG367)</f>
        <v>N/A</v>
      </c>
      <c r="AH369" s="4489"/>
      <c r="AI369" s="4489"/>
      <c r="AJ369" s="4489"/>
      <c r="AK369" s="4489"/>
      <c r="AL369" s="4489"/>
      <c r="AM369" s="4489"/>
      <c r="AN369" s="4489"/>
      <c r="AO369" s="4489"/>
      <c r="AP369" s="4488"/>
      <c r="AQ369" s="4487" t="str">
        <f xml:space="preserve"> IF(OR(AZ367="",AZ367=0),"N/A",AQ367)</f>
        <v>N/A</v>
      </c>
      <c r="AR369" s="4489"/>
      <c r="AS369" s="4489"/>
      <c r="AT369" s="4489"/>
      <c r="AU369" s="4489"/>
      <c r="AV369" s="4489"/>
      <c r="AW369" s="4489"/>
      <c r="AX369" s="4489"/>
      <c r="AY369" s="4489"/>
      <c r="AZ369" s="4488"/>
      <c r="BA369" s="4487" t="str">
        <f xml:space="preserve"> IF(OR(BJ367="",BJ367=0),"N/A",BA367)</f>
        <v>N/A</v>
      </c>
      <c r="BB369" s="4489"/>
      <c r="BC369" s="4489"/>
      <c r="BD369" s="4489"/>
      <c r="BE369" s="4489"/>
      <c r="BF369" s="4489"/>
      <c r="BG369" s="4489"/>
      <c r="BH369" s="4489"/>
      <c r="BI369" s="4489"/>
      <c r="BJ369" s="4488"/>
      <c r="BK369" s="1164" t="s">
        <v>5229</v>
      </c>
      <c r="BL369" s="1146"/>
      <c r="BM369" s="1181"/>
      <c r="BN369" s="1165"/>
      <c r="BO369" s="1166"/>
      <c r="BP369" s="1167" t="str">
        <f>IF(I369="Si",VLOOKUP($D$8,'Tablas Técnicas'!$E$4:$F$6,2,FALSE),"")</f>
        <v/>
      </c>
      <c r="BQ369" s="1137" t="str">
        <f>IF(L369="Si",VLOOKUP($D$8,'Tablas Técnicas'!$I$4:$J$6,2,FALSE),"")</f>
        <v/>
      </c>
      <c r="BR369" s="1168" t="str">
        <f>IF(O369="Si",VLOOKUP($D$8,'Tablas Técnicas'!$I$7:$J$9,2,FALSE),"")</f>
        <v/>
      </c>
      <c r="BS369" s="1151"/>
      <c r="BU369" s="4443"/>
      <c r="BV369" s="4443"/>
      <c r="BW369" s="4443"/>
      <c r="BX369" s="1108"/>
      <c r="BY369" s="1474"/>
      <c r="BZ369" s="1492"/>
      <c r="CA369" s="1096"/>
      <c r="DR369" s="1096"/>
      <c r="DT369" s="1514"/>
      <c r="DU369" s="1567"/>
      <c r="DV369" s="1566" t="str">
        <f>IF(E369="","",E369)&amp;IF(I369="No",""," (Mant.)")&amp;IF(L369="No",""," (Sme)")&amp;IF(O369="No",""," (SMa)")</f>
        <v/>
      </c>
      <c r="DW369" s="1567"/>
      <c r="DX369" s="1567"/>
      <c r="DY369" s="1513"/>
      <c r="DZ369" s="1096"/>
      <c r="EA369" s="1660">
        <f t="shared" si="5"/>
        <v>1</v>
      </c>
    </row>
    <row r="370" spans="1:131" x14ac:dyDescent="0.2">
      <c r="A370" s="1096"/>
      <c r="B370" s="1096"/>
      <c r="C370" s="1497"/>
      <c r="D370" s="1642" t="s">
        <v>2310</v>
      </c>
      <c r="E370" s="1152"/>
      <c r="F370" s="1182"/>
      <c r="G370" s="1627" t="str">
        <f>IF(E370=0,"",VLOOKUP(E370,'Tablas Técnicas'!$A$14:$V$771,3,FALSE))</f>
        <v/>
      </c>
      <c r="H370" s="1155" t="str">
        <f>IF($E370=0,"",VLOOKUP($E370,'Tablas Técnicas'!$A$14:$V$771,4,FALSE))</f>
        <v/>
      </c>
      <c r="I370" s="1156" t="s">
        <v>2234</v>
      </c>
      <c r="J370" s="1605" t="str">
        <f>IF(E370=0,"",VLOOKUP(E370,'Tablas Técnicas'!$A$14:$V$771,5,FALSE))</f>
        <v/>
      </c>
      <c r="K370" s="1158" t="str">
        <f>IF(I370="Si",IF(E370=0,"",VLOOKUP(E370,'Tablas Técnicas'!$A$14:$V$771,5,FALSE)),"")</f>
        <v/>
      </c>
      <c r="L370" s="1156" t="s">
        <v>2234</v>
      </c>
      <c r="M370" s="1605" t="str">
        <f>IF(E370=0,"",VLOOKUP(E370,'Tablas Técnicas'!$A$14:$V$771,6,FALSE))</f>
        <v/>
      </c>
      <c r="N370" s="1159" t="str">
        <f>IF(L370="Si",IF(E370=0,"",VLOOKUP(E370,'Tablas Técnicas'!$A$14:$V$771,6,FALSE)),"")</f>
        <v/>
      </c>
      <c r="O370" s="1156" t="s">
        <v>2234</v>
      </c>
      <c r="P370" s="1605" t="str">
        <f>IF(E370=0,"",VLOOKUP(E370,'Tablas Técnicas'!$A$14:$V$771,7,FALSE))</f>
        <v/>
      </c>
      <c r="Q370" s="1159" t="str">
        <f>IF(O370="Si",IF(E370=0,"",VLOOKUP(E370,'Tablas Técnicas'!$A$14:$V$771,7,FALSE)),"")</f>
        <v/>
      </c>
      <c r="R370" s="1157" t="str">
        <f>IF(E370=0,"",VLOOKUP(E370,'Tablas Técnicas'!$A$14:$V$771,8,FALSE))</f>
        <v/>
      </c>
      <c r="S370" s="1155" t="str">
        <f>IF(R370=$D$8,$D$8,IF(R370=2,2,IF(R370=3,3,R370)))</f>
        <v/>
      </c>
      <c r="T370" s="4490" t="s">
        <v>5230</v>
      </c>
      <c r="U370" s="4491"/>
      <c r="V370" s="2618"/>
      <c r="W370" s="4492"/>
      <c r="X370" s="4493"/>
      <c r="Y370" s="4493"/>
      <c r="Z370" s="4493"/>
      <c r="AA370" s="4493"/>
      <c r="AB370" s="4493"/>
      <c r="AC370" s="4493"/>
      <c r="AD370" s="4493"/>
      <c r="AE370" s="4493"/>
      <c r="AF370" s="4494"/>
      <c r="AG370" s="4492"/>
      <c r="AH370" s="4493"/>
      <c r="AI370" s="4493"/>
      <c r="AJ370" s="4493"/>
      <c r="AK370" s="4493"/>
      <c r="AL370" s="4493"/>
      <c r="AM370" s="4493"/>
      <c r="AN370" s="4493"/>
      <c r="AO370" s="4493"/>
      <c r="AP370" s="4494"/>
      <c r="AQ370" s="4492"/>
      <c r="AR370" s="4493"/>
      <c r="AS370" s="4493"/>
      <c r="AT370" s="4493"/>
      <c r="AU370" s="4493"/>
      <c r="AV370" s="4493"/>
      <c r="AW370" s="4493"/>
      <c r="AX370" s="4493"/>
      <c r="AY370" s="4493"/>
      <c r="AZ370" s="4494"/>
      <c r="BA370" s="4492"/>
      <c r="BB370" s="4493"/>
      <c r="BC370" s="4493"/>
      <c r="BD370" s="4493"/>
      <c r="BE370" s="4493"/>
      <c r="BF370" s="4493"/>
      <c r="BG370" s="4493"/>
      <c r="BH370" s="4493"/>
      <c r="BI370" s="4493"/>
      <c r="BJ370" s="4494"/>
      <c r="BK370" s="1155">
        <f>(SUM(G367:G371)+IF(AF367="",0,AF367)+IF(AP367="",0,AP367)+IF(AZ367="",0,AZ367)+IF(BJ367="",0,BJ367)+SUM(K367:K371)+SUM(N367:N371)+SUM(Q367:Q371))- SUM(V370:BA370)</f>
        <v>0</v>
      </c>
      <c r="BL370" s="1627"/>
      <c r="BM370" s="1628"/>
      <c r="BN370" s="1149"/>
      <c r="BO370" s="1150"/>
      <c r="BP370" s="1135" t="str">
        <f>IF(I370="Si",VLOOKUP($D$8,'Tablas Técnicas'!$E$4:$F$6,2,FALSE),"")</f>
        <v/>
      </c>
      <c r="BQ370" s="1136" t="str">
        <f>IF(L370="Si",VLOOKUP($D$8,'Tablas Técnicas'!$I$4:$J$6,2,FALSE),"")</f>
        <v/>
      </c>
      <c r="BR370" s="1134" t="str">
        <f>IF(O370="Si",VLOOKUP($D$8,'Tablas Técnicas'!$I$7:$J$9,2,FALSE),"")</f>
        <v/>
      </c>
      <c r="BS370" s="1151"/>
      <c r="BU370" s="1232"/>
      <c r="BV370" s="1232"/>
      <c r="BW370" s="1232"/>
      <c r="BX370" s="1108"/>
      <c r="BY370" s="1474"/>
      <c r="BZ370" s="1492"/>
      <c r="CA370" s="1100"/>
      <c r="DR370" s="1100"/>
      <c r="DT370" s="1514"/>
      <c r="DU370" s="1622"/>
      <c r="DV370" s="1566" t="str">
        <f>IF(E370="","",E370)&amp;IF(I370="No",""," (Mant.)")&amp;IF(L370="No",""," (Sme)")&amp;IF(O370="No",""," (SMa)")</f>
        <v/>
      </c>
      <c r="DW370" s="1622"/>
      <c r="DX370" s="1622"/>
      <c r="DY370" s="1513"/>
      <c r="DZ370" s="1100"/>
      <c r="EA370" s="1660">
        <f t="shared" si="5"/>
        <v>1</v>
      </c>
    </row>
    <row r="371" spans="1:131" x14ac:dyDescent="0.2">
      <c r="A371" s="1096"/>
      <c r="B371" s="1096"/>
      <c r="C371" s="1497"/>
      <c r="D371" s="1643" t="s">
        <v>2310</v>
      </c>
      <c r="E371" s="1160"/>
      <c r="F371" s="1176"/>
      <c r="G371" s="1146" t="str">
        <f>IF(E371=0,"",VLOOKUP(E371,'Tablas Técnicas'!$A$14:$V$771,3,FALSE))</f>
        <v/>
      </c>
      <c r="H371" s="1161" t="str">
        <f>IF($E371=0,"",VLOOKUP($E371,'Tablas Técnicas'!$A$14:$V$771,4,FALSE))</f>
        <v/>
      </c>
      <c r="I371" s="1144" t="s">
        <v>2234</v>
      </c>
      <c r="J371" s="1601" t="str">
        <f>IF(E371=0,"",VLOOKUP(E371,'Tablas Técnicas'!$A$14:$V$771,5,FALSE))</f>
        <v/>
      </c>
      <c r="K371" s="1163" t="str">
        <f>IF(I371="Si",IF(E371=0,"",VLOOKUP(E371,'Tablas Técnicas'!$A$14:$V$771,5,FALSE)),"")</f>
        <v/>
      </c>
      <c r="L371" s="1144" t="s">
        <v>2234</v>
      </c>
      <c r="M371" s="1601" t="str">
        <f>IF(E371=0,"",VLOOKUP(E371,'Tablas Técnicas'!$A$14:$V$771,6,FALSE))</f>
        <v/>
      </c>
      <c r="N371" s="1147" t="str">
        <f>IF(L371="Si",IF(E371=0,"",VLOOKUP(E371,'Tablas Técnicas'!$A$14:$V$771,6,FALSE)),"")</f>
        <v/>
      </c>
      <c r="O371" s="1144" t="s">
        <v>2234</v>
      </c>
      <c r="P371" s="1601" t="str">
        <f>IF(E371=0,"",VLOOKUP(E371,'Tablas Técnicas'!$A$14:$V$771,7,FALSE))</f>
        <v/>
      </c>
      <c r="Q371" s="1147" t="str">
        <f>IF(O371="Si",IF(E371=0,"",VLOOKUP(E371,'Tablas Técnicas'!$A$14:$V$771,7,FALSE)),"")</f>
        <v/>
      </c>
      <c r="R371" s="1162" t="str">
        <f>IF(E371=0,"",VLOOKUP(E371,'Tablas Técnicas'!$A$14:$V$771,8,FALSE))</f>
        <v/>
      </c>
      <c r="S371" s="1161" t="str">
        <f>IF(R371=$D$8,$D$8,IF(R371=2,2,IF(R371=3,3,R371)))</f>
        <v/>
      </c>
      <c r="T371" s="4495" t="s">
        <v>5232</v>
      </c>
      <c r="U371" s="4496"/>
      <c r="V371" s="2621"/>
      <c r="W371" s="4497"/>
      <c r="X371" s="4498"/>
      <c r="Y371" s="4498"/>
      <c r="Z371" s="4498"/>
      <c r="AA371" s="4498"/>
      <c r="AB371" s="4498"/>
      <c r="AC371" s="4498"/>
      <c r="AD371" s="4498"/>
      <c r="AE371" s="4498"/>
      <c r="AF371" s="4499"/>
      <c r="AG371" s="4497"/>
      <c r="AH371" s="4498"/>
      <c r="AI371" s="4498"/>
      <c r="AJ371" s="4498"/>
      <c r="AK371" s="4498"/>
      <c r="AL371" s="4498"/>
      <c r="AM371" s="4498"/>
      <c r="AN371" s="4498"/>
      <c r="AO371" s="4498"/>
      <c r="AP371" s="4499"/>
      <c r="AQ371" s="4497"/>
      <c r="AR371" s="4498"/>
      <c r="AS371" s="4498"/>
      <c r="AT371" s="4498"/>
      <c r="AU371" s="4498"/>
      <c r="AV371" s="4498"/>
      <c r="AW371" s="4498"/>
      <c r="AX371" s="4498"/>
      <c r="AY371" s="4498"/>
      <c r="AZ371" s="4499"/>
      <c r="BA371" s="4497"/>
      <c r="BB371" s="4498"/>
      <c r="BC371" s="4498"/>
      <c r="BD371" s="4498"/>
      <c r="BE371" s="4498"/>
      <c r="BF371" s="4498"/>
      <c r="BG371" s="4498"/>
      <c r="BH371" s="4498"/>
      <c r="BI371" s="4498"/>
      <c r="BJ371" s="4499"/>
      <c r="BK371" s="1161">
        <f>SUM(K367:K371)-SUM(V371:BA371)</f>
        <v>0</v>
      </c>
      <c r="BL371" s="1146"/>
      <c r="BM371" s="1181"/>
      <c r="BN371" s="1165"/>
      <c r="BO371" s="1166"/>
      <c r="BP371" s="1167" t="str">
        <f>IF(I371="Si",VLOOKUP($D$8,'Tablas Técnicas'!$E$4:$F$6,2,FALSE),"")</f>
        <v/>
      </c>
      <c r="BQ371" s="1137" t="str">
        <f>IF(L371="Si",VLOOKUP($D$8,'Tablas Técnicas'!$I$4:$J$6,2,FALSE),"")</f>
        <v/>
      </c>
      <c r="BR371" s="1168" t="str">
        <f>IF(O371="Si",VLOOKUP($D$8,'Tablas Técnicas'!$I$7:$J$9,2,FALSE),"")</f>
        <v/>
      </c>
      <c r="BS371" s="1151"/>
      <c r="BU371" s="1232"/>
      <c r="BV371" s="1232"/>
      <c r="BW371" s="1232"/>
      <c r="BX371" s="1108"/>
      <c r="BY371" s="1474"/>
      <c r="BZ371" s="1492"/>
      <c r="CA371" s="1096"/>
      <c r="DR371" s="1096"/>
      <c r="DT371" s="1514"/>
      <c r="DU371" s="1567"/>
      <c r="DV371" s="1566" t="str">
        <f>IF(E371="","",E371)&amp;IF(I371="No",""," (Mant.)")&amp;IF(L371="No",""," (Sme)")&amp;IF(O371="No",""," (SMa)")</f>
        <v/>
      </c>
      <c r="DW371" s="1567"/>
      <c r="DX371" s="1567"/>
      <c r="DY371" s="1513"/>
      <c r="DZ371" s="1096"/>
      <c r="EA371" s="1660">
        <f t="shared" si="5"/>
        <v>1</v>
      </c>
    </row>
    <row r="372" spans="1:131" x14ac:dyDescent="0.2">
      <c r="A372" s="1096"/>
      <c r="B372" s="1096"/>
      <c r="C372" s="1497"/>
      <c r="D372" s="1645"/>
      <c r="E372" s="1594" t="s">
        <v>5239</v>
      </c>
      <c r="F372" s="1173"/>
      <c r="G372" s="1174"/>
      <c r="H372" s="2559">
        <f>IF(AND(OR(ISNUMBER(SEARCH("Afinidad Elemental ("&amp;BK367&amp;")",Principal!$AF$30)),ISNUMBER(SEARCH("Afinidad Elemental ("&amp;BL367&amp;")",Principal!$AF$30)),ISNUMBER(SEARCH("Afinidad Elemental ("&amp;BM367&amp;")",Principal!$AF$30))),SUM(H367:H371)&gt;=5),-5,0)</f>
        <v>0</v>
      </c>
      <c r="I372" s="1174"/>
      <c r="J372" s="1175"/>
      <c r="K372" s="1174"/>
      <c r="L372" s="1174"/>
      <c r="M372" s="1175"/>
      <c r="N372" s="1174"/>
      <c r="O372" s="1174"/>
      <c r="P372" s="1175"/>
      <c r="Q372" s="1174"/>
      <c r="R372" s="1175"/>
      <c r="S372" s="1174"/>
      <c r="T372" s="1174"/>
      <c r="U372" s="1195"/>
      <c r="V372" s="1195"/>
      <c r="W372" s="1195"/>
      <c r="X372" s="1195"/>
      <c r="Y372" s="1195"/>
      <c r="Z372" s="1195"/>
      <c r="AA372" s="1195"/>
      <c r="AB372" s="1195"/>
      <c r="AC372" s="1195"/>
      <c r="AD372" s="1195"/>
      <c r="AE372" s="1195"/>
      <c r="AF372" s="1195"/>
      <c r="AG372" s="1195"/>
      <c r="AH372" s="1195"/>
      <c r="AI372" s="1195"/>
      <c r="AJ372" s="1195"/>
      <c r="AK372" s="1195"/>
      <c r="AL372" s="1195"/>
      <c r="AM372" s="1195"/>
      <c r="AN372" s="1195"/>
      <c r="AO372" s="1195"/>
      <c r="AP372" s="1195"/>
      <c r="AQ372" s="1195"/>
      <c r="AR372" s="1195"/>
      <c r="AS372" s="1195"/>
      <c r="AT372" s="1195"/>
      <c r="AU372" s="1195"/>
      <c r="AV372" s="1195"/>
      <c r="AW372" s="1195"/>
      <c r="AX372" s="1195"/>
      <c r="AY372" s="1195"/>
      <c r="AZ372" s="1195"/>
      <c r="BA372" s="1195"/>
      <c r="BB372" s="1195"/>
      <c r="BC372" s="1195"/>
      <c r="BD372" s="1195"/>
      <c r="BE372" s="1195"/>
      <c r="BF372" s="1195"/>
      <c r="BG372" s="1195"/>
      <c r="BH372" s="1195"/>
      <c r="BI372" s="1195"/>
      <c r="BJ372" s="1195"/>
      <c r="BK372" s="4481"/>
      <c r="BL372" s="4481"/>
      <c r="BM372" s="4445"/>
      <c r="BN372" s="1134">
        <f>SUM(K372:K375)</f>
        <v>0</v>
      </c>
      <c r="BO372" s="1128">
        <f>IF(E372=0,"",(AF372+AP372+AZ372+BJ372))</f>
        <v>0</v>
      </c>
      <c r="BP372" s="1135" t="str">
        <f>IF(I372="Si",VLOOKUP($D$8,'Tablas Técnicas'!$E$4:$F$6,2,FALSE),"")</f>
        <v/>
      </c>
      <c r="BQ372" s="1136" t="str">
        <f>IF(L372="Si",VLOOKUP($D$8,'Tablas Técnicas'!$I$4:$J$6,2,FALSE),"")</f>
        <v/>
      </c>
      <c r="BR372" s="1134" t="str">
        <f>IF(O372="Si",VLOOKUP($D$8,'Tablas Técnicas'!$I$7:$J$9,2,FALSE),"")</f>
        <v/>
      </c>
      <c r="BS372" s="1151"/>
      <c r="BT372" s="4444" t="s">
        <v>5241</v>
      </c>
      <c r="BU372" s="4445"/>
      <c r="BV372" s="1128"/>
      <c r="BW372" s="1108"/>
      <c r="BX372" s="1108"/>
      <c r="BY372" s="1474"/>
      <c r="BZ372" s="1492"/>
      <c r="CA372" s="1096"/>
      <c r="DR372" s="1096"/>
      <c r="DT372" s="1514"/>
      <c r="DU372" s="1567"/>
      <c r="DV372" s="1567"/>
      <c r="DW372" s="1567"/>
      <c r="DX372" s="1567"/>
      <c r="DY372" s="1513"/>
      <c r="DZ372" s="1096"/>
      <c r="EA372" s="1660">
        <f t="shared" si="5"/>
        <v>1</v>
      </c>
    </row>
    <row r="373" spans="1:131" ht="12" x14ac:dyDescent="0.2">
      <c r="A373" s="1096"/>
      <c r="B373" s="1096"/>
      <c r="C373" s="1497"/>
      <c r="D373" s="1646" t="s">
        <v>5240</v>
      </c>
      <c r="E373" s="1140"/>
      <c r="F373" s="1163"/>
      <c r="G373" s="1163"/>
      <c r="H373" s="1161" t="str">
        <f>IF(D341=0,"",IF(E373=0,"",VLOOKUP(E373,'Tablas Técnicas'!$A$14:$V$771,4,FALSE)))</f>
        <v/>
      </c>
      <c r="I373" s="1163"/>
      <c r="J373" s="1163"/>
      <c r="K373" s="1196"/>
      <c r="L373" s="1163"/>
      <c r="M373" s="1163"/>
      <c r="N373" s="1196"/>
      <c r="O373" s="1163"/>
      <c r="P373" s="1163"/>
      <c r="Q373" s="1163"/>
      <c r="R373" s="1162" t="str">
        <f>IF(E373=0,"",VLOOKUP(E373,'Tablas Técnicas'!$A$14:$V$771,8,FALSE))</f>
        <v/>
      </c>
      <c r="S373" s="1188" t="str">
        <f>IF(R373=$D$8,$D$8,IF(R373=2,2,IF(R373=3,3,R373)))</f>
        <v/>
      </c>
      <c r="T373" s="1163" t="str">
        <f>IF(E373=0,"",VLOOKUP(E373,'Tablas Técnicas'!$A$14:$V$771,9,FALSE))</f>
        <v/>
      </c>
      <c r="U373" s="1190" t="str">
        <f>IF(E373=0,"",VLOOKUP(E373,'Tablas Técnicas'!$A$14:$V$771,10,FALSE))</f>
        <v/>
      </c>
      <c r="V373" s="1191"/>
      <c r="W373" s="1191"/>
      <c r="X373" s="1190"/>
      <c r="Y373" s="1190"/>
      <c r="Z373" s="1190"/>
      <c r="AA373" s="1190"/>
      <c r="AB373" s="1190"/>
      <c r="AC373" s="1190"/>
      <c r="AD373" s="1190"/>
      <c r="AE373" s="1190"/>
      <c r="AF373" s="1190"/>
      <c r="AG373" s="4478" t="str">
        <f>IF(OR(E373='Tablas Técnicas'!A$678,E373='Tablas Técnicas'!A$679,E374='Tablas Técnicas'!A$678,E374='Tablas Técnicas'!A$679,E375='Tablas Técnicas'!A$678,E375='Tablas Técnicas'!A$679),"Selecciona la atadura elemental:","")</f>
        <v/>
      </c>
      <c r="AH373" s="4479"/>
      <c r="AI373" s="4479"/>
      <c r="AJ373" s="4479"/>
      <c r="AK373" s="4479"/>
      <c r="AL373" s="4479"/>
      <c r="AM373" s="4479"/>
      <c r="AN373" s="4479"/>
      <c r="AO373" s="4479"/>
      <c r="AP373" s="4479"/>
      <c r="AQ373" s="4479"/>
      <c r="AR373" s="4479"/>
      <c r="AS373" s="4479"/>
      <c r="AT373" s="4479"/>
      <c r="AU373" s="4479"/>
      <c r="AV373" s="4479"/>
      <c r="AW373" s="4479"/>
      <c r="AX373" s="4479"/>
      <c r="AY373" s="4479"/>
      <c r="AZ373" s="4479"/>
      <c r="BA373" s="4479"/>
      <c r="BB373" s="4479"/>
      <c r="BC373" s="4479"/>
      <c r="BD373" s="4479"/>
      <c r="BE373" s="4479"/>
      <c r="BF373" s="4479"/>
      <c r="BG373" s="4479"/>
      <c r="BH373" s="4479"/>
      <c r="BI373" s="4479"/>
      <c r="BJ373" s="4479"/>
      <c r="BK373" s="4480"/>
      <c r="BL373" s="1631"/>
      <c r="BM373" s="1631"/>
      <c r="BN373" s="1163"/>
      <c r="BO373" s="1163"/>
      <c r="BP373" s="1196"/>
      <c r="BQ373" s="1163"/>
      <c r="BR373" s="1163"/>
      <c r="BS373" s="1163"/>
      <c r="BT373" s="4446">
        <f>D341</f>
        <v>1</v>
      </c>
      <c r="BU373" s="4447"/>
      <c r="BV373" s="1128">
        <f>IF(BV372=0,0,VLOOKUP(BV372,'Tablas Técnicas'!$M$4:$N$7,2,FALSE))</f>
        <v>0</v>
      </c>
      <c r="BW373" s="1108"/>
      <c r="BX373" s="1108"/>
      <c r="BY373" s="1474"/>
      <c r="BZ373" s="1492"/>
      <c r="CA373" s="1096"/>
      <c r="DR373" s="1096"/>
      <c r="DT373" s="1514"/>
      <c r="DU373" s="1567"/>
      <c r="DV373" s="1567"/>
      <c r="DW373" s="1567"/>
      <c r="DX373" s="1567"/>
      <c r="DY373" s="1513"/>
      <c r="DZ373" s="1096"/>
      <c r="EA373" s="1660">
        <f t="shared" si="5"/>
        <v>1</v>
      </c>
    </row>
    <row r="374" spans="1:131" x14ac:dyDescent="0.2">
      <c r="A374" s="1096"/>
      <c r="B374" s="1096"/>
      <c r="C374" s="1497"/>
      <c r="D374" s="1642" t="s">
        <v>5242</v>
      </c>
      <c r="E374" s="1197"/>
      <c r="F374" s="1595"/>
      <c r="G374" s="1596"/>
      <c r="H374" s="1153" t="str">
        <f>IF(VALUE(D341)&gt;1,IF(E374=0,"",VLOOKUP(E374,'Tablas Técnicas'!$A$14:$V$771,4,FALSE)),"")</f>
        <v/>
      </c>
      <c r="I374" s="1595"/>
      <c r="J374" s="1596"/>
      <c r="K374" s="1596"/>
      <c r="L374" s="1595"/>
      <c r="M374" s="1596"/>
      <c r="N374" s="1597"/>
      <c r="O374" s="1596"/>
      <c r="P374" s="1596"/>
      <c r="Q374" s="1596"/>
      <c r="R374" s="1157" t="str">
        <f>IF(E374=0,"",VLOOKUP(E374,'Tablas Técnicas'!$A$14:$V$771,8,FALSE))</f>
        <v/>
      </c>
      <c r="S374" s="1155" t="str">
        <f>IF(R374=$D$8,$D$8,IF(R374=2,2,IF(R374=3,3,R374)))</f>
        <v/>
      </c>
      <c r="T374" s="1158" t="str">
        <f>IF(E374=0,"",VLOOKUP(E374,'Tablas Técnicas'!$A$14:$V$771,9,FALSE))</f>
        <v/>
      </c>
      <c r="U374" s="1158" t="str">
        <f>IF(E374=0,"",VLOOKUP(E374,'Tablas Técnicas'!$A$14:$V$771,10,FALSE))</f>
        <v/>
      </c>
      <c r="V374" s="1595"/>
      <c r="W374" s="1595"/>
      <c r="X374" s="1596"/>
      <c r="Y374" s="1596"/>
      <c r="Z374" s="1596"/>
      <c r="AA374" s="1596"/>
      <c r="AB374" s="1596"/>
      <c r="AC374" s="1596"/>
      <c r="AD374" s="1596"/>
      <c r="AE374" s="1596"/>
      <c r="AF374" s="1596"/>
      <c r="AG374" s="1598"/>
      <c r="AH374" s="1599"/>
      <c r="AI374" s="1599"/>
      <c r="AJ374" s="1599"/>
      <c r="AK374" s="1599"/>
      <c r="AL374" s="1599"/>
      <c r="AM374" s="1599"/>
      <c r="AN374" s="1599"/>
      <c r="AO374" s="1599"/>
      <c r="AP374" s="1597"/>
      <c r="AQ374" s="1599"/>
      <c r="AR374" s="1599"/>
      <c r="AS374" s="1599"/>
      <c r="AT374" s="1599"/>
      <c r="AU374" s="1599"/>
      <c r="AV374" s="1599"/>
      <c r="AW374" s="1599"/>
      <c r="AX374" s="1599"/>
      <c r="AY374" s="1599"/>
      <c r="AZ374" s="1600"/>
      <c r="BA374" s="1596"/>
      <c r="BB374" s="1596"/>
      <c r="BC374" s="1596"/>
      <c r="BD374" s="1596"/>
      <c r="BE374" s="1596"/>
      <c r="BF374" s="1596"/>
      <c r="BG374" s="1596"/>
      <c r="BH374" s="1596"/>
      <c r="BI374" s="1596"/>
      <c r="BJ374" s="1597"/>
      <c r="BK374" s="1596"/>
      <c r="BL374" s="1632"/>
      <c r="BM374" s="1633"/>
      <c r="BN374" s="1596"/>
      <c r="BO374" s="1596"/>
      <c r="BP374" s="1597"/>
      <c r="BQ374" s="1596"/>
      <c r="BR374" s="1596"/>
      <c r="BS374" s="1596"/>
      <c r="BU374" s="2608"/>
      <c r="BV374" s="1128"/>
      <c r="BW374" s="1108"/>
      <c r="BX374" s="1108"/>
      <c r="BY374" s="1474"/>
      <c r="BZ374" s="1492"/>
      <c r="CA374" s="1096"/>
      <c r="DR374" s="1096"/>
      <c r="DT374" s="1514"/>
      <c r="DU374" s="1567"/>
      <c r="DV374" s="1567"/>
      <c r="DW374" s="1567"/>
      <c r="DX374" s="1567"/>
      <c r="DY374" s="1513"/>
      <c r="DZ374" s="1096"/>
      <c r="EA374" s="1660">
        <f t="shared" si="5"/>
        <v>1</v>
      </c>
    </row>
    <row r="375" spans="1:131" x14ac:dyDescent="0.2">
      <c r="A375" s="1096"/>
      <c r="B375" s="1096"/>
      <c r="C375" s="1497"/>
      <c r="D375" s="1647" t="s">
        <v>5243</v>
      </c>
      <c r="E375" s="1198"/>
      <c r="F375" s="2614"/>
      <c r="G375" s="1172"/>
      <c r="H375" s="1171" t="str">
        <f>IF(VALUE(D341)=3,IF(E375=0,"",VLOOKUP(E375,'Tablas Técnicas'!$A$14:$V$771,4,FALSE)),"")</f>
        <v/>
      </c>
      <c r="I375" s="1172"/>
      <c r="J375" s="1172"/>
      <c r="K375" s="1172"/>
      <c r="L375" s="2614"/>
      <c r="M375" s="1172"/>
      <c r="N375" s="1172"/>
      <c r="O375" s="2614"/>
      <c r="P375" s="1172"/>
      <c r="Q375" s="1172"/>
      <c r="R375" s="1193" t="str">
        <f>IF(E375=0,"",VLOOKUP(E375,'Tablas Técnicas'!$A$14:$V$771,8,FALSE))</f>
        <v/>
      </c>
      <c r="S375" s="1171" t="str">
        <f>IF(R375=$D$8,$D$8,IF(R375=2,2,IF(R375=3,3,R375)))</f>
        <v/>
      </c>
      <c r="T375" s="1172" t="str">
        <f>IF(E375=0,"",VLOOKUP(E375,'Tablas Técnicas'!$A$14:$V$771,9,FALSE))</f>
        <v/>
      </c>
      <c r="U375" s="1172" t="str">
        <f>IF(E375=0,"",VLOOKUP(E375,'Tablas Técnicas'!$A$14:$V$771,10,FALSE))</f>
        <v/>
      </c>
      <c r="V375" s="2614"/>
      <c r="W375" s="1486"/>
      <c r="X375" s="1486"/>
      <c r="Y375" s="1486"/>
      <c r="Z375" s="1486"/>
      <c r="AA375" s="1486"/>
      <c r="AB375" s="1486"/>
      <c r="AC375" s="1486"/>
      <c r="AD375" s="1486"/>
      <c r="AE375" s="1486"/>
      <c r="AF375" s="1487"/>
      <c r="AG375" s="2614"/>
      <c r="AH375" s="1172"/>
      <c r="AI375" s="1172"/>
      <c r="AJ375" s="1172"/>
      <c r="AK375" s="1172"/>
      <c r="AL375" s="1172"/>
      <c r="AM375" s="1172"/>
      <c r="AN375" s="1172"/>
      <c r="AO375" s="1172"/>
      <c r="AP375" s="2615"/>
      <c r="AQ375" s="1172"/>
      <c r="AR375" s="1172"/>
      <c r="AS375" s="1172"/>
      <c r="AT375" s="1172"/>
      <c r="AU375" s="1172"/>
      <c r="AV375" s="1172"/>
      <c r="AW375" s="1172"/>
      <c r="AX375" s="1172"/>
      <c r="AY375" s="1172"/>
      <c r="AZ375" s="2615"/>
      <c r="BA375" s="1172"/>
      <c r="BB375" s="1172"/>
      <c r="BC375" s="1172"/>
      <c r="BD375" s="1172"/>
      <c r="BE375" s="1172"/>
      <c r="BF375" s="1172"/>
      <c r="BG375" s="1172"/>
      <c r="BH375" s="1172"/>
      <c r="BI375" s="1172"/>
      <c r="BJ375" s="2615"/>
      <c r="BK375" s="1172"/>
      <c r="BL375" s="1629"/>
      <c r="BM375" s="1634"/>
      <c r="BN375" s="1172"/>
      <c r="BO375" s="1172"/>
      <c r="BP375" s="1172"/>
      <c r="BQ375" s="2614"/>
      <c r="BR375" s="1172"/>
      <c r="BS375" s="1172"/>
      <c r="BT375" s="2608"/>
      <c r="BU375" s="2608"/>
      <c r="BV375" s="1128">
        <f>IF(BV374=0,0,VLOOKUP(BV374,'Tablas Técnicas'!$M$4:$N$7,2,FALSE))</f>
        <v>0</v>
      </c>
      <c r="BW375" s="1108"/>
      <c r="BX375" s="1108"/>
      <c r="BY375" s="1474"/>
      <c r="BZ375" s="1492"/>
      <c r="CA375" s="1100"/>
      <c r="DR375" s="1100"/>
      <c r="DT375" s="1517"/>
      <c r="DU375" s="1623"/>
      <c r="DV375" s="1623"/>
      <c r="DW375" s="1623"/>
      <c r="DX375" s="1623"/>
      <c r="DY375" s="1518"/>
      <c r="DZ375" s="1100"/>
      <c r="EA375" s="1660">
        <f t="shared" si="5"/>
        <v>1</v>
      </c>
    </row>
    <row r="376" spans="1:131" x14ac:dyDescent="0.2">
      <c r="A376" s="1100"/>
      <c r="B376" s="1100"/>
      <c r="C376" s="1497"/>
      <c r="D376" s="1648"/>
      <c r="E376" s="1113"/>
      <c r="F376" s="1108"/>
      <c r="G376" s="1113"/>
      <c r="H376" s="1113"/>
      <c r="I376" s="1108"/>
      <c r="J376" s="1113"/>
      <c r="K376" s="1113"/>
      <c r="L376" s="1113"/>
      <c r="M376" s="1113"/>
      <c r="N376" s="1113"/>
      <c r="O376" s="1113"/>
      <c r="P376" s="1113"/>
      <c r="Q376" s="1113"/>
      <c r="R376" s="1113"/>
      <c r="S376" s="1113"/>
      <c r="T376" s="1113"/>
      <c r="U376" s="1113"/>
      <c r="V376" s="1113"/>
      <c r="W376" s="1113"/>
      <c r="X376" s="1113"/>
      <c r="Y376" s="1113"/>
      <c r="Z376" s="1113"/>
      <c r="AA376" s="1113"/>
      <c r="AB376" s="1113"/>
      <c r="AC376" s="1113"/>
      <c r="AD376" s="1113"/>
      <c r="AE376" s="1113"/>
      <c r="AF376" s="1113"/>
      <c r="AG376" s="1113"/>
      <c r="AH376" s="1113"/>
      <c r="AI376" s="1113"/>
      <c r="AJ376" s="1113"/>
      <c r="AK376" s="1113"/>
      <c r="AL376" s="1113"/>
      <c r="AM376" s="1113"/>
      <c r="AN376" s="1113"/>
      <c r="AO376" s="1113"/>
      <c r="AP376" s="1113"/>
      <c r="AQ376" s="1113"/>
      <c r="AR376" s="1113"/>
      <c r="AS376" s="1113"/>
      <c r="AT376" s="1113"/>
      <c r="AU376" s="1113"/>
      <c r="AV376" s="1113"/>
      <c r="AW376" s="1113"/>
      <c r="AX376" s="1113"/>
      <c r="AY376" s="1113"/>
      <c r="AZ376" s="1113"/>
      <c r="BA376" s="1113"/>
      <c r="BB376" s="1113"/>
      <c r="BC376" s="1113"/>
      <c r="BD376" s="1113"/>
      <c r="BE376" s="1113"/>
      <c r="BF376" s="1113"/>
      <c r="BG376" s="1113"/>
      <c r="BH376" s="1113"/>
      <c r="BI376" s="1113"/>
      <c r="BJ376" s="1113"/>
      <c r="BK376" s="1113"/>
      <c r="BL376" s="1592"/>
      <c r="BM376" s="1592"/>
      <c r="BN376" s="1101">
        <f t="shared" ref="BN376:BR377" si="6">SUM(BN381:BN396)</f>
        <v>0</v>
      </c>
      <c r="BO376" s="1101">
        <f t="shared" si="6"/>
        <v>0</v>
      </c>
      <c r="BP376" s="1101">
        <f t="shared" si="6"/>
        <v>0</v>
      </c>
      <c r="BQ376" s="1101">
        <f t="shared" si="6"/>
        <v>0</v>
      </c>
      <c r="BR376" s="1101">
        <f t="shared" si="6"/>
        <v>0</v>
      </c>
      <c r="BS376" s="1199"/>
      <c r="BU376" s="1113"/>
      <c r="BW376" s="1108"/>
      <c r="BX376" s="1108"/>
      <c r="BY376" s="1117"/>
      <c r="BZ376" s="1492"/>
      <c r="CA376" s="1096"/>
      <c r="DR376" s="1096"/>
      <c r="DT376" s="1510"/>
      <c r="DU376" s="1567"/>
      <c r="DV376" s="1567"/>
      <c r="DW376" s="1567"/>
      <c r="DX376" s="1567"/>
      <c r="DY376" s="1478"/>
      <c r="DZ376" s="1096"/>
      <c r="EA376" s="1660"/>
    </row>
    <row r="377" spans="1:131" ht="12" thickBot="1" x14ac:dyDescent="0.25">
      <c r="A377" s="1100"/>
      <c r="B377" s="1100"/>
      <c r="C377" s="1499"/>
      <c r="D377" s="1649"/>
      <c r="E377" s="1480"/>
      <c r="F377" s="1479"/>
      <c r="G377" s="1479"/>
      <c r="H377" s="1480"/>
      <c r="I377" s="1479"/>
      <c r="J377" s="1481"/>
      <c r="K377" s="1479"/>
      <c r="L377" s="1479"/>
      <c r="M377" s="1482"/>
      <c r="N377" s="1479"/>
      <c r="O377" s="1479"/>
      <c r="P377" s="1482"/>
      <c r="Q377" s="1479"/>
      <c r="R377" s="1482"/>
      <c r="S377" s="1479"/>
      <c r="T377" s="1479"/>
      <c r="U377" s="1479"/>
      <c r="V377" s="1479"/>
      <c r="W377" s="1479"/>
      <c r="X377" s="1479"/>
      <c r="Y377" s="1479"/>
      <c r="Z377" s="1479"/>
      <c r="AA377" s="1479"/>
      <c r="AB377" s="1479"/>
      <c r="AC377" s="1479"/>
      <c r="AD377" s="1479"/>
      <c r="AE377" s="1479"/>
      <c r="AF377" s="1479"/>
      <c r="AG377" s="1479"/>
      <c r="AH377" s="1479"/>
      <c r="AI377" s="1479"/>
      <c r="AJ377" s="1479"/>
      <c r="AK377" s="1479"/>
      <c r="AL377" s="1479"/>
      <c r="AM377" s="1479"/>
      <c r="AN377" s="1479"/>
      <c r="AO377" s="1479"/>
      <c r="AP377" s="1479"/>
      <c r="AQ377" s="1479"/>
      <c r="AR377" s="1479"/>
      <c r="AS377" s="1479"/>
      <c r="AT377" s="1479"/>
      <c r="AU377" s="1479"/>
      <c r="AV377" s="1479"/>
      <c r="AW377" s="1479"/>
      <c r="AX377" s="1479"/>
      <c r="AY377" s="1479"/>
      <c r="AZ377" s="1479"/>
      <c r="BA377" s="1479"/>
      <c r="BB377" s="1479"/>
      <c r="BC377" s="1479"/>
      <c r="BD377" s="1479"/>
      <c r="BE377" s="1479"/>
      <c r="BF377" s="1479"/>
      <c r="BG377" s="1479"/>
      <c r="BH377" s="1479"/>
      <c r="BI377" s="1479"/>
      <c r="BJ377" s="1479"/>
      <c r="BK377" s="1479"/>
      <c r="BL377" s="1479"/>
      <c r="BM377" s="1479"/>
      <c r="BN377" s="1482">
        <f t="shared" si="6"/>
        <v>0</v>
      </c>
      <c r="BO377" s="1482">
        <f t="shared" si="6"/>
        <v>0</v>
      </c>
      <c r="BP377" s="1482">
        <f t="shared" si="6"/>
        <v>0</v>
      </c>
      <c r="BQ377" s="1482">
        <f t="shared" si="6"/>
        <v>0</v>
      </c>
      <c r="BR377" s="1482">
        <f t="shared" si="6"/>
        <v>0</v>
      </c>
      <c r="BS377" s="1483"/>
      <c r="BT377" s="1484"/>
      <c r="BU377" s="1479"/>
      <c r="BV377" s="1482"/>
      <c r="BW377" s="1480"/>
      <c r="BX377" s="1480"/>
      <c r="BY377" s="1484"/>
      <c r="BZ377" s="1493"/>
      <c r="CA377" s="1096"/>
      <c r="DR377" s="1096"/>
      <c r="DT377" s="1511"/>
      <c r="DU377" s="1624"/>
      <c r="DV377" s="1624"/>
      <c r="DW377" s="1624"/>
      <c r="DX377" s="1624"/>
      <c r="DY377" s="1485"/>
      <c r="DZ377" s="1096"/>
    </row>
    <row r="378" spans="1:131" x14ac:dyDescent="0.2">
      <c r="A378" s="1098"/>
      <c r="B378" s="1200"/>
      <c r="C378" s="1500"/>
      <c r="D378" s="1650"/>
      <c r="E378" s="1098"/>
      <c r="F378" s="1098"/>
      <c r="G378" s="1098"/>
      <c r="H378" s="1098"/>
      <c r="I378" s="1098"/>
      <c r="J378" s="1116"/>
      <c r="K378" s="1098"/>
      <c r="L378" s="1098"/>
      <c r="M378" s="1116"/>
      <c r="N378" s="1098"/>
      <c r="O378" s="1098"/>
      <c r="P378" s="1116"/>
      <c r="Q378" s="1098"/>
      <c r="R378" s="1116"/>
      <c r="S378" s="1098"/>
      <c r="T378" s="1098"/>
      <c r="U378" s="1098"/>
      <c r="V378" s="1098"/>
      <c r="W378" s="1098"/>
      <c r="X378" s="1116"/>
      <c r="Y378" s="1116"/>
      <c r="Z378" s="1116"/>
      <c r="AA378" s="1116"/>
      <c r="AB378" s="1116"/>
      <c r="AC378" s="1116"/>
      <c r="AD378" s="1116"/>
      <c r="AE378" s="1116"/>
      <c r="AF378" s="1098"/>
      <c r="AG378" s="1098"/>
      <c r="AH378" s="1116"/>
      <c r="AI378" s="1116"/>
      <c r="AJ378" s="1116"/>
      <c r="AK378" s="1116"/>
      <c r="AL378" s="1116"/>
      <c r="AM378" s="1116"/>
      <c r="AN378" s="1116"/>
      <c r="AO378" s="1116"/>
      <c r="AP378" s="1098"/>
      <c r="AQ378" s="1098"/>
      <c r="AR378" s="1116"/>
      <c r="AS378" s="1116"/>
      <c r="AT378" s="1116"/>
      <c r="AU378" s="1116"/>
      <c r="AV378" s="1116"/>
      <c r="AW378" s="1116"/>
      <c r="AX378" s="1116"/>
      <c r="AY378" s="1116"/>
      <c r="AZ378" s="1098"/>
      <c r="BA378" s="1098"/>
      <c r="BB378" s="1116"/>
      <c r="BC378" s="1116"/>
      <c r="BD378" s="1116"/>
      <c r="BE378" s="1116"/>
      <c r="BF378" s="1116"/>
      <c r="BG378" s="1116"/>
      <c r="BH378" s="1116"/>
      <c r="BI378" s="1116"/>
      <c r="BJ378" s="1098"/>
      <c r="BK378" s="1098"/>
      <c r="BL378" s="1098"/>
      <c r="BM378" s="1098"/>
      <c r="BN378" s="1116"/>
      <c r="BO378" s="1116"/>
      <c r="BP378" s="1101"/>
      <c r="BQ378" s="1101"/>
      <c r="BR378" s="1101"/>
      <c r="BS378" s="1116"/>
      <c r="BT378" s="1476"/>
      <c r="BU378" s="1476"/>
      <c r="BW378" s="1098"/>
      <c r="BX378" s="1098"/>
      <c r="BY378" s="1098"/>
      <c r="BZ378" s="1490"/>
      <c r="CA378" s="1098"/>
      <c r="DR378" s="1098"/>
      <c r="DT378" s="1098"/>
      <c r="DU378" s="1625"/>
      <c r="DV378" s="1625"/>
      <c r="DW378" s="1625"/>
      <c r="DX378" s="1625"/>
      <c r="DY378" s="1098"/>
      <c r="DZ378" s="1098"/>
    </row>
    <row r="379" spans="1:131" x14ac:dyDescent="0.2">
      <c r="A379" s="1108"/>
      <c r="B379" s="1108"/>
      <c r="C379" s="1501"/>
      <c r="D379" s="1651"/>
      <c r="E379" s="1205"/>
      <c r="F379" s="1206"/>
      <c r="G379" s="1206"/>
      <c r="H379" s="1206"/>
      <c r="I379" s="1206"/>
      <c r="J379" s="1203"/>
      <c r="K379" s="1206"/>
      <c r="L379" s="1206"/>
      <c r="M379" s="1203"/>
      <c r="N379" s="1206"/>
      <c r="O379" s="1206"/>
      <c r="P379" s="1203"/>
      <c r="Q379" s="1206"/>
      <c r="R379" s="1203"/>
      <c r="S379" s="1204"/>
      <c r="T379" s="1205"/>
      <c r="U379" s="1206"/>
      <c r="V379" s="1206"/>
      <c r="W379" s="1206"/>
      <c r="X379" s="1203"/>
      <c r="Y379" s="1203"/>
      <c r="Z379" s="1203"/>
      <c r="AA379" s="1203"/>
      <c r="AB379" s="1203"/>
      <c r="AC379" s="1203"/>
      <c r="AD379" s="1203"/>
      <c r="AE379" s="1203"/>
      <c r="AF379" s="1206"/>
      <c r="AG379" s="1206"/>
      <c r="AH379" s="1203"/>
      <c r="AI379" s="1203"/>
      <c r="AJ379" s="1203"/>
      <c r="AK379" s="1203"/>
      <c r="AL379" s="1203"/>
      <c r="AM379" s="1203"/>
      <c r="AN379" s="1203"/>
      <c r="AO379" s="1203"/>
      <c r="AP379" s="1206"/>
      <c r="AQ379" s="1108"/>
      <c r="AR379" s="1203"/>
      <c r="AS379" s="1203"/>
      <c r="AT379" s="1203"/>
      <c r="AU379" s="1203"/>
      <c r="AV379" s="1203"/>
      <c r="AW379" s="1203"/>
      <c r="AX379" s="1203"/>
      <c r="AY379" s="1203"/>
      <c r="BB379" s="1203"/>
      <c r="BC379" s="1203"/>
      <c r="BD379" s="1203"/>
      <c r="BE379" s="1203"/>
      <c r="BF379" s="1203"/>
      <c r="BG379" s="1203"/>
      <c r="BH379" s="1203"/>
      <c r="BI379" s="1203"/>
      <c r="BT379" s="1102"/>
      <c r="BU379" s="1113"/>
      <c r="BV379" s="1207"/>
      <c r="BW379" s="1108"/>
      <c r="BX379" s="1108"/>
      <c r="BY379" s="1108"/>
      <c r="DS379" s="1102"/>
    </row>
    <row r="380" spans="1:131" x14ac:dyDescent="0.2">
      <c r="A380" s="1108"/>
      <c r="B380" s="1108"/>
      <c r="C380" s="1501"/>
      <c r="D380" s="1651"/>
      <c r="E380" s="1205"/>
      <c r="F380" s="1206"/>
      <c r="G380" s="1206"/>
      <c r="H380" s="1206"/>
      <c r="I380" s="1206"/>
      <c r="J380" s="1203"/>
      <c r="K380" s="1206"/>
      <c r="L380" s="1206"/>
      <c r="M380" s="1203"/>
      <c r="N380" s="1206"/>
      <c r="O380" s="1206"/>
      <c r="P380" s="1203"/>
      <c r="Q380" s="1206"/>
      <c r="R380" s="1203"/>
      <c r="S380" s="1204"/>
      <c r="T380" s="1205"/>
      <c r="U380" s="1206"/>
      <c r="V380" s="1206"/>
      <c r="W380" s="1206"/>
      <c r="X380" s="1203"/>
      <c r="Y380" s="1203"/>
      <c r="Z380" s="1203"/>
      <c r="AA380" s="1203"/>
      <c r="AB380" s="1203"/>
      <c r="AC380" s="1203"/>
      <c r="AD380" s="1203"/>
      <c r="AE380" s="1203"/>
      <c r="AF380" s="1206"/>
      <c r="AG380" s="1206"/>
      <c r="AH380" s="1203"/>
      <c r="AI380" s="1203"/>
      <c r="AJ380" s="1203"/>
      <c r="AK380" s="1203"/>
      <c r="AL380" s="1203"/>
      <c r="AM380" s="1203"/>
      <c r="AN380" s="1203"/>
      <c r="AO380" s="1203"/>
      <c r="AP380" s="1206"/>
      <c r="AQ380" s="1108"/>
      <c r="AR380" s="1203"/>
      <c r="AS380" s="1203"/>
      <c r="AT380" s="1203"/>
      <c r="AU380" s="1203"/>
      <c r="AV380" s="1203"/>
      <c r="AW380" s="1203"/>
      <c r="AX380" s="1203"/>
      <c r="AY380" s="1203"/>
      <c r="BB380" s="1203"/>
      <c r="BC380" s="1203"/>
      <c r="BD380" s="1203"/>
      <c r="BE380" s="1203"/>
      <c r="BF380" s="1203"/>
      <c r="BG380" s="1203"/>
      <c r="BH380" s="1203"/>
      <c r="BI380" s="1203"/>
      <c r="BT380" s="1102"/>
      <c r="BU380" s="1113"/>
      <c r="BV380" s="1207"/>
      <c r="BW380" s="1108"/>
      <c r="BX380" s="1108"/>
      <c r="BY380" s="1108"/>
      <c r="DS380" s="1102"/>
    </row>
    <row r="381" spans="1:131" x14ac:dyDescent="0.2">
      <c r="A381" s="1108"/>
      <c r="B381" s="1108"/>
      <c r="C381" s="1501"/>
      <c r="D381" s="1651"/>
      <c r="E381" s="1205"/>
      <c r="F381" s="1206"/>
      <c r="G381" s="1206"/>
      <c r="H381" s="1206"/>
      <c r="I381" s="1206"/>
      <c r="J381" s="1203"/>
      <c r="K381" s="1206"/>
      <c r="L381" s="1206"/>
      <c r="M381" s="1203"/>
      <c r="N381" s="1206"/>
      <c r="O381" s="1206"/>
      <c r="P381" s="1203"/>
      <c r="Q381" s="1206"/>
      <c r="R381" s="1203"/>
      <c r="S381" s="1204"/>
      <c r="T381" s="1205"/>
      <c r="U381" s="1206"/>
      <c r="V381" s="1206"/>
      <c r="W381" s="1206"/>
      <c r="X381" s="1203"/>
      <c r="Y381" s="1203"/>
      <c r="Z381" s="1203"/>
      <c r="AA381" s="1203"/>
      <c r="AB381" s="1203"/>
      <c r="AC381" s="1203"/>
      <c r="AD381" s="1203"/>
      <c r="AE381" s="1203"/>
      <c r="AF381" s="1206"/>
      <c r="AG381" s="1206"/>
      <c r="AH381" s="1203"/>
      <c r="AI381" s="1203"/>
      <c r="AJ381" s="1203"/>
      <c r="AK381" s="1203"/>
      <c r="AL381" s="1203"/>
      <c r="AM381" s="1203"/>
      <c r="AN381" s="1203"/>
      <c r="AO381" s="1203"/>
      <c r="AP381" s="1206"/>
      <c r="AQ381" s="1108"/>
      <c r="AR381" s="1203"/>
      <c r="AS381" s="1203"/>
      <c r="AT381" s="1203"/>
      <c r="AU381" s="1203"/>
      <c r="AV381" s="1203"/>
      <c r="AW381" s="1203"/>
      <c r="AX381" s="1203"/>
      <c r="AY381" s="1203"/>
      <c r="BB381" s="1203"/>
      <c r="BC381" s="1203"/>
      <c r="BD381" s="1203"/>
      <c r="BE381" s="1203"/>
      <c r="BF381" s="1203"/>
      <c r="BG381" s="1203"/>
      <c r="BH381" s="1203"/>
      <c r="BI381" s="1203"/>
      <c r="BT381" s="1102"/>
      <c r="BU381" s="1113"/>
      <c r="BV381" s="1207"/>
      <c r="BW381" s="1108"/>
      <c r="BX381" s="1108"/>
      <c r="BY381" s="1108"/>
      <c r="DS381" s="1102"/>
    </row>
    <row r="382" spans="1:131" x14ac:dyDescent="0.2">
      <c r="A382" s="1108"/>
      <c r="B382" s="1108"/>
      <c r="C382" s="1501"/>
      <c r="D382" s="1651"/>
      <c r="E382" s="1205"/>
      <c r="F382" s="1206"/>
      <c r="G382" s="1206"/>
      <c r="H382" s="1206"/>
      <c r="I382" s="1206"/>
      <c r="J382" s="1203"/>
      <c r="K382" s="1206"/>
      <c r="L382" s="1206"/>
      <c r="M382" s="1203"/>
      <c r="N382" s="1206"/>
      <c r="O382" s="1206"/>
      <c r="P382" s="1203"/>
      <c r="Q382" s="1206"/>
      <c r="R382" s="1203"/>
      <c r="S382" s="1204"/>
      <c r="T382" s="1205"/>
      <c r="U382" s="1206"/>
      <c r="V382" s="1206"/>
      <c r="W382" s="1206"/>
      <c r="X382" s="1203"/>
      <c r="Y382" s="1203"/>
      <c r="Z382" s="1203"/>
      <c r="AA382" s="1203"/>
      <c r="AB382" s="1203"/>
      <c r="AC382" s="1203"/>
      <c r="AD382" s="1203"/>
      <c r="AE382" s="1203"/>
      <c r="AF382" s="1206"/>
      <c r="AG382" s="1206"/>
      <c r="AH382" s="1203"/>
      <c r="AI382" s="1203"/>
      <c r="AJ382" s="1203"/>
      <c r="AK382" s="1203"/>
      <c r="AL382" s="1203"/>
      <c r="AM382" s="1203"/>
      <c r="AN382" s="1203"/>
      <c r="AO382" s="1203"/>
      <c r="AP382" s="1206"/>
      <c r="AQ382" s="1108"/>
      <c r="AR382" s="1203"/>
      <c r="AS382" s="1203"/>
      <c r="AT382" s="1203"/>
      <c r="AU382" s="1203"/>
      <c r="AV382" s="1203"/>
      <c r="AW382" s="1203"/>
      <c r="AX382" s="1203"/>
      <c r="AY382" s="1203"/>
      <c r="BB382" s="1203"/>
      <c r="BC382" s="1203"/>
      <c r="BD382" s="1203"/>
      <c r="BE382" s="1203"/>
      <c r="BF382" s="1203"/>
      <c r="BG382" s="1203"/>
      <c r="BH382" s="1203"/>
      <c r="BI382" s="1203"/>
      <c r="BT382" s="1102"/>
      <c r="BU382" s="1113"/>
      <c r="BV382" s="1207"/>
      <c r="BW382" s="1108"/>
      <c r="BX382" s="1108"/>
      <c r="BY382" s="1108"/>
      <c r="DS382" s="1102"/>
    </row>
    <row r="383" spans="1:131" x14ac:dyDescent="0.2">
      <c r="A383" s="1108"/>
      <c r="B383" s="1108"/>
      <c r="C383" s="1501"/>
      <c r="D383" s="1651"/>
      <c r="E383" s="1205"/>
      <c r="F383" s="1206"/>
      <c r="G383" s="1206"/>
      <c r="H383" s="1206"/>
      <c r="I383" s="1206"/>
      <c r="J383" s="1203"/>
      <c r="K383" s="1206"/>
      <c r="L383" s="1206"/>
      <c r="M383" s="1203"/>
      <c r="N383" s="1206"/>
      <c r="O383" s="1206"/>
      <c r="P383" s="1203"/>
      <c r="Q383" s="1206"/>
      <c r="R383" s="1203"/>
      <c r="S383" s="1204"/>
      <c r="T383" s="1205"/>
      <c r="U383" s="1206"/>
      <c r="V383" s="1206"/>
      <c r="W383" s="1206"/>
      <c r="X383" s="1203"/>
      <c r="Y383" s="1203"/>
      <c r="Z383" s="1203"/>
      <c r="AA383" s="1203"/>
      <c r="AB383" s="1203"/>
      <c r="AC383" s="1203"/>
      <c r="AD383" s="1203"/>
      <c r="AE383" s="1203"/>
      <c r="AF383" s="1206"/>
      <c r="AG383" s="1206"/>
      <c r="AH383" s="1203"/>
      <c r="AI383" s="1203"/>
      <c r="AJ383" s="1203"/>
      <c r="AK383" s="1203"/>
      <c r="AL383" s="1203"/>
      <c r="AM383" s="1203"/>
      <c r="AN383" s="1203"/>
      <c r="AO383" s="1203"/>
      <c r="AP383" s="1206"/>
      <c r="AQ383" s="1108"/>
      <c r="AR383" s="1203"/>
      <c r="AS383" s="1203"/>
      <c r="AT383" s="1203"/>
      <c r="AU383" s="1203"/>
      <c r="AV383" s="1203"/>
      <c r="AW383" s="1203"/>
      <c r="AX383" s="1203"/>
      <c r="AY383" s="1203"/>
      <c r="BB383" s="1203"/>
      <c r="BC383" s="1203"/>
      <c r="BD383" s="1203"/>
      <c r="BE383" s="1203"/>
      <c r="BF383" s="1203"/>
      <c r="BG383" s="1203"/>
      <c r="BH383" s="1203"/>
      <c r="BI383" s="1203"/>
      <c r="BT383" s="1102"/>
      <c r="BU383" s="1113"/>
      <c r="BV383" s="1207"/>
      <c r="BW383" s="1108"/>
      <c r="BX383" s="1108"/>
      <c r="BY383" s="1108"/>
      <c r="DS383" s="1102"/>
    </row>
    <row r="384" spans="1:131" x14ac:dyDescent="0.2">
      <c r="A384" s="1108"/>
      <c r="B384" s="1108"/>
      <c r="C384" s="1501"/>
      <c r="D384" s="1651"/>
      <c r="E384" s="1205"/>
      <c r="F384" s="1206"/>
      <c r="G384" s="1206"/>
      <c r="H384" s="1206"/>
      <c r="I384" s="1206"/>
      <c r="J384" s="1203"/>
      <c r="K384" s="1206"/>
      <c r="L384" s="1206"/>
      <c r="M384" s="1203"/>
      <c r="N384" s="1206"/>
      <c r="O384" s="1206"/>
      <c r="P384" s="1203"/>
      <c r="Q384" s="1206"/>
      <c r="R384" s="1203"/>
      <c r="S384" s="1204"/>
      <c r="T384" s="1205"/>
      <c r="U384" s="1206"/>
      <c r="V384" s="1206"/>
      <c r="W384" s="1206"/>
      <c r="X384" s="1203"/>
      <c r="Y384" s="1203"/>
      <c r="Z384" s="1203"/>
      <c r="AA384" s="1203"/>
      <c r="AB384" s="1203"/>
      <c r="AC384" s="1203"/>
      <c r="AD384" s="1203"/>
      <c r="AE384" s="1203"/>
      <c r="AF384" s="1206"/>
      <c r="AG384" s="1206"/>
      <c r="AH384" s="1203"/>
      <c r="AI384" s="1203"/>
      <c r="AJ384" s="1203"/>
      <c r="AK384" s="1203"/>
      <c r="AL384" s="1203"/>
      <c r="AM384" s="1203"/>
      <c r="AN384" s="1203"/>
      <c r="AO384" s="1203"/>
      <c r="AP384" s="1206"/>
      <c r="AQ384" s="1108"/>
      <c r="AR384" s="1203"/>
      <c r="AS384" s="1203"/>
      <c r="AT384" s="1203"/>
      <c r="AU384" s="1203"/>
      <c r="AV384" s="1203"/>
      <c r="AW384" s="1203"/>
      <c r="AX384" s="1203"/>
      <c r="AY384" s="1203"/>
      <c r="BB384" s="1203"/>
      <c r="BC384" s="1203"/>
      <c r="BD384" s="1203"/>
      <c r="BE384" s="1203"/>
      <c r="BF384" s="1203"/>
      <c r="BG384" s="1203"/>
      <c r="BH384" s="1203"/>
      <c r="BI384" s="1203"/>
      <c r="BT384" s="1102"/>
      <c r="BU384" s="1113"/>
      <c r="BV384" s="1207"/>
      <c r="BW384" s="1108"/>
      <c r="BX384" s="1108"/>
      <c r="BY384" s="1108"/>
      <c r="DS384" s="1102"/>
    </row>
    <row r="385" spans="1:123" x14ac:dyDescent="0.2">
      <c r="A385" s="1108"/>
      <c r="B385" s="1108"/>
      <c r="C385" s="1501"/>
      <c r="D385" s="1651"/>
      <c r="E385" s="1205"/>
      <c r="F385" s="1206"/>
      <c r="G385" s="1206"/>
      <c r="H385" s="1206"/>
      <c r="I385" s="1206"/>
      <c r="J385" s="1203"/>
      <c r="K385" s="1206"/>
      <c r="L385" s="1206"/>
      <c r="M385" s="1203"/>
      <c r="N385" s="1206"/>
      <c r="O385" s="1206"/>
      <c r="P385" s="1203"/>
      <c r="Q385" s="1206"/>
      <c r="R385" s="1203"/>
      <c r="S385" s="1204"/>
      <c r="T385" s="1205"/>
      <c r="U385" s="1206"/>
      <c r="V385" s="1206"/>
      <c r="W385" s="1206"/>
      <c r="X385" s="1203"/>
      <c r="Y385" s="1203"/>
      <c r="Z385" s="1203"/>
      <c r="AA385" s="1203"/>
      <c r="AB385" s="1203"/>
      <c r="AC385" s="1203"/>
      <c r="AD385" s="1203"/>
      <c r="AE385" s="1203"/>
      <c r="AF385" s="1206"/>
      <c r="AG385" s="1206"/>
      <c r="AH385" s="1203"/>
      <c r="AI385" s="1203"/>
      <c r="AJ385" s="1203"/>
      <c r="AK385" s="1203"/>
      <c r="AL385" s="1203"/>
      <c r="AM385" s="1203"/>
      <c r="AN385" s="1203"/>
      <c r="AO385" s="1203"/>
      <c r="AP385" s="1206"/>
      <c r="AQ385" s="1108"/>
      <c r="AR385" s="1203"/>
      <c r="AS385" s="1203"/>
      <c r="AT385" s="1203"/>
      <c r="AU385" s="1203"/>
      <c r="AV385" s="1203"/>
      <c r="AW385" s="1203"/>
      <c r="AX385" s="1203"/>
      <c r="AY385" s="1203"/>
      <c r="BB385" s="1203"/>
      <c r="BC385" s="1203"/>
      <c r="BD385" s="1203"/>
      <c r="BE385" s="1203"/>
      <c r="BF385" s="1203"/>
      <c r="BG385" s="1203"/>
      <c r="BH385" s="1203"/>
      <c r="BI385" s="1203"/>
      <c r="BT385" s="1102"/>
      <c r="BU385" s="1113"/>
      <c r="BV385" s="1207"/>
      <c r="BW385" s="1108"/>
      <c r="BX385" s="1108"/>
      <c r="BY385" s="1108"/>
      <c r="DS385" s="1102"/>
    </row>
    <row r="386" spans="1:123" x14ac:dyDescent="0.2">
      <c r="A386" s="1108"/>
      <c r="B386" s="1108"/>
      <c r="C386" s="1501"/>
      <c r="D386" s="1651"/>
      <c r="E386" s="1205"/>
      <c r="F386" s="1206"/>
      <c r="G386" s="1206"/>
      <c r="H386" s="1206"/>
      <c r="I386" s="1206"/>
      <c r="J386" s="1203"/>
      <c r="K386" s="1206"/>
      <c r="L386" s="1206"/>
      <c r="M386" s="1203"/>
      <c r="N386" s="1206"/>
      <c r="O386" s="1206"/>
      <c r="P386" s="1203"/>
      <c r="Q386" s="1206"/>
      <c r="R386" s="1203"/>
      <c r="S386" s="1204"/>
      <c r="T386" s="1205"/>
      <c r="U386" s="1206"/>
      <c r="V386" s="1206"/>
      <c r="W386" s="1206"/>
      <c r="X386" s="1203"/>
      <c r="Y386" s="1203"/>
      <c r="Z386" s="1203"/>
      <c r="AA386" s="1203"/>
      <c r="AB386" s="1203"/>
      <c r="AC386" s="1203"/>
      <c r="AD386" s="1203"/>
      <c r="AE386" s="1203"/>
      <c r="AF386" s="1206"/>
      <c r="AG386" s="1206"/>
      <c r="AH386" s="1203"/>
      <c r="AI386" s="1203"/>
      <c r="AJ386" s="1203"/>
      <c r="AK386" s="1203"/>
      <c r="AL386" s="1203"/>
      <c r="AM386" s="1203"/>
      <c r="AN386" s="1203"/>
      <c r="AO386" s="1203"/>
      <c r="AP386" s="1206"/>
      <c r="AQ386" s="1108"/>
      <c r="AR386" s="1203"/>
      <c r="AS386" s="1203"/>
      <c r="AT386" s="1203"/>
      <c r="AU386" s="1203"/>
      <c r="AV386" s="1203"/>
      <c r="AW386" s="1203"/>
      <c r="AX386" s="1203"/>
      <c r="AY386" s="1203"/>
      <c r="BB386" s="1203"/>
      <c r="BC386" s="1203"/>
      <c r="BD386" s="1203"/>
      <c r="BE386" s="1203"/>
      <c r="BF386" s="1203"/>
      <c r="BG386" s="1203"/>
      <c r="BH386" s="1203"/>
      <c r="BI386" s="1203"/>
      <c r="BT386" s="1102"/>
      <c r="BU386" s="1113"/>
      <c r="BV386" s="1207"/>
      <c r="BW386" s="1108"/>
      <c r="BX386" s="1108"/>
      <c r="BY386" s="1108"/>
      <c r="DS386" s="1102"/>
    </row>
    <row r="387" spans="1:123" x14ac:dyDescent="0.2">
      <c r="A387" s="1108"/>
      <c r="B387" s="1108"/>
      <c r="C387" s="1501"/>
      <c r="D387" s="1651"/>
      <c r="E387" s="1205"/>
      <c r="F387" s="1206"/>
      <c r="G387" s="1206"/>
      <c r="H387" s="1206"/>
      <c r="I387" s="1206"/>
      <c r="J387" s="1203"/>
      <c r="K387" s="1206"/>
      <c r="L387" s="1206"/>
      <c r="M387" s="1203"/>
      <c r="N387" s="1206"/>
      <c r="O387" s="1206"/>
      <c r="P387" s="1203"/>
      <c r="Q387" s="1206"/>
      <c r="R387" s="1203"/>
      <c r="S387" s="1204"/>
      <c r="T387" s="1205"/>
      <c r="U387" s="1206"/>
      <c r="V387" s="1206"/>
      <c r="W387" s="1206"/>
      <c r="X387" s="1203"/>
      <c r="Y387" s="1203"/>
      <c r="Z387" s="1203"/>
      <c r="AA387" s="1203"/>
      <c r="AB387" s="1203"/>
      <c r="AC387" s="1203"/>
      <c r="AD387" s="1203"/>
      <c r="AE387" s="1203"/>
      <c r="AF387" s="1206"/>
      <c r="AG387" s="1206"/>
      <c r="AH387" s="1203"/>
      <c r="AI387" s="1203"/>
      <c r="AJ387" s="1203"/>
      <c r="AK387" s="1203"/>
      <c r="AL387" s="1203"/>
      <c r="AM387" s="1203"/>
      <c r="AN387" s="1203"/>
      <c r="AO387" s="1203"/>
      <c r="AP387" s="1206"/>
      <c r="AQ387" s="1108"/>
      <c r="AR387" s="1203"/>
      <c r="AS387" s="1203"/>
      <c r="AT387" s="1203"/>
      <c r="AU387" s="1203"/>
      <c r="AV387" s="1203"/>
      <c r="AW387" s="1203"/>
      <c r="AX387" s="1203"/>
      <c r="AY387" s="1203"/>
      <c r="BB387" s="1203"/>
      <c r="BC387" s="1203"/>
      <c r="BD387" s="1203"/>
      <c r="BE387" s="1203"/>
      <c r="BF387" s="1203"/>
      <c r="BG387" s="1203"/>
      <c r="BH387" s="1203"/>
      <c r="BI387" s="1203"/>
      <c r="BT387" s="1102"/>
      <c r="BU387" s="1113"/>
      <c r="BV387" s="1207"/>
      <c r="BW387" s="1108"/>
      <c r="BX387" s="1108"/>
      <c r="BY387" s="1108"/>
      <c r="DS387" s="1102"/>
    </row>
    <row r="388" spans="1:123" x14ac:dyDescent="0.2">
      <c r="A388" s="1108"/>
      <c r="B388" s="1108"/>
      <c r="C388" s="1501"/>
      <c r="D388" s="1651"/>
      <c r="E388" s="1205"/>
      <c r="F388" s="1206"/>
      <c r="G388" s="1206"/>
      <c r="H388" s="1206"/>
      <c r="I388" s="1206"/>
      <c r="J388" s="1203"/>
      <c r="K388" s="1206"/>
      <c r="L388" s="1206"/>
      <c r="M388" s="1203"/>
      <c r="N388" s="1206"/>
      <c r="O388" s="1206"/>
      <c r="P388" s="1203"/>
      <c r="Q388" s="1206"/>
      <c r="R388" s="1203"/>
      <c r="S388" s="1204"/>
      <c r="T388" s="1205"/>
      <c r="U388" s="1206"/>
      <c r="V388" s="1206"/>
      <c r="W388" s="1206"/>
      <c r="X388" s="1203"/>
      <c r="Y388" s="1203"/>
      <c r="Z388" s="1203"/>
      <c r="AA388" s="1203"/>
      <c r="AB388" s="1203"/>
      <c r="AC388" s="1203"/>
      <c r="AD388" s="1203"/>
      <c r="AE388" s="1203"/>
      <c r="AF388" s="1206"/>
      <c r="AG388" s="1206"/>
      <c r="AH388" s="1203"/>
      <c r="AI388" s="1203"/>
      <c r="AJ388" s="1203"/>
      <c r="AK388" s="1203"/>
      <c r="AL388" s="1203"/>
      <c r="AM388" s="1203"/>
      <c r="AN388" s="1203"/>
      <c r="AO388" s="1203"/>
      <c r="AP388" s="1206"/>
      <c r="AQ388" s="1108"/>
      <c r="AR388" s="1203"/>
      <c r="AS388" s="1203"/>
      <c r="AT388" s="1203"/>
      <c r="AU388" s="1203"/>
      <c r="AV388" s="1203"/>
      <c r="AW388" s="1203"/>
      <c r="AX388" s="1203"/>
      <c r="AY388" s="1203"/>
      <c r="BB388" s="1203"/>
      <c r="BC388" s="1203"/>
      <c r="BD388" s="1203"/>
      <c r="BE388" s="1203"/>
      <c r="BF388" s="1203"/>
      <c r="BG388" s="1203"/>
      <c r="BH388" s="1203"/>
      <c r="BI388" s="1203"/>
      <c r="BT388" s="1102"/>
      <c r="BU388" s="1113"/>
      <c r="BV388" s="1207"/>
      <c r="BW388" s="1108"/>
      <c r="BX388" s="1108"/>
      <c r="BY388" s="1108"/>
      <c r="DS388" s="1102"/>
    </row>
    <row r="389" spans="1:123" x14ac:dyDescent="0.2">
      <c r="A389" s="1108"/>
      <c r="B389" s="1108"/>
      <c r="C389" s="1501"/>
      <c r="D389" s="1651"/>
      <c r="E389" s="1205"/>
      <c r="F389" s="1206"/>
      <c r="G389" s="1206"/>
      <c r="H389" s="1206"/>
      <c r="I389" s="1206"/>
      <c r="J389" s="1203"/>
      <c r="K389" s="1206"/>
      <c r="L389" s="1206"/>
      <c r="M389" s="1203"/>
      <c r="N389" s="1206"/>
      <c r="O389" s="1206"/>
      <c r="P389" s="1203"/>
      <c r="Q389" s="1206"/>
      <c r="R389" s="1203"/>
      <c r="S389" s="1204"/>
      <c r="T389" s="1205"/>
      <c r="U389" s="1206"/>
      <c r="V389" s="1206"/>
      <c r="W389" s="1206"/>
      <c r="X389" s="1203"/>
      <c r="Y389" s="1203"/>
      <c r="Z389" s="1203"/>
      <c r="AA389" s="1203"/>
      <c r="AB389" s="1203"/>
      <c r="AC389" s="1203"/>
      <c r="AD389" s="1203"/>
      <c r="AE389" s="1203"/>
      <c r="AF389" s="1206"/>
      <c r="AG389" s="1206"/>
      <c r="AH389" s="1203"/>
      <c r="AI389" s="1203"/>
      <c r="AJ389" s="1203"/>
      <c r="AK389" s="1203"/>
      <c r="AL389" s="1203"/>
      <c r="AM389" s="1203"/>
      <c r="AN389" s="1203"/>
      <c r="AO389" s="1203"/>
      <c r="AP389" s="1206"/>
      <c r="AQ389" s="1108"/>
      <c r="AR389" s="1203"/>
      <c r="AS389" s="1203"/>
      <c r="AT389" s="1203"/>
      <c r="AU389" s="1203"/>
      <c r="AV389" s="1203"/>
      <c r="AW389" s="1203"/>
      <c r="AX389" s="1203"/>
      <c r="AY389" s="1203"/>
      <c r="BB389" s="1203"/>
      <c r="BC389" s="1203"/>
      <c r="BD389" s="1203"/>
      <c r="BE389" s="1203"/>
      <c r="BF389" s="1203"/>
      <c r="BG389" s="1203"/>
      <c r="BH389" s="1203"/>
      <c r="BI389" s="1203"/>
      <c r="BT389" s="1102"/>
      <c r="BU389" s="1113"/>
      <c r="BV389" s="1207"/>
      <c r="BW389" s="1108"/>
      <c r="BX389" s="1108"/>
      <c r="BY389" s="1108"/>
      <c r="DS389" s="1102"/>
    </row>
    <row r="390" spans="1:123" x14ac:dyDescent="0.2">
      <c r="A390" s="1108"/>
      <c r="B390" s="1108"/>
      <c r="C390" s="1501"/>
      <c r="D390" s="1651"/>
      <c r="E390" s="1205"/>
      <c r="F390" s="1206"/>
      <c r="G390" s="1206"/>
      <c r="H390" s="1206"/>
      <c r="I390" s="1206"/>
      <c r="J390" s="1203"/>
      <c r="K390" s="1206"/>
      <c r="L390" s="1206"/>
      <c r="M390" s="1203"/>
      <c r="N390" s="1206"/>
      <c r="O390" s="1206"/>
      <c r="P390" s="1203"/>
      <c r="Q390" s="1206"/>
      <c r="R390" s="1203"/>
      <c r="S390" s="1204"/>
      <c r="T390" s="1205"/>
      <c r="U390" s="1206"/>
      <c r="V390" s="1206"/>
      <c r="W390" s="1206"/>
      <c r="X390" s="1203"/>
      <c r="Y390" s="1203"/>
      <c r="Z390" s="1203"/>
      <c r="AA390" s="1203"/>
      <c r="AB390" s="1203"/>
      <c r="AC390" s="1203"/>
      <c r="AD390" s="1203"/>
      <c r="AE390" s="1203"/>
      <c r="AF390" s="1206"/>
      <c r="AG390" s="1206"/>
      <c r="AH390" s="1203"/>
      <c r="AI390" s="1203"/>
      <c r="AJ390" s="1203"/>
      <c r="AK390" s="1203"/>
      <c r="AL390" s="1203"/>
      <c r="AM390" s="1203"/>
      <c r="AN390" s="1203"/>
      <c r="AO390" s="1203"/>
      <c r="AP390" s="1206"/>
      <c r="AQ390" s="1108"/>
      <c r="AR390" s="1203"/>
      <c r="AS390" s="1203"/>
      <c r="AT390" s="1203"/>
      <c r="AU390" s="1203"/>
      <c r="AV390" s="1203"/>
      <c r="AW390" s="1203"/>
      <c r="AX390" s="1203"/>
      <c r="AY390" s="1203"/>
      <c r="BB390" s="1203"/>
      <c r="BC390" s="1203"/>
      <c r="BD390" s="1203"/>
      <c r="BE390" s="1203"/>
      <c r="BF390" s="1203"/>
      <c r="BG390" s="1203"/>
      <c r="BH390" s="1203"/>
      <c r="BI390" s="1203"/>
      <c r="BT390" s="1102"/>
      <c r="BU390" s="1113"/>
      <c r="BV390" s="1207"/>
      <c r="BW390" s="1108"/>
      <c r="BX390" s="1108"/>
      <c r="BY390" s="1108"/>
      <c r="DS390" s="1102"/>
    </row>
    <row r="391" spans="1:123" x14ac:dyDescent="0.2">
      <c r="A391" s="1108"/>
      <c r="B391" s="1108"/>
      <c r="C391" s="1501"/>
      <c r="D391" s="1651"/>
      <c r="E391" s="1205"/>
      <c r="F391" s="1206"/>
      <c r="G391" s="1206"/>
      <c r="H391" s="1206"/>
      <c r="I391" s="1206"/>
      <c r="J391" s="1203"/>
      <c r="K391" s="1206"/>
      <c r="L391" s="1206"/>
      <c r="M391" s="1203"/>
      <c r="N391" s="1206"/>
      <c r="O391" s="1206"/>
      <c r="P391" s="1203"/>
      <c r="Q391" s="1206"/>
      <c r="R391" s="1203"/>
      <c r="S391" s="1204"/>
      <c r="T391" s="1205"/>
      <c r="U391" s="1206"/>
      <c r="V391" s="1206"/>
      <c r="W391" s="1206"/>
      <c r="X391" s="1203"/>
      <c r="Y391" s="1203"/>
      <c r="Z391" s="1203"/>
      <c r="AA391" s="1203"/>
      <c r="AB391" s="1203"/>
      <c r="AC391" s="1203"/>
      <c r="AD391" s="1203"/>
      <c r="AE391" s="1203"/>
      <c r="AF391" s="1206"/>
      <c r="AG391" s="1206"/>
      <c r="AH391" s="1203"/>
      <c r="AI391" s="1203"/>
      <c r="AJ391" s="1203"/>
      <c r="AK391" s="1203"/>
      <c r="AL391" s="1203"/>
      <c r="AM391" s="1203"/>
      <c r="AN391" s="1203"/>
      <c r="AO391" s="1203"/>
      <c r="AP391" s="1206"/>
      <c r="AQ391" s="1108"/>
      <c r="AR391" s="1203"/>
      <c r="AS391" s="1203"/>
      <c r="AT391" s="1203"/>
      <c r="AU391" s="1203"/>
      <c r="AV391" s="1203"/>
      <c r="AW391" s="1203"/>
      <c r="AX391" s="1203"/>
      <c r="AY391" s="1203"/>
      <c r="BB391" s="1203"/>
      <c r="BC391" s="1203"/>
      <c r="BD391" s="1203"/>
      <c r="BE391" s="1203"/>
      <c r="BF391" s="1203"/>
      <c r="BG391" s="1203"/>
      <c r="BH391" s="1203"/>
      <c r="BI391" s="1203"/>
      <c r="BT391" s="1102"/>
      <c r="BU391" s="1113"/>
      <c r="BV391" s="1207"/>
      <c r="BW391" s="1108"/>
      <c r="BX391" s="1108"/>
      <c r="BY391" s="1108"/>
      <c r="DS391" s="1102"/>
    </row>
    <row r="392" spans="1:123" x14ac:dyDescent="0.2">
      <c r="A392" s="1108"/>
      <c r="B392" s="1108"/>
      <c r="C392" s="1501"/>
      <c r="D392" s="1651"/>
      <c r="E392" s="1205"/>
      <c r="F392" s="1206"/>
      <c r="G392" s="1206"/>
      <c r="H392" s="1206"/>
      <c r="I392" s="1206"/>
      <c r="J392" s="1203"/>
      <c r="K392" s="1206"/>
      <c r="L392" s="1206"/>
      <c r="M392" s="1203"/>
      <c r="N392" s="1206"/>
      <c r="O392" s="1206"/>
      <c r="P392" s="1203"/>
      <c r="Q392" s="1206"/>
      <c r="R392" s="1203"/>
      <c r="S392" s="1204"/>
      <c r="T392" s="1205"/>
      <c r="U392" s="1206"/>
      <c r="V392" s="1206"/>
      <c r="W392" s="1206"/>
      <c r="X392" s="1203"/>
      <c r="Y392" s="1203"/>
      <c r="Z392" s="1203"/>
      <c r="AA392" s="1203"/>
      <c r="AB392" s="1203"/>
      <c r="AC392" s="1203"/>
      <c r="AD392" s="1203"/>
      <c r="AE392" s="1203"/>
      <c r="AF392" s="1206"/>
      <c r="AG392" s="1206"/>
      <c r="AH392" s="1203"/>
      <c r="AI392" s="1203"/>
      <c r="AJ392" s="1203"/>
      <c r="AK392" s="1203"/>
      <c r="AL392" s="1203"/>
      <c r="AM392" s="1203"/>
      <c r="AN392" s="1203"/>
      <c r="AO392" s="1203"/>
      <c r="AP392" s="1206"/>
      <c r="AQ392" s="1108"/>
      <c r="AR392" s="1203"/>
      <c r="AS392" s="1203"/>
      <c r="AT392" s="1203"/>
      <c r="AU392" s="1203"/>
      <c r="AV392" s="1203"/>
      <c r="AW392" s="1203"/>
      <c r="AX392" s="1203"/>
      <c r="AY392" s="1203"/>
      <c r="BB392" s="1203"/>
      <c r="BC392" s="1203"/>
      <c r="BD392" s="1203"/>
      <c r="BE392" s="1203"/>
      <c r="BF392" s="1203"/>
      <c r="BG392" s="1203"/>
      <c r="BH392" s="1203"/>
      <c r="BI392" s="1203"/>
      <c r="BT392" s="1102"/>
      <c r="BU392" s="1113"/>
      <c r="BV392" s="1207"/>
      <c r="BW392" s="1108"/>
      <c r="BX392" s="1108"/>
      <c r="BY392" s="1108"/>
      <c r="DS392" s="1102"/>
    </row>
    <row r="393" spans="1:123" x14ac:dyDescent="0.2">
      <c r="A393" s="1108"/>
      <c r="B393" s="1108"/>
      <c r="C393" s="1501"/>
      <c r="D393" s="1651"/>
      <c r="E393" s="1205"/>
      <c r="F393" s="1206"/>
      <c r="G393" s="1206"/>
      <c r="H393" s="1206"/>
      <c r="I393" s="1206"/>
      <c r="J393" s="1203"/>
      <c r="K393" s="1206"/>
      <c r="L393" s="1206"/>
      <c r="M393" s="1203"/>
      <c r="N393" s="1206"/>
      <c r="O393" s="1206"/>
      <c r="P393" s="1203"/>
      <c r="Q393" s="1206"/>
      <c r="R393" s="1203"/>
      <c r="S393" s="1204"/>
      <c r="T393" s="1205"/>
      <c r="U393" s="1206"/>
      <c r="V393" s="1206"/>
      <c r="W393" s="1206"/>
      <c r="X393" s="1203"/>
      <c r="Y393" s="1203"/>
      <c r="Z393" s="1203"/>
      <c r="AA393" s="1203"/>
      <c r="AB393" s="1203"/>
      <c r="AC393" s="1203"/>
      <c r="AD393" s="1203"/>
      <c r="AE393" s="1203"/>
      <c r="AF393" s="1206"/>
      <c r="AG393" s="1206"/>
      <c r="AH393" s="1203"/>
      <c r="AI393" s="1203"/>
      <c r="AJ393" s="1203"/>
      <c r="AK393" s="1203"/>
      <c r="AL393" s="1203"/>
      <c r="AM393" s="1203"/>
      <c r="AN393" s="1203"/>
      <c r="AO393" s="1203"/>
      <c r="AP393" s="1206"/>
      <c r="AQ393" s="1108"/>
      <c r="AR393" s="1203"/>
      <c r="AS393" s="1203"/>
      <c r="AT393" s="1203"/>
      <c r="AU393" s="1203"/>
      <c r="AV393" s="1203"/>
      <c r="AW393" s="1203"/>
      <c r="AX393" s="1203"/>
      <c r="AY393" s="1203"/>
      <c r="BB393" s="1203"/>
      <c r="BC393" s="1203"/>
      <c r="BD393" s="1203"/>
      <c r="BE393" s="1203"/>
      <c r="BF393" s="1203"/>
      <c r="BG393" s="1203"/>
      <c r="BH393" s="1203"/>
      <c r="BI393" s="1203"/>
      <c r="BT393" s="1102"/>
      <c r="BU393" s="1113"/>
      <c r="BV393" s="1207"/>
      <c r="BW393" s="1108"/>
      <c r="BX393" s="1108"/>
      <c r="BY393" s="1108"/>
      <c r="DS393" s="1102"/>
    </row>
    <row r="394" spans="1:123" x14ac:dyDescent="0.2">
      <c r="A394" s="1108"/>
      <c r="B394" s="1108"/>
      <c r="C394" s="1501"/>
      <c r="D394" s="1651"/>
      <c r="E394" s="1205"/>
      <c r="F394" s="1206"/>
      <c r="G394" s="1206"/>
      <c r="H394" s="1206"/>
      <c r="I394" s="1206"/>
      <c r="J394" s="1203"/>
      <c r="K394" s="1206"/>
      <c r="L394" s="1206"/>
      <c r="M394" s="1203"/>
      <c r="N394" s="1206"/>
      <c r="O394" s="1206"/>
      <c r="P394" s="1203"/>
      <c r="Q394" s="1206"/>
      <c r="R394" s="1203"/>
      <c r="S394" s="1204"/>
      <c r="T394" s="1205"/>
      <c r="U394" s="1206"/>
      <c r="V394" s="1206"/>
      <c r="W394" s="1206"/>
      <c r="X394" s="1203"/>
      <c r="Y394" s="1203"/>
      <c r="Z394" s="1203"/>
      <c r="AA394" s="1203"/>
      <c r="AB394" s="1203"/>
      <c r="AC394" s="1203"/>
      <c r="AD394" s="1203"/>
      <c r="AE394" s="1203"/>
      <c r="AF394" s="1206"/>
      <c r="AG394" s="1206"/>
      <c r="AH394" s="1203"/>
      <c r="AI394" s="1203"/>
      <c r="AJ394" s="1203"/>
      <c r="AK394" s="1203"/>
      <c r="AL394" s="1203"/>
      <c r="AM394" s="1203"/>
      <c r="AN394" s="1203"/>
      <c r="AO394" s="1203"/>
      <c r="AP394" s="1206"/>
      <c r="AQ394" s="1108"/>
      <c r="AR394" s="1203"/>
      <c r="AS394" s="1203"/>
      <c r="AT394" s="1203"/>
      <c r="AU394" s="1203"/>
      <c r="AV394" s="1203"/>
      <c r="AW394" s="1203"/>
      <c r="AX394" s="1203"/>
      <c r="AY394" s="1203"/>
      <c r="BB394" s="1203"/>
      <c r="BC394" s="1203"/>
      <c r="BD394" s="1203"/>
      <c r="BE394" s="1203"/>
      <c r="BF394" s="1203"/>
      <c r="BG394" s="1203"/>
      <c r="BH394" s="1203"/>
      <c r="BI394" s="1203"/>
      <c r="BT394" s="1102"/>
      <c r="BU394" s="1113"/>
      <c r="BV394" s="1207"/>
      <c r="BW394" s="1108"/>
      <c r="BX394" s="1108"/>
      <c r="BY394" s="1108"/>
      <c r="DS394" s="1102"/>
    </row>
    <row r="395" spans="1:123" x14ac:dyDescent="0.2">
      <c r="A395" s="1108"/>
      <c r="B395" s="1108"/>
      <c r="C395" s="1501"/>
      <c r="D395" s="1651"/>
      <c r="E395" s="1205"/>
      <c r="F395" s="1206"/>
      <c r="G395" s="1206"/>
      <c r="H395" s="1206"/>
      <c r="I395" s="1206"/>
      <c r="J395" s="1203"/>
      <c r="K395" s="1206"/>
      <c r="L395" s="1206"/>
      <c r="M395" s="1203"/>
      <c r="N395" s="1206"/>
      <c r="O395" s="1206"/>
      <c r="P395" s="1203"/>
      <c r="Q395" s="1206"/>
      <c r="R395" s="1203"/>
      <c r="S395" s="1204"/>
      <c r="T395" s="1205"/>
      <c r="U395" s="1206"/>
      <c r="V395" s="1206"/>
      <c r="W395" s="1206"/>
      <c r="X395" s="1203"/>
      <c r="Y395" s="1203"/>
      <c r="Z395" s="1203"/>
      <c r="AA395" s="1203"/>
      <c r="AB395" s="1203"/>
      <c r="AC395" s="1203"/>
      <c r="AD395" s="1203"/>
      <c r="AE395" s="1203"/>
      <c r="AF395" s="1206"/>
      <c r="AG395" s="1206"/>
      <c r="AH395" s="1203"/>
      <c r="AI395" s="1203"/>
      <c r="AJ395" s="1203"/>
      <c r="AK395" s="1203"/>
      <c r="AL395" s="1203"/>
      <c r="AM395" s="1203"/>
      <c r="AN395" s="1203"/>
      <c r="AO395" s="1203"/>
      <c r="AP395" s="1206"/>
      <c r="AQ395" s="1108"/>
      <c r="AR395" s="1203"/>
      <c r="AS395" s="1203"/>
      <c r="AT395" s="1203"/>
      <c r="AU395" s="1203"/>
      <c r="AV395" s="1203"/>
      <c r="AW395" s="1203"/>
      <c r="AX395" s="1203"/>
      <c r="AY395" s="1203"/>
      <c r="BB395" s="1203"/>
      <c r="BC395" s="1203"/>
      <c r="BD395" s="1203"/>
      <c r="BE395" s="1203"/>
      <c r="BF395" s="1203"/>
      <c r="BG395" s="1203"/>
      <c r="BH395" s="1203"/>
      <c r="BI395" s="1203"/>
      <c r="BT395" s="1102"/>
      <c r="BU395" s="1113"/>
      <c r="BV395" s="1207"/>
      <c r="BW395" s="1108"/>
      <c r="BX395" s="1108"/>
      <c r="BY395" s="1108"/>
      <c r="DS395" s="1102"/>
    </row>
    <row r="396" spans="1:123" x14ac:dyDescent="0.2">
      <c r="A396" s="1108"/>
      <c r="B396" s="1108"/>
      <c r="C396" s="1501"/>
      <c r="D396" s="1651"/>
      <c r="E396" s="1205"/>
      <c r="F396" s="1206"/>
      <c r="G396" s="1206"/>
      <c r="H396" s="1206"/>
      <c r="I396" s="1206"/>
      <c r="J396" s="1203"/>
      <c r="K396" s="1206"/>
      <c r="L396" s="1206"/>
      <c r="M396" s="1203"/>
      <c r="N396" s="1206"/>
      <c r="O396" s="1206"/>
      <c r="P396" s="1203"/>
      <c r="Q396" s="1206"/>
      <c r="R396" s="1203"/>
      <c r="S396" s="1204"/>
      <c r="T396" s="1205"/>
      <c r="U396" s="1206"/>
      <c r="V396" s="1206"/>
      <c r="W396" s="1206"/>
      <c r="X396" s="1203"/>
      <c r="Y396" s="1203"/>
      <c r="Z396" s="1203"/>
      <c r="AA396" s="1203"/>
      <c r="AB396" s="1203"/>
      <c r="AC396" s="1203"/>
      <c r="AD396" s="1203"/>
      <c r="AE396" s="1203"/>
      <c r="AF396" s="1206"/>
      <c r="AG396" s="1206"/>
      <c r="AH396" s="1203"/>
      <c r="AI396" s="1203"/>
      <c r="AJ396" s="1203"/>
      <c r="AK396" s="1203"/>
      <c r="AL396" s="1203"/>
      <c r="AM396" s="1203"/>
      <c r="AN396" s="1203"/>
      <c r="AO396" s="1203"/>
      <c r="AP396" s="1206"/>
      <c r="AQ396" s="1108"/>
      <c r="AR396" s="1203"/>
      <c r="AS396" s="1203"/>
      <c r="AT396" s="1203"/>
      <c r="AU396" s="1203"/>
      <c r="AV396" s="1203"/>
      <c r="AW396" s="1203"/>
      <c r="AX396" s="1203"/>
      <c r="AY396" s="1203"/>
      <c r="BB396" s="1203"/>
      <c r="BC396" s="1203"/>
      <c r="BD396" s="1203"/>
      <c r="BE396" s="1203"/>
      <c r="BF396" s="1203"/>
      <c r="BG396" s="1203"/>
      <c r="BH396" s="1203"/>
      <c r="BI396" s="1203"/>
      <c r="BT396" s="1102"/>
      <c r="BU396" s="1113"/>
      <c r="BV396" s="1207"/>
      <c r="BW396" s="1108"/>
      <c r="BX396" s="1108"/>
      <c r="BY396" s="1108"/>
      <c r="DS396" s="1102"/>
    </row>
    <row r="397" spans="1:123" x14ac:dyDescent="0.2">
      <c r="A397" s="1108"/>
      <c r="B397" s="1108"/>
      <c r="C397" s="1501"/>
      <c r="D397" s="1651"/>
      <c r="E397" s="1205"/>
      <c r="F397" s="1206"/>
      <c r="G397" s="1206"/>
      <c r="H397" s="1206"/>
      <c r="I397" s="1206"/>
      <c r="J397" s="1203"/>
      <c r="K397" s="1206"/>
      <c r="L397" s="1206"/>
      <c r="M397" s="1203"/>
      <c r="N397" s="1206"/>
      <c r="O397" s="1206"/>
      <c r="P397" s="1203"/>
      <c r="Q397" s="1206"/>
      <c r="R397" s="1203"/>
      <c r="S397" s="1204"/>
      <c r="T397" s="1205"/>
      <c r="U397" s="1206"/>
      <c r="V397" s="1206"/>
      <c r="W397" s="1206"/>
      <c r="X397" s="1203"/>
      <c r="Y397" s="1203"/>
      <c r="Z397" s="1203"/>
      <c r="AA397" s="1203"/>
      <c r="AB397" s="1203"/>
      <c r="AC397" s="1203"/>
      <c r="AD397" s="1203"/>
      <c r="AE397" s="1203"/>
      <c r="AF397" s="1206"/>
      <c r="AG397" s="1206"/>
      <c r="AH397" s="1203"/>
      <c r="AI397" s="1203"/>
      <c r="AJ397" s="1203"/>
      <c r="AK397" s="1203"/>
      <c r="AL397" s="1203"/>
      <c r="AM397" s="1203"/>
      <c r="AN397" s="1203"/>
      <c r="AO397" s="1203"/>
      <c r="AP397" s="1206"/>
      <c r="AQ397" s="1108"/>
      <c r="AR397" s="1203"/>
      <c r="AS397" s="1203"/>
      <c r="AT397" s="1203"/>
      <c r="AU397" s="1203"/>
      <c r="AV397" s="1203"/>
      <c r="AW397" s="1203"/>
      <c r="AX397" s="1203"/>
      <c r="AY397" s="1203"/>
      <c r="BB397" s="1203"/>
      <c r="BC397" s="1203"/>
      <c r="BD397" s="1203"/>
      <c r="BE397" s="1203"/>
      <c r="BF397" s="1203"/>
      <c r="BG397" s="1203"/>
      <c r="BH397" s="1203"/>
      <c r="BI397" s="1203"/>
      <c r="BT397" s="1102"/>
      <c r="BU397" s="1113"/>
      <c r="BV397" s="1207"/>
      <c r="BW397" s="1108"/>
      <c r="BX397" s="1108"/>
      <c r="BY397" s="1108"/>
      <c r="DS397" s="1102"/>
    </row>
    <row r="398" spans="1:123" x14ac:dyDescent="0.2">
      <c r="A398" s="1108"/>
      <c r="B398" s="1108"/>
      <c r="C398" s="1501"/>
      <c r="D398" s="1651"/>
      <c r="E398" s="1205"/>
      <c r="F398" s="1206"/>
      <c r="G398" s="1206"/>
      <c r="H398" s="1206"/>
      <c r="I398" s="1206"/>
      <c r="J398" s="1203"/>
      <c r="K398" s="1206"/>
      <c r="L398" s="1206"/>
      <c r="M398" s="1203"/>
      <c r="N398" s="1206"/>
      <c r="O398" s="1206"/>
      <c r="P398" s="1203"/>
      <c r="Q398" s="1206"/>
      <c r="R398" s="1203"/>
      <c r="S398" s="1204"/>
      <c r="T398" s="1205"/>
      <c r="U398" s="1206"/>
      <c r="V398" s="1206"/>
      <c r="W398" s="1206"/>
      <c r="X398" s="1203"/>
      <c r="Y398" s="1203"/>
      <c r="Z398" s="1203"/>
      <c r="AA398" s="1203"/>
      <c r="AB398" s="1203"/>
      <c r="AC398" s="1203"/>
      <c r="AD398" s="1203"/>
      <c r="AE398" s="1203"/>
      <c r="AF398" s="1206"/>
      <c r="AG398" s="1206"/>
      <c r="AH398" s="1203"/>
      <c r="AI398" s="1203"/>
      <c r="AJ398" s="1203"/>
      <c r="AK398" s="1203"/>
      <c r="AL398" s="1203"/>
      <c r="AM398" s="1203"/>
      <c r="AN398" s="1203"/>
      <c r="AO398" s="1203"/>
      <c r="AP398" s="1206"/>
      <c r="AQ398" s="1108"/>
      <c r="AR398" s="1203"/>
      <c r="AS398" s="1203"/>
      <c r="AT398" s="1203"/>
      <c r="AU398" s="1203"/>
      <c r="AV398" s="1203"/>
      <c r="AW398" s="1203"/>
      <c r="AX398" s="1203"/>
      <c r="AY398" s="1203"/>
      <c r="BB398" s="1203"/>
      <c r="BC398" s="1203"/>
      <c r="BD398" s="1203"/>
      <c r="BE398" s="1203"/>
      <c r="BF398" s="1203"/>
      <c r="BG398" s="1203"/>
      <c r="BH398" s="1203"/>
      <c r="BI398" s="1203"/>
      <c r="BT398" s="1102"/>
      <c r="BU398" s="1113"/>
      <c r="BV398" s="1207"/>
      <c r="BW398" s="1108"/>
      <c r="BX398" s="1108"/>
      <c r="BY398" s="1108"/>
      <c r="DS398" s="1102"/>
    </row>
    <row r="399" spans="1:123" x14ac:dyDescent="0.2">
      <c r="A399" s="1108"/>
      <c r="B399" s="1108"/>
      <c r="C399" s="1501"/>
      <c r="D399" s="1652"/>
      <c r="E399" s="1108"/>
      <c r="F399" s="1108"/>
      <c r="G399" s="1108"/>
      <c r="H399" s="1108"/>
      <c r="I399" s="1108"/>
      <c r="J399" s="1116"/>
      <c r="L399" s="1108"/>
      <c r="M399" s="1116"/>
      <c r="N399" s="1108"/>
      <c r="O399" s="1108"/>
      <c r="P399" s="1116"/>
      <c r="Q399" s="1108"/>
      <c r="R399" s="1116"/>
      <c r="S399" s="1108"/>
      <c r="T399" s="1108"/>
      <c r="U399" s="1108"/>
      <c r="V399" s="1108"/>
      <c r="W399" s="1108"/>
      <c r="X399" s="1116"/>
      <c r="Y399" s="1116"/>
      <c r="Z399" s="1116"/>
      <c r="AA399" s="1116"/>
      <c r="AB399" s="1116"/>
      <c r="AC399" s="1116"/>
      <c r="AD399" s="1116"/>
      <c r="AE399" s="1116"/>
      <c r="AF399" s="1108"/>
      <c r="AG399" s="1108"/>
      <c r="AH399" s="1116"/>
      <c r="AI399" s="1116"/>
      <c r="AJ399" s="1116"/>
      <c r="AK399" s="1116"/>
      <c r="AL399" s="1116"/>
      <c r="AM399" s="1116"/>
      <c r="AN399" s="1116"/>
      <c r="AO399" s="1116"/>
      <c r="AP399" s="1108"/>
      <c r="AQ399" s="1108"/>
      <c r="AR399" s="1116"/>
      <c r="AS399" s="1116"/>
      <c r="AT399" s="1116"/>
      <c r="AU399" s="1116"/>
      <c r="AV399" s="1116"/>
      <c r="AW399" s="1116"/>
      <c r="AX399" s="1116"/>
      <c r="AY399" s="1116"/>
      <c r="BB399" s="1116"/>
      <c r="BC399" s="1116"/>
      <c r="BD399" s="1116"/>
      <c r="BE399" s="1116"/>
      <c r="BF399" s="1116"/>
      <c r="BG399" s="1116"/>
      <c r="BH399" s="1116"/>
      <c r="BI399" s="1116"/>
      <c r="BU399" s="1113"/>
      <c r="BW399" s="1108"/>
      <c r="BX399" s="1108"/>
      <c r="BY399" s="1108"/>
    </row>
    <row r="400" spans="1:123" x14ac:dyDescent="0.2">
      <c r="A400" s="1108"/>
      <c r="B400" s="1108"/>
      <c r="C400" s="1501"/>
      <c r="D400" s="1652"/>
      <c r="E400" s="1108"/>
      <c r="F400" s="1108"/>
      <c r="G400" s="1108"/>
      <c r="H400" s="1108"/>
      <c r="I400" s="1108"/>
      <c r="J400" s="1116"/>
      <c r="L400" s="1108"/>
      <c r="M400" s="1116"/>
      <c r="N400" s="1108"/>
      <c r="O400" s="1108"/>
      <c r="P400" s="1116"/>
      <c r="Q400" s="1108"/>
      <c r="R400" s="1116"/>
      <c r="S400" s="1108"/>
      <c r="T400" s="1108"/>
      <c r="U400" s="1108"/>
      <c r="V400" s="1108"/>
      <c r="W400" s="1108"/>
      <c r="X400" s="1116"/>
      <c r="Y400" s="1116"/>
      <c r="Z400" s="1116"/>
      <c r="AA400" s="1116"/>
      <c r="AB400" s="1116"/>
      <c r="AC400" s="1116"/>
      <c r="AD400" s="1116"/>
      <c r="AE400" s="1116"/>
      <c r="AF400" s="1108"/>
      <c r="AG400" s="1108"/>
      <c r="AH400" s="1116"/>
      <c r="AI400" s="1116"/>
      <c r="AJ400" s="1116"/>
      <c r="AK400" s="1116"/>
      <c r="AL400" s="1116"/>
      <c r="AM400" s="1116"/>
      <c r="AN400" s="1116"/>
      <c r="AO400" s="1116"/>
      <c r="AP400" s="1108"/>
      <c r="AQ400" s="1108"/>
      <c r="AR400" s="1116"/>
      <c r="AS400" s="1116"/>
      <c r="AT400" s="1116"/>
      <c r="AU400" s="1116"/>
      <c r="AV400" s="1116"/>
      <c r="AW400" s="1116"/>
      <c r="AX400" s="1116"/>
      <c r="AY400" s="1116"/>
      <c r="BB400" s="1116"/>
      <c r="BC400" s="1116"/>
      <c r="BD400" s="1116"/>
      <c r="BE400" s="1116"/>
      <c r="BF400" s="1116"/>
      <c r="BG400" s="1116"/>
      <c r="BH400" s="1116"/>
      <c r="BI400" s="1116"/>
      <c r="BU400" s="1113"/>
      <c r="BW400" s="1108"/>
      <c r="BX400" s="1108"/>
      <c r="BY400" s="1108"/>
    </row>
    <row r="401" spans="1:77" x14ac:dyDescent="0.2">
      <c r="A401" s="1108"/>
      <c r="B401" s="1108"/>
      <c r="C401" s="1501"/>
      <c r="D401" s="1651"/>
      <c r="E401" s="1205"/>
      <c r="F401" s="1206"/>
      <c r="G401" s="1206"/>
      <c r="H401" s="1206"/>
      <c r="I401" s="1206"/>
      <c r="J401" s="1203"/>
      <c r="K401" s="1206"/>
      <c r="L401" s="1206"/>
      <c r="M401" s="1203"/>
      <c r="N401" s="1206"/>
      <c r="O401" s="1206"/>
      <c r="P401" s="1203"/>
      <c r="Q401" s="1206"/>
      <c r="R401" s="1218"/>
      <c r="S401" s="1217"/>
      <c r="T401" s="1205"/>
      <c r="U401" s="1206"/>
      <c r="V401" s="1206"/>
      <c r="W401" s="1206"/>
      <c r="X401" s="1203"/>
      <c r="Y401" s="1203"/>
      <c r="Z401" s="1203"/>
      <c r="AA401" s="1203"/>
      <c r="AB401" s="1203"/>
      <c r="AC401" s="1203"/>
      <c r="AD401" s="1203"/>
      <c r="AE401" s="1203"/>
      <c r="AF401" s="1206"/>
      <c r="AG401" s="1206"/>
      <c r="AH401" s="1203"/>
      <c r="AI401" s="1203"/>
      <c r="AJ401" s="1203"/>
      <c r="AK401" s="1203"/>
      <c r="AL401" s="1203"/>
      <c r="AM401" s="1203"/>
      <c r="AN401" s="1203"/>
      <c r="AO401" s="1203"/>
      <c r="AP401" s="1206"/>
      <c r="AQ401" s="1108"/>
      <c r="AR401" s="1203"/>
      <c r="AS401" s="1203"/>
      <c r="AT401" s="1203"/>
      <c r="AU401" s="1203"/>
      <c r="AV401" s="1203"/>
      <c r="AW401" s="1203"/>
      <c r="AX401" s="1203"/>
      <c r="AY401" s="1203"/>
      <c r="BB401" s="1203"/>
      <c r="BC401" s="1203"/>
      <c r="BD401" s="1203"/>
      <c r="BE401" s="1203"/>
      <c r="BF401" s="1203"/>
      <c r="BG401" s="1203"/>
      <c r="BH401" s="1203"/>
      <c r="BI401" s="1203"/>
      <c r="BU401" s="1113"/>
      <c r="BV401" s="1207"/>
      <c r="BW401" s="1108"/>
      <c r="BX401" s="1108"/>
      <c r="BY401" s="1108"/>
    </row>
    <row r="402" spans="1:77" x14ac:dyDescent="0.2">
      <c r="A402" s="1108"/>
      <c r="B402" s="1108"/>
      <c r="C402" s="1501"/>
      <c r="D402" s="1651"/>
      <c r="E402" s="1205"/>
      <c r="F402" s="1206"/>
      <c r="G402" s="1206"/>
      <c r="H402" s="1206"/>
      <c r="I402" s="1206"/>
      <c r="J402" s="1203"/>
      <c r="K402" s="1206"/>
      <c r="L402" s="1206"/>
      <c r="M402" s="1203"/>
      <c r="N402" s="1206"/>
      <c r="O402" s="1206"/>
      <c r="P402" s="1203"/>
      <c r="Q402" s="1206"/>
      <c r="R402" s="1219"/>
      <c r="S402" s="1208"/>
      <c r="T402" s="1205"/>
      <c r="U402" s="1206"/>
      <c r="V402" s="1206"/>
      <c r="W402" s="1206"/>
      <c r="X402" s="1203"/>
      <c r="Y402" s="1203"/>
      <c r="Z402" s="1203"/>
      <c r="AA402" s="1203"/>
      <c r="AB402" s="1203"/>
      <c r="AC402" s="1203"/>
      <c r="AD402" s="1203"/>
      <c r="AE402" s="1203"/>
      <c r="AF402" s="1206"/>
      <c r="AG402" s="1206"/>
      <c r="AH402" s="1203"/>
      <c r="AI402" s="1203"/>
      <c r="AJ402" s="1203"/>
      <c r="AK402" s="1203"/>
      <c r="AL402" s="1203"/>
      <c r="AM402" s="1203"/>
      <c r="AN402" s="1203"/>
      <c r="AO402" s="1203"/>
      <c r="AP402" s="1206"/>
      <c r="AQ402" s="1108"/>
      <c r="AR402" s="1203"/>
      <c r="AS402" s="1203"/>
      <c r="AT402" s="1203"/>
      <c r="AU402" s="1203"/>
      <c r="AV402" s="1203"/>
      <c r="AW402" s="1203"/>
      <c r="AX402" s="1203"/>
      <c r="AY402" s="1203"/>
      <c r="BB402" s="1203"/>
      <c r="BC402" s="1203"/>
      <c r="BD402" s="1203"/>
      <c r="BE402" s="1203"/>
      <c r="BF402" s="1203"/>
      <c r="BG402" s="1203"/>
      <c r="BH402" s="1203"/>
      <c r="BI402" s="1203"/>
      <c r="BU402" s="1113"/>
      <c r="BV402" s="1207"/>
      <c r="BW402" s="1108"/>
      <c r="BX402" s="1108"/>
      <c r="BY402" s="1108"/>
    </row>
    <row r="403" spans="1:77" x14ac:dyDescent="0.2">
      <c r="A403" s="1108"/>
      <c r="B403" s="1108"/>
      <c r="C403" s="1501"/>
      <c r="D403" s="1653"/>
      <c r="E403" s="1208"/>
      <c r="F403" s="1209"/>
      <c r="G403" s="1209"/>
      <c r="H403" s="1209"/>
      <c r="I403" s="1209"/>
      <c r="J403" s="1210"/>
      <c r="K403" s="1209"/>
      <c r="L403" s="1209"/>
      <c r="M403" s="1210"/>
      <c r="N403" s="1209"/>
      <c r="O403" s="1209"/>
      <c r="P403" s="1210"/>
      <c r="Q403" s="1209"/>
      <c r="R403" s="1218"/>
      <c r="S403" s="1217"/>
      <c r="T403" s="1208"/>
      <c r="U403" s="1209"/>
      <c r="V403" s="1209"/>
      <c r="W403" s="1209"/>
      <c r="X403" s="1210"/>
      <c r="Y403" s="1210"/>
      <c r="Z403" s="1210"/>
      <c r="AA403" s="1210"/>
      <c r="AB403" s="1210"/>
      <c r="AC403" s="1210"/>
      <c r="AD403" s="1210"/>
      <c r="AE403" s="1210"/>
      <c r="AF403" s="1209"/>
      <c r="AG403" s="1209"/>
      <c r="AH403" s="1210"/>
      <c r="AI403" s="1210"/>
      <c r="AJ403" s="1210"/>
      <c r="AK403" s="1210"/>
      <c r="AL403" s="1210"/>
      <c r="AM403" s="1210"/>
      <c r="AN403" s="1210"/>
      <c r="AO403" s="1210"/>
      <c r="AP403" s="1209"/>
      <c r="AQ403" s="1108"/>
      <c r="AR403" s="1210"/>
      <c r="AS403" s="1210"/>
      <c r="AT403" s="1210"/>
      <c r="AU403" s="1210"/>
      <c r="AV403" s="1210"/>
      <c r="AW403" s="1210"/>
      <c r="AX403" s="1210"/>
      <c r="AY403" s="1210"/>
      <c r="BB403" s="1210"/>
      <c r="BC403" s="1210"/>
      <c r="BD403" s="1210"/>
      <c r="BE403" s="1210"/>
      <c r="BF403" s="1210"/>
      <c r="BG403" s="1210"/>
      <c r="BH403" s="1210"/>
      <c r="BI403" s="1210"/>
      <c r="BU403" s="1113"/>
      <c r="BV403" s="1210"/>
      <c r="BW403" s="1108"/>
      <c r="BX403" s="1108"/>
      <c r="BY403" s="1108"/>
    </row>
    <row r="404" spans="1:77" x14ac:dyDescent="0.2">
      <c r="A404" s="1108"/>
      <c r="B404" s="1108"/>
      <c r="C404" s="1501"/>
      <c r="D404" s="1654"/>
      <c r="E404" s="1211"/>
      <c r="F404" s="1212"/>
      <c r="G404" s="1212"/>
      <c r="H404" s="1212"/>
      <c r="I404" s="1212"/>
      <c r="J404" s="1213"/>
      <c r="K404" s="1212"/>
      <c r="L404" s="1212"/>
      <c r="M404" s="1213"/>
      <c r="N404" s="1212"/>
      <c r="O404" s="1212"/>
      <c r="P404" s="1213"/>
      <c r="Q404" s="1212"/>
      <c r="R404" s="1218"/>
      <c r="S404" s="1217"/>
      <c r="T404" s="1211"/>
      <c r="U404" s="1212"/>
      <c r="V404" s="1212"/>
      <c r="W404" s="1212"/>
      <c r="X404" s="1213"/>
      <c r="Y404" s="1213"/>
      <c r="Z404" s="1213"/>
      <c r="AA404" s="1213"/>
      <c r="AB404" s="1213"/>
      <c r="AC404" s="1213"/>
      <c r="AD404" s="1213"/>
      <c r="AE404" s="1213"/>
      <c r="AF404" s="1212"/>
      <c r="AG404" s="1212"/>
      <c r="AH404" s="1213"/>
      <c r="AI404" s="1213"/>
      <c r="AJ404" s="1213"/>
      <c r="AK404" s="1213"/>
      <c r="AL404" s="1213"/>
      <c r="AM404" s="1213"/>
      <c r="AN404" s="1213"/>
      <c r="AO404" s="1213"/>
      <c r="AP404" s="1212"/>
      <c r="AQ404" s="1108"/>
      <c r="AR404" s="1213"/>
      <c r="AS404" s="1213"/>
      <c r="AT404" s="1213"/>
      <c r="AU404" s="1213"/>
      <c r="AV404" s="1213"/>
      <c r="AW404" s="1213"/>
      <c r="AX404" s="1213"/>
      <c r="AY404" s="1213"/>
      <c r="BB404" s="1213"/>
      <c r="BC404" s="1213"/>
      <c r="BD404" s="1213"/>
      <c r="BE404" s="1213"/>
      <c r="BF404" s="1213"/>
      <c r="BG404" s="1213"/>
      <c r="BH404" s="1213"/>
      <c r="BI404" s="1213"/>
      <c r="BU404" s="1113"/>
      <c r="BV404" s="1214"/>
      <c r="BW404" s="1108"/>
      <c r="BX404" s="1108"/>
      <c r="BY404" s="1108"/>
    </row>
    <row r="405" spans="1:77" x14ac:dyDescent="0.2">
      <c r="A405" s="1108"/>
      <c r="B405" s="1108"/>
      <c r="C405" s="1501"/>
      <c r="D405" s="1655"/>
      <c r="E405" s="1215"/>
      <c r="F405" s="1212"/>
      <c r="G405" s="1212"/>
      <c r="H405" s="1212"/>
      <c r="I405" s="1212"/>
      <c r="J405" s="1213"/>
      <c r="K405" s="1212"/>
      <c r="L405" s="1212"/>
      <c r="M405" s="1213"/>
      <c r="N405" s="1212"/>
      <c r="O405" s="1212"/>
      <c r="P405" s="1213"/>
      <c r="Q405" s="1212"/>
      <c r="R405" s="1218"/>
      <c r="S405" s="1217"/>
      <c r="T405" s="1215"/>
      <c r="U405" s="1212"/>
      <c r="V405" s="1212"/>
      <c r="W405" s="1212"/>
      <c r="X405" s="1213"/>
      <c r="Y405" s="1213"/>
      <c r="Z405" s="1213"/>
      <c r="AA405" s="1213"/>
      <c r="AB405" s="1213"/>
      <c r="AC405" s="1213"/>
      <c r="AD405" s="1213"/>
      <c r="AE405" s="1213"/>
      <c r="AF405" s="1212"/>
      <c r="AG405" s="1212"/>
      <c r="AH405" s="1213"/>
      <c r="AI405" s="1213"/>
      <c r="AJ405" s="1213"/>
      <c r="AK405" s="1213"/>
      <c r="AL405" s="1213"/>
      <c r="AM405" s="1213"/>
      <c r="AN405" s="1213"/>
      <c r="AO405" s="1213"/>
      <c r="AP405" s="1212"/>
      <c r="AQ405" s="1108"/>
      <c r="AR405" s="1213"/>
      <c r="AS405" s="1213"/>
      <c r="AT405" s="1213"/>
      <c r="AU405" s="1213"/>
      <c r="AV405" s="1213"/>
      <c r="AW405" s="1213"/>
      <c r="AX405" s="1213"/>
      <c r="AY405" s="1213"/>
      <c r="BB405" s="1213"/>
      <c r="BC405" s="1213"/>
      <c r="BD405" s="1213"/>
      <c r="BE405" s="1213"/>
      <c r="BF405" s="1213"/>
      <c r="BG405" s="1213"/>
      <c r="BH405" s="1213"/>
      <c r="BI405" s="1213"/>
      <c r="BU405" s="1113"/>
      <c r="BV405" s="1214"/>
      <c r="BW405" s="1108"/>
      <c r="BX405" s="1108"/>
      <c r="BY405" s="1108"/>
    </row>
    <row r="406" spans="1:77" x14ac:dyDescent="0.2">
      <c r="A406" s="1108"/>
      <c r="B406" s="1108"/>
      <c r="C406" s="1501"/>
      <c r="D406" s="1655"/>
      <c r="E406" s="1215"/>
      <c r="F406" s="1212"/>
      <c r="G406" s="1212"/>
      <c r="H406" s="1212"/>
      <c r="I406" s="1212"/>
      <c r="J406" s="1213"/>
      <c r="K406" s="1212"/>
      <c r="L406" s="1212"/>
      <c r="M406" s="1213"/>
      <c r="N406" s="1212"/>
      <c r="O406" s="1212"/>
      <c r="P406" s="1213"/>
      <c r="Q406" s="1212"/>
      <c r="R406" s="1218"/>
      <c r="S406" s="1217"/>
      <c r="T406" s="1215"/>
      <c r="U406" s="1212"/>
      <c r="V406" s="1212"/>
      <c r="W406" s="1212"/>
      <c r="X406" s="1213"/>
      <c r="Y406" s="1213"/>
      <c r="Z406" s="1213"/>
      <c r="AA406" s="1213"/>
      <c r="AB406" s="1213"/>
      <c r="AC406" s="1213"/>
      <c r="AD406" s="1213"/>
      <c r="AE406" s="1213"/>
      <c r="AF406" s="1212"/>
      <c r="AG406" s="1212"/>
      <c r="AH406" s="1213"/>
      <c r="AI406" s="1213"/>
      <c r="AJ406" s="1213"/>
      <c r="AK406" s="1213"/>
      <c r="AL406" s="1213"/>
      <c r="AM406" s="1213"/>
      <c r="AN406" s="1213"/>
      <c r="AO406" s="1213"/>
      <c r="AP406" s="1212"/>
      <c r="AQ406" s="1108"/>
      <c r="AR406" s="1213"/>
      <c r="AS406" s="1213"/>
      <c r="AT406" s="1213"/>
      <c r="AU406" s="1213"/>
      <c r="AV406" s="1213"/>
      <c r="AW406" s="1213"/>
      <c r="AX406" s="1213"/>
      <c r="AY406" s="1213"/>
      <c r="BB406" s="1213"/>
      <c r="BC406" s="1213"/>
      <c r="BD406" s="1213"/>
      <c r="BE406" s="1213"/>
      <c r="BF406" s="1213"/>
      <c r="BG406" s="1213"/>
      <c r="BH406" s="1213"/>
      <c r="BI406" s="1213"/>
      <c r="BU406" s="1113"/>
      <c r="BV406" s="1214"/>
      <c r="BW406" s="1108"/>
      <c r="BX406" s="1108"/>
      <c r="BY406" s="1108"/>
    </row>
    <row r="407" spans="1:77" x14ac:dyDescent="0.2">
      <c r="A407" s="1108"/>
      <c r="B407" s="1108"/>
      <c r="C407" s="1501"/>
      <c r="D407" s="1655"/>
      <c r="E407" s="1215"/>
      <c r="F407" s="1215"/>
      <c r="G407" s="1215"/>
      <c r="H407" s="1215"/>
      <c r="I407" s="1215"/>
      <c r="J407" s="1220"/>
      <c r="K407" s="1215"/>
      <c r="L407" s="1215"/>
      <c r="M407" s="1220"/>
      <c r="N407" s="1215"/>
      <c r="O407" s="1215"/>
      <c r="P407" s="1220"/>
      <c r="Q407" s="1215"/>
      <c r="R407" s="1218"/>
      <c r="S407" s="1217"/>
      <c r="T407" s="1217"/>
      <c r="U407" s="1217"/>
      <c r="V407" s="1228"/>
      <c r="W407" s="1217"/>
      <c r="X407" s="1218"/>
      <c r="Y407" s="1218"/>
      <c r="Z407" s="1218"/>
      <c r="AA407" s="1218"/>
      <c r="AB407" s="1218"/>
      <c r="AC407" s="1218"/>
      <c r="AD407" s="1218"/>
      <c r="AE407" s="1218"/>
      <c r="AF407" s="1217"/>
      <c r="AG407" s="1217"/>
      <c r="AH407" s="1218"/>
      <c r="AI407" s="1218"/>
      <c r="AJ407" s="1218"/>
      <c r="AK407" s="1218"/>
      <c r="AL407" s="1218"/>
      <c r="AM407" s="1218"/>
      <c r="AN407" s="1218"/>
      <c r="AO407" s="1218"/>
      <c r="AP407" s="1217"/>
      <c r="AQ407" s="1108"/>
      <c r="AR407" s="1218"/>
      <c r="AS407" s="1218"/>
      <c r="AT407" s="1218"/>
      <c r="AU407" s="1218"/>
      <c r="AV407" s="1218"/>
      <c r="AW407" s="1218"/>
      <c r="AX407" s="1218"/>
      <c r="AY407" s="1218"/>
      <c r="BB407" s="1218"/>
      <c r="BC407" s="1218"/>
      <c r="BD407" s="1218"/>
      <c r="BE407" s="1218"/>
      <c r="BF407" s="1218"/>
      <c r="BG407" s="1218"/>
      <c r="BH407" s="1218"/>
      <c r="BI407" s="1218"/>
      <c r="BU407" s="1113"/>
      <c r="BV407" s="1221"/>
      <c r="BW407" s="1108"/>
      <c r="BX407" s="1108"/>
      <c r="BY407" s="1108"/>
    </row>
    <row r="408" spans="1:77" x14ac:dyDescent="0.2">
      <c r="A408" s="1108"/>
      <c r="B408" s="1108"/>
      <c r="C408" s="1501"/>
      <c r="D408" s="1656"/>
      <c r="E408" s="1222"/>
      <c r="F408" s="1222"/>
      <c r="G408" s="1204"/>
      <c r="H408" s="1204"/>
      <c r="I408" s="1204"/>
      <c r="J408" s="1203"/>
      <c r="K408" s="1204"/>
      <c r="L408" s="1204"/>
      <c r="M408" s="1203"/>
      <c r="N408" s="1204"/>
      <c r="O408" s="1204"/>
      <c r="P408" s="1202"/>
      <c r="Q408" s="1223"/>
      <c r="R408" s="1218"/>
      <c r="S408" s="1217"/>
      <c r="T408" s="1222"/>
      <c r="U408" s="1222"/>
      <c r="V408" s="1204"/>
      <c r="W408" s="1204"/>
      <c r="X408" s="1203"/>
      <c r="Y408" s="1203"/>
      <c r="Z408" s="1203"/>
      <c r="AA408" s="1203"/>
      <c r="AB408" s="1203"/>
      <c r="AC408" s="1203"/>
      <c r="AD408" s="1203"/>
      <c r="AE408" s="1203"/>
      <c r="AF408" s="1204"/>
      <c r="AG408" s="1204"/>
      <c r="AH408" s="1203"/>
      <c r="AI408" s="1203"/>
      <c r="AJ408" s="1203"/>
      <c r="AK408" s="1203"/>
      <c r="AL408" s="1203"/>
      <c r="AM408" s="1203"/>
      <c r="AN408" s="1203"/>
      <c r="AO408" s="1203"/>
      <c r="AP408" s="1223"/>
      <c r="AQ408" s="1108"/>
      <c r="AR408" s="1203"/>
      <c r="AS408" s="1203"/>
      <c r="AT408" s="1203"/>
      <c r="AU408" s="1203"/>
      <c r="AV408" s="1203"/>
      <c r="AW408" s="1203"/>
      <c r="AX408" s="1203"/>
      <c r="AY408" s="1203"/>
      <c r="BB408" s="1203"/>
      <c r="BC408" s="1203"/>
      <c r="BD408" s="1203"/>
      <c r="BE408" s="1203"/>
      <c r="BF408" s="1203"/>
      <c r="BG408" s="1203"/>
      <c r="BH408" s="1203"/>
      <c r="BI408" s="1203"/>
      <c r="BU408" s="1113"/>
      <c r="BV408" s="1202"/>
      <c r="BW408" s="1108"/>
      <c r="BX408" s="1108"/>
      <c r="BY408" s="1108"/>
    </row>
    <row r="409" spans="1:77" x14ac:dyDescent="0.2">
      <c r="A409" s="1108"/>
      <c r="B409" s="1108"/>
      <c r="C409" s="1501"/>
      <c r="D409" s="1657"/>
      <c r="E409" s="1224"/>
      <c r="F409" s="1224"/>
      <c r="G409" s="1204"/>
      <c r="H409" s="1204"/>
      <c r="I409" s="1204"/>
      <c r="J409" s="1203"/>
      <c r="K409" s="1204"/>
      <c r="L409" s="1204"/>
      <c r="M409" s="1203"/>
      <c r="N409" s="1204"/>
      <c r="O409" s="1204"/>
      <c r="P409" s="1207"/>
      <c r="Q409" s="1225"/>
      <c r="R409" s="1218"/>
      <c r="S409" s="1217"/>
      <c r="T409" s="1224"/>
      <c r="U409" s="1224"/>
      <c r="V409" s="1204"/>
      <c r="W409" s="1204"/>
      <c r="X409" s="1203"/>
      <c r="Y409" s="1203"/>
      <c r="Z409" s="1203"/>
      <c r="AA409" s="1203"/>
      <c r="AB409" s="1203"/>
      <c r="AC409" s="1203"/>
      <c r="AD409" s="1203"/>
      <c r="AE409" s="1203"/>
      <c r="AF409" s="1204"/>
      <c r="AG409" s="1204"/>
      <c r="AH409" s="1203"/>
      <c r="AI409" s="1203"/>
      <c r="AJ409" s="1203"/>
      <c r="AK409" s="1203"/>
      <c r="AL409" s="1203"/>
      <c r="AM409" s="1203"/>
      <c r="AN409" s="1203"/>
      <c r="AO409" s="1203"/>
      <c r="AP409" s="1225"/>
      <c r="AQ409" s="1108"/>
      <c r="AR409" s="1203"/>
      <c r="AS409" s="1203"/>
      <c r="AT409" s="1203"/>
      <c r="AU409" s="1203"/>
      <c r="AV409" s="1203"/>
      <c r="AW409" s="1203"/>
      <c r="AX409" s="1203"/>
      <c r="AY409" s="1203"/>
      <c r="BB409" s="1203"/>
      <c r="BC409" s="1203"/>
      <c r="BD409" s="1203"/>
      <c r="BE409" s="1203"/>
      <c r="BF409" s="1203"/>
      <c r="BG409" s="1203"/>
      <c r="BH409" s="1203"/>
      <c r="BI409" s="1203"/>
      <c r="BU409" s="1113"/>
      <c r="BV409" s="1207"/>
      <c r="BW409" s="1108"/>
      <c r="BX409" s="1108"/>
      <c r="BY409" s="1108"/>
    </row>
    <row r="410" spans="1:77" x14ac:dyDescent="0.2">
      <c r="A410" s="1108"/>
      <c r="B410" s="1108"/>
      <c r="C410" s="1501"/>
      <c r="D410" s="1651"/>
      <c r="E410" s="1205"/>
      <c r="F410" s="1205"/>
      <c r="G410" s="1204"/>
      <c r="H410" s="1204"/>
      <c r="I410" s="1204"/>
      <c r="J410" s="1203"/>
      <c r="K410" s="1204"/>
      <c r="L410" s="1204"/>
      <c r="M410" s="1226"/>
      <c r="N410" s="1227"/>
      <c r="O410" s="1227"/>
      <c r="P410" s="1207"/>
      <c r="Q410" s="1225"/>
      <c r="R410" s="1218"/>
      <c r="S410" s="1217"/>
      <c r="T410" s="1205"/>
      <c r="U410" s="1205"/>
      <c r="V410" s="1204"/>
      <c r="W410" s="1204"/>
      <c r="X410" s="1203"/>
      <c r="Y410" s="1203"/>
      <c r="Z410" s="1203"/>
      <c r="AA410" s="1203"/>
      <c r="AB410" s="1203"/>
      <c r="AC410" s="1203"/>
      <c r="AD410" s="1203"/>
      <c r="AE410" s="1203"/>
      <c r="AF410" s="1204"/>
      <c r="AG410" s="1227"/>
      <c r="AH410" s="1203"/>
      <c r="AI410" s="1203"/>
      <c r="AJ410" s="1203"/>
      <c r="AK410" s="1203"/>
      <c r="AL410" s="1203"/>
      <c r="AM410" s="1203"/>
      <c r="AN410" s="1203"/>
      <c r="AO410" s="1203"/>
      <c r="AP410" s="1225"/>
      <c r="AQ410" s="1108"/>
      <c r="AR410" s="1203"/>
      <c r="AS410" s="1203"/>
      <c r="AT410" s="1203"/>
      <c r="AU410" s="1203"/>
      <c r="AV410" s="1203"/>
      <c r="AW410" s="1203"/>
      <c r="AX410" s="1203"/>
      <c r="AY410" s="1203"/>
      <c r="BB410" s="1203"/>
      <c r="BC410" s="1203"/>
      <c r="BD410" s="1203"/>
      <c r="BE410" s="1203"/>
      <c r="BF410" s="1203"/>
      <c r="BG410" s="1203"/>
      <c r="BH410" s="1203"/>
      <c r="BI410" s="1203"/>
      <c r="BU410" s="1113"/>
      <c r="BV410" s="1207"/>
      <c r="BW410" s="1108"/>
      <c r="BX410" s="1108"/>
      <c r="BY410" s="1108"/>
    </row>
    <row r="411" spans="1:77" x14ac:dyDescent="0.2">
      <c r="A411" s="1108"/>
      <c r="B411" s="1108"/>
      <c r="C411" s="1501"/>
      <c r="D411" s="1652"/>
      <c r="E411" s="1108"/>
      <c r="F411" s="1201"/>
      <c r="G411" s="1201"/>
      <c r="H411" s="1201"/>
      <c r="I411" s="1201"/>
      <c r="J411" s="1202"/>
      <c r="K411" s="1201"/>
      <c r="L411" s="1201"/>
      <c r="M411" s="1202"/>
      <c r="N411" s="1201"/>
      <c r="O411" s="1201"/>
      <c r="P411" s="1202"/>
      <c r="Q411" s="1201"/>
      <c r="R411" s="1218"/>
      <c r="S411" s="1217"/>
      <c r="T411" s="1108"/>
      <c r="U411" s="1201"/>
      <c r="V411" s="1201"/>
      <c r="W411" s="1201"/>
      <c r="X411" s="1202"/>
      <c r="Y411" s="1202"/>
      <c r="Z411" s="1202"/>
      <c r="AA411" s="1202"/>
      <c r="AB411" s="1202"/>
      <c r="AC411" s="1202"/>
      <c r="AD411" s="1202"/>
      <c r="AE411" s="1202"/>
      <c r="AF411" s="1201"/>
      <c r="AG411" s="1201"/>
      <c r="AH411" s="1202"/>
      <c r="AI411" s="1202"/>
      <c r="AJ411" s="1202"/>
      <c r="AK411" s="1202"/>
      <c r="AL411" s="1202"/>
      <c r="AM411" s="1202"/>
      <c r="AN411" s="1202"/>
      <c r="AO411" s="1202"/>
      <c r="AP411" s="1201"/>
      <c r="AQ411" s="1108"/>
      <c r="AR411" s="1202"/>
      <c r="AS411" s="1202"/>
      <c r="AT411" s="1202"/>
      <c r="AU411" s="1202"/>
      <c r="AV411" s="1202"/>
      <c r="AW411" s="1202"/>
      <c r="AX411" s="1202"/>
      <c r="AY411" s="1202"/>
      <c r="BB411" s="1202"/>
      <c r="BC411" s="1202"/>
      <c r="BD411" s="1202"/>
      <c r="BE411" s="1202"/>
      <c r="BF411" s="1202"/>
      <c r="BG411" s="1202"/>
      <c r="BH411" s="1202"/>
      <c r="BI411" s="1202"/>
      <c r="BU411" s="1113"/>
      <c r="BV411" s="1202"/>
      <c r="BW411" s="1108"/>
      <c r="BX411" s="1108"/>
      <c r="BY411" s="1108"/>
    </row>
    <row r="412" spans="1:77" x14ac:dyDescent="0.2">
      <c r="A412" s="1108"/>
      <c r="B412" s="1108"/>
      <c r="C412" s="1501"/>
      <c r="D412" s="1651"/>
      <c r="E412" s="1205"/>
      <c r="F412" s="1206"/>
      <c r="G412" s="1206"/>
      <c r="H412" s="1206"/>
      <c r="I412" s="1206"/>
      <c r="J412" s="1203"/>
      <c r="K412" s="1206"/>
      <c r="L412" s="1206"/>
      <c r="M412" s="1203"/>
      <c r="N412" s="1206"/>
      <c r="O412" s="1206"/>
      <c r="P412" s="1203"/>
      <c r="Q412" s="1206"/>
      <c r="R412" s="1219"/>
      <c r="S412" s="1208"/>
      <c r="T412" s="1205"/>
      <c r="U412" s="1206"/>
      <c r="V412" s="1206"/>
      <c r="W412" s="1206"/>
      <c r="X412" s="1203"/>
      <c r="Y412" s="1203"/>
      <c r="Z412" s="1203"/>
      <c r="AA412" s="1203"/>
      <c r="AB412" s="1203"/>
      <c r="AC412" s="1203"/>
      <c r="AD412" s="1203"/>
      <c r="AE412" s="1203"/>
      <c r="AF412" s="1206"/>
      <c r="AG412" s="1206"/>
      <c r="AH412" s="1203"/>
      <c r="AI412" s="1203"/>
      <c r="AJ412" s="1203"/>
      <c r="AK412" s="1203"/>
      <c r="AL412" s="1203"/>
      <c r="AM412" s="1203"/>
      <c r="AN412" s="1203"/>
      <c r="AO412" s="1203"/>
      <c r="AP412" s="1206"/>
      <c r="AQ412" s="1108"/>
      <c r="AR412" s="1203"/>
      <c r="AS412" s="1203"/>
      <c r="AT412" s="1203"/>
      <c r="AU412" s="1203"/>
      <c r="AV412" s="1203"/>
      <c r="AW412" s="1203"/>
      <c r="AX412" s="1203"/>
      <c r="AY412" s="1203"/>
      <c r="BB412" s="1203"/>
      <c r="BC412" s="1203"/>
      <c r="BD412" s="1203"/>
      <c r="BE412" s="1203"/>
      <c r="BF412" s="1203"/>
      <c r="BG412" s="1203"/>
      <c r="BH412" s="1203"/>
      <c r="BI412" s="1203"/>
      <c r="BU412" s="1113"/>
      <c r="BV412" s="1207"/>
      <c r="BW412" s="1108"/>
      <c r="BX412" s="1108"/>
      <c r="BY412" s="1108"/>
    </row>
    <row r="413" spans="1:77" x14ac:dyDescent="0.2">
      <c r="A413" s="1108"/>
      <c r="B413" s="1108"/>
      <c r="C413" s="1501"/>
      <c r="D413" s="1651"/>
      <c r="E413" s="1205"/>
      <c r="F413" s="1206"/>
      <c r="G413" s="1206"/>
      <c r="H413" s="1206"/>
      <c r="I413" s="1206"/>
      <c r="J413" s="1203"/>
      <c r="K413" s="1206"/>
      <c r="L413" s="1206"/>
      <c r="M413" s="1203"/>
      <c r="N413" s="1206"/>
      <c r="O413" s="1206"/>
      <c r="P413" s="1203"/>
      <c r="Q413" s="1206"/>
      <c r="R413" s="1219"/>
      <c r="S413" s="1208"/>
      <c r="T413" s="1205"/>
      <c r="U413" s="1206"/>
      <c r="V413" s="1206"/>
      <c r="W413" s="1206"/>
      <c r="X413" s="1203"/>
      <c r="Y413" s="1203"/>
      <c r="Z413" s="1203"/>
      <c r="AA413" s="1203"/>
      <c r="AB413" s="1203"/>
      <c r="AC413" s="1203"/>
      <c r="AD413" s="1203"/>
      <c r="AE413" s="1203"/>
      <c r="AF413" s="1206"/>
      <c r="AG413" s="1206"/>
      <c r="AH413" s="1203"/>
      <c r="AI413" s="1203"/>
      <c r="AJ413" s="1203"/>
      <c r="AK413" s="1203"/>
      <c r="AL413" s="1203"/>
      <c r="AM413" s="1203"/>
      <c r="AN413" s="1203"/>
      <c r="AO413" s="1203"/>
      <c r="AP413" s="1206"/>
      <c r="AQ413" s="1108"/>
      <c r="AR413" s="1203"/>
      <c r="AS413" s="1203"/>
      <c r="AT413" s="1203"/>
      <c r="AU413" s="1203"/>
      <c r="AV413" s="1203"/>
      <c r="AW413" s="1203"/>
      <c r="AX413" s="1203"/>
      <c r="AY413" s="1203"/>
      <c r="BB413" s="1203"/>
      <c r="BC413" s="1203"/>
      <c r="BD413" s="1203"/>
      <c r="BE413" s="1203"/>
      <c r="BF413" s="1203"/>
      <c r="BG413" s="1203"/>
      <c r="BH413" s="1203"/>
      <c r="BI413" s="1203"/>
      <c r="BU413" s="1113"/>
      <c r="BV413" s="1207"/>
      <c r="BW413" s="1108"/>
      <c r="BX413" s="1108"/>
      <c r="BY413" s="1108"/>
    </row>
    <row r="414" spans="1:77" x14ac:dyDescent="0.2">
      <c r="A414" s="1108"/>
      <c r="B414" s="1108"/>
      <c r="C414" s="1501"/>
      <c r="D414" s="1653"/>
      <c r="E414" s="1208"/>
      <c r="F414" s="1209"/>
      <c r="G414" s="1209"/>
      <c r="H414" s="1209"/>
      <c r="I414" s="1209"/>
      <c r="J414" s="1210"/>
      <c r="K414" s="1209"/>
      <c r="L414" s="1209"/>
      <c r="M414" s="1210"/>
      <c r="N414" s="1209"/>
      <c r="O414" s="1209"/>
      <c r="P414" s="1210"/>
      <c r="Q414" s="1209"/>
      <c r="R414" s="1219"/>
      <c r="S414" s="1208"/>
      <c r="T414" s="1208"/>
      <c r="U414" s="1209"/>
      <c r="V414" s="1209"/>
      <c r="W414" s="1209"/>
      <c r="X414" s="1210"/>
      <c r="Y414" s="1210"/>
      <c r="Z414" s="1210"/>
      <c r="AA414" s="1210"/>
      <c r="AB414" s="1210"/>
      <c r="AC414" s="1210"/>
      <c r="AD414" s="1210"/>
      <c r="AE414" s="1210"/>
      <c r="AF414" s="1209"/>
      <c r="AG414" s="1209"/>
      <c r="AH414" s="1210"/>
      <c r="AI414" s="1210"/>
      <c r="AJ414" s="1210"/>
      <c r="AK414" s="1210"/>
      <c r="AL414" s="1210"/>
      <c r="AM414" s="1210"/>
      <c r="AN414" s="1210"/>
      <c r="AO414" s="1210"/>
      <c r="AP414" s="1209"/>
      <c r="AQ414" s="1108"/>
      <c r="AR414" s="1210"/>
      <c r="AS414" s="1210"/>
      <c r="AT414" s="1210"/>
      <c r="AU414" s="1210"/>
      <c r="AV414" s="1210"/>
      <c r="AW414" s="1210"/>
      <c r="AX414" s="1210"/>
      <c r="AY414" s="1210"/>
      <c r="BB414" s="1210"/>
      <c r="BC414" s="1210"/>
      <c r="BD414" s="1210"/>
      <c r="BE414" s="1210"/>
      <c r="BF414" s="1210"/>
      <c r="BG414" s="1210"/>
      <c r="BH414" s="1210"/>
      <c r="BI414" s="1210"/>
      <c r="BU414" s="1113"/>
      <c r="BV414" s="1210"/>
      <c r="BW414" s="1108"/>
      <c r="BX414" s="1108"/>
      <c r="BY414" s="1108"/>
    </row>
    <row r="415" spans="1:77" x14ac:dyDescent="0.2">
      <c r="A415" s="1108"/>
      <c r="B415" s="1108"/>
      <c r="C415" s="1501"/>
      <c r="D415" s="1654"/>
      <c r="E415" s="1211"/>
      <c r="F415" s="1212"/>
      <c r="G415" s="1212"/>
      <c r="H415" s="1212"/>
      <c r="I415" s="1212"/>
      <c r="J415" s="1213"/>
      <c r="K415" s="1212"/>
      <c r="L415" s="1212"/>
      <c r="M415" s="1213"/>
      <c r="N415" s="1212"/>
      <c r="O415" s="1212"/>
      <c r="P415" s="1213"/>
      <c r="Q415" s="1212"/>
      <c r="R415" s="1101"/>
      <c r="S415" s="1113"/>
      <c r="T415" s="1211"/>
      <c r="U415" s="1212"/>
      <c r="V415" s="1212"/>
      <c r="W415" s="1212"/>
      <c r="X415" s="1213"/>
      <c r="Y415" s="1213"/>
      <c r="Z415" s="1213"/>
      <c r="AA415" s="1213"/>
      <c r="AB415" s="1213"/>
      <c r="AC415" s="1213"/>
      <c r="AD415" s="1213"/>
      <c r="AE415" s="1213"/>
      <c r="AF415" s="1212"/>
      <c r="AG415" s="1212"/>
      <c r="AH415" s="1213"/>
      <c r="AI415" s="1213"/>
      <c r="AJ415" s="1213"/>
      <c r="AK415" s="1213"/>
      <c r="AL415" s="1213"/>
      <c r="AM415" s="1213"/>
      <c r="AN415" s="1213"/>
      <c r="AO415" s="1213"/>
      <c r="AP415" s="1212"/>
      <c r="AQ415" s="1108"/>
      <c r="AR415" s="1213"/>
      <c r="AS415" s="1213"/>
      <c r="AT415" s="1213"/>
      <c r="AU415" s="1213"/>
      <c r="AV415" s="1213"/>
      <c r="AW415" s="1213"/>
      <c r="AX415" s="1213"/>
      <c r="AY415" s="1213"/>
      <c r="BB415" s="1213"/>
      <c r="BC415" s="1213"/>
      <c r="BD415" s="1213"/>
      <c r="BE415" s="1213"/>
      <c r="BF415" s="1213"/>
      <c r="BG415" s="1213"/>
      <c r="BH415" s="1213"/>
      <c r="BI415" s="1213"/>
      <c r="BU415" s="1113"/>
      <c r="BV415" s="1214"/>
      <c r="BW415" s="1108"/>
      <c r="BX415" s="1108"/>
      <c r="BY415" s="1108"/>
    </row>
    <row r="416" spans="1:77" x14ac:dyDescent="0.2">
      <c r="A416" s="1108"/>
      <c r="B416" s="1108"/>
      <c r="C416" s="1501"/>
      <c r="D416" s="1655"/>
      <c r="E416" s="1215"/>
      <c r="F416" s="1212"/>
      <c r="G416" s="1212"/>
      <c r="H416" s="1212"/>
      <c r="I416" s="1212"/>
      <c r="J416" s="1213"/>
      <c r="K416" s="1212"/>
      <c r="L416" s="1212"/>
      <c r="M416" s="1213"/>
      <c r="N416" s="1212"/>
      <c r="O416" s="1212"/>
      <c r="P416" s="1213"/>
      <c r="Q416" s="1212"/>
      <c r="R416" s="1219"/>
      <c r="S416" s="1208"/>
      <c r="T416" s="1215"/>
      <c r="U416" s="1212"/>
      <c r="V416" s="1212"/>
      <c r="W416" s="1212"/>
      <c r="X416" s="1213"/>
      <c r="Y416" s="1213"/>
      <c r="Z416" s="1213"/>
      <c r="AA416" s="1213"/>
      <c r="AB416" s="1213"/>
      <c r="AC416" s="1213"/>
      <c r="AD416" s="1213"/>
      <c r="AE416" s="1213"/>
      <c r="AF416" s="1212"/>
      <c r="AG416" s="1212"/>
      <c r="AH416" s="1213"/>
      <c r="AI416" s="1213"/>
      <c r="AJ416" s="1213"/>
      <c r="AK416" s="1213"/>
      <c r="AL416" s="1213"/>
      <c r="AM416" s="1213"/>
      <c r="AN416" s="1213"/>
      <c r="AO416" s="1213"/>
      <c r="AP416" s="1212"/>
      <c r="AQ416" s="1108"/>
      <c r="AR416" s="1213"/>
      <c r="AS416" s="1213"/>
      <c r="AT416" s="1213"/>
      <c r="AU416" s="1213"/>
      <c r="AV416" s="1213"/>
      <c r="AW416" s="1213"/>
      <c r="AX416" s="1213"/>
      <c r="AY416" s="1213"/>
      <c r="BB416" s="1213"/>
      <c r="BC416" s="1213"/>
      <c r="BD416" s="1213"/>
      <c r="BE416" s="1213"/>
      <c r="BF416" s="1213"/>
      <c r="BG416" s="1213"/>
      <c r="BH416" s="1213"/>
      <c r="BI416" s="1213"/>
      <c r="BU416" s="1113"/>
      <c r="BV416" s="1214"/>
      <c r="BW416" s="1108"/>
      <c r="BX416" s="1108"/>
      <c r="BY416" s="1108"/>
    </row>
    <row r="417" spans="1:77" x14ac:dyDescent="0.2">
      <c r="A417" s="1108"/>
      <c r="B417" s="1108"/>
      <c r="C417" s="1501"/>
      <c r="D417" s="1655"/>
      <c r="E417" s="1215"/>
      <c r="F417" s="1212"/>
      <c r="G417" s="1212"/>
      <c r="H417" s="1212"/>
      <c r="I417" s="1212"/>
      <c r="J417" s="1213"/>
      <c r="K417" s="1212"/>
      <c r="L417" s="1212"/>
      <c r="M417" s="1213"/>
      <c r="N417" s="1212"/>
      <c r="O417" s="1212"/>
      <c r="P417" s="1213"/>
      <c r="Q417" s="1212"/>
      <c r="R417" s="1219"/>
      <c r="S417" s="1208"/>
      <c r="T417" s="1215"/>
      <c r="U417" s="1212"/>
      <c r="V417" s="1212"/>
      <c r="W417" s="1212"/>
      <c r="X417" s="1213"/>
      <c r="Y417" s="1213"/>
      <c r="Z417" s="1213"/>
      <c r="AA417" s="1213"/>
      <c r="AB417" s="1213"/>
      <c r="AC417" s="1213"/>
      <c r="AD417" s="1213"/>
      <c r="AE417" s="1213"/>
      <c r="AF417" s="1212"/>
      <c r="AG417" s="1212"/>
      <c r="AH417" s="1213"/>
      <c r="AI417" s="1213"/>
      <c r="AJ417" s="1213"/>
      <c r="AK417" s="1213"/>
      <c r="AL417" s="1213"/>
      <c r="AM417" s="1213"/>
      <c r="AN417" s="1213"/>
      <c r="AO417" s="1213"/>
      <c r="AP417" s="1212"/>
      <c r="AQ417" s="1108"/>
      <c r="AR417" s="1213"/>
      <c r="AS417" s="1213"/>
      <c r="AT417" s="1213"/>
      <c r="AU417" s="1213"/>
      <c r="AV417" s="1213"/>
      <c r="AW417" s="1213"/>
      <c r="AX417" s="1213"/>
      <c r="AY417" s="1213"/>
      <c r="BB417" s="1213"/>
      <c r="BC417" s="1213"/>
      <c r="BD417" s="1213"/>
      <c r="BE417" s="1213"/>
      <c r="BF417" s="1213"/>
      <c r="BG417" s="1213"/>
      <c r="BH417" s="1213"/>
      <c r="BI417" s="1213"/>
      <c r="BU417" s="1113"/>
      <c r="BV417" s="1214"/>
      <c r="BW417" s="1108"/>
      <c r="BX417" s="1108"/>
      <c r="BY417" s="1108"/>
    </row>
    <row r="418" spans="1:77" x14ac:dyDescent="0.2">
      <c r="A418" s="1108"/>
      <c r="B418" s="1108"/>
      <c r="C418" s="1501"/>
      <c r="D418" s="1652"/>
      <c r="E418" s="1108"/>
      <c r="F418" s="1108"/>
      <c r="G418" s="1108"/>
      <c r="H418" s="1108"/>
      <c r="I418" s="1108"/>
      <c r="J418" s="1116"/>
      <c r="L418" s="1108"/>
      <c r="M418" s="1219"/>
      <c r="N418" s="1208"/>
      <c r="O418" s="1208"/>
      <c r="P418" s="1219"/>
      <c r="Q418" s="1208"/>
      <c r="R418" s="1219"/>
      <c r="S418" s="1229"/>
      <c r="T418" s="1209"/>
      <c r="U418" s="1217"/>
      <c r="V418" s="1217"/>
      <c r="W418" s="1217"/>
      <c r="X418" s="1218"/>
      <c r="Y418" s="1218"/>
      <c r="Z418" s="1218"/>
      <c r="AA418" s="1218"/>
      <c r="AB418" s="1218"/>
      <c r="AC418" s="1218"/>
      <c r="AD418" s="1218"/>
      <c r="AE418" s="1218"/>
      <c r="AF418" s="1217"/>
      <c r="AG418" s="1217"/>
      <c r="AH418" s="1218"/>
      <c r="AI418" s="1218"/>
      <c r="AJ418" s="1218"/>
      <c r="AK418" s="1218"/>
      <c r="AL418" s="1218"/>
      <c r="AM418" s="1218"/>
      <c r="AN418" s="1218"/>
      <c r="AO418" s="1218"/>
      <c r="AP418" s="1217"/>
      <c r="AQ418" s="1108"/>
      <c r="AR418" s="1218"/>
      <c r="AS418" s="1218"/>
      <c r="AT418" s="1218"/>
      <c r="AU418" s="1218"/>
      <c r="AV418" s="1218"/>
      <c r="AW418" s="1218"/>
      <c r="AX418" s="1218"/>
      <c r="AY418" s="1218"/>
      <c r="BB418" s="1218"/>
      <c r="BC418" s="1218"/>
      <c r="BD418" s="1218"/>
      <c r="BE418" s="1218"/>
      <c r="BF418" s="1218"/>
      <c r="BG418" s="1218"/>
      <c r="BH418" s="1218"/>
      <c r="BI418" s="1218"/>
      <c r="BU418" s="1113"/>
      <c r="BV418" s="1219"/>
      <c r="BW418" s="1108"/>
      <c r="BX418" s="1108"/>
      <c r="BY418" s="1108"/>
    </row>
    <row r="419" spans="1:77" x14ac:dyDescent="0.2">
      <c r="A419" s="1108"/>
      <c r="B419" s="1108"/>
      <c r="C419" s="1501"/>
      <c r="D419" s="1656"/>
      <c r="E419" s="1222"/>
      <c r="F419" s="1222"/>
      <c r="G419" s="1204"/>
      <c r="H419" s="1204"/>
      <c r="I419" s="1204"/>
      <c r="J419" s="1203"/>
      <c r="K419" s="1204"/>
      <c r="L419" s="1204"/>
      <c r="M419" s="1203"/>
      <c r="N419" s="1204"/>
      <c r="O419" s="1204"/>
      <c r="P419" s="1202"/>
      <c r="Q419" s="1223"/>
      <c r="R419" s="1219"/>
      <c r="S419" s="1229"/>
      <c r="T419" s="1222"/>
      <c r="U419" s="1222"/>
      <c r="V419" s="1204"/>
      <c r="W419" s="1204"/>
      <c r="X419" s="1203"/>
      <c r="Y419" s="1203"/>
      <c r="Z419" s="1203"/>
      <c r="AA419" s="1203"/>
      <c r="AB419" s="1203"/>
      <c r="AC419" s="1203"/>
      <c r="AD419" s="1203"/>
      <c r="AE419" s="1203"/>
      <c r="AF419" s="1204"/>
      <c r="AG419" s="1204"/>
      <c r="AH419" s="1203"/>
      <c r="AI419" s="1203"/>
      <c r="AJ419" s="1203"/>
      <c r="AK419" s="1203"/>
      <c r="AL419" s="1203"/>
      <c r="AM419" s="1203"/>
      <c r="AN419" s="1203"/>
      <c r="AO419" s="1203"/>
      <c r="AP419" s="1223"/>
      <c r="AQ419" s="1108"/>
      <c r="AR419" s="1203"/>
      <c r="AS419" s="1203"/>
      <c r="AT419" s="1203"/>
      <c r="AU419" s="1203"/>
      <c r="AV419" s="1203"/>
      <c r="AW419" s="1203"/>
      <c r="AX419" s="1203"/>
      <c r="AY419" s="1203"/>
      <c r="BB419" s="1203"/>
      <c r="BC419" s="1203"/>
      <c r="BD419" s="1203"/>
      <c r="BE419" s="1203"/>
      <c r="BF419" s="1203"/>
      <c r="BG419" s="1203"/>
      <c r="BH419" s="1203"/>
      <c r="BI419" s="1203"/>
      <c r="BU419" s="1113"/>
      <c r="BV419" s="1202"/>
      <c r="BW419" s="1108"/>
      <c r="BX419" s="1108"/>
      <c r="BY419" s="1108"/>
    </row>
    <row r="420" spans="1:77" x14ac:dyDescent="0.2">
      <c r="A420" s="1108"/>
      <c r="B420" s="1108"/>
      <c r="C420" s="1501"/>
      <c r="D420" s="1657"/>
      <c r="E420" s="1224"/>
      <c r="F420" s="1224"/>
      <c r="G420" s="1204"/>
      <c r="H420" s="1204"/>
      <c r="I420" s="1204"/>
      <c r="J420" s="1203"/>
      <c r="K420" s="1204"/>
      <c r="L420" s="1204"/>
      <c r="M420" s="1203"/>
      <c r="N420" s="1204"/>
      <c r="O420" s="1204"/>
      <c r="P420" s="1207"/>
      <c r="Q420" s="1225"/>
      <c r="R420" s="1218"/>
      <c r="S420" s="1217"/>
      <c r="T420" s="1224"/>
      <c r="U420" s="1224"/>
      <c r="V420" s="1204"/>
      <c r="W420" s="1204"/>
      <c r="X420" s="1203"/>
      <c r="Y420" s="1203"/>
      <c r="Z420" s="1203"/>
      <c r="AA420" s="1203"/>
      <c r="AB420" s="1203"/>
      <c r="AC420" s="1203"/>
      <c r="AD420" s="1203"/>
      <c r="AE420" s="1203"/>
      <c r="AF420" s="1204"/>
      <c r="AG420" s="1204"/>
      <c r="AH420" s="1203"/>
      <c r="AI420" s="1203"/>
      <c r="AJ420" s="1203"/>
      <c r="AK420" s="1203"/>
      <c r="AL420" s="1203"/>
      <c r="AM420" s="1203"/>
      <c r="AN420" s="1203"/>
      <c r="AO420" s="1203"/>
      <c r="AP420" s="1225"/>
      <c r="AQ420" s="1108"/>
      <c r="AR420" s="1203"/>
      <c r="AS420" s="1203"/>
      <c r="AT420" s="1203"/>
      <c r="AU420" s="1203"/>
      <c r="AV420" s="1203"/>
      <c r="AW420" s="1203"/>
      <c r="AX420" s="1203"/>
      <c r="AY420" s="1203"/>
      <c r="BB420" s="1203"/>
      <c r="BC420" s="1203"/>
      <c r="BD420" s="1203"/>
      <c r="BE420" s="1203"/>
      <c r="BF420" s="1203"/>
      <c r="BG420" s="1203"/>
      <c r="BH420" s="1203"/>
      <c r="BI420" s="1203"/>
      <c r="BU420" s="1113"/>
      <c r="BV420" s="1207"/>
      <c r="BW420" s="1108"/>
      <c r="BX420" s="1108"/>
      <c r="BY420" s="1108"/>
    </row>
    <row r="421" spans="1:77" x14ac:dyDescent="0.2">
      <c r="A421" s="1108"/>
      <c r="B421" s="1108"/>
      <c r="C421" s="1501"/>
      <c r="D421" s="1651"/>
      <c r="E421" s="1205"/>
      <c r="F421" s="1205"/>
      <c r="G421" s="1204"/>
      <c r="H421" s="1204"/>
      <c r="I421" s="1204"/>
      <c r="J421" s="1203"/>
      <c r="K421" s="1204"/>
      <c r="L421" s="1204"/>
      <c r="M421" s="1226"/>
      <c r="N421" s="1227"/>
      <c r="O421" s="1227"/>
      <c r="P421" s="1207"/>
      <c r="Q421" s="1225"/>
      <c r="R421" s="1219"/>
      <c r="S421" s="1208"/>
      <c r="T421" s="1205"/>
      <c r="U421" s="1205"/>
      <c r="V421" s="1204"/>
      <c r="W421" s="1204"/>
      <c r="X421" s="1203"/>
      <c r="Y421" s="1203"/>
      <c r="Z421" s="1203"/>
      <c r="AA421" s="1203"/>
      <c r="AB421" s="1203"/>
      <c r="AC421" s="1203"/>
      <c r="AD421" s="1203"/>
      <c r="AE421" s="1203"/>
      <c r="AF421" s="1204"/>
      <c r="AG421" s="1227"/>
      <c r="AH421" s="1203"/>
      <c r="AI421" s="1203"/>
      <c r="AJ421" s="1203"/>
      <c r="AK421" s="1203"/>
      <c r="AL421" s="1203"/>
      <c r="AM421" s="1203"/>
      <c r="AN421" s="1203"/>
      <c r="AO421" s="1203"/>
      <c r="AP421" s="1225"/>
      <c r="AQ421" s="1108"/>
      <c r="AR421" s="1203"/>
      <c r="AS421" s="1203"/>
      <c r="AT421" s="1203"/>
      <c r="AU421" s="1203"/>
      <c r="AV421" s="1203"/>
      <c r="AW421" s="1203"/>
      <c r="AX421" s="1203"/>
      <c r="AY421" s="1203"/>
      <c r="BB421" s="1203"/>
      <c r="BC421" s="1203"/>
      <c r="BD421" s="1203"/>
      <c r="BE421" s="1203"/>
      <c r="BF421" s="1203"/>
      <c r="BG421" s="1203"/>
      <c r="BH421" s="1203"/>
      <c r="BI421" s="1203"/>
      <c r="BU421" s="1113"/>
      <c r="BV421" s="1207"/>
      <c r="BW421" s="1108"/>
      <c r="BX421" s="1108"/>
      <c r="BY421" s="1108"/>
    </row>
    <row r="422" spans="1:77" x14ac:dyDescent="0.2">
      <c r="A422" s="1108"/>
      <c r="B422" s="1108"/>
      <c r="C422" s="1501"/>
      <c r="D422" s="1652"/>
      <c r="E422" s="1108"/>
      <c r="F422" s="1201"/>
      <c r="G422" s="1201"/>
      <c r="H422" s="1201"/>
      <c r="I422" s="1201"/>
      <c r="J422" s="1202"/>
      <c r="K422" s="1201"/>
      <c r="L422" s="1201"/>
      <c r="M422" s="1202"/>
      <c r="N422" s="1201"/>
      <c r="O422" s="1201"/>
      <c r="P422" s="1202"/>
      <c r="Q422" s="1201"/>
      <c r="R422" s="1219"/>
      <c r="S422" s="1208"/>
      <c r="T422" s="1108"/>
      <c r="U422" s="1201"/>
      <c r="V422" s="1201"/>
      <c r="W422" s="1201"/>
      <c r="X422" s="1202"/>
      <c r="Y422" s="1202"/>
      <c r="Z422" s="1202"/>
      <c r="AA422" s="1202"/>
      <c r="AB422" s="1202"/>
      <c r="AC422" s="1202"/>
      <c r="AD422" s="1202"/>
      <c r="AE422" s="1202"/>
      <c r="AF422" s="1201"/>
      <c r="AG422" s="1201"/>
      <c r="AH422" s="1202"/>
      <c r="AI422" s="1202"/>
      <c r="AJ422" s="1202"/>
      <c r="AK422" s="1202"/>
      <c r="AL422" s="1202"/>
      <c r="AM422" s="1202"/>
      <c r="AN422" s="1202"/>
      <c r="AO422" s="1202"/>
      <c r="AP422" s="1201"/>
      <c r="AQ422" s="1108"/>
      <c r="AR422" s="1202"/>
      <c r="AS422" s="1202"/>
      <c r="AT422" s="1202"/>
      <c r="AU422" s="1202"/>
      <c r="AV422" s="1202"/>
      <c r="AW422" s="1202"/>
      <c r="AX422" s="1202"/>
      <c r="AY422" s="1202"/>
      <c r="BB422" s="1202"/>
      <c r="BC422" s="1202"/>
      <c r="BD422" s="1202"/>
      <c r="BE422" s="1202"/>
      <c r="BF422" s="1202"/>
      <c r="BG422" s="1202"/>
      <c r="BH422" s="1202"/>
      <c r="BI422" s="1202"/>
      <c r="BU422" s="1113"/>
      <c r="BV422" s="1202"/>
      <c r="BW422" s="1108"/>
      <c r="BX422" s="1108"/>
      <c r="BY422" s="1108"/>
    </row>
    <row r="423" spans="1:77" x14ac:dyDescent="0.2">
      <c r="A423" s="1108"/>
      <c r="B423" s="1108"/>
      <c r="C423" s="1501"/>
      <c r="D423" s="1651"/>
      <c r="E423" s="1205"/>
      <c r="F423" s="1206"/>
      <c r="G423" s="1206"/>
      <c r="H423" s="1206"/>
      <c r="I423" s="1206"/>
      <c r="J423" s="1203"/>
      <c r="K423" s="1206"/>
      <c r="L423" s="1206"/>
      <c r="M423" s="1203"/>
      <c r="N423" s="1206"/>
      <c r="O423" s="1206"/>
      <c r="P423" s="1203"/>
      <c r="Q423" s="1206"/>
      <c r="R423" s="1219"/>
      <c r="S423" s="1208"/>
      <c r="T423" s="1205"/>
      <c r="U423" s="1206"/>
      <c r="V423" s="1206"/>
      <c r="W423" s="1206"/>
      <c r="X423" s="1203"/>
      <c r="Y423" s="1203"/>
      <c r="Z423" s="1203"/>
      <c r="AA423" s="1203"/>
      <c r="AB423" s="1203"/>
      <c r="AC423" s="1203"/>
      <c r="AD423" s="1203"/>
      <c r="AE423" s="1203"/>
      <c r="AF423" s="1206"/>
      <c r="AG423" s="1206"/>
      <c r="AH423" s="1203"/>
      <c r="AI423" s="1203"/>
      <c r="AJ423" s="1203"/>
      <c r="AK423" s="1203"/>
      <c r="AL423" s="1203"/>
      <c r="AM423" s="1203"/>
      <c r="AN423" s="1203"/>
      <c r="AO423" s="1203"/>
      <c r="AP423" s="1206"/>
      <c r="AQ423" s="1108"/>
      <c r="AR423" s="1203"/>
      <c r="AS423" s="1203"/>
      <c r="AT423" s="1203"/>
      <c r="AU423" s="1203"/>
      <c r="AV423" s="1203"/>
      <c r="AW423" s="1203"/>
      <c r="AX423" s="1203"/>
      <c r="AY423" s="1203"/>
      <c r="BB423" s="1203"/>
      <c r="BC423" s="1203"/>
      <c r="BD423" s="1203"/>
      <c r="BE423" s="1203"/>
      <c r="BF423" s="1203"/>
      <c r="BG423" s="1203"/>
      <c r="BH423" s="1203"/>
      <c r="BI423" s="1203"/>
      <c r="BU423" s="1113"/>
      <c r="BV423" s="1207"/>
      <c r="BW423" s="1108"/>
      <c r="BX423" s="1108"/>
      <c r="BY423" s="1108"/>
    </row>
    <row r="424" spans="1:77" x14ac:dyDescent="0.2">
      <c r="A424" s="1108"/>
      <c r="B424" s="1108"/>
      <c r="C424" s="1501"/>
      <c r="D424" s="1651"/>
      <c r="E424" s="1205"/>
      <c r="F424" s="1206"/>
      <c r="G424" s="1206"/>
      <c r="H424" s="1206"/>
      <c r="I424" s="1206"/>
      <c r="J424" s="1203"/>
      <c r="K424" s="1206"/>
      <c r="L424" s="1206"/>
      <c r="M424" s="1203"/>
      <c r="N424" s="1206"/>
      <c r="O424" s="1206"/>
      <c r="P424" s="1203"/>
      <c r="Q424" s="1206"/>
      <c r="R424" s="1101"/>
      <c r="S424" s="1113"/>
      <c r="T424" s="1205"/>
      <c r="U424" s="1206"/>
      <c r="V424" s="1206"/>
      <c r="W424" s="1206"/>
      <c r="X424" s="1203"/>
      <c r="Y424" s="1203"/>
      <c r="Z424" s="1203"/>
      <c r="AA424" s="1203"/>
      <c r="AB424" s="1203"/>
      <c r="AC424" s="1203"/>
      <c r="AD424" s="1203"/>
      <c r="AE424" s="1203"/>
      <c r="AF424" s="1206"/>
      <c r="AG424" s="1206"/>
      <c r="AH424" s="1203"/>
      <c r="AI424" s="1203"/>
      <c r="AJ424" s="1203"/>
      <c r="AK424" s="1203"/>
      <c r="AL424" s="1203"/>
      <c r="AM424" s="1203"/>
      <c r="AN424" s="1203"/>
      <c r="AO424" s="1203"/>
      <c r="AP424" s="1206"/>
      <c r="AQ424" s="1108"/>
      <c r="AR424" s="1203"/>
      <c r="AS424" s="1203"/>
      <c r="AT424" s="1203"/>
      <c r="AU424" s="1203"/>
      <c r="AV424" s="1203"/>
      <c r="AW424" s="1203"/>
      <c r="AX424" s="1203"/>
      <c r="AY424" s="1203"/>
      <c r="BB424" s="1203"/>
      <c r="BC424" s="1203"/>
      <c r="BD424" s="1203"/>
      <c r="BE424" s="1203"/>
      <c r="BF424" s="1203"/>
      <c r="BG424" s="1203"/>
      <c r="BH424" s="1203"/>
      <c r="BI424" s="1203"/>
      <c r="BU424" s="1113"/>
      <c r="BV424" s="1207"/>
      <c r="BW424" s="1108"/>
      <c r="BX424" s="1108"/>
      <c r="BY424" s="1108"/>
    </row>
    <row r="425" spans="1:77" x14ac:dyDescent="0.2">
      <c r="A425" s="1108"/>
      <c r="B425" s="1108"/>
      <c r="C425" s="1501"/>
      <c r="D425" s="1653"/>
      <c r="E425" s="1208"/>
      <c r="F425" s="1209"/>
      <c r="G425" s="1209"/>
      <c r="H425" s="1209"/>
      <c r="I425" s="1209"/>
      <c r="J425" s="1210"/>
      <c r="K425" s="1209"/>
      <c r="L425" s="1209"/>
      <c r="M425" s="1210"/>
      <c r="N425" s="1209"/>
      <c r="O425" s="1209"/>
      <c r="P425" s="1210"/>
      <c r="Q425" s="1209"/>
      <c r="R425" s="1219"/>
      <c r="S425" s="1208"/>
      <c r="T425" s="1208"/>
      <c r="U425" s="1209"/>
      <c r="V425" s="1209"/>
      <c r="W425" s="1209"/>
      <c r="X425" s="1210"/>
      <c r="Y425" s="1210"/>
      <c r="Z425" s="1210"/>
      <c r="AA425" s="1210"/>
      <c r="AB425" s="1210"/>
      <c r="AC425" s="1210"/>
      <c r="AD425" s="1210"/>
      <c r="AE425" s="1210"/>
      <c r="AF425" s="1209"/>
      <c r="AG425" s="1209"/>
      <c r="AH425" s="1210"/>
      <c r="AI425" s="1210"/>
      <c r="AJ425" s="1210"/>
      <c r="AK425" s="1210"/>
      <c r="AL425" s="1210"/>
      <c r="AM425" s="1210"/>
      <c r="AN425" s="1210"/>
      <c r="AO425" s="1210"/>
      <c r="AP425" s="1209"/>
      <c r="AQ425" s="1108"/>
      <c r="AR425" s="1210"/>
      <c r="AS425" s="1210"/>
      <c r="AT425" s="1210"/>
      <c r="AU425" s="1210"/>
      <c r="AV425" s="1210"/>
      <c r="AW425" s="1210"/>
      <c r="AX425" s="1210"/>
      <c r="AY425" s="1210"/>
      <c r="BB425" s="1210"/>
      <c r="BC425" s="1210"/>
      <c r="BD425" s="1210"/>
      <c r="BE425" s="1210"/>
      <c r="BF425" s="1210"/>
      <c r="BG425" s="1210"/>
      <c r="BH425" s="1210"/>
      <c r="BI425" s="1210"/>
      <c r="BU425" s="1113"/>
      <c r="BV425" s="1210"/>
      <c r="BW425" s="1108"/>
      <c r="BX425" s="1108"/>
      <c r="BY425" s="1108"/>
    </row>
    <row r="426" spans="1:77" x14ac:dyDescent="0.2">
      <c r="A426" s="1108"/>
      <c r="B426" s="1108"/>
      <c r="C426" s="1501"/>
      <c r="D426" s="1654"/>
      <c r="E426" s="1211"/>
      <c r="F426" s="1212"/>
      <c r="G426" s="1212"/>
      <c r="H426" s="1212"/>
      <c r="I426" s="1212"/>
      <c r="J426" s="1213"/>
      <c r="K426" s="1212"/>
      <c r="L426" s="1212"/>
      <c r="M426" s="1213"/>
      <c r="N426" s="1212"/>
      <c r="O426" s="1212"/>
      <c r="P426" s="1213"/>
      <c r="Q426" s="1212"/>
      <c r="R426" s="1219"/>
      <c r="S426" s="1208"/>
      <c r="T426" s="1211"/>
      <c r="U426" s="1212"/>
      <c r="V426" s="1212"/>
      <c r="W426" s="1212"/>
      <c r="X426" s="1213"/>
      <c r="Y426" s="1213"/>
      <c r="Z426" s="1213"/>
      <c r="AA426" s="1213"/>
      <c r="AB426" s="1213"/>
      <c r="AC426" s="1213"/>
      <c r="AD426" s="1213"/>
      <c r="AE426" s="1213"/>
      <c r="AF426" s="1212"/>
      <c r="AG426" s="1212"/>
      <c r="AH426" s="1213"/>
      <c r="AI426" s="1213"/>
      <c r="AJ426" s="1213"/>
      <c r="AK426" s="1213"/>
      <c r="AL426" s="1213"/>
      <c r="AM426" s="1213"/>
      <c r="AN426" s="1213"/>
      <c r="AO426" s="1213"/>
      <c r="AP426" s="1212"/>
      <c r="AQ426" s="1108"/>
      <c r="AR426" s="1213"/>
      <c r="AS426" s="1213"/>
      <c r="AT426" s="1213"/>
      <c r="AU426" s="1213"/>
      <c r="AV426" s="1213"/>
      <c r="AW426" s="1213"/>
      <c r="AX426" s="1213"/>
      <c r="AY426" s="1213"/>
      <c r="BB426" s="1213"/>
      <c r="BC426" s="1213"/>
      <c r="BD426" s="1213"/>
      <c r="BE426" s="1213"/>
      <c r="BF426" s="1213"/>
      <c r="BG426" s="1213"/>
      <c r="BH426" s="1213"/>
      <c r="BI426" s="1213"/>
      <c r="BU426" s="1113"/>
      <c r="BV426" s="1214"/>
      <c r="BW426" s="1108"/>
      <c r="BX426" s="1108"/>
      <c r="BY426" s="1108"/>
    </row>
    <row r="427" spans="1:77" x14ac:dyDescent="0.2">
      <c r="A427" s="1108"/>
      <c r="B427" s="1108"/>
      <c r="C427" s="1501"/>
      <c r="D427" s="1655"/>
      <c r="E427" s="1215"/>
      <c r="F427" s="1212"/>
      <c r="G427" s="1212"/>
      <c r="H427" s="1212"/>
      <c r="I427" s="1212"/>
      <c r="J427" s="1213"/>
      <c r="K427" s="1212"/>
      <c r="L427" s="1212"/>
      <c r="M427" s="1213"/>
      <c r="N427" s="1212"/>
      <c r="O427" s="1212"/>
      <c r="P427" s="1213"/>
      <c r="Q427" s="1212"/>
      <c r="R427" s="1219"/>
      <c r="S427" s="1229"/>
      <c r="T427" s="1215"/>
      <c r="U427" s="1212"/>
      <c r="V427" s="1212"/>
      <c r="W427" s="1212"/>
      <c r="X427" s="1213"/>
      <c r="Y427" s="1213"/>
      <c r="Z427" s="1213"/>
      <c r="AA427" s="1213"/>
      <c r="AB427" s="1213"/>
      <c r="AC427" s="1213"/>
      <c r="AD427" s="1213"/>
      <c r="AE427" s="1213"/>
      <c r="AF427" s="1212"/>
      <c r="AG427" s="1212"/>
      <c r="AH427" s="1213"/>
      <c r="AI427" s="1213"/>
      <c r="AJ427" s="1213"/>
      <c r="AK427" s="1213"/>
      <c r="AL427" s="1213"/>
      <c r="AM427" s="1213"/>
      <c r="AN427" s="1213"/>
      <c r="AO427" s="1213"/>
      <c r="AP427" s="1212"/>
      <c r="AQ427" s="1108"/>
      <c r="AR427" s="1213"/>
      <c r="AS427" s="1213"/>
      <c r="AT427" s="1213"/>
      <c r="AU427" s="1213"/>
      <c r="AV427" s="1213"/>
      <c r="AW427" s="1213"/>
      <c r="AX427" s="1213"/>
      <c r="AY427" s="1213"/>
      <c r="BB427" s="1213"/>
      <c r="BC427" s="1213"/>
      <c r="BD427" s="1213"/>
      <c r="BE427" s="1213"/>
      <c r="BF427" s="1213"/>
      <c r="BG427" s="1213"/>
      <c r="BH427" s="1213"/>
      <c r="BI427" s="1213"/>
      <c r="BU427" s="1113"/>
      <c r="BV427" s="1214"/>
      <c r="BW427" s="1108"/>
      <c r="BX427" s="1108"/>
      <c r="BY427" s="1108"/>
    </row>
    <row r="428" spans="1:77" x14ac:dyDescent="0.2">
      <c r="A428" s="1108"/>
      <c r="B428" s="1108"/>
      <c r="C428" s="1501"/>
      <c r="D428" s="1655"/>
      <c r="E428" s="1215"/>
      <c r="F428" s="1212"/>
      <c r="G428" s="1212"/>
      <c r="H428" s="1212"/>
      <c r="I428" s="1212"/>
      <c r="J428" s="1213"/>
      <c r="K428" s="1212"/>
      <c r="L428" s="1212"/>
      <c r="M428" s="1213"/>
      <c r="N428" s="1212"/>
      <c r="O428" s="1212"/>
      <c r="P428" s="1213"/>
      <c r="Q428" s="1212"/>
      <c r="R428" s="1219"/>
      <c r="S428" s="1229"/>
      <c r="T428" s="1215"/>
      <c r="U428" s="1212"/>
      <c r="V428" s="1212"/>
      <c r="W428" s="1212"/>
      <c r="X428" s="1213"/>
      <c r="Y428" s="1213"/>
      <c r="Z428" s="1213"/>
      <c r="AA428" s="1213"/>
      <c r="AB428" s="1213"/>
      <c r="AC428" s="1213"/>
      <c r="AD428" s="1213"/>
      <c r="AE428" s="1213"/>
      <c r="AF428" s="1212"/>
      <c r="AG428" s="1212"/>
      <c r="AH428" s="1213"/>
      <c r="AI428" s="1213"/>
      <c r="AJ428" s="1213"/>
      <c r="AK428" s="1213"/>
      <c r="AL428" s="1213"/>
      <c r="AM428" s="1213"/>
      <c r="AN428" s="1213"/>
      <c r="AO428" s="1213"/>
      <c r="AP428" s="1212"/>
      <c r="AQ428" s="1108"/>
      <c r="AR428" s="1213"/>
      <c r="AS428" s="1213"/>
      <c r="AT428" s="1213"/>
      <c r="AU428" s="1213"/>
      <c r="AV428" s="1213"/>
      <c r="AW428" s="1213"/>
      <c r="AX428" s="1213"/>
      <c r="AY428" s="1213"/>
      <c r="BB428" s="1213"/>
      <c r="BC428" s="1213"/>
      <c r="BD428" s="1213"/>
      <c r="BE428" s="1213"/>
      <c r="BF428" s="1213"/>
      <c r="BG428" s="1213"/>
      <c r="BH428" s="1213"/>
      <c r="BI428" s="1213"/>
      <c r="BU428" s="1113"/>
      <c r="BV428" s="1214"/>
      <c r="BW428" s="1108"/>
      <c r="BX428" s="1108"/>
      <c r="BY428" s="1108"/>
    </row>
    <row r="429" spans="1:77" x14ac:dyDescent="0.2">
      <c r="A429" s="1108"/>
      <c r="B429" s="1108"/>
      <c r="C429" s="1501"/>
      <c r="D429" s="1658"/>
      <c r="E429" s="1217"/>
      <c r="F429" s="1217"/>
      <c r="G429" s="1217"/>
      <c r="H429" s="1217"/>
      <c r="I429" s="1217"/>
      <c r="J429" s="1218"/>
      <c r="K429" s="1217"/>
      <c r="L429" s="1217"/>
      <c r="M429" s="1218"/>
      <c r="N429" s="1217"/>
      <c r="O429" s="1217"/>
      <c r="P429" s="1218"/>
      <c r="Q429" s="1217"/>
      <c r="R429" s="1218"/>
      <c r="S429" s="1217"/>
      <c r="T429" s="1217"/>
      <c r="U429" s="1217"/>
      <c r="V429" s="1217"/>
      <c r="W429" s="1217"/>
      <c r="X429" s="1218"/>
      <c r="Y429" s="1218"/>
      <c r="Z429" s="1218"/>
      <c r="AA429" s="1218"/>
      <c r="AB429" s="1218"/>
      <c r="AC429" s="1218"/>
      <c r="AD429" s="1218"/>
      <c r="AE429" s="1218"/>
      <c r="AF429" s="1217"/>
      <c r="AG429" s="1217"/>
      <c r="AH429" s="1218"/>
      <c r="AI429" s="1218"/>
      <c r="AJ429" s="1218"/>
      <c r="AK429" s="1218"/>
      <c r="AL429" s="1218"/>
      <c r="AM429" s="1218"/>
      <c r="AN429" s="1218"/>
      <c r="AO429" s="1218"/>
      <c r="AP429" s="1217"/>
      <c r="AQ429" s="1108"/>
      <c r="AR429" s="1218"/>
      <c r="AS429" s="1218"/>
      <c r="AT429" s="1218"/>
      <c r="AU429" s="1218"/>
      <c r="AV429" s="1218"/>
      <c r="AW429" s="1218"/>
      <c r="AX429" s="1218"/>
      <c r="AY429" s="1218"/>
      <c r="BB429" s="1218"/>
      <c r="BC429" s="1218"/>
      <c r="BD429" s="1218"/>
      <c r="BE429" s="1218"/>
      <c r="BF429" s="1218"/>
      <c r="BG429" s="1218"/>
      <c r="BH429" s="1218"/>
      <c r="BI429" s="1218"/>
      <c r="BU429" s="1113"/>
      <c r="BW429" s="1108"/>
      <c r="BX429" s="1108"/>
      <c r="BY429" s="1108"/>
    </row>
    <row r="430" spans="1:77" x14ac:dyDescent="0.2">
      <c r="A430" s="1108"/>
      <c r="B430" s="1108"/>
      <c r="C430" s="1501"/>
      <c r="D430" s="1656"/>
      <c r="E430" s="1222"/>
      <c r="F430" s="1222"/>
      <c r="G430" s="1204"/>
      <c r="H430" s="1204"/>
      <c r="I430" s="1204"/>
      <c r="J430" s="1203"/>
      <c r="K430" s="1204"/>
      <c r="L430" s="1204"/>
      <c r="M430" s="1203"/>
      <c r="N430" s="1204"/>
      <c r="O430" s="1204"/>
      <c r="P430" s="1202"/>
      <c r="Q430" s="1223"/>
      <c r="R430" s="1116"/>
      <c r="S430" s="1108"/>
      <c r="T430" s="1222"/>
      <c r="U430" s="1222"/>
      <c r="V430" s="1204"/>
      <c r="W430" s="1204"/>
      <c r="X430" s="1203"/>
      <c r="Y430" s="1203"/>
      <c r="Z430" s="1203"/>
      <c r="AA430" s="1203"/>
      <c r="AB430" s="1203"/>
      <c r="AC430" s="1203"/>
      <c r="AD430" s="1203"/>
      <c r="AE430" s="1203"/>
      <c r="AF430" s="1204"/>
      <c r="AG430" s="1204"/>
      <c r="AH430" s="1203"/>
      <c r="AI430" s="1203"/>
      <c r="AJ430" s="1203"/>
      <c r="AK430" s="1203"/>
      <c r="AL430" s="1203"/>
      <c r="AM430" s="1203"/>
      <c r="AN430" s="1203"/>
      <c r="AO430" s="1203"/>
      <c r="AP430" s="1223"/>
      <c r="AQ430" s="1108"/>
      <c r="AR430" s="1203"/>
      <c r="AS430" s="1203"/>
      <c r="AT430" s="1203"/>
      <c r="AU430" s="1203"/>
      <c r="AV430" s="1203"/>
      <c r="AW430" s="1203"/>
      <c r="AX430" s="1203"/>
      <c r="AY430" s="1203"/>
      <c r="BB430" s="1203"/>
      <c r="BC430" s="1203"/>
      <c r="BD430" s="1203"/>
      <c r="BE430" s="1203"/>
      <c r="BF430" s="1203"/>
      <c r="BG430" s="1203"/>
      <c r="BH430" s="1203"/>
      <c r="BI430" s="1203"/>
      <c r="BU430" s="1113"/>
      <c r="BV430" s="1202"/>
      <c r="BW430" s="1108"/>
      <c r="BX430" s="1108"/>
      <c r="BY430" s="1108"/>
    </row>
    <row r="431" spans="1:77" x14ac:dyDescent="0.2">
      <c r="A431" s="1108"/>
      <c r="B431" s="1108"/>
      <c r="C431" s="1501"/>
      <c r="D431" s="1657"/>
      <c r="E431" s="1224"/>
      <c r="F431" s="1224"/>
      <c r="G431" s="1204"/>
      <c r="H431" s="1204"/>
      <c r="I431" s="1204"/>
      <c r="J431" s="1203"/>
      <c r="K431" s="1204"/>
      <c r="L431" s="1204"/>
      <c r="M431" s="1203"/>
      <c r="N431" s="1204"/>
      <c r="O431" s="1204"/>
      <c r="P431" s="1207"/>
      <c r="Q431" s="1225"/>
      <c r="R431" s="1116"/>
      <c r="S431" s="1108"/>
      <c r="T431" s="1224"/>
      <c r="U431" s="1224"/>
      <c r="V431" s="1204"/>
      <c r="W431" s="1204"/>
      <c r="X431" s="1203"/>
      <c r="Y431" s="1203"/>
      <c r="Z431" s="1203"/>
      <c r="AA431" s="1203"/>
      <c r="AB431" s="1203"/>
      <c r="AC431" s="1203"/>
      <c r="AD431" s="1203"/>
      <c r="AE431" s="1203"/>
      <c r="AF431" s="1204"/>
      <c r="AG431" s="1204"/>
      <c r="AH431" s="1203"/>
      <c r="AI431" s="1203"/>
      <c r="AJ431" s="1203"/>
      <c r="AK431" s="1203"/>
      <c r="AL431" s="1203"/>
      <c r="AM431" s="1203"/>
      <c r="AN431" s="1203"/>
      <c r="AO431" s="1203"/>
      <c r="AP431" s="1225"/>
      <c r="AQ431" s="1108"/>
      <c r="AR431" s="1203"/>
      <c r="AS431" s="1203"/>
      <c r="AT431" s="1203"/>
      <c r="AU431" s="1203"/>
      <c r="AV431" s="1203"/>
      <c r="AW431" s="1203"/>
      <c r="AX431" s="1203"/>
      <c r="AY431" s="1203"/>
      <c r="BB431" s="1203"/>
      <c r="BC431" s="1203"/>
      <c r="BD431" s="1203"/>
      <c r="BE431" s="1203"/>
      <c r="BF431" s="1203"/>
      <c r="BG431" s="1203"/>
      <c r="BH431" s="1203"/>
      <c r="BI431" s="1203"/>
      <c r="BU431" s="1113"/>
      <c r="BV431" s="1207"/>
      <c r="BW431" s="1108"/>
      <c r="BX431" s="1108"/>
      <c r="BY431" s="1108"/>
    </row>
    <row r="432" spans="1:77" x14ac:dyDescent="0.2">
      <c r="A432" s="1108"/>
      <c r="B432" s="1108"/>
      <c r="C432" s="1501"/>
      <c r="D432" s="1651"/>
      <c r="E432" s="1205"/>
      <c r="F432" s="1205"/>
      <c r="G432" s="1204"/>
      <c r="H432" s="1204"/>
      <c r="I432" s="1204"/>
      <c r="J432" s="1203"/>
      <c r="K432" s="1204"/>
      <c r="L432" s="1204"/>
      <c r="M432" s="1226"/>
      <c r="N432" s="1227"/>
      <c r="O432" s="1227"/>
      <c r="P432" s="1207"/>
      <c r="Q432" s="1225"/>
      <c r="R432" s="1116"/>
      <c r="S432" s="1108"/>
      <c r="T432" s="1205"/>
      <c r="U432" s="1205"/>
      <c r="V432" s="1204"/>
      <c r="W432" s="1204"/>
      <c r="X432" s="1203"/>
      <c r="Y432" s="1203"/>
      <c r="Z432" s="1203"/>
      <c r="AA432" s="1203"/>
      <c r="AB432" s="1203"/>
      <c r="AC432" s="1203"/>
      <c r="AD432" s="1203"/>
      <c r="AE432" s="1203"/>
      <c r="AF432" s="1204"/>
      <c r="AG432" s="1227"/>
      <c r="AH432" s="1203"/>
      <c r="AI432" s="1203"/>
      <c r="AJ432" s="1203"/>
      <c r="AK432" s="1203"/>
      <c r="AL432" s="1203"/>
      <c r="AM432" s="1203"/>
      <c r="AN432" s="1203"/>
      <c r="AO432" s="1203"/>
      <c r="AP432" s="1225"/>
      <c r="AQ432" s="1108"/>
      <c r="AR432" s="1203"/>
      <c r="AS432" s="1203"/>
      <c r="AT432" s="1203"/>
      <c r="AU432" s="1203"/>
      <c r="AV432" s="1203"/>
      <c r="AW432" s="1203"/>
      <c r="AX432" s="1203"/>
      <c r="AY432" s="1203"/>
      <c r="BB432" s="1203"/>
      <c r="BC432" s="1203"/>
      <c r="BD432" s="1203"/>
      <c r="BE432" s="1203"/>
      <c r="BF432" s="1203"/>
      <c r="BG432" s="1203"/>
      <c r="BH432" s="1203"/>
      <c r="BI432" s="1203"/>
      <c r="BU432" s="1113"/>
      <c r="BV432" s="1207"/>
      <c r="BW432" s="1108"/>
      <c r="BX432" s="1108"/>
      <c r="BY432" s="1108"/>
    </row>
    <row r="433" spans="1:77" x14ac:dyDescent="0.2">
      <c r="A433" s="1108"/>
      <c r="B433" s="1108"/>
      <c r="C433" s="1501"/>
      <c r="D433" s="1652"/>
      <c r="E433" s="1108"/>
      <c r="F433" s="1201"/>
      <c r="G433" s="1201"/>
      <c r="H433" s="1201"/>
      <c r="I433" s="1201"/>
      <c r="J433" s="1202"/>
      <c r="K433" s="1201"/>
      <c r="L433" s="1201"/>
      <c r="M433" s="1202"/>
      <c r="N433" s="1201"/>
      <c r="O433" s="1201"/>
      <c r="P433" s="1202"/>
      <c r="Q433" s="1201"/>
      <c r="R433" s="1116"/>
      <c r="S433" s="1108"/>
      <c r="T433" s="1108"/>
      <c r="U433" s="1201"/>
      <c r="V433" s="1201"/>
      <c r="W433" s="1201"/>
      <c r="X433" s="1202"/>
      <c r="Y433" s="1202"/>
      <c r="Z433" s="1202"/>
      <c r="AA433" s="1202"/>
      <c r="AB433" s="1202"/>
      <c r="AC433" s="1202"/>
      <c r="AD433" s="1202"/>
      <c r="AE433" s="1202"/>
      <c r="AF433" s="1201"/>
      <c r="AG433" s="1201"/>
      <c r="AH433" s="1202"/>
      <c r="AI433" s="1202"/>
      <c r="AJ433" s="1202"/>
      <c r="AK433" s="1202"/>
      <c r="AL433" s="1202"/>
      <c r="AM433" s="1202"/>
      <c r="AN433" s="1202"/>
      <c r="AO433" s="1202"/>
      <c r="AP433" s="1201"/>
      <c r="AQ433" s="1108"/>
      <c r="AR433" s="1202"/>
      <c r="AS433" s="1202"/>
      <c r="AT433" s="1202"/>
      <c r="AU433" s="1202"/>
      <c r="AV433" s="1202"/>
      <c r="AW433" s="1202"/>
      <c r="AX433" s="1202"/>
      <c r="AY433" s="1202"/>
      <c r="BB433" s="1202"/>
      <c r="BC433" s="1202"/>
      <c r="BD433" s="1202"/>
      <c r="BE433" s="1202"/>
      <c r="BF433" s="1202"/>
      <c r="BG433" s="1202"/>
      <c r="BH433" s="1202"/>
      <c r="BI433" s="1202"/>
      <c r="BU433" s="1113"/>
      <c r="BV433" s="1202"/>
      <c r="BW433" s="1108"/>
      <c r="BX433" s="1108"/>
      <c r="BY433" s="1108"/>
    </row>
    <row r="434" spans="1:77" x14ac:dyDescent="0.2">
      <c r="A434" s="1108"/>
      <c r="B434" s="1108"/>
      <c r="C434" s="1501"/>
      <c r="D434" s="1651"/>
      <c r="E434" s="1205"/>
      <c r="F434" s="1206"/>
      <c r="G434" s="1206"/>
      <c r="H434" s="1206"/>
      <c r="I434" s="1206"/>
      <c r="J434" s="1203"/>
      <c r="K434" s="1206"/>
      <c r="L434" s="1206"/>
      <c r="M434" s="1203"/>
      <c r="N434" s="1206"/>
      <c r="O434" s="1206"/>
      <c r="P434" s="1203"/>
      <c r="Q434" s="1206"/>
      <c r="R434" s="1116"/>
      <c r="S434" s="1108"/>
      <c r="T434" s="1205"/>
      <c r="U434" s="1206"/>
      <c r="V434" s="1206"/>
      <c r="W434" s="1206"/>
      <c r="X434" s="1203"/>
      <c r="Y434" s="1203"/>
      <c r="Z434" s="1203"/>
      <c r="AA434" s="1203"/>
      <c r="AB434" s="1203"/>
      <c r="AC434" s="1203"/>
      <c r="AD434" s="1203"/>
      <c r="AE434" s="1203"/>
      <c r="AF434" s="1206"/>
      <c r="AG434" s="1206"/>
      <c r="AH434" s="1203"/>
      <c r="AI434" s="1203"/>
      <c r="AJ434" s="1203"/>
      <c r="AK434" s="1203"/>
      <c r="AL434" s="1203"/>
      <c r="AM434" s="1203"/>
      <c r="AN434" s="1203"/>
      <c r="AO434" s="1203"/>
      <c r="AP434" s="1206"/>
      <c r="AQ434" s="1108"/>
      <c r="AR434" s="1203"/>
      <c r="AS434" s="1203"/>
      <c r="AT434" s="1203"/>
      <c r="AU434" s="1203"/>
      <c r="AV434" s="1203"/>
      <c r="AW434" s="1203"/>
      <c r="AX434" s="1203"/>
      <c r="AY434" s="1203"/>
      <c r="BB434" s="1203"/>
      <c r="BC434" s="1203"/>
      <c r="BD434" s="1203"/>
      <c r="BE434" s="1203"/>
      <c r="BF434" s="1203"/>
      <c r="BG434" s="1203"/>
      <c r="BH434" s="1203"/>
      <c r="BI434" s="1203"/>
      <c r="BU434" s="1113"/>
      <c r="BV434" s="1207"/>
      <c r="BW434" s="1108"/>
      <c r="BX434" s="1108"/>
      <c r="BY434" s="1108"/>
    </row>
    <row r="435" spans="1:77" x14ac:dyDescent="0.2">
      <c r="A435" s="1108"/>
      <c r="B435" s="1108"/>
      <c r="C435" s="1501"/>
      <c r="D435" s="1651"/>
      <c r="E435" s="1205"/>
      <c r="F435" s="1206"/>
      <c r="G435" s="1206"/>
      <c r="H435" s="1206"/>
      <c r="I435" s="1206"/>
      <c r="J435" s="1203"/>
      <c r="K435" s="1206"/>
      <c r="L435" s="1206"/>
      <c r="M435" s="1203"/>
      <c r="N435" s="1206"/>
      <c r="O435" s="1206"/>
      <c r="P435" s="1203"/>
      <c r="Q435" s="1206"/>
      <c r="R435" s="1116"/>
      <c r="S435" s="1108"/>
      <c r="T435" s="1205"/>
      <c r="U435" s="1206"/>
      <c r="V435" s="1206"/>
      <c r="W435" s="1206"/>
      <c r="X435" s="1203"/>
      <c r="Y435" s="1203"/>
      <c r="Z435" s="1203"/>
      <c r="AA435" s="1203"/>
      <c r="AB435" s="1203"/>
      <c r="AC435" s="1203"/>
      <c r="AD435" s="1203"/>
      <c r="AE435" s="1203"/>
      <c r="AF435" s="1206"/>
      <c r="AG435" s="1206"/>
      <c r="AH435" s="1203"/>
      <c r="AI435" s="1203"/>
      <c r="AJ435" s="1203"/>
      <c r="AK435" s="1203"/>
      <c r="AL435" s="1203"/>
      <c r="AM435" s="1203"/>
      <c r="AN435" s="1203"/>
      <c r="AO435" s="1203"/>
      <c r="AP435" s="1206"/>
      <c r="AQ435" s="1108"/>
      <c r="AR435" s="1203"/>
      <c r="AS435" s="1203"/>
      <c r="AT435" s="1203"/>
      <c r="AU435" s="1203"/>
      <c r="AV435" s="1203"/>
      <c r="AW435" s="1203"/>
      <c r="AX435" s="1203"/>
      <c r="AY435" s="1203"/>
      <c r="BB435" s="1203"/>
      <c r="BC435" s="1203"/>
      <c r="BD435" s="1203"/>
      <c r="BE435" s="1203"/>
      <c r="BF435" s="1203"/>
      <c r="BG435" s="1203"/>
      <c r="BH435" s="1203"/>
      <c r="BI435" s="1203"/>
      <c r="BU435" s="1113"/>
      <c r="BV435" s="1207"/>
      <c r="BW435" s="1108"/>
      <c r="BX435" s="1108"/>
      <c r="BY435" s="1108"/>
    </row>
    <row r="436" spans="1:77" x14ac:dyDescent="0.2">
      <c r="A436" s="1108"/>
      <c r="B436" s="1108"/>
      <c r="C436" s="1501"/>
      <c r="D436" s="1653"/>
      <c r="E436" s="1208"/>
      <c r="F436" s="1209"/>
      <c r="G436" s="1209"/>
      <c r="H436" s="1209"/>
      <c r="I436" s="1209"/>
      <c r="J436" s="1210"/>
      <c r="K436" s="1209"/>
      <c r="L436" s="1209"/>
      <c r="M436" s="1210"/>
      <c r="N436" s="1209"/>
      <c r="O436" s="1209"/>
      <c r="P436" s="1210"/>
      <c r="Q436" s="1209"/>
      <c r="R436" s="1116"/>
      <c r="S436" s="1108"/>
      <c r="T436" s="1208"/>
      <c r="U436" s="1209"/>
      <c r="V436" s="1209"/>
      <c r="W436" s="1209"/>
      <c r="X436" s="1210"/>
      <c r="Y436" s="1210"/>
      <c r="Z436" s="1210"/>
      <c r="AA436" s="1210"/>
      <c r="AB436" s="1210"/>
      <c r="AC436" s="1210"/>
      <c r="AD436" s="1210"/>
      <c r="AE436" s="1210"/>
      <c r="AF436" s="1209"/>
      <c r="AG436" s="1209"/>
      <c r="AH436" s="1210"/>
      <c r="AI436" s="1210"/>
      <c r="AJ436" s="1210"/>
      <c r="AK436" s="1210"/>
      <c r="AL436" s="1210"/>
      <c r="AM436" s="1210"/>
      <c r="AN436" s="1210"/>
      <c r="AO436" s="1210"/>
      <c r="AP436" s="1209"/>
      <c r="AQ436" s="1108"/>
      <c r="AR436" s="1210"/>
      <c r="AS436" s="1210"/>
      <c r="AT436" s="1210"/>
      <c r="AU436" s="1210"/>
      <c r="AV436" s="1210"/>
      <c r="AW436" s="1210"/>
      <c r="AX436" s="1210"/>
      <c r="AY436" s="1210"/>
      <c r="BB436" s="1210"/>
      <c r="BC436" s="1210"/>
      <c r="BD436" s="1210"/>
      <c r="BE436" s="1210"/>
      <c r="BF436" s="1210"/>
      <c r="BG436" s="1210"/>
      <c r="BH436" s="1210"/>
      <c r="BI436" s="1210"/>
      <c r="BU436" s="1113"/>
      <c r="BV436" s="1210"/>
      <c r="BW436" s="1108"/>
      <c r="BX436" s="1108"/>
      <c r="BY436" s="1108"/>
    </row>
    <row r="437" spans="1:77" x14ac:dyDescent="0.2">
      <c r="A437" s="1108"/>
      <c r="B437" s="1108"/>
      <c r="C437" s="1501"/>
      <c r="D437" s="1654"/>
      <c r="E437" s="1211"/>
      <c r="F437" s="1212"/>
      <c r="G437" s="1212"/>
      <c r="H437" s="1212"/>
      <c r="I437" s="1212"/>
      <c r="J437" s="1213"/>
      <c r="K437" s="1212"/>
      <c r="L437" s="1212"/>
      <c r="M437" s="1213"/>
      <c r="N437" s="1212"/>
      <c r="O437" s="1212"/>
      <c r="P437" s="1213"/>
      <c r="Q437" s="1212"/>
      <c r="R437" s="1116"/>
      <c r="S437" s="1108"/>
      <c r="T437" s="1211"/>
      <c r="U437" s="1212"/>
      <c r="V437" s="1212"/>
      <c r="W437" s="1212"/>
      <c r="X437" s="1213"/>
      <c r="Y437" s="1213"/>
      <c r="Z437" s="1213"/>
      <c r="AA437" s="1213"/>
      <c r="AB437" s="1213"/>
      <c r="AC437" s="1213"/>
      <c r="AD437" s="1213"/>
      <c r="AE437" s="1213"/>
      <c r="AF437" s="1212"/>
      <c r="AG437" s="1212"/>
      <c r="AH437" s="1213"/>
      <c r="AI437" s="1213"/>
      <c r="AJ437" s="1213"/>
      <c r="AK437" s="1213"/>
      <c r="AL437" s="1213"/>
      <c r="AM437" s="1213"/>
      <c r="AN437" s="1213"/>
      <c r="AO437" s="1213"/>
      <c r="AP437" s="1212"/>
      <c r="AQ437" s="1108"/>
      <c r="AR437" s="1213"/>
      <c r="AS437" s="1213"/>
      <c r="AT437" s="1213"/>
      <c r="AU437" s="1213"/>
      <c r="AV437" s="1213"/>
      <c r="AW437" s="1213"/>
      <c r="AX437" s="1213"/>
      <c r="AY437" s="1213"/>
      <c r="BB437" s="1213"/>
      <c r="BC437" s="1213"/>
      <c r="BD437" s="1213"/>
      <c r="BE437" s="1213"/>
      <c r="BF437" s="1213"/>
      <c r="BG437" s="1213"/>
      <c r="BH437" s="1213"/>
      <c r="BI437" s="1213"/>
      <c r="BU437" s="1113"/>
      <c r="BV437" s="1214"/>
      <c r="BW437" s="1108"/>
      <c r="BX437" s="1108"/>
      <c r="BY437" s="1108"/>
    </row>
    <row r="438" spans="1:77" x14ac:dyDescent="0.2">
      <c r="A438" s="1108"/>
      <c r="B438" s="1108"/>
      <c r="C438" s="1501"/>
      <c r="D438" s="1655"/>
      <c r="E438" s="1215"/>
      <c r="F438" s="1212"/>
      <c r="G438" s="1212"/>
      <c r="H438" s="1212"/>
      <c r="I438" s="1212"/>
      <c r="J438" s="1213"/>
      <c r="K438" s="1212"/>
      <c r="L438" s="1212"/>
      <c r="M438" s="1213"/>
      <c r="N438" s="1212"/>
      <c r="O438" s="1212"/>
      <c r="P438" s="1213"/>
      <c r="Q438" s="1212"/>
      <c r="R438" s="1116"/>
      <c r="S438" s="1108"/>
      <c r="T438" s="1215"/>
      <c r="U438" s="1212"/>
      <c r="V438" s="1212"/>
      <c r="W438" s="1212"/>
      <c r="X438" s="1213"/>
      <c r="Y438" s="1213"/>
      <c r="Z438" s="1213"/>
      <c r="AA438" s="1213"/>
      <c r="AB438" s="1213"/>
      <c r="AC438" s="1213"/>
      <c r="AD438" s="1213"/>
      <c r="AE438" s="1213"/>
      <c r="AF438" s="1212"/>
      <c r="AG438" s="1212"/>
      <c r="AH438" s="1213"/>
      <c r="AI438" s="1213"/>
      <c r="AJ438" s="1213"/>
      <c r="AK438" s="1213"/>
      <c r="AL438" s="1213"/>
      <c r="AM438" s="1213"/>
      <c r="AN438" s="1213"/>
      <c r="AO438" s="1213"/>
      <c r="AP438" s="1212"/>
      <c r="AQ438" s="1108"/>
      <c r="AR438" s="1213"/>
      <c r="AS438" s="1213"/>
      <c r="AT438" s="1213"/>
      <c r="AU438" s="1213"/>
      <c r="AV438" s="1213"/>
      <c r="AW438" s="1213"/>
      <c r="AX438" s="1213"/>
      <c r="AY438" s="1213"/>
      <c r="BB438" s="1213"/>
      <c r="BC438" s="1213"/>
      <c r="BD438" s="1213"/>
      <c r="BE438" s="1213"/>
      <c r="BF438" s="1213"/>
      <c r="BG438" s="1213"/>
      <c r="BH438" s="1213"/>
      <c r="BI438" s="1213"/>
      <c r="BU438" s="1113"/>
      <c r="BV438" s="1214"/>
      <c r="BW438" s="1108"/>
      <c r="BX438" s="1108"/>
      <c r="BY438" s="1108"/>
    </row>
    <row r="439" spans="1:77" x14ac:dyDescent="0.2">
      <c r="A439" s="1108"/>
      <c r="B439" s="1108"/>
      <c r="C439" s="1501"/>
      <c r="D439" s="1655"/>
      <c r="E439" s="1215"/>
      <c r="F439" s="1212"/>
      <c r="G439" s="1212"/>
      <c r="H439" s="1212"/>
      <c r="I439" s="1212"/>
      <c r="J439" s="1213"/>
      <c r="K439" s="1212"/>
      <c r="L439" s="1212"/>
      <c r="M439" s="1213"/>
      <c r="N439" s="1212"/>
      <c r="O439" s="1212"/>
      <c r="P439" s="1213"/>
      <c r="Q439" s="1212"/>
      <c r="R439" s="1116"/>
      <c r="S439" s="1108"/>
      <c r="T439" s="1215"/>
      <c r="U439" s="1212"/>
      <c r="V439" s="1212"/>
      <c r="W439" s="1212"/>
      <c r="X439" s="1213"/>
      <c r="Y439" s="1213"/>
      <c r="Z439" s="1213"/>
      <c r="AA439" s="1213"/>
      <c r="AB439" s="1213"/>
      <c r="AC439" s="1213"/>
      <c r="AD439" s="1213"/>
      <c r="AE439" s="1213"/>
      <c r="AF439" s="1212"/>
      <c r="AG439" s="1212"/>
      <c r="AH439" s="1213"/>
      <c r="AI439" s="1213"/>
      <c r="AJ439" s="1213"/>
      <c r="AK439" s="1213"/>
      <c r="AL439" s="1213"/>
      <c r="AM439" s="1213"/>
      <c r="AN439" s="1213"/>
      <c r="AO439" s="1213"/>
      <c r="AP439" s="1212"/>
      <c r="AQ439" s="1108"/>
      <c r="AR439" s="1213"/>
      <c r="AS439" s="1213"/>
      <c r="AT439" s="1213"/>
      <c r="AU439" s="1213"/>
      <c r="AV439" s="1213"/>
      <c r="AW439" s="1213"/>
      <c r="AX439" s="1213"/>
      <c r="AY439" s="1213"/>
      <c r="BB439" s="1213"/>
      <c r="BC439" s="1213"/>
      <c r="BD439" s="1213"/>
      <c r="BE439" s="1213"/>
      <c r="BF439" s="1213"/>
      <c r="BG439" s="1213"/>
      <c r="BH439" s="1213"/>
      <c r="BI439" s="1213"/>
      <c r="BU439" s="1113"/>
      <c r="BV439" s="1214"/>
      <c r="BW439" s="1108"/>
      <c r="BX439" s="1108"/>
      <c r="BY439" s="1108"/>
    </row>
    <row r="440" spans="1:77" x14ac:dyDescent="0.2">
      <c r="A440" s="1108"/>
      <c r="B440" s="1108"/>
      <c r="C440" s="1501"/>
      <c r="D440" s="1652"/>
      <c r="E440" s="1108"/>
      <c r="F440" s="1108"/>
      <c r="G440" s="1108"/>
      <c r="H440" s="1108"/>
      <c r="I440" s="1108"/>
      <c r="J440" s="1116"/>
      <c r="L440" s="1108"/>
      <c r="M440" s="1116"/>
      <c r="N440" s="1108"/>
      <c r="O440" s="1108"/>
      <c r="P440" s="1116"/>
      <c r="Q440" s="1108"/>
      <c r="R440" s="1116"/>
      <c r="S440" s="1108"/>
      <c r="T440" s="1108"/>
      <c r="U440" s="1108"/>
      <c r="V440" s="1108"/>
      <c r="W440" s="1108"/>
      <c r="X440" s="1116"/>
      <c r="Y440" s="1116"/>
      <c r="Z440" s="1116"/>
      <c r="AA440" s="1116"/>
      <c r="AB440" s="1116"/>
      <c r="AC440" s="1116"/>
      <c r="AD440" s="1116"/>
      <c r="AE440" s="1116"/>
      <c r="AF440" s="1108"/>
      <c r="AG440" s="1108"/>
      <c r="AH440" s="1116"/>
      <c r="AI440" s="1116"/>
      <c r="AJ440" s="1116"/>
      <c r="AK440" s="1116"/>
      <c r="AL440" s="1116"/>
      <c r="AM440" s="1116"/>
      <c r="AN440" s="1116"/>
      <c r="AO440" s="1116"/>
      <c r="AP440" s="1108"/>
      <c r="AQ440" s="1108"/>
      <c r="AR440" s="1116"/>
      <c r="AS440" s="1116"/>
      <c r="AT440" s="1116"/>
      <c r="AU440" s="1116"/>
      <c r="AV440" s="1116"/>
      <c r="AW440" s="1116"/>
      <c r="AX440" s="1116"/>
      <c r="AY440" s="1116"/>
      <c r="BB440" s="1116"/>
      <c r="BC440" s="1116"/>
      <c r="BD440" s="1116"/>
      <c r="BE440" s="1116"/>
      <c r="BF440" s="1116"/>
      <c r="BG440" s="1116"/>
      <c r="BH440" s="1116"/>
      <c r="BI440" s="1116"/>
      <c r="BU440" s="1113"/>
      <c r="BW440" s="1108"/>
      <c r="BX440" s="1108"/>
      <c r="BY440" s="1108"/>
    </row>
    <row r="441" spans="1:77" x14ac:dyDescent="0.2">
      <c r="A441" s="1108"/>
      <c r="B441" s="1108"/>
      <c r="C441" s="1501"/>
      <c r="D441" s="1656"/>
      <c r="E441" s="1222"/>
      <c r="F441" s="1222"/>
      <c r="G441" s="1204"/>
      <c r="H441" s="1204"/>
      <c r="I441" s="1204"/>
      <c r="J441" s="1203"/>
      <c r="K441" s="1204"/>
      <c r="L441" s="1204"/>
      <c r="M441" s="1203"/>
      <c r="N441" s="1204"/>
      <c r="O441" s="1204"/>
      <c r="P441" s="1202"/>
      <c r="Q441" s="1223"/>
      <c r="R441" s="1230"/>
      <c r="S441" s="1231"/>
      <c r="T441" s="1222"/>
      <c r="U441" s="1222"/>
      <c r="V441" s="1204"/>
      <c r="W441" s="1204"/>
      <c r="X441" s="1203"/>
      <c r="Y441" s="1203"/>
      <c r="Z441" s="1203"/>
      <c r="AA441" s="1203"/>
      <c r="AB441" s="1203"/>
      <c r="AC441" s="1203"/>
      <c r="AD441" s="1203"/>
      <c r="AE441" s="1203"/>
      <c r="AF441" s="1204"/>
      <c r="AG441" s="1204"/>
      <c r="AH441" s="1203"/>
      <c r="AI441" s="1203"/>
      <c r="AJ441" s="1203"/>
      <c r="AK441" s="1203"/>
      <c r="AL441" s="1203"/>
      <c r="AM441" s="1203"/>
      <c r="AN441" s="1203"/>
      <c r="AO441" s="1203"/>
      <c r="AP441" s="1223"/>
      <c r="AQ441" s="1108"/>
      <c r="AR441" s="1203"/>
      <c r="AS441" s="1203"/>
      <c r="AT441" s="1203"/>
      <c r="AU441" s="1203"/>
      <c r="AV441" s="1203"/>
      <c r="AW441" s="1203"/>
      <c r="AX441" s="1203"/>
      <c r="AY441" s="1203"/>
      <c r="BB441" s="1203"/>
      <c r="BC441" s="1203"/>
      <c r="BD441" s="1203"/>
      <c r="BE441" s="1203"/>
      <c r="BF441" s="1203"/>
      <c r="BG441" s="1203"/>
      <c r="BH441" s="1203"/>
      <c r="BI441" s="1203"/>
      <c r="BU441" s="1113"/>
      <c r="BV441" s="1202"/>
      <c r="BW441" s="1108"/>
      <c r="BX441" s="1108"/>
      <c r="BY441" s="1108"/>
    </row>
    <row r="442" spans="1:77" x14ac:dyDescent="0.2">
      <c r="A442" s="1108"/>
      <c r="B442" s="1108"/>
      <c r="C442" s="1501"/>
      <c r="D442" s="1657"/>
      <c r="E442" s="1224"/>
      <c r="F442" s="1224"/>
      <c r="G442" s="1204"/>
      <c r="H442" s="1204"/>
      <c r="I442" s="1204"/>
      <c r="J442" s="1203"/>
      <c r="K442" s="1204"/>
      <c r="L442" s="1204"/>
      <c r="M442" s="1203"/>
      <c r="N442" s="1204"/>
      <c r="O442" s="1204"/>
      <c r="P442" s="1207"/>
      <c r="Q442" s="1225"/>
      <c r="R442" s="1230"/>
      <c r="S442" s="1232"/>
      <c r="T442" s="1224"/>
      <c r="U442" s="1224"/>
      <c r="V442" s="1204"/>
      <c r="W442" s="1204"/>
      <c r="X442" s="1203"/>
      <c r="Y442" s="1203"/>
      <c r="Z442" s="1203"/>
      <c r="AA442" s="1203"/>
      <c r="AB442" s="1203"/>
      <c r="AC442" s="1203"/>
      <c r="AD442" s="1203"/>
      <c r="AE442" s="1203"/>
      <c r="AF442" s="1204"/>
      <c r="AG442" s="1204"/>
      <c r="AH442" s="1203"/>
      <c r="AI442" s="1203"/>
      <c r="AJ442" s="1203"/>
      <c r="AK442" s="1203"/>
      <c r="AL442" s="1203"/>
      <c r="AM442" s="1203"/>
      <c r="AN442" s="1203"/>
      <c r="AO442" s="1203"/>
      <c r="AP442" s="1225"/>
      <c r="AQ442" s="1108"/>
      <c r="AR442" s="1203"/>
      <c r="AS442" s="1203"/>
      <c r="AT442" s="1203"/>
      <c r="AU442" s="1203"/>
      <c r="AV442" s="1203"/>
      <c r="AW442" s="1203"/>
      <c r="AX442" s="1203"/>
      <c r="AY442" s="1203"/>
      <c r="BB442" s="1203"/>
      <c r="BC442" s="1203"/>
      <c r="BD442" s="1203"/>
      <c r="BE442" s="1203"/>
      <c r="BF442" s="1203"/>
      <c r="BG442" s="1203"/>
      <c r="BH442" s="1203"/>
      <c r="BI442" s="1203"/>
      <c r="BU442" s="1113"/>
      <c r="BV442" s="1207"/>
      <c r="BW442" s="1108"/>
      <c r="BX442" s="1108"/>
      <c r="BY442" s="1108"/>
    </row>
    <row r="443" spans="1:77" x14ac:dyDescent="0.2">
      <c r="A443" s="1108"/>
      <c r="B443" s="1108"/>
      <c r="C443" s="1501"/>
      <c r="D443" s="1651"/>
      <c r="E443" s="1205"/>
      <c r="F443" s="1205"/>
      <c r="G443" s="1204"/>
      <c r="H443" s="1204"/>
      <c r="I443" s="1204"/>
      <c r="J443" s="1203"/>
      <c r="K443" s="1204"/>
      <c r="L443" s="1204"/>
      <c r="M443" s="1226"/>
      <c r="N443" s="1227"/>
      <c r="O443" s="1227"/>
      <c r="P443" s="1207"/>
      <c r="Q443" s="1225"/>
      <c r="R443" s="1203"/>
      <c r="S443" s="1204"/>
      <c r="T443" s="1205"/>
      <c r="U443" s="1205"/>
      <c r="V443" s="1204"/>
      <c r="W443" s="1204"/>
      <c r="X443" s="1203"/>
      <c r="Y443" s="1203"/>
      <c r="Z443" s="1203"/>
      <c r="AA443" s="1203"/>
      <c r="AB443" s="1203"/>
      <c r="AC443" s="1203"/>
      <c r="AD443" s="1203"/>
      <c r="AE443" s="1203"/>
      <c r="AF443" s="1204"/>
      <c r="AG443" s="1227"/>
      <c r="AH443" s="1203"/>
      <c r="AI443" s="1203"/>
      <c r="AJ443" s="1203"/>
      <c r="AK443" s="1203"/>
      <c r="AL443" s="1203"/>
      <c r="AM443" s="1203"/>
      <c r="AN443" s="1203"/>
      <c r="AO443" s="1203"/>
      <c r="AP443" s="1225"/>
      <c r="AQ443" s="1108"/>
      <c r="AR443" s="1203"/>
      <c r="AS443" s="1203"/>
      <c r="AT443" s="1203"/>
      <c r="AU443" s="1203"/>
      <c r="AV443" s="1203"/>
      <c r="AW443" s="1203"/>
      <c r="AX443" s="1203"/>
      <c r="AY443" s="1203"/>
      <c r="BB443" s="1203"/>
      <c r="BC443" s="1203"/>
      <c r="BD443" s="1203"/>
      <c r="BE443" s="1203"/>
      <c r="BF443" s="1203"/>
      <c r="BG443" s="1203"/>
      <c r="BH443" s="1203"/>
      <c r="BI443" s="1203"/>
      <c r="BU443" s="1113"/>
      <c r="BV443" s="1207"/>
      <c r="BW443" s="1108"/>
      <c r="BX443" s="1108"/>
      <c r="BY443" s="1108"/>
    </row>
    <row r="444" spans="1:77" x14ac:dyDescent="0.2">
      <c r="A444" s="1108"/>
      <c r="B444" s="1108"/>
      <c r="C444" s="1501"/>
      <c r="D444" s="1652"/>
      <c r="E444" s="1108"/>
      <c r="F444" s="1201"/>
      <c r="G444" s="1201"/>
      <c r="H444" s="1201"/>
      <c r="I444" s="1201"/>
      <c r="J444" s="1202"/>
      <c r="K444" s="1201"/>
      <c r="L444" s="1201"/>
      <c r="M444" s="1202"/>
      <c r="N444" s="1201"/>
      <c r="O444" s="1201"/>
      <c r="P444" s="1202"/>
      <c r="Q444" s="1201"/>
      <c r="R444" s="1203"/>
      <c r="S444" s="1204"/>
      <c r="T444" s="1108"/>
      <c r="U444" s="1201"/>
      <c r="V444" s="1201"/>
      <c r="W444" s="1201"/>
      <c r="X444" s="1202"/>
      <c r="Y444" s="1202"/>
      <c r="Z444" s="1202"/>
      <c r="AA444" s="1202"/>
      <c r="AB444" s="1202"/>
      <c r="AC444" s="1202"/>
      <c r="AD444" s="1202"/>
      <c r="AE444" s="1202"/>
      <c r="AF444" s="1201"/>
      <c r="AG444" s="1201"/>
      <c r="AH444" s="1202"/>
      <c r="AI444" s="1202"/>
      <c r="AJ444" s="1202"/>
      <c r="AK444" s="1202"/>
      <c r="AL444" s="1202"/>
      <c r="AM444" s="1202"/>
      <c r="AN444" s="1202"/>
      <c r="AO444" s="1202"/>
      <c r="AP444" s="1201"/>
      <c r="AQ444" s="1108"/>
      <c r="AR444" s="1202"/>
      <c r="AS444" s="1202"/>
      <c r="AT444" s="1202"/>
      <c r="AU444" s="1202"/>
      <c r="AV444" s="1202"/>
      <c r="AW444" s="1202"/>
      <c r="AX444" s="1202"/>
      <c r="AY444" s="1202"/>
      <c r="BB444" s="1202"/>
      <c r="BC444" s="1202"/>
      <c r="BD444" s="1202"/>
      <c r="BE444" s="1202"/>
      <c r="BF444" s="1202"/>
      <c r="BG444" s="1202"/>
      <c r="BH444" s="1202"/>
      <c r="BI444" s="1202"/>
      <c r="BU444" s="1113"/>
      <c r="BV444" s="1202"/>
      <c r="BW444" s="1108"/>
      <c r="BX444" s="1108"/>
      <c r="BY444" s="1108"/>
    </row>
    <row r="445" spans="1:77" x14ac:dyDescent="0.2">
      <c r="A445" s="1108"/>
      <c r="B445" s="1108"/>
      <c r="C445" s="1501"/>
      <c r="D445" s="1651"/>
      <c r="E445" s="1205"/>
      <c r="F445" s="1206"/>
      <c r="G445" s="1206"/>
      <c r="H445" s="1206"/>
      <c r="I445" s="1206"/>
      <c r="J445" s="1203"/>
      <c r="K445" s="1206"/>
      <c r="L445" s="1206"/>
      <c r="M445" s="1203"/>
      <c r="N445" s="1206"/>
      <c r="O445" s="1206"/>
      <c r="P445" s="1203"/>
      <c r="Q445" s="1206"/>
      <c r="R445" s="1203"/>
      <c r="S445" s="1204"/>
      <c r="T445" s="1205"/>
      <c r="U445" s="1206"/>
      <c r="V445" s="1206"/>
      <c r="W445" s="1206"/>
      <c r="X445" s="1203"/>
      <c r="Y445" s="1203"/>
      <c r="Z445" s="1203"/>
      <c r="AA445" s="1203"/>
      <c r="AB445" s="1203"/>
      <c r="AC445" s="1203"/>
      <c r="AD445" s="1203"/>
      <c r="AE445" s="1203"/>
      <c r="AF445" s="1206"/>
      <c r="AG445" s="1206"/>
      <c r="AH445" s="1203"/>
      <c r="AI445" s="1203"/>
      <c r="AJ445" s="1203"/>
      <c r="AK445" s="1203"/>
      <c r="AL445" s="1203"/>
      <c r="AM445" s="1203"/>
      <c r="AN445" s="1203"/>
      <c r="AO445" s="1203"/>
      <c r="AP445" s="1206"/>
      <c r="AQ445" s="1108"/>
      <c r="AR445" s="1203"/>
      <c r="AS445" s="1203"/>
      <c r="AT445" s="1203"/>
      <c r="AU445" s="1203"/>
      <c r="AV445" s="1203"/>
      <c r="AW445" s="1203"/>
      <c r="AX445" s="1203"/>
      <c r="AY445" s="1203"/>
      <c r="BB445" s="1203"/>
      <c r="BC445" s="1203"/>
      <c r="BD445" s="1203"/>
      <c r="BE445" s="1203"/>
      <c r="BF445" s="1203"/>
      <c r="BG445" s="1203"/>
      <c r="BH445" s="1203"/>
      <c r="BI445" s="1203"/>
      <c r="BU445" s="1113"/>
      <c r="BV445" s="1207"/>
      <c r="BW445" s="1108"/>
      <c r="BX445" s="1108"/>
      <c r="BY445" s="1108"/>
    </row>
    <row r="446" spans="1:77" x14ac:dyDescent="0.2">
      <c r="A446" s="1108"/>
      <c r="B446" s="1108"/>
      <c r="C446" s="1501"/>
      <c r="D446" s="1651"/>
      <c r="E446" s="1205"/>
      <c r="F446" s="1206"/>
      <c r="G446" s="1206"/>
      <c r="H446" s="1206"/>
      <c r="I446" s="1206"/>
      <c r="J446" s="1203"/>
      <c r="K446" s="1206"/>
      <c r="L446" s="1206"/>
      <c r="M446" s="1203"/>
      <c r="N446" s="1206"/>
      <c r="O446" s="1206"/>
      <c r="P446" s="1203"/>
      <c r="Q446" s="1206"/>
      <c r="R446" s="1203"/>
      <c r="S446" s="1204"/>
      <c r="T446" s="1205"/>
      <c r="U446" s="1206"/>
      <c r="V446" s="1206"/>
      <c r="W446" s="1206"/>
      <c r="X446" s="1203"/>
      <c r="Y446" s="1203"/>
      <c r="Z446" s="1203"/>
      <c r="AA446" s="1203"/>
      <c r="AB446" s="1203"/>
      <c r="AC446" s="1203"/>
      <c r="AD446" s="1203"/>
      <c r="AE446" s="1203"/>
      <c r="AF446" s="1206"/>
      <c r="AG446" s="1206"/>
      <c r="AH446" s="1203"/>
      <c r="AI446" s="1203"/>
      <c r="AJ446" s="1203"/>
      <c r="AK446" s="1203"/>
      <c r="AL446" s="1203"/>
      <c r="AM446" s="1203"/>
      <c r="AN446" s="1203"/>
      <c r="AO446" s="1203"/>
      <c r="AP446" s="1206"/>
      <c r="AQ446" s="1108"/>
      <c r="AR446" s="1203"/>
      <c r="AS446" s="1203"/>
      <c r="AT446" s="1203"/>
      <c r="AU446" s="1203"/>
      <c r="AV446" s="1203"/>
      <c r="AW446" s="1203"/>
      <c r="AX446" s="1203"/>
      <c r="AY446" s="1203"/>
      <c r="BB446" s="1203"/>
      <c r="BC446" s="1203"/>
      <c r="BD446" s="1203"/>
      <c r="BE446" s="1203"/>
      <c r="BF446" s="1203"/>
      <c r="BG446" s="1203"/>
      <c r="BH446" s="1203"/>
      <c r="BI446" s="1203"/>
      <c r="BU446" s="1113"/>
      <c r="BV446" s="1207"/>
      <c r="BW446" s="1108"/>
      <c r="BX446" s="1108"/>
      <c r="BY446" s="1108"/>
    </row>
    <row r="447" spans="1:77" x14ac:dyDescent="0.2">
      <c r="A447" s="1108"/>
      <c r="B447" s="1108"/>
      <c r="C447" s="1501"/>
      <c r="D447" s="1653"/>
      <c r="E447" s="1208"/>
      <c r="F447" s="1209"/>
      <c r="G447" s="1209"/>
      <c r="H447" s="1209"/>
      <c r="I447" s="1209"/>
      <c r="J447" s="1210"/>
      <c r="K447" s="1209"/>
      <c r="L447" s="1209"/>
      <c r="M447" s="1210"/>
      <c r="N447" s="1209"/>
      <c r="O447" s="1209"/>
      <c r="P447" s="1210"/>
      <c r="Q447" s="1209"/>
      <c r="R447" s="1203"/>
      <c r="S447" s="1204"/>
      <c r="T447" s="1208"/>
      <c r="U447" s="1209"/>
      <c r="V447" s="1209"/>
      <c r="W447" s="1209"/>
      <c r="X447" s="1210"/>
      <c r="Y447" s="1210"/>
      <c r="Z447" s="1210"/>
      <c r="AA447" s="1210"/>
      <c r="AB447" s="1210"/>
      <c r="AC447" s="1210"/>
      <c r="AD447" s="1210"/>
      <c r="AE447" s="1210"/>
      <c r="AF447" s="1209"/>
      <c r="AG447" s="1209"/>
      <c r="AH447" s="1210"/>
      <c r="AI447" s="1210"/>
      <c r="AJ447" s="1210"/>
      <c r="AK447" s="1210"/>
      <c r="AL447" s="1210"/>
      <c r="AM447" s="1210"/>
      <c r="AN447" s="1210"/>
      <c r="AO447" s="1210"/>
      <c r="AP447" s="1209"/>
      <c r="AQ447" s="1108"/>
      <c r="AR447" s="1210"/>
      <c r="AS447" s="1210"/>
      <c r="AT447" s="1210"/>
      <c r="AU447" s="1210"/>
      <c r="AV447" s="1210"/>
      <c r="AW447" s="1210"/>
      <c r="AX447" s="1210"/>
      <c r="AY447" s="1210"/>
      <c r="BB447" s="1210"/>
      <c r="BC447" s="1210"/>
      <c r="BD447" s="1210"/>
      <c r="BE447" s="1210"/>
      <c r="BF447" s="1210"/>
      <c r="BG447" s="1210"/>
      <c r="BH447" s="1210"/>
      <c r="BI447" s="1210"/>
      <c r="BU447" s="1113"/>
      <c r="BV447" s="1210"/>
      <c r="BW447" s="1108"/>
      <c r="BX447" s="1108"/>
      <c r="BY447" s="1108"/>
    </row>
    <row r="448" spans="1:77" x14ac:dyDescent="0.2">
      <c r="A448" s="1108"/>
      <c r="B448" s="1108"/>
      <c r="C448" s="1501"/>
      <c r="D448" s="1654"/>
      <c r="E448" s="1211"/>
      <c r="F448" s="1212"/>
      <c r="G448" s="1212"/>
      <c r="H448" s="1212"/>
      <c r="I448" s="1212"/>
      <c r="J448" s="1213"/>
      <c r="K448" s="1212"/>
      <c r="L448" s="1212"/>
      <c r="M448" s="1213"/>
      <c r="N448" s="1212"/>
      <c r="O448" s="1212"/>
      <c r="P448" s="1213"/>
      <c r="Q448" s="1212"/>
      <c r="R448" s="1203"/>
      <c r="S448" s="1204"/>
      <c r="T448" s="1211"/>
      <c r="U448" s="1212"/>
      <c r="V448" s="1212"/>
      <c r="W448" s="1212"/>
      <c r="X448" s="1213"/>
      <c r="Y448" s="1213"/>
      <c r="Z448" s="1213"/>
      <c r="AA448" s="1213"/>
      <c r="AB448" s="1213"/>
      <c r="AC448" s="1213"/>
      <c r="AD448" s="1213"/>
      <c r="AE448" s="1213"/>
      <c r="AF448" s="1212"/>
      <c r="AG448" s="1212"/>
      <c r="AH448" s="1213"/>
      <c r="AI448" s="1213"/>
      <c r="AJ448" s="1213"/>
      <c r="AK448" s="1213"/>
      <c r="AL448" s="1213"/>
      <c r="AM448" s="1213"/>
      <c r="AN448" s="1213"/>
      <c r="AO448" s="1213"/>
      <c r="AP448" s="1212"/>
      <c r="AQ448" s="1108"/>
      <c r="AR448" s="1213"/>
      <c r="AS448" s="1213"/>
      <c r="AT448" s="1213"/>
      <c r="AU448" s="1213"/>
      <c r="AV448" s="1213"/>
      <c r="AW448" s="1213"/>
      <c r="AX448" s="1213"/>
      <c r="AY448" s="1213"/>
      <c r="BB448" s="1213"/>
      <c r="BC448" s="1213"/>
      <c r="BD448" s="1213"/>
      <c r="BE448" s="1213"/>
      <c r="BF448" s="1213"/>
      <c r="BG448" s="1213"/>
      <c r="BH448" s="1213"/>
      <c r="BI448" s="1213"/>
      <c r="BU448" s="1113"/>
      <c r="BV448" s="1214"/>
      <c r="BW448" s="1108"/>
      <c r="BX448" s="1108"/>
      <c r="BY448" s="1108"/>
    </row>
    <row r="449" spans="1:77" x14ac:dyDescent="0.2">
      <c r="A449" s="1108"/>
      <c r="B449" s="1108"/>
      <c r="C449" s="1501"/>
      <c r="D449" s="1655"/>
      <c r="E449" s="1215"/>
      <c r="F449" s="1212"/>
      <c r="G449" s="1212"/>
      <c r="H449" s="1212"/>
      <c r="I449" s="1212"/>
      <c r="J449" s="1213"/>
      <c r="K449" s="1212"/>
      <c r="L449" s="1212"/>
      <c r="M449" s="1213"/>
      <c r="N449" s="1212"/>
      <c r="O449" s="1212"/>
      <c r="P449" s="1213"/>
      <c r="Q449" s="1212"/>
      <c r="R449" s="1203"/>
      <c r="S449" s="1204"/>
      <c r="T449" s="1215"/>
      <c r="U449" s="1212"/>
      <c r="V449" s="1212"/>
      <c r="W449" s="1212"/>
      <c r="X449" s="1213"/>
      <c r="Y449" s="1213"/>
      <c r="Z449" s="1213"/>
      <c r="AA449" s="1213"/>
      <c r="AB449" s="1213"/>
      <c r="AC449" s="1213"/>
      <c r="AD449" s="1213"/>
      <c r="AE449" s="1213"/>
      <c r="AF449" s="1212"/>
      <c r="AG449" s="1212"/>
      <c r="AH449" s="1213"/>
      <c r="AI449" s="1213"/>
      <c r="AJ449" s="1213"/>
      <c r="AK449" s="1213"/>
      <c r="AL449" s="1213"/>
      <c r="AM449" s="1213"/>
      <c r="AN449" s="1213"/>
      <c r="AO449" s="1213"/>
      <c r="AP449" s="1212"/>
      <c r="AQ449" s="1108"/>
      <c r="AR449" s="1213"/>
      <c r="AS449" s="1213"/>
      <c r="AT449" s="1213"/>
      <c r="AU449" s="1213"/>
      <c r="AV449" s="1213"/>
      <c r="AW449" s="1213"/>
      <c r="AX449" s="1213"/>
      <c r="AY449" s="1213"/>
      <c r="BB449" s="1213"/>
      <c r="BC449" s="1213"/>
      <c r="BD449" s="1213"/>
      <c r="BE449" s="1213"/>
      <c r="BF449" s="1213"/>
      <c r="BG449" s="1213"/>
      <c r="BH449" s="1213"/>
      <c r="BI449" s="1213"/>
      <c r="BU449" s="1113"/>
      <c r="BV449" s="1214"/>
      <c r="BW449" s="1108"/>
      <c r="BX449" s="1108"/>
      <c r="BY449" s="1108"/>
    </row>
    <row r="450" spans="1:77" x14ac:dyDescent="0.2">
      <c r="A450" s="1108"/>
      <c r="B450" s="1108"/>
      <c r="C450" s="1501"/>
      <c r="D450" s="1655"/>
      <c r="E450" s="1215"/>
      <c r="F450" s="1212"/>
      <c r="G450" s="1212"/>
      <c r="H450" s="1212"/>
      <c r="I450" s="1212"/>
      <c r="J450" s="1213"/>
      <c r="K450" s="1212"/>
      <c r="L450" s="1212"/>
      <c r="M450" s="1213"/>
      <c r="N450" s="1212"/>
      <c r="O450" s="1212"/>
      <c r="P450" s="1213"/>
      <c r="Q450" s="1212"/>
      <c r="R450" s="1203"/>
      <c r="S450" s="1204"/>
      <c r="T450" s="1215"/>
      <c r="U450" s="1212"/>
      <c r="V450" s="1212"/>
      <c r="W450" s="1212"/>
      <c r="X450" s="1213"/>
      <c r="Y450" s="1213"/>
      <c r="Z450" s="1213"/>
      <c r="AA450" s="1213"/>
      <c r="AB450" s="1213"/>
      <c r="AC450" s="1213"/>
      <c r="AD450" s="1213"/>
      <c r="AE450" s="1213"/>
      <c r="AF450" s="1212"/>
      <c r="AG450" s="1212"/>
      <c r="AH450" s="1213"/>
      <c r="AI450" s="1213"/>
      <c r="AJ450" s="1213"/>
      <c r="AK450" s="1213"/>
      <c r="AL450" s="1213"/>
      <c r="AM450" s="1213"/>
      <c r="AN450" s="1213"/>
      <c r="AO450" s="1213"/>
      <c r="AP450" s="1212"/>
      <c r="AQ450" s="1108"/>
      <c r="AR450" s="1213"/>
      <c r="AS450" s="1213"/>
      <c r="AT450" s="1213"/>
      <c r="AU450" s="1213"/>
      <c r="AV450" s="1213"/>
      <c r="AW450" s="1213"/>
      <c r="AX450" s="1213"/>
      <c r="AY450" s="1213"/>
      <c r="BB450" s="1213"/>
      <c r="BC450" s="1213"/>
      <c r="BD450" s="1213"/>
      <c r="BE450" s="1213"/>
      <c r="BF450" s="1213"/>
      <c r="BG450" s="1213"/>
      <c r="BH450" s="1213"/>
      <c r="BI450" s="1213"/>
      <c r="BU450" s="1113"/>
      <c r="BV450" s="1214"/>
      <c r="BW450" s="1108"/>
      <c r="BX450" s="1108"/>
      <c r="BY450" s="1108"/>
    </row>
    <row r="451" spans="1:77" x14ac:dyDescent="0.2">
      <c r="A451" s="1108"/>
      <c r="B451" s="1108"/>
      <c r="C451" s="1501"/>
      <c r="D451" s="1659"/>
      <c r="E451" s="1216"/>
      <c r="F451" s="1217"/>
      <c r="G451" s="1217"/>
      <c r="H451" s="1217"/>
      <c r="I451" s="1217"/>
      <c r="J451" s="1218"/>
      <c r="K451" s="1217"/>
      <c r="L451" s="1217"/>
      <c r="M451" s="1219"/>
      <c r="N451" s="1208"/>
      <c r="O451" s="1208"/>
      <c r="P451" s="1210"/>
      <c r="Q451" s="1209"/>
      <c r="R451" s="1203"/>
      <c r="S451" s="1204"/>
      <c r="T451" s="1216"/>
      <c r="U451" s="1217"/>
      <c r="V451" s="1217"/>
      <c r="W451" s="1217"/>
      <c r="X451" s="1218"/>
      <c r="Y451" s="1218"/>
      <c r="Z451" s="1218"/>
      <c r="AA451" s="1218"/>
      <c r="AB451" s="1218"/>
      <c r="AC451" s="1218"/>
      <c r="AD451" s="1218"/>
      <c r="AE451" s="1218"/>
      <c r="AF451" s="1217"/>
      <c r="AG451" s="1208"/>
      <c r="AH451" s="1218"/>
      <c r="AI451" s="1218"/>
      <c r="AJ451" s="1218"/>
      <c r="AK451" s="1218"/>
      <c r="AL451" s="1218"/>
      <c r="AM451" s="1218"/>
      <c r="AN451" s="1218"/>
      <c r="AO451" s="1218"/>
      <c r="AP451" s="1209"/>
      <c r="AQ451" s="1108"/>
      <c r="AR451" s="1218"/>
      <c r="AS451" s="1218"/>
      <c r="AT451" s="1218"/>
      <c r="AU451" s="1218"/>
      <c r="AV451" s="1218"/>
      <c r="AW451" s="1218"/>
      <c r="AX451" s="1218"/>
      <c r="AY451" s="1218"/>
      <c r="BB451" s="1218"/>
      <c r="BC451" s="1218"/>
      <c r="BD451" s="1218"/>
      <c r="BE451" s="1218"/>
      <c r="BF451" s="1218"/>
      <c r="BG451" s="1218"/>
      <c r="BH451" s="1218"/>
      <c r="BI451" s="1218"/>
      <c r="BU451" s="1113"/>
      <c r="BV451" s="1210"/>
      <c r="BW451" s="1108"/>
      <c r="BX451" s="1108"/>
      <c r="BY451" s="1108"/>
    </row>
    <row r="452" spans="1:77" x14ac:dyDescent="0.2">
      <c r="A452" s="1108"/>
      <c r="B452" s="1108"/>
      <c r="C452" s="1501"/>
      <c r="D452" s="1652"/>
      <c r="E452" s="1108"/>
      <c r="F452" s="1108"/>
      <c r="G452" s="1108"/>
      <c r="H452" s="1108"/>
      <c r="I452" s="1108"/>
      <c r="J452" s="1116"/>
      <c r="L452" s="1108"/>
      <c r="M452" s="1116"/>
      <c r="N452" s="1108"/>
      <c r="O452" s="1108"/>
      <c r="P452" s="1116"/>
      <c r="Q452" s="1108"/>
      <c r="R452" s="1116"/>
      <c r="S452" s="1108"/>
      <c r="T452" s="1108"/>
      <c r="U452" s="1108"/>
      <c r="V452" s="1108"/>
      <c r="W452" s="1108"/>
      <c r="X452" s="1116"/>
      <c r="Y452" s="1116"/>
      <c r="Z452" s="1116"/>
      <c r="AA452" s="1116"/>
      <c r="AB452" s="1116"/>
      <c r="AC452" s="1116"/>
      <c r="AD452" s="1116"/>
      <c r="AE452" s="1116"/>
      <c r="AF452" s="1108"/>
      <c r="AG452" s="1108"/>
      <c r="AH452" s="1116"/>
      <c r="AI452" s="1116"/>
      <c r="AJ452" s="1116"/>
      <c r="AK452" s="1116"/>
      <c r="AL452" s="1116"/>
      <c r="AM452" s="1116"/>
      <c r="AN452" s="1116"/>
      <c r="AO452" s="1116"/>
      <c r="AP452" s="1108"/>
      <c r="AQ452" s="1108"/>
      <c r="AR452" s="1116"/>
      <c r="AS452" s="1116"/>
      <c r="AT452" s="1116"/>
      <c r="AU452" s="1116"/>
      <c r="AV452" s="1116"/>
      <c r="AW452" s="1116"/>
      <c r="AX452" s="1116"/>
      <c r="AY452" s="1116"/>
      <c r="BB452" s="1116"/>
      <c r="BC452" s="1116"/>
      <c r="BD452" s="1116"/>
      <c r="BE452" s="1116"/>
      <c r="BF452" s="1116"/>
      <c r="BG452" s="1116"/>
      <c r="BH452" s="1116"/>
      <c r="BI452" s="1116"/>
      <c r="BU452" s="1113"/>
      <c r="BW452" s="1217"/>
      <c r="BX452" s="1217"/>
      <c r="BY452" s="1108"/>
    </row>
    <row r="453" spans="1:77" x14ac:dyDescent="0.2">
      <c r="A453" s="1108"/>
      <c r="B453" s="1108"/>
      <c r="C453" s="1501"/>
      <c r="D453" s="1652"/>
      <c r="E453" s="1108"/>
      <c r="F453" s="1108"/>
      <c r="G453" s="1108"/>
      <c r="H453" s="1108"/>
      <c r="I453" s="1108"/>
      <c r="J453" s="1116"/>
      <c r="L453" s="1108"/>
      <c r="M453" s="1116"/>
      <c r="N453" s="1108"/>
      <c r="O453" s="1108"/>
      <c r="P453" s="1116"/>
      <c r="Q453" s="1108"/>
      <c r="R453" s="1116"/>
      <c r="S453" s="1108"/>
      <c r="T453" s="1108"/>
      <c r="U453" s="1108"/>
      <c r="V453" s="1108"/>
      <c r="W453" s="1108"/>
      <c r="X453" s="1116"/>
      <c r="Y453" s="1116"/>
      <c r="Z453" s="1116"/>
      <c r="AA453" s="1116"/>
      <c r="AB453" s="1116"/>
      <c r="AC453" s="1116"/>
      <c r="AD453" s="1116"/>
      <c r="AE453" s="1116"/>
      <c r="AF453" s="1108"/>
      <c r="AG453" s="1108"/>
      <c r="AH453" s="1116"/>
      <c r="AI453" s="1116"/>
      <c r="AJ453" s="1116"/>
      <c r="AK453" s="1116"/>
      <c r="AL453" s="1116"/>
      <c r="AM453" s="1116"/>
      <c r="AN453" s="1116"/>
      <c r="AO453" s="1116"/>
      <c r="AP453" s="1108"/>
      <c r="AQ453" s="1108"/>
      <c r="AR453" s="1116"/>
      <c r="AS453" s="1116"/>
      <c r="AT453" s="1116"/>
      <c r="AU453" s="1116"/>
      <c r="AV453" s="1116"/>
      <c r="AW453" s="1116"/>
      <c r="AX453" s="1116"/>
      <c r="AY453" s="1116"/>
      <c r="BB453" s="1116"/>
      <c r="BC453" s="1116"/>
      <c r="BD453" s="1116"/>
      <c r="BE453" s="1116"/>
      <c r="BF453" s="1116"/>
      <c r="BG453" s="1116"/>
      <c r="BH453" s="1116"/>
      <c r="BI453" s="1116"/>
      <c r="BU453" s="1113"/>
      <c r="BW453" s="1217"/>
      <c r="BX453" s="1217"/>
      <c r="BY453" s="1108"/>
    </row>
    <row r="454" spans="1:77" x14ac:dyDescent="0.2">
      <c r="AQ454" s="1108"/>
    </row>
    <row r="455" spans="1:77" x14ac:dyDescent="0.2">
      <c r="AQ455" s="1108"/>
    </row>
    <row r="456" spans="1:77" x14ac:dyDescent="0.2">
      <c r="AQ456" s="1108"/>
    </row>
    <row r="457" spans="1:77" x14ac:dyDescent="0.2">
      <c r="AQ457" s="1108"/>
    </row>
    <row r="458" spans="1:77" x14ac:dyDescent="0.2">
      <c r="AQ458" s="1108"/>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9" zoomScaleNormal="100" workbookViewId="0">
      <selection activeCell="AC32" sqref="AC32:AD32"/>
    </sheetView>
  </sheetViews>
  <sheetFormatPr defaultColWidth="5.7109375" defaultRowHeight="12" customHeight="1" x14ac:dyDescent="0.2"/>
  <cols>
    <col min="1" max="1" width="1.7109375" style="319" customWidth="1"/>
    <col min="2" max="2" width="7" style="319" customWidth="1"/>
    <col min="3" max="6" width="5.7109375" style="319"/>
    <col min="7" max="7" width="11.42578125" style="319" bestFit="1" customWidth="1"/>
    <col min="8" max="9" width="5.7109375" style="319"/>
    <col min="10" max="10" width="6.28515625" style="319" customWidth="1"/>
    <col min="11" max="12" width="5.7109375" style="319"/>
    <col min="13" max="13" width="6.140625" style="319" customWidth="1"/>
    <col min="14" max="17" width="5.7109375" style="319"/>
    <col min="18" max="18" width="5.7109375" style="2645"/>
    <col min="19" max="20" width="1.7109375" style="2645" customWidth="1"/>
    <col min="21" max="21" width="5.7109375" style="2645"/>
    <col min="22" max="25" width="5.7109375" style="319"/>
    <col min="26" max="26" width="6" style="319" customWidth="1"/>
    <col min="27" max="36" width="5.7109375" style="319"/>
    <col min="37" max="37" width="5.7109375" style="2338"/>
    <col min="38" max="38" width="1.7109375" style="2338" customWidth="1"/>
    <col min="39" max="40" width="5.7109375" style="2338"/>
    <col min="41" max="56" width="5.7109375" style="2645"/>
    <col min="57" max="16384" width="5.7109375" style="319"/>
  </cols>
  <sheetData>
    <row r="1" spans="1:45" ht="12" customHeight="1" thickBot="1" x14ac:dyDescent="0.25">
      <c r="A1" s="418"/>
      <c r="B1" s="418"/>
      <c r="C1" s="418"/>
      <c r="D1" s="418"/>
      <c r="E1" s="418"/>
      <c r="F1" s="418"/>
      <c r="G1" s="418"/>
      <c r="H1" s="418"/>
      <c r="I1" s="418"/>
      <c r="J1" s="418"/>
      <c r="K1" s="418"/>
      <c r="L1" s="418"/>
      <c r="M1" s="418"/>
      <c r="N1" s="418"/>
      <c r="O1" s="418"/>
      <c r="P1" s="418"/>
      <c r="Q1" s="418"/>
      <c r="R1" s="2634"/>
      <c r="S1" s="2634"/>
      <c r="T1" s="2634"/>
      <c r="U1" s="2634"/>
      <c r="V1" s="418"/>
      <c r="W1" s="418"/>
      <c r="X1" s="418"/>
      <c r="Y1" s="418"/>
      <c r="Z1" s="418"/>
      <c r="AA1" s="418"/>
      <c r="AB1" s="418"/>
      <c r="AC1" s="418"/>
      <c r="AD1" s="418"/>
      <c r="AE1" s="418"/>
      <c r="AF1" s="418"/>
      <c r="AG1" s="418"/>
      <c r="AH1" s="418"/>
      <c r="AI1" s="418"/>
      <c r="AJ1" s="418"/>
      <c r="AK1" s="2651"/>
      <c r="AL1" s="2651"/>
    </row>
    <row r="2" spans="1:45" ht="12" customHeight="1" thickBot="1" x14ac:dyDescent="0.25">
      <c r="A2" s="418"/>
      <c r="B2" s="2189"/>
      <c r="C2" s="2190"/>
      <c r="D2" s="2190"/>
      <c r="E2" s="2190"/>
      <c r="F2" s="2190"/>
      <c r="G2" s="2190"/>
      <c r="H2" s="2190"/>
      <c r="I2" s="2190"/>
      <c r="J2" s="2190"/>
      <c r="K2" s="2190"/>
      <c r="L2" s="2190"/>
      <c r="M2" s="2190"/>
      <c r="N2" s="2190"/>
      <c r="O2" s="2190"/>
      <c r="P2" s="2190"/>
      <c r="Q2" s="2190"/>
      <c r="R2" s="2635"/>
      <c r="S2" s="2634"/>
      <c r="T2" s="2634"/>
      <c r="U2" s="2636"/>
      <c r="V2" s="419"/>
      <c r="W2" s="419"/>
      <c r="X2" s="419"/>
      <c r="Y2" s="419"/>
      <c r="Z2" s="419"/>
      <c r="AA2" s="419"/>
      <c r="AB2" s="419"/>
      <c r="AC2" s="419"/>
      <c r="AD2" s="419"/>
      <c r="AE2" s="419"/>
      <c r="AF2" s="419"/>
      <c r="AG2" s="419"/>
      <c r="AH2" s="419"/>
      <c r="AI2" s="419"/>
      <c r="AJ2" s="419"/>
      <c r="AK2" s="2652"/>
      <c r="AL2" s="2651"/>
    </row>
    <row r="3" spans="1:45" ht="12" customHeight="1" thickBot="1" x14ac:dyDescent="0.25">
      <c r="A3" s="418"/>
      <c r="B3" s="2191"/>
      <c r="C3" s="3046"/>
      <c r="D3" s="3046"/>
      <c r="E3" s="3046"/>
      <c r="F3" s="3046"/>
      <c r="G3" s="3046"/>
      <c r="H3" s="3046"/>
      <c r="I3" s="13"/>
      <c r="J3" s="13"/>
      <c r="K3" s="13"/>
      <c r="L3" s="13"/>
      <c r="M3" s="13"/>
      <c r="N3" s="13"/>
      <c r="O3" s="13"/>
      <c r="P3" s="13"/>
      <c r="Q3" s="14"/>
      <c r="R3" s="2637"/>
      <c r="S3" s="2634"/>
      <c r="T3" s="2634"/>
      <c r="U3" s="2638"/>
      <c r="V3" s="4577" t="s">
        <v>9811</v>
      </c>
      <c r="W3" s="4578"/>
      <c r="X3" s="4578"/>
      <c r="Y3" s="4578"/>
      <c r="Z3" s="4578"/>
      <c r="AA3" s="4578"/>
      <c r="AB3" s="4578"/>
      <c r="AC3" s="4578"/>
      <c r="AD3" s="4578"/>
      <c r="AE3" s="4578"/>
      <c r="AF3" s="4578"/>
      <c r="AG3" s="4578"/>
      <c r="AH3" s="4578"/>
      <c r="AI3" s="4578"/>
      <c r="AJ3" s="4579"/>
      <c r="AK3" s="2653"/>
      <c r="AL3" s="2651"/>
    </row>
    <row r="4" spans="1:45" ht="12" customHeight="1" thickBot="1" x14ac:dyDescent="0.25">
      <c r="A4" s="418"/>
      <c r="B4" s="2191"/>
      <c r="C4" s="3046"/>
      <c r="D4" s="3046"/>
      <c r="E4" s="3046"/>
      <c r="F4" s="3046"/>
      <c r="G4" s="3046"/>
      <c r="H4" s="3046"/>
      <c r="I4" s="16"/>
      <c r="J4" s="2963" t="s">
        <v>2169</v>
      </c>
      <c r="K4" s="2963"/>
      <c r="L4" s="2964" t="str">
        <f>IF(OR(General!$G$22="",General!$G$22=0),"",General!$G$22)</f>
        <v/>
      </c>
      <c r="M4" s="2964"/>
      <c r="N4" s="2964"/>
      <c r="O4" s="2964"/>
      <c r="P4" s="2964"/>
      <c r="Q4" s="17"/>
      <c r="R4" s="2639"/>
      <c r="S4" s="2634"/>
      <c r="T4" s="2634"/>
      <c r="U4" s="2638"/>
      <c r="V4" s="3567"/>
      <c r="W4" s="3568"/>
      <c r="X4" s="3568"/>
      <c r="Y4" s="3568"/>
      <c r="Z4" s="3568"/>
      <c r="AA4" s="3568"/>
      <c r="AB4" s="3568"/>
      <c r="AC4" s="3568"/>
      <c r="AD4" s="3568"/>
      <c r="AE4" s="3568"/>
      <c r="AF4" s="3568"/>
      <c r="AG4" s="3568"/>
      <c r="AH4" s="3568"/>
      <c r="AI4" s="3568"/>
      <c r="AJ4" s="3569"/>
      <c r="AK4" s="2653"/>
      <c r="AL4" s="2651"/>
    </row>
    <row r="5" spans="1:45" ht="12" customHeight="1" thickBot="1" x14ac:dyDescent="0.25">
      <c r="A5" s="418"/>
      <c r="B5" s="2191"/>
      <c r="C5" s="3046"/>
      <c r="D5" s="3046"/>
      <c r="E5" s="3046"/>
      <c r="F5" s="3046"/>
      <c r="G5" s="3046"/>
      <c r="H5" s="3046"/>
      <c r="I5" s="16"/>
      <c r="J5" s="3042" t="s">
        <v>2170</v>
      </c>
      <c r="K5" s="3042"/>
      <c r="L5" s="3043" t="str">
        <f>Principal!$L$5</f>
        <v>Hechicero</v>
      </c>
      <c r="M5" s="3043"/>
      <c r="N5" s="3043"/>
      <c r="O5" s="18" t="s">
        <v>2171</v>
      </c>
      <c r="P5" s="19" t="str">
        <f>Principal!$P$5</f>
        <v>1 + 2</v>
      </c>
      <c r="Q5" s="20"/>
      <c r="R5" s="2637"/>
      <c r="S5" s="2634"/>
      <c r="T5" s="2634"/>
      <c r="U5" s="2638"/>
      <c r="AK5" s="2653"/>
      <c r="AL5" s="2651"/>
      <c r="AM5" s="2339"/>
      <c r="AN5" s="1910"/>
    </row>
    <row r="6" spans="1:45" ht="12" customHeight="1" thickBot="1" x14ac:dyDescent="0.25">
      <c r="A6" s="418"/>
      <c r="B6" s="2191"/>
      <c r="C6" s="3046"/>
      <c r="D6" s="3046"/>
      <c r="E6" s="3046"/>
      <c r="F6" s="3046"/>
      <c r="G6" s="3046"/>
      <c r="H6" s="3046"/>
      <c r="I6" s="16"/>
      <c r="J6" s="3044" t="s">
        <v>2700</v>
      </c>
      <c r="K6" s="3044"/>
      <c r="L6" s="3044"/>
      <c r="M6" s="3044"/>
      <c r="N6" s="3044"/>
      <c r="O6" s="3044"/>
      <c r="P6" s="3044"/>
      <c r="Q6" s="20"/>
      <c r="R6" s="2637"/>
      <c r="S6" s="2634"/>
      <c r="T6" s="2634"/>
      <c r="U6" s="2638"/>
      <c r="AB6" s="4580" t="s">
        <v>2702</v>
      </c>
      <c r="AC6" s="4581"/>
      <c r="AD6" s="4581"/>
      <c r="AE6" s="4581"/>
      <c r="AF6" s="4581"/>
      <c r="AG6" s="4581"/>
      <c r="AH6" s="4581"/>
      <c r="AI6" s="4581"/>
      <c r="AJ6" s="4582"/>
      <c r="AK6" s="2653"/>
      <c r="AL6" s="2651"/>
      <c r="AM6" s="1910"/>
      <c r="AN6" s="1910"/>
      <c r="AO6" s="4082" t="s">
        <v>9107</v>
      </c>
      <c r="AP6" s="4083"/>
      <c r="AQ6" s="4083"/>
      <c r="AR6" s="4735" t="s">
        <v>9765</v>
      </c>
      <c r="AS6" s="4736"/>
    </row>
    <row r="7" spans="1:45" ht="12" customHeight="1" thickBot="1" x14ac:dyDescent="0.25">
      <c r="A7" s="418"/>
      <c r="B7" s="2191"/>
      <c r="C7" s="3046"/>
      <c r="D7" s="3046"/>
      <c r="E7" s="3046"/>
      <c r="F7" s="3046"/>
      <c r="G7" s="3046"/>
      <c r="H7" s="3046"/>
      <c r="I7" s="16"/>
      <c r="J7" s="3044"/>
      <c r="K7" s="3044"/>
      <c r="L7" s="3044"/>
      <c r="M7" s="3044"/>
      <c r="N7" s="3044"/>
      <c r="O7" s="3044"/>
      <c r="P7" s="3044"/>
      <c r="Q7" s="20"/>
      <c r="R7" s="2637"/>
      <c r="S7" s="2634"/>
      <c r="T7" s="2634"/>
      <c r="U7" s="2638"/>
      <c r="AB7" s="3167" t="s">
        <v>2228</v>
      </c>
      <c r="AC7" s="3561"/>
      <c r="AD7" s="3561"/>
      <c r="AE7" s="3561"/>
      <c r="AF7" s="3561"/>
      <c r="AG7" s="3561"/>
      <c r="AH7" s="3029"/>
      <c r="AI7" s="420" t="s">
        <v>2229</v>
      </c>
      <c r="AJ7" s="421" t="s">
        <v>2230</v>
      </c>
      <c r="AK7" s="2653"/>
      <c r="AL7" s="2651"/>
      <c r="AM7" s="1910"/>
      <c r="AN7" s="1910"/>
      <c r="AO7" s="4733"/>
      <c r="AP7" s="4734"/>
      <c r="AQ7" s="4734"/>
      <c r="AR7" s="4737"/>
      <c r="AS7" s="4738"/>
    </row>
    <row r="8" spans="1:45" ht="12" customHeight="1" thickBot="1" x14ac:dyDescent="0.25">
      <c r="A8" s="418"/>
      <c r="B8" s="2191"/>
      <c r="C8" s="3046"/>
      <c r="D8" s="3046"/>
      <c r="E8" s="3046"/>
      <c r="F8" s="3046"/>
      <c r="G8" s="3046"/>
      <c r="H8" s="3046"/>
      <c r="I8" s="21"/>
      <c r="J8" s="21"/>
      <c r="K8" s="21"/>
      <c r="L8" s="21"/>
      <c r="M8" s="21"/>
      <c r="N8" s="21"/>
      <c r="O8" s="21"/>
      <c r="P8" s="21"/>
      <c r="Q8" s="22"/>
      <c r="R8" s="2637"/>
      <c r="S8" s="2634"/>
      <c r="T8" s="2634"/>
      <c r="U8" s="2638"/>
      <c r="Z8" s="331"/>
      <c r="AB8" s="4598"/>
      <c r="AC8" s="4599"/>
      <c r="AD8" s="4599"/>
      <c r="AE8" s="4599"/>
      <c r="AF8" s="4599"/>
      <c r="AG8" s="4599"/>
      <c r="AH8" s="4600"/>
      <c r="AI8" s="422"/>
      <c r="AJ8" s="26"/>
      <c r="AK8" s="2653"/>
      <c r="AL8" s="2651"/>
      <c r="AM8" s="1910"/>
      <c r="AN8" s="1910"/>
      <c r="AO8" s="2749"/>
      <c r="AP8" s="2749"/>
    </row>
    <row r="9" spans="1:45" ht="12" customHeight="1" thickBot="1" x14ac:dyDescent="0.25">
      <c r="A9" s="418"/>
      <c r="B9" s="2191"/>
      <c r="C9" s="2325"/>
      <c r="D9" s="2325"/>
      <c r="E9" s="2325"/>
      <c r="F9" s="2325"/>
      <c r="G9" s="2325"/>
      <c r="H9" s="2325"/>
      <c r="I9" s="2325"/>
      <c r="J9" s="2325"/>
      <c r="K9" s="2325"/>
      <c r="L9" s="2325"/>
      <c r="M9" s="2325"/>
      <c r="N9" s="2325"/>
      <c r="O9" s="2325"/>
      <c r="P9" s="2325"/>
      <c r="Q9" s="2325"/>
      <c r="R9" s="2640"/>
      <c r="S9" s="2634"/>
      <c r="T9" s="2634"/>
      <c r="U9" s="2638"/>
      <c r="V9" s="2994" t="s">
        <v>2703</v>
      </c>
      <c r="W9" s="2995"/>
      <c r="X9" s="2995"/>
      <c r="Y9" s="2995"/>
      <c r="Z9" s="2996"/>
      <c r="AB9" s="4559"/>
      <c r="AC9" s="4560"/>
      <c r="AD9" s="4560"/>
      <c r="AE9" s="4560"/>
      <c r="AF9" s="4560"/>
      <c r="AG9" s="4560"/>
      <c r="AH9" s="4561"/>
      <c r="AI9" s="422"/>
      <c r="AJ9" s="26"/>
      <c r="AK9" s="2653"/>
      <c r="AL9" s="2651"/>
      <c r="AM9" s="1910"/>
      <c r="AN9" s="1910"/>
      <c r="AO9" s="2749"/>
      <c r="AP9" s="2749"/>
    </row>
    <row r="10" spans="1:45" ht="12" customHeight="1" thickBot="1" x14ac:dyDescent="0.25">
      <c r="A10" s="418"/>
      <c r="B10" s="2191"/>
      <c r="C10" s="4742" t="s">
        <v>2700</v>
      </c>
      <c r="D10" s="4743"/>
      <c r="E10" s="4743"/>
      <c r="F10" s="4743"/>
      <c r="G10" s="4744"/>
      <c r="H10" s="2325"/>
      <c r="I10" s="3150" t="str">
        <f>"Modificadores Elan: "&amp;C11</f>
        <v xml:space="preserve">Modificadores Elan: </v>
      </c>
      <c r="J10" s="3151"/>
      <c r="K10" s="3151"/>
      <c r="L10" s="3151"/>
      <c r="M10" s="3151"/>
      <c r="N10" s="3151"/>
      <c r="O10" s="3151"/>
      <c r="P10" s="3151"/>
      <c r="Q10" s="3152"/>
      <c r="R10" s="2640"/>
      <c r="S10" s="2634"/>
      <c r="T10" s="2634"/>
      <c r="U10" s="2638"/>
      <c r="V10" s="4562"/>
      <c r="W10" s="4563"/>
      <c r="X10" s="4563"/>
      <c r="Y10" s="4563"/>
      <c r="Z10" s="4564"/>
      <c r="AB10" s="4559"/>
      <c r="AC10" s="4560"/>
      <c r="AD10" s="4560"/>
      <c r="AE10" s="4560"/>
      <c r="AF10" s="4560"/>
      <c r="AG10" s="4560"/>
      <c r="AH10" s="4561"/>
      <c r="AI10" s="422"/>
      <c r="AJ10" s="26"/>
      <c r="AK10" s="2653"/>
      <c r="AL10" s="2651"/>
      <c r="AM10" s="1910"/>
    </row>
    <row r="11" spans="1:45" ht="12" customHeight="1" thickBot="1" x14ac:dyDescent="0.25">
      <c r="A11" s="418"/>
      <c r="B11" s="2191"/>
      <c r="C11" s="4634"/>
      <c r="D11" s="4635"/>
      <c r="E11" s="4635"/>
      <c r="F11" s="4635"/>
      <c r="G11" s="4636"/>
      <c r="H11" s="2325"/>
      <c r="I11" s="4648" t="s">
        <v>9120</v>
      </c>
      <c r="J11" s="4644"/>
      <c r="K11" s="4644"/>
      <c r="L11" s="4644"/>
      <c r="M11" s="4644"/>
      <c r="N11" s="4649"/>
      <c r="O11" s="4643" t="s">
        <v>9122</v>
      </c>
      <c r="P11" s="4644"/>
      <c r="Q11" s="4645"/>
      <c r="R11" s="2640"/>
      <c r="S11" s="2634"/>
      <c r="T11" s="2634"/>
      <c r="U11" s="2638"/>
      <c r="V11" s="4565"/>
      <c r="W11" s="4566"/>
      <c r="X11" s="4566"/>
      <c r="Y11" s="4566"/>
      <c r="Z11" s="4567"/>
      <c r="AB11" s="4559"/>
      <c r="AC11" s="4560"/>
      <c r="AD11" s="4560"/>
      <c r="AE11" s="4560"/>
      <c r="AF11" s="4560"/>
      <c r="AG11" s="4560"/>
      <c r="AH11" s="4561"/>
      <c r="AI11" s="422"/>
      <c r="AJ11" s="26"/>
      <c r="AK11" s="2653"/>
      <c r="AL11" s="2651"/>
      <c r="AM11" s="1910"/>
    </row>
    <row r="12" spans="1:45" ht="12" customHeight="1" thickBot="1" x14ac:dyDescent="0.25">
      <c r="A12" s="418"/>
      <c r="B12" s="2327" t="s">
        <v>9580</v>
      </c>
      <c r="C12" s="4634"/>
      <c r="D12" s="4635"/>
      <c r="E12" s="4635"/>
      <c r="F12" s="4635"/>
      <c r="G12" s="4636"/>
      <c r="H12" s="2325"/>
      <c r="I12" s="4646" t="str">
        <f>IF($C$11="","",IF(VLOOKUP($C$11,Tablas!$O$3430:$V$3612,Tablas!A2,FALSE)=0,"",VLOOKUP($C$11,Tablas!$O$3430:$V$3612,Tablas!A2,FALSE)))</f>
        <v/>
      </c>
      <c r="J12" s="4647"/>
      <c r="K12" s="4647"/>
      <c r="L12" s="4647"/>
      <c r="M12" s="4647"/>
      <c r="N12" s="2205" t="str">
        <f>IF(I12="","",VLOOKUP(I12,Tablas!$O$3431:$P$3612,2,FALSE))</f>
        <v/>
      </c>
      <c r="O12" s="4626" t="str">
        <f>IF(I12="","",IF(VLOOKUP(I12,Tablas!$O$3431:$T$3612,5,FALSE)=0,"",VLOOKUP(I12,Tablas!$O$3431:$T$3612,5,FALSE)))</f>
        <v/>
      </c>
      <c r="P12" s="4627"/>
      <c r="Q12" s="4650" t="str">
        <f>IF(O12="","",VLOOKUP(O12,Tablas!$S$3431:$T$3612,2,FALSE))</f>
        <v/>
      </c>
      <c r="R12" s="2640"/>
      <c r="S12" s="2634"/>
      <c r="T12" s="2634"/>
      <c r="U12" s="2638"/>
      <c r="V12" s="4568"/>
      <c r="W12" s="4569"/>
      <c r="X12" s="4569"/>
      <c r="Y12" s="4569"/>
      <c r="Z12" s="4570"/>
      <c r="AB12" s="4583"/>
      <c r="AC12" s="4584"/>
      <c r="AD12" s="4584"/>
      <c r="AE12" s="4584"/>
      <c r="AF12" s="4584"/>
      <c r="AG12" s="4584"/>
      <c r="AH12" s="4585"/>
      <c r="AI12" s="423"/>
      <c r="AJ12" s="29"/>
      <c r="AK12" s="1912"/>
      <c r="AL12" s="1909"/>
      <c r="AM12" s="1910" t="s">
        <v>9578</v>
      </c>
      <c r="AN12" s="1910"/>
      <c r="AO12" s="2749"/>
      <c r="AP12" s="2749"/>
    </row>
    <row r="13" spans="1:45" ht="12" customHeight="1" thickBot="1" x14ac:dyDescent="0.25">
      <c r="A13" s="418"/>
      <c r="B13" s="2606" t="s">
        <v>9581</v>
      </c>
      <c r="C13" s="3919"/>
      <c r="D13" s="3920"/>
      <c r="E13" s="3920"/>
      <c r="F13" s="3920"/>
      <c r="G13" s="2328" t="str">
        <f>IF(C13="","",VLOOKUP(C13,Tablas!$I$3431:$M$3612,4,FALSE))</f>
        <v/>
      </c>
      <c r="H13" s="2325"/>
      <c r="I13" s="4624" t="str">
        <f>IF($C$11="","",IF(VLOOKUP($C$11,Tablas!$O$3430:$V$3612,Tablas!A3,FALSE)=0,"",VLOOKUP($C$11,Tablas!$O$3430:$V$3612,Tablas!A3,FALSE)))</f>
        <v/>
      </c>
      <c r="J13" s="4625"/>
      <c r="K13" s="4625"/>
      <c r="L13" s="4625"/>
      <c r="M13" s="4625"/>
      <c r="N13" s="2206" t="str">
        <f>IF(I13="","",VLOOKUP(I13,Tablas!$O$3431:$P$3612,2,FALSE))</f>
        <v/>
      </c>
      <c r="O13" s="4628"/>
      <c r="P13" s="4629"/>
      <c r="Q13" s="4650" t="str">
        <f>IF(L13="","",VLOOKUP(L13,Tablas!$O$3431:$P$3612,2,FALSE))</f>
        <v/>
      </c>
      <c r="R13" s="2640"/>
      <c r="S13" s="2634"/>
      <c r="T13" s="2634"/>
      <c r="U13" s="2641"/>
      <c r="AK13" s="1912"/>
      <c r="AL13" s="2419"/>
      <c r="AM13" s="2020" t="str">
        <f>IF(Tablas!M3530=1,"Bono_Influjo_Erebus",IF(Tablas!M3535=1,"Bono_Demiurgo_Erebus",""))</f>
        <v/>
      </c>
      <c r="AN13" s="2020"/>
      <c r="AO13" s="2348"/>
      <c r="AP13" s="2348"/>
    </row>
    <row r="14" spans="1:45" ht="12" customHeight="1" thickBot="1" x14ac:dyDescent="0.25">
      <c r="A14" s="418"/>
      <c r="B14" s="2191"/>
      <c r="C14" s="4620"/>
      <c r="D14" s="4621"/>
      <c r="E14" s="4621"/>
      <c r="F14" s="4621"/>
      <c r="G14" s="2329" t="str">
        <f>IF(C14="","",VLOOKUP(C14,Tablas!$I$3431:$M$3612,4,FALSE))</f>
        <v/>
      </c>
      <c r="H14" s="2326" t="s">
        <v>3742</v>
      </c>
      <c r="I14" s="4624" t="str">
        <f>IF($C$11="","",IF(VLOOKUP($C$11,Tablas!$O$3430:$V$3612,Tablas!A4,FALSE)=0,"",VLOOKUP($C$11,Tablas!$O$3430:$V$3612,Tablas!A4,FALSE)))</f>
        <v/>
      </c>
      <c r="J14" s="4625"/>
      <c r="K14" s="4625"/>
      <c r="L14" s="4625"/>
      <c r="M14" s="4625"/>
      <c r="N14" s="2206" t="str">
        <f>IF(I14="","",VLOOKUP(I14,Tablas!$O$3431:$P$3612,2,FALSE))</f>
        <v/>
      </c>
      <c r="O14" s="4630"/>
      <c r="P14" s="4631"/>
      <c r="Q14" s="4650" t="str">
        <f>IF(L14="","",VLOOKUP(L14,Tablas!$O$3431:$P$3612,2,FALSE))</f>
        <v/>
      </c>
      <c r="R14" s="2640"/>
      <c r="S14" s="2634"/>
      <c r="T14" s="2634"/>
      <c r="U14" s="2638"/>
      <c r="V14" s="4222" t="s">
        <v>2701</v>
      </c>
      <c r="W14" s="4223"/>
      <c r="X14" s="4223"/>
      <c r="Y14" s="4223"/>
      <c r="Z14" s="4571"/>
      <c r="AK14" s="2653"/>
      <c r="AL14" s="2651"/>
      <c r="AM14" s="2338" t="s">
        <v>9579</v>
      </c>
      <c r="AN14" s="2338" t="s">
        <v>9018</v>
      </c>
    </row>
    <row r="15" spans="1:45" ht="12" customHeight="1" thickBot="1" x14ac:dyDescent="0.25">
      <c r="A15" s="418"/>
      <c r="B15" s="2191"/>
      <c r="C15" s="3878"/>
      <c r="D15" s="3879"/>
      <c r="E15" s="3879"/>
      <c r="F15" s="3879"/>
      <c r="G15" s="2330" t="str">
        <f>IF(C15="","",VLOOKUP(C15,Tablas!$I$3431:$M$3612,4,FALSE))</f>
        <v/>
      </c>
      <c r="H15" s="2326" t="s">
        <v>3740</v>
      </c>
      <c r="I15" s="4624" t="str">
        <f>IF($C$11="","",IF(VLOOKUP($C$11,Tablas!$O$3430:$V$3612,Tablas!A5,FALSE)=0,"",VLOOKUP($C$11,Tablas!$O$3430:$V$3612,Tablas!A5,FALSE)))</f>
        <v/>
      </c>
      <c r="J15" s="4625"/>
      <c r="K15" s="4625"/>
      <c r="L15" s="4625"/>
      <c r="M15" s="4625"/>
      <c r="N15" s="2206" t="str">
        <f>IF(I15="","",VLOOKUP(I15,Tablas!$O$3431:$P$3612,2,FALSE))</f>
        <v/>
      </c>
      <c r="O15" s="4626" t="str">
        <f>IF(I13="","",IF(VLOOKUP(I13,Tablas!$O$3431:$T$3612,5,FALSE)=0,"",VLOOKUP(I13,Tablas!$O$3431:$T$3612,5,FALSE)))</f>
        <v/>
      </c>
      <c r="P15" s="4627"/>
      <c r="Q15" s="4650" t="str">
        <f>IF(O15="","",VLOOKUP(O15,Tablas!$S$3431:$T$3612,2,FALSE))</f>
        <v/>
      </c>
      <c r="R15" s="2640"/>
      <c r="S15" s="2634"/>
      <c r="T15" s="2634"/>
      <c r="U15" s="2638"/>
      <c r="V15" s="4572" t="s">
        <v>2383</v>
      </c>
      <c r="W15" s="4573"/>
      <c r="X15" s="4573"/>
      <c r="Y15" s="4574"/>
      <c r="Z15" s="2628" t="s">
        <v>2345</v>
      </c>
      <c r="AB15" s="4580" t="s">
        <v>2704</v>
      </c>
      <c r="AC15" s="4581"/>
      <c r="AD15" s="4581"/>
      <c r="AE15" s="4581"/>
      <c r="AF15" s="4581"/>
      <c r="AG15" s="4581"/>
      <c r="AH15" s="4581"/>
      <c r="AI15" s="4581"/>
      <c r="AJ15" s="4582"/>
      <c r="AK15" s="2653"/>
      <c r="AL15" s="2651"/>
      <c r="AM15" s="2340" t="s">
        <v>9581</v>
      </c>
      <c r="AN15" s="2340" t="s">
        <v>3736</v>
      </c>
    </row>
    <row r="16" spans="1:45" ht="12" customHeight="1" x14ac:dyDescent="0.2">
      <c r="A16" s="418"/>
      <c r="B16" s="2191"/>
      <c r="C16" s="4620"/>
      <c r="D16" s="4621"/>
      <c r="E16" s="4621"/>
      <c r="F16" s="4621"/>
      <c r="G16" s="2329" t="str">
        <f>IF(C16="","",VLOOKUP(C16,Tablas!$I$3431:$M$3612,4,FALSE))</f>
        <v/>
      </c>
      <c r="H16" s="2325"/>
      <c r="I16" s="4624" t="str">
        <f>IF($C$11="","",IF(VLOOKUP($C$11,Tablas!$O$3430:$V$3612,Tablas!A6,FALSE)=0,"",VLOOKUP($C$11,Tablas!$O$3430:$V$3612,Tablas!A6,FALSE)))</f>
        <v/>
      </c>
      <c r="J16" s="4625"/>
      <c r="K16" s="4625"/>
      <c r="L16" s="4625"/>
      <c r="M16" s="4625"/>
      <c r="N16" s="2206" t="str">
        <f>IF(I16="","",VLOOKUP(I16,Tablas!$O$3431:$P$3612,2,FALSE))</f>
        <v/>
      </c>
      <c r="O16" s="4628"/>
      <c r="P16" s="4629"/>
      <c r="Q16" s="4650" t="str">
        <f>IF(L16="","",VLOOKUP(L16,Tablas!$O$3431:$P$3612,2,FALSE))</f>
        <v/>
      </c>
      <c r="R16" s="2640"/>
      <c r="S16" s="2634"/>
      <c r="T16" s="2634"/>
      <c r="U16" s="2638"/>
      <c r="V16" s="4637"/>
      <c r="W16" s="4638"/>
      <c r="X16" s="4638"/>
      <c r="Y16" s="4639"/>
      <c r="Z16" s="2648"/>
      <c r="AB16" s="3167" t="s">
        <v>2296</v>
      </c>
      <c r="AC16" s="3561"/>
      <c r="AD16" s="3561"/>
      <c r="AE16" s="3561"/>
      <c r="AF16" s="3561"/>
      <c r="AG16" s="3561"/>
      <c r="AH16" s="3029"/>
      <c r="AI16" s="81" t="s">
        <v>2229</v>
      </c>
      <c r="AJ16" s="25" t="s">
        <v>2230</v>
      </c>
      <c r="AK16" s="2653"/>
      <c r="AL16" s="2651"/>
      <c r="AM16" s="2340" t="s">
        <v>9582</v>
      </c>
      <c r="AN16" s="2340" t="s">
        <v>3740</v>
      </c>
    </row>
    <row r="17" spans="1:56" ht="12" customHeight="1" x14ac:dyDescent="0.2">
      <c r="A17" s="418"/>
      <c r="B17" s="2191"/>
      <c r="C17" s="3878"/>
      <c r="D17" s="3879"/>
      <c r="E17" s="3879"/>
      <c r="F17" s="3879"/>
      <c r="G17" s="2330" t="str">
        <f>IF(C17="","",VLOOKUP(C17,Tablas!$I$3431:$M$3612,4,FALSE))</f>
        <v/>
      </c>
      <c r="H17" s="2325"/>
      <c r="I17" s="4624" t="str">
        <f>IF($C$11="","",IF(VLOOKUP($C$11,Tablas!$O$3430:$V$3612,Tablas!A7,FALSE)=0,"",VLOOKUP($C$11,Tablas!$O$3430:$V$3612,Tablas!A7,FALSE)))</f>
        <v/>
      </c>
      <c r="J17" s="4625"/>
      <c r="K17" s="4625"/>
      <c r="L17" s="4625"/>
      <c r="M17" s="4625"/>
      <c r="N17" s="2206" t="str">
        <f>IF(I17="","",VLOOKUP(I17,Tablas!$O$3431:$P$3612,2,FALSE))</f>
        <v/>
      </c>
      <c r="O17" s="4630"/>
      <c r="P17" s="4631"/>
      <c r="Q17" s="4650" t="str">
        <f>IF(L17="","",VLOOKUP(L17,Tablas!$O$3431:$P$3612,2,FALSE))</f>
        <v/>
      </c>
      <c r="R17" s="2640"/>
      <c r="S17" s="2634"/>
      <c r="T17" s="2634"/>
      <c r="U17" s="2638"/>
      <c r="V17" s="4622"/>
      <c r="W17" s="3812"/>
      <c r="X17" s="3812"/>
      <c r="Y17" s="4623"/>
      <c r="Z17" s="2649"/>
      <c r="AB17" s="4559"/>
      <c r="AC17" s="4560"/>
      <c r="AD17" s="4560"/>
      <c r="AE17" s="4560"/>
      <c r="AF17" s="4560"/>
      <c r="AG17" s="4560"/>
      <c r="AH17" s="4561"/>
      <c r="AI17" s="298"/>
      <c r="AJ17" s="26"/>
      <c r="AK17" s="2653"/>
      <c r="AL17" s="2651"/>
      <c r="AN17" s="2340" t="s">
        <v>3742</v>
      </c>
    </row>
    <row r="18" spans="1:56" ht="12" customHeight="1" x14ac:dyDescent="0.2">
      <c r="A18" s="418"/>
      <c r="B18" s="2191"/>
      <c r="C18" s="4620"/>
      <c r="D18" s="4621"/>
      <c r="E18" s="4621"/>
      <c r="F18" s="4621"/>
      <c r="G18" s="2329" t="str">
        <f>IF(C18="","",VLOOKUP(C18,Tablas!$I$3431:$M$3612,4,FALSE))</f>
        <v/>
      </c>
      <c r="H18" s="2325"/>
      <c r="I18" s="4641" t="str">
        <f>IF($C$11="","",IF(VLOOKUP($C$11,Tablas!$O$3430:$V$3612,Tablas!A8,FALSE)=0,"",VLOOKUP($C$11,Tablas!$O$3430:$V$3612,Tablas!A8,FALSE)))</f>
        <v/>
      </c>
      <c r="J18" s="4642"/>
      <c r="K18" s="4642"/>
      <c r="L18" s="4642"/>
      <c r="M18" s="4642"/>
      <c r="N18" s="2206" t="str">
        <f>IF(I18="","",VLOOKUP(I18,Tablas!$O$3431:$P$3612,2,FALSE))</f>
        <v/>
      </c>
      <c r="O18" s="4626" t="str">
        <f>IF(I14="","",IF(VLOOKUP(I14,Tablas!$O$3431:$T$3612,5,FALSE)=0,"",VLOOKUP(I14,Tablas!$O$3431:$T$3612,5,FALSE)))</f>
        <v/>
      </c>
      <c r="P18" s="4627"/>
      <c r="Q18" s="4650" t="str">
        <f>IF(O18="","",VLOOKUP(O18,Tablas!$S$3431:$T$3612,2,FALSE))</f>
        <v/>
      </c>
      <c r="R18" s="2640"/>
      <c r="S18" s="2634"/>
      <c r="T18" s="2634"/>
      <c r="U18" s="2638"/>
      <c r="V18" s="4575"/>
      <c r="W18" s="3811"/>
      <c r="X18" s="3811"/>
      <c r="Y18" s="4576"/>
      <c r="Z18" s="2650"/>
      <c r="AB18" s="4559"/>
      <c r="AC18" s="4560"/>
      <c r="AD18" s="4560"/>
      <c r="AE18" s="4560"/>
      <c r="AF18" s="4560"/>
      <c r="AG18" s="4560"/>
      <c r="AH18" s="4561"/>
      <c r="AI18" s="1"/>
      <c r="AJ18" s="26"/>
      <c r="AK18" s="2653"/>
      <c r="AL18" s="2651"/>
    </row>
    <row r="19" spans="1:56" ht="15" customHeight="1" thickBot="1" x14ac:dyDescent="0.25">
      <c r="A19" s="418"/>
      <c r="B19" s="2191"/>
      <c r="C19" s="3878"/>
      <c r="D19" s="3879"/>
      <c r="E19" s="3879"/>
      <c r="F19" s="3879"/>
      <c r="G19" s="2330" t="str">
        <f>IF(C19="","",VLOOKUP(C19,Tablas!$I$3431:$M$3612,4,FALSE))</f>
        <v/>
      </c>
      <c r="H19" s="2325"/>
      <c r="I19" s="3850" t="s">
        <v>9121</v>
      </c>
      <c r="J19" s="4640"/>
      <c r="K19" s="4640"/>
      <c r="L19" s="4640"/>
      <c r="M19" s="4640"/>
      <c r="N19" s="3047"/>
      <c r="O19" s="4628"/>
      <c r="P19" s="4629"/>
      <c r="Q19" s="4650" t="str">
        <f>IF(L19="","",VLOOKUP(L19,Tablas!$O$3431:$P$3612,2,FALSE))</f>
        <v/>
      </c>
      <c r="R19" s="2640"/>
      <c r="S19" s="2634"/>
      <c r="T19" s="2634"/>
      <c r="U19" s="2638"/>
      <c r="V19" s="4517"/>
      <c r="W19" s="4518"/>
      <c r="X19" s="4518"/>
      <c r="Y19" s="4519"/>
      <c r="Z19" s="2665"/>
      <c r="AB19" s="4559"/>
      <c r="AC19" s="4560"/>
      <c r="AD19" s="4560"/>
      <c r="AE19" s="4560"/>
      <c r="AF19" s="4560"/>
      <c r="AG19" s="4560"/>
      <c r="AH19" s="4561"/>
      <c r="AI19" s="1"/>
      <c r="AJ19" s="26"/>
      <c r="AK19" s="2653"/>
      <c r="AL19" s="2651"/>
    </row>
    <row r="20" spans="1:56" ht="12" customHeight="1" thickBot="1" x14ac:dyDescent="0.25">
      <c r="A20" s="418"/>
      <c r="B20" s="2333" t="s">
        <v>9018</v>
      </c>
      <c r="C20" s="4620"/>
      <c r="D20" s="4621"/>
      <c r="E20" s="4621"/>
      <c r="F20" s="4621"/>
      <c r="G20" s="2331" t="str">
        <f>IF(C20="","",VLOOKUP(C20,Tablas!$I$3431:$M$3612,4,FALSE))</f>
        <v/>
      </c>
      <c r="H20" s="2325"/>
      <c r="I20" s="2334" t="str">
        <f>IF(I12="","",IF(VLOOKUP(I12,Tablas!$O$3431:$T$3612,3,FALSE)=0,"",VLOOKUP(I12,Tablas!$O$3431:$T$3612,3,FALSE)))</f>
        <v/>
      </c>
      <c r="J20" s="2335"/>
      <c r="K20" s="2335"/>
      <c r="L20" s="2335"/>
      <c r="M20" s="2335"/>
      <c r="N20" s="2205" t="str">
        <f>IF(I20="","",VLOOKUP(I20,Tablas!$Q$3431:$R$3612,2,FALSE))</f>
        <v/>
      </c>
      <c r="O20" s="4630"/>
      <c r="P20" s="4631"/>
      <c r="Q20" s="4650" t="str">
        <f>IF(L20="","",VLOOKUP(L20,Tablas!$O$3431:$P$3612,2,FALSE))</f>
        <v/>
      </c>
      <c r="R20" s="2640"/>
      <c r="S20" s="2634"/>
      <c r="T20" s="2634"/>
      <c r="U20" s="2638"/>
      <c r="AB20" s="4559"/>
      <c r="AC20" s="4560"/>
      <c r="AD20" s="4560"/>
      <c r="AE20" s="4560"/>
      <c r="AF20" s="4560"/>
      <c r="AG20" s="4560"/>
      <c r="AH20" s="4561"/>
      <c r="AI20" s="1"/>
      <c r="AJ20" s="26"/>
      <c r="AK20" s="2653"/>
      <c r="AL20" s="2651"/>
    </row>
    <row r="21" spans="1:56" ht="12" customHeight="1" thickBot="1" x14ac:dyDescent="0.25">
      <c r="A21" s="418"/>
      <c r="B21" s="2604" t="s">
        <v>3736</v>
      </c>
      <c r="C21" s="3878"/>
      <c r="D21" s="3879"/>
      <c r="E21" s="3879"/>
      <c r="F21" s="3879"/>
      <c r="G21" s="2330" t="str">
        <f>IF(C21="","",VLOOKUP(C21,Tablas!$I$3431:$M$3612,4,FALSE))</f>
        <v/>
      </c>
      <c r="H21" s="2325"/>
      <c r="I21" s="4624" t="str">
        <f>IF(I13="","",IF(VLOOKUP(I13,Tablas!$O$3431:$T$3612,3,FALSE)=0,"",VLOOKUP(I13,Tablas!$O$3431:$T$3612,3,FALSE)))</f>
        <v/>
      </c>
      <c r="J21" s="4625"/>
      <c r="K21" s="4625"/>
      <c r="L21" s="4625"/>
      <c r="M21" s="4625"/>
      <c r="N21" s="2206" t="str">
        <f>IF(I21="","",VLOOKUP(I21,Tablas!$Q$3431:$R$3612,2,FALSE))</f>
        <v/>
      </c>
      <c r="O21" s="4626" t="str">
        <f>IF(I15="","",IF(VLOOKUP(I15,Tablas!$O$3431:$T$3612,5,FALSE)=0,"",VLOOKUP(I15,Tablas!$O$3431:$T$3612,5,FALSE)))</f>
        <v/>
      </c>
      <c r="P21" s="4627"/>
      <c r="Q21" s="4650" t="str">
        <f>IF(O21="","",VLOOKUP(O21,Tablas!$S$3431:$T$3612,2,FALSE))</f>
        <v/>
      </c>
      <c r="R21" s="2640"/>
      <c r="S21" s="2634"/>
      <c r="T21" s="2634"/>
      <c r="U21" s="2638"/>
      <c r="V21" s="3243" t="s">
        <v>9095</v>
      </c>
      <c r="W21" s="3244"/>
      <c r="X21" s="3244"/>
      <c r="Y21" s="3244"/>
      <c r="Z21" s="4520"/>
      <c r="AB21" s="4559"/>
      <c r="AC21" s="4560"/>
      <c r="AD21" s="4560"/>
      <c r="AE21" s="4560"/>
      <c r="AF21" s="4560"/>
      <c r="AG21" s="4560"/>
      <c r="AH21" s="4561"/>
      <c r="AI21" s="1"/>
      <c r="AJ21" s="26"/>
      <c r="AK21" s="2653"/>
      <c r="AL21" s="2651"/>
    </row>
    <row r="22" spans="1:56" ht="12" customHeight="1" x14ac:dyDescent="0.2">
      <c r="A22" s="418"/>
      <c r="B22" s="2604" t="s">
        <v>3736</v>
      </c>
      <c r="C22" s="4620"/>
      <c r="D22" s="4621"/>
      <c r="E22" s="4621"/>
      <c r="F22" s="4621"/>
      <c r="G22" s="2331" t="str">
        <f>IF(C22="","",VLOOKUP(C22,Tablas!$I$3431:$M$3612,4,FALSE))</f>
        <v/>
      </c>
      <c r="H22" s="2325"/>
      <c r="I22" s="4624" t="str">
        <f>IF(I14="","",IF(VLOOKUP(I14,Tablas!$O$3431:$T$3612,3,FALSE)=0,"",VLOOKUP(I14,Tablas!$O$3431:$T$3612,3,FALSE)))</f>
        <v/>
      </c>
      <c r="J22" s="4625"/>
      <c r="K22" s="4625"/>
      <c r="L22" s="4625"/>
      <c r="M22" s="4625"/>
      <c r="N22" s="2206" t="str">
        <f>IF(I22="","",VLOOKUP(I22,Tablas!$Q$3431:$R$3612,2,FALSE))</f>
        <v/>
      </c>
      <c r="O22" s="4628"/>
      <c r="P22" s="4629"/>
      <c r="Q22" s="4650" t="str">
        <f>IF(L22="","",VLOOKUP(L22,Tablas!$O$3431:$P$3612,2,FALSE))</f>
        <v/>
      </c>
      <c r="R22" s="2640"/>
      <c r="S22" s="2634"/>
      <c r="T22" s="2634"/>
      <c r="U22" s="2638"/>
      <c r="V22" s="4533" t="str">
        <f>IF(Tablas!F695&gt;0,"Ventaja elegida","")</f>
        <v/>
      </c>
      <c r="W22" s="4534"/>
      <c r="X22" s="4524" t="str">
        <f>IF(V22="","Aplicar bonos:","")</f>
        <v>Aplicar bonos:</v>
      </c>
      <c r="Y22" s="4524"/>
      <c r="Z22" s="2125" t="s">
        <v>3090</v>
      </c>
      <c r="AB22" s="4559"/>
      <c r="AC22" s="4560"/>
      <c r="AD22" s="4560"/>
      <c r="AE22" s="4560"/>
      <c r="AF22" s="4560"/>
      <c r="AG22" s="4560"/>
      <c r="AH22" s="4561"/>
      <c r="AI22" s="1"/>
      <c r="AJ22" s="26"/>
      <c r="AK22" s="1912"/>
      <c r="AL22" s="2419"/>
      <c r="AM22" s="2020"/>
      <c r="AN22" s="2020"/>
      <c r="AO22" s="2348"/>
      <c r="AP22" s="2348"/>
    </row>
    <row r="23" spans="1:56" ht="12" customHeight="1" x14ac:dyDescent="0.2">
      <c r="A23" s="418"/>
      <c r="B23" s="2604" t="s">
        <v>3742</v>
      </c>
      <c r="C23" s="3878"/>
      <c r="D23" s="3879"/>
      <c r="E23" s="3879"/>
      <c r="F23" s="3879"/>
      <c r="G23" s="2330" t="str">
        <f>IF(C23="","",VLOOKUP(C23,Tablas!$I$3431:$M$3612,4,FALSE))</f>
        <v/>
      </c>
      <c r="H23" s="2325"/>
      <c r="I23" s="4624" t="str">
        <f>IF(I15="","",IF(VLOOKUP(I15,Tablas!$O$3431:$T$3612,3,FALSE)=0,"",VLOOKUP(I15,Tablas!$O$3431:$T$3612,3,FALSE)))</f>
        <v/>
      </c>
      <c r="J23" s="4625"/>
      <c r="K23" s="4625"/>
      <c r="L23" s="4625"/>
      <c r="M23" s="4625"/>
      <c r="N23" s="2206" t="str">
        <f>IF(I23="","",VLOOKUP(I23,Tablas!$Q$3431:$R$3612,2,FALSE))</f>
        <v/>
      </c>
      <c r="O23" s="4630"/>
      <c r="P23" s="4631"/>
      <c r="Q23" s="4650" t="str">
        <f>IF(L23="","",VLOOKUP(L23,Tablas!$O$3431:$P$3612,2,FALSE))</f>
        <v/>
      </c>
      <c r="R23" s="2640"/>
      <c r="S23" s="2634"/>
      <c r="T23" s="2634"/>
      <c r="U23" s="2638"/>
      <c r="V23" s="4525" t="str">
        <f>IF(Region="","Región no definida",Region)</f>
        <v>Región no definida</v>
      </c>
      <c r="W23" s="4526"/>
      <c r="X23" s="4526" t="str">
        <f>IF(Region="","Clase social no definida",ClaseSocial)</f>
        <v>Clase social no definida</v>
      </c>
      <c r="Y23" s="4526"/>
      <c r="Z23" s="4527"/>
      <c r="AB23" s="4559"/>
      <c r="AC23" s="4560"/>
      <c r="AD23" s="4560"/>
      <c r="AE23" s="4560"/>
      <c r="AF23" s="4560"/>
      <c r="AG23" s="4560"/>
      <c r="AH23" s="4561"/>
      <c r="AI23" s="1"/>
      <c r="AJ23" s="26"/>
      <c r="AK23" s="2653"/>
      <c r="AL23" s="2651"/>
    </row>
    <row r="24" spans="1:56" ht="12" customHeight="1" x14ac:dyDescent="0.2">
      <c r="A24" s="418"/>
      <c r="B24" s="2604" t="s">
        <v>3740</v>
      </c>
      <c r="C24" s="4620"/>
      <c r="D24" s="4621"/>
      <c r="E24" s="4621"/>
      <c r="F24" s="4621"/>
      <c r="G24" s="2331" t="str">
        <f>IF(C24="","",VLOOKUP(C24,Tablas!$I$3431:$M$3612,4,FALSE))</f>
        <v/>
      </c>
      <c r="H24" s="2325"/>
      <c r="I24" s="4624" t="str">
        <f>IF(I16="","",IF(VLOOKUP(I16,Tablas!$O$3431:$T$3612,3,FALSE)=0,"",VLOOKUP(I16,Tablas!$O$3431:$T$3612,3,FALSE)))</f>
        <v/>
      </c>
      <c r="J24" s="4625"/>
      <c r="K24" s="4625"/>
      <c r="L24" s="4625"/>
      <c r="M24" s="4625"/>
      <c r="N24" s="2206" t="str">
        <f>IF(I24="","",VLOOKUP(I24,Tablas!$Q$3431:$R$3612,2,FALSE))</f>
        <v/>
      </c>
      <c r="O24" s="4626" t="str">
        <f>IF(I16="","",IF(VLOOKUP(I16,Tablas!$O$3431:$T$3612,5,FALSE)=0,"",VLOOKUP(I16,Tablas!$O$3431:$T$3612,5,FALSE)))</f>
        <v/>
      </c>
      <c r="P24" s="4627"/>
      <c r="Q24" s="4650" t="str">
        <f>IF(O24="","",VLOOKUP(O24,Tablas!$S$3431:$T$3612,2,FALSE))</f>
        <v/>
      </c>
      <c r="R24" s="2640"/>
      <c r="S24" s="2634"/>
      <c r="T24" s="2634"/>
      <c r="U24" s="2638"/>
      <c r="V24" s="4525"/>
      <c r="W24" s="4526"/>
      <c r="X24" s="4526"/>
      <c r="Y24" s="4526"/>
      <c r="Z24" s="4527"/>
      <c r="AB24" s="4559"/>
      <c r="AC24" s="4560"/>
      <c r="AD24" s="4560"/>
      <c r="AE24" s="4560"/>
      <c r="AF24" s="4560"/>
      <c r="AG24" s="4560"/>
      <c r="AH24" s="4561"/>
      <c r="AI24" s="1"/>
      <c r="AJ24" s="26"/>
      <c r="AK24" s="2653"/>
      <c r="AL24" s="2651"/>
    </row>
    <row r="25" spans="1:56" ht="12" customHeight="1" thickBot="1" x14ac:dyDescent="0.25">
      <c r="A25" s="418"/>
      <c r="B25" s="2605" t="s">
        <v>3740</v>
      </c>
      <c r="C25" s="3878"/>
      <c r="D25" s="3879"/>
      <c r="E25" s="3879"/>
      <c r="F25" s="3879"/>
      <c r="G25" s="2330" t="str">
        <f>IF(C25="","",VLOOKUP(C25,Tablas!$I$3431:$M$3612,4,FALSE))</f>
        <v/>
      </c>
      <c r="H25" s="2325"/>
      <c r="I25" s="4624" t="str">
        <f>IF(I17="","",IF(VLOOKUP(I17,Tablas!$O$3431:$T$3612,3,FALSE)=0,"",VLOOKUP(I17,Tablas!$O$3431:$T$3612,3,FALSE)))</f>
        <v/>
      </c>
      <c r="J25" s="4625"/>
      <c r="K25" s="4625"/>
      <c r="L25" s="4625"/>
      <c r="M25" s="4625"/>
      <c r="N25" s="2206" t="str">
        <f>IF(I25="","",VLOOKUP(I25,Tablas!$Q$3431:$R$3612,2,FALSE))</f>
        <v/>
      </c>
      <c r="O25" s="4628"/>
      <c r="P25" s="4629"/>
      <c r="Q25" s="4650" t="str">
        <f>IF(L25="","",VLOOKUP(L25,Tablas!$O$3431:$P$3612,2,FALSE))</f>
        <v/>
      </c>
      <c r="R25" s="2640"/>
      <c r="S25" s="2634"/>
      <c r="T25" s="2634"/>
      <c r="U25" s="2638"/>
      <c r="V25" s="4535" t="str">
        <f>IF(Tablas!K33="","","Bono Especial:")</f>
        <v/>
      </c>
      <c r="W25" s="4536"/>
      <c r="X25" s="4521"/>
      <c r="Y25" s="4522"/>
      <c r="Z25" s="4523"/>
      <c r="AB25" s="4559"/>
      <c r="AC25" s="4560"/>
      <c r="AD25" s="4560"/>
      <c r="AE25" s="4560"/>
      <c r="AF25" s="4560"/>
      <c r="AG25" s="4560"/>
      <c r="AH25" s="4561"/>
      <c r="AI25" s="1"/>
      <c r="AJ25" s="26"/>
      <c r="AK25" s="2653"/>
      <c r="AL25" s="2651"/>
    </row>
    <row r="26" spans="1:56" ht="12" customHeight="1" thickBot="1" x14ac:dyDescent="0.25">
      <c r="A26" s="418"/>
      <c r="B26" s="2191"/>
      <c r="C26" s="4652" t="str">
        <f>IF(SUM(G13:G25)&gt;G11,"Exceso de Elán utilizado","")</f>
        <v/>
      </c>
      <c r="D26" s="4653"/>
      <c r="E26" s="4653"/>
      <c r="F26" s="4653"/>
      <c r="G26" s="4654"/>
      <c r="H26" s="2325"/>
      <c r="I26" s="4740" t="str">
        <f>IF(I18="","",IF(VLOOKUP(I18,Tablas!$O$3431:$T$3612,3,FALSE)=0,"",VLOOKUP(I18,Tablas!$O$3431:$T$3612,3,FALSE)))</f>
        <v/>
      </c>
      <c r="J26" s="4741"/>
      <c r="K26" s="4741"/>
      <c r="L26" s="4741"/>
      <c r="M26" s="4741"/>
      <c r="N26" s="2207" t="str">
        <f>IF(I26="","",VLOOKUP(I26,Tablas!$Q$3431:$R$3612,2,FALSE))</f>
        <v/>
      </c>
      <c r="O26" s="4662"/>
      <c r="P26" s="4663"/>
      <c r="Q26" s="4661" t="str">
        <f>IF(L26="","",VLOOKUP(L26,Tablas!$O$3431:$P$3612,2,FALSE))</f>
        <v/>
      </c>
      <c r="R26" s="2640"/>
      <c r="S26" s="2634"/>
      <c r="T26" s="2634"/>
      <c r="U26" s="2638"/>
      <c r="V26" s="4528" t="str">
        <f>IF(Tablas!M33="","","Bono Especial:")</f>
        <v/>
      </c>
      <c r="W26" s="4529"/>
      <c r="X26" s="4530"/>
      <c r="Y26" s="4531"/>
      <c r="Z26" s="4532"/>
      <c r="AA26" s="331"/>
      <c r="AB26" s="4583"/>
      <c r="AC26" s="4584"/>
      <c r="AD26" s="4584"/>
      <c r="AE26" s="4584"/>
      <c r="AF26" s="4584"/>
      <c r="AG26" s="4584"/>
      <c r="AH26" s="4585"/>
      <c r="AI26" s="28"/>
      <c r="AJ26" s="29"/>
      <c r="AK26" s="2653"/>
      <c r="AL26" s="2651"/>
    </row>
    <row r="27" spans="1:56" ht="12" customHeight="1" thickBot="1" x14ac:dyDescent="0.25">
      <c r="A27" s="418"/>
      <c r="B27" s="2191"/>
      <c r="C27" s="2325"/>
      <c r="D27" s="2325"/>
      <c r="E27" s="2325"/>
      <c r="F27" s="2325"/>
      <c r="G27" s="2325"/>
      <c r="H27" s="2325"/>
      <c r="I27" s="73"/>
      <c r="J27" s="2325"/>
      <c r="K27" s="2325"/>
      <c r="L27" s="2325"/>
      <c r="M27" s="2325"/>
      <c r="N27" s="2325"/>
      <c r="O27" s="2325"/>
      <c r="P27" s="73"/>
      <c r="Q27" s="2325"/>
      <c r="R27" s="2640"/>
      <c r="S27" s="2634"/>
      <c r="T27" s="2634"/>
      <c r="U27" s="2638"/>
      <c r="AJ27" s="2332"/>
      <c r="AK27" s="2653"/>
      <c r="AL27" s="2651"/>
    </row>
    <row r="28" spans="1:56" ht="12" customHeight="1" x14ac:dyDescent="0.2">
      <c r="A28" s="418"/>
      <c r="B28" s="2191"/>
      <c r="C28" s="3216" t="s">
        <v>9451</v>
      </c>
      <c r="D28" s="3217"/>
      <c r="E28" s="3217"/>
      <c r="F28" s="3217"/>
      <c r="G28" s="4544" t="s">
        <v>2407</v>
      </c>
      <c r="H28" s="4545"/>
      <c r="I28" s="4545"/>
      <c r="J28" s="4545"/>
      <c r="K28" s="4545"/>
      <c r="L28" s="4545"/>
      <c r="M28" s="4545"/>
      <c r="N28" s="4545"/>
      <c r="O28" s="4545"/>
      <c r="P28" s="4545"/>
      <c r="Q28" s="4739"/>
      <c r="R28" s="2640"/>
      <c r="S28" s="2634"/>
      <c r="T28" s="2634"/>
      <c r="U28" s="2638"/>
      <c r="X28" s="4541" t="s">
        <v>2382</v>
      </c>
      <c r="Y28" s="4544" t="s">
        <v>2383</v>
      </c>
      <c r="Z28" s="4545"/>
      <c r="AA28" s="4546"/>
      <c r="AB28" s="2666" t="s">
        <v>2384</v>
      </c>
      <c r="AC28" s="4592" t="s">
        <v>2385</v>
      </c>
      <c r="AD28" s="4546"/>
      <c r="AE28" s="4592" t="s">
        <v>2386</v>
      </c>
      <c r="AF28" s="4545"/>
      <c r="AG28" s="4586" t="str">
        <f>IF(SUM(AB29:AB31)+SUM(AB32:AB34)&gt;0,"Selecciona la/s Habilidad/es asociadas a las Ventajas",IF(SUM(AB29:AB31)+SUM(AB32:AB34)&lt;0,"Exceso de Habilidad/es seleccionadas",""))</f>
        <v>Exceso de Habilidad/es seleccionadas</v>
      </c>
      <c r="AH28" s="4587"/>
      <c r="AK28" s="2653"/>
      <c r="AL28" s="2651"/>
    </row>
    <row r="29" spans="1:56" ht="12" customHeight="1" x14ac:dyDescent="0.2">
      <c r="A29" s="418"/>
      <c r="B29" s="2191"/>
      <c r="C29" s="2336"/>
      <c r="D29" s="2337"/>
      <c r="E29" s="2337"/>
      <c r="F29" s="2182" t="str">
        <f>IF(COUNTA($F$28:F28)&gt;=Tablas!$P$3427,"",VLOOKUP(Tablas!A1,Tablas!$H$3431:$T$3612,2,FALSE))</f>
        <v/>
      </c>
      <c r="G29" s="4632" t="str">
        <f>IF(F29="","",VLOOKUP(F29,Tablas!$I$3431:$N$3612,6,FALSE))</f>
        <v/>
      </c>
      <c r="H29" s="3105"/>
      <c r="I29" s="3105"/>
      <c r="J29" s="3105"/>
      <c r="K29" s="3105"/>
      <c r="L29" s="3105"/>
      <c r="M29" s="3105"/>
      <c r="N29" s="3105"/>
      <c r="O29" s="3105"/>
      <c r="P29" s="3105"/>
      <c r="Q29" s="4633"/>
      <c r="R29" s="2640"/>
      <c r="S29" s="2634"/>
      <c r="T29" s="2634"/>
      <c r="U29" s="2638"/>
      <c r="X29" s="4542"/>
      <c r="Y29" s="2625" t="s">
        <v>2387</v>
      </c>
      <c r="Z29" s="2624"/>
      <c r="AA29" s="2624"/>
      <c r="AB29" s="112">
        <f>Tablas!$F$491-IF(AC29=0,0,1)-IF(AE29=0,0,1)</f>
        <v>0</v>
      </c>
      <c r="AC29" s="4593"/>
      <c r="AD29" s="3587"/>
      <c r="AE29" s="4618"/>
      <c r="AF29" s="3999"/>
      <c r="AG29" s="4588"/>
      <c r="AH29" s="4589"/>
      <c r="AK29" s="2653"/>
      <c r="AL29" s="2651"/>
      <c r="BB29" s="319"/>
      <c r="BC29" s="319"/>
      <c r="BD29" s="319"/>
    </row>
    <row r="30" spans="1:56" ht="12" customHeight="1" x14ac:dyDescent="0.2">
      <c r="A30" s="418"/>
      <c r="B30" s="2191"/>
      <c r="C30" s="2184"/>
      <c r="D30" s="405"/>
      <c r="E30" s="405"/>
      <c r="F30" s="2183" t="str">
        <f>IF(COUNTA($F$28:F29)&gt;=Tablas!$P$3427,"",VLOOKUP(Tablas!A2,Tablas!$H$3431:$T$3612,2,FALSE))</f>
        <v/>
      </c>
      <c r="G30" s="4632" t="str">
        <f>IF(F30="","",VLOOKUP(F30,Tablas!$I$3431:$N$3612,6,FALSE))</f>
        <v/>
      </c>
      <c r="H30" s="3105"/>
      <c r="I30" s="3105"/>
      <c r="J30" s="3105"/>
      <c r="K30" s="3105"/>
      <c r="L30" s="3105"/>
      <c r="M30" s="3105"/>
      <c r="N30" s="3105"/>
      <c r="O30" s="3105"/>
      <c r="P30" s="3105"/>
      <c r="Q30" s="4633"/>
      <c r="R30" s="2640"/>
      <c r="S30" s="2634"/>
      <c r="T30" s="2634"/>
      <c r="U30" s="2638"/>
      <c r="X30" s="4542"/>
      <c r="Y30" s="2622" t="s">
        <v>2389</v>
      </c>
      <c r="Z30" s="2623"/>
      <c r="AA30" s="2623"/>
      <c r="AB30" s="224">
        <f>Tablas!$F$492-IF(AC30=0,0,1)-IF(AE30=0,0,1)</f>
        <v>0</v>
      </c>
      <c r="AC30" s="4594"/>
      <c r="AD30" s="3590"/>
      <c r="AE30" s="4619"/>
      <c r="AF30" s="4596"/>
      <c r="AG30" s="4588"/>
      <c r="AH30" s="4589"/>
      <c r="AK30" s="2653"/>
      <c r="AL30" s="2651"/>
      <c r="BB30" s="319"/>
      <c r="BC30" s="319"/>
      <c r="BD30" s="319"/>
    </row>
    <row r="31" spans="1:56" ht="12" customHeight="1" thickBot="1" x14ac:dyDescent="0.25">
      <c r="A31" s="418"/>
      <c r="B31" s="2191"/>
      <c r="C31" s="2184"/>
      <c r="D31" s="405"/>
      <c r="E31" s="405"/>
      <c r="F31" s="2183" t="str">
        <f>IF(COUNTA($F$28:F30)&gt;=Tablas!$P$3427,"",VLOOKUP(Tablas!A3,Tablas!$H$3431:$T$3612,2,FALSE))</f>
        <v/>
      </c>
      <c r="G31" s="4632" t="str">
        <f>IF(F31="","",VLOOKUP(F31,Tablas!$I$3431:$N$3612,6,FALSE))</f>
        <v/>
      </c>
      <c r="H31" s="3105"/>
      <c r="I31" s="3105"/>
      <c r="J31" s="3105"/>
      <c r="K31" s="3105"/>
      <c r="L31" s="3105"/>
      <c r="M31" s="3105"/>
      <c r="N31" s="3105"/>
      <c r="O31" s="3105"/>
      <c r="P31" s="3105"/>
      <c r="Q31" s="4633"/>
      <c r="R31" s="2640"/>
      <c r="S31" s="2634"/>
      <c r="T31" s="2634"/>
      <c r="U31" s="2638"/>
      <c r="X31" s="4542"/>
      <c r="Y31" s="2626" t="s">
        <v>2391</v>
      </c>
      <c r="Z31" s="2627"/>
      <c r="AA31" s="2627"/>
      <c r="AB31" s="1830">
        <f>Tablas!$F$493-IF(AC31=0,0,1)-IF(AE31=0,0,1)</f>
        <v>0</v>
      </c>
      <c r="AC31" s="4595"/>
      <c r="AD31" s="3882"/>
      <c r="AE31" s="3956"/>
      <c r="AF31" s="3986"/>
      <c r="AG31" s="4588"/>
      <c r="AH31" s="4589"/>
      <c r="AK31" s="2653"/>
      <c r="AL31" s="2651"/>
      <c r="BB31" s="319"/>
      <c r="BC31" s="319"/>
      <c r="BD31" s="319"/>
    </row>
    <row r="32" spans="1:56" ht="12" customHeight="1" x14ac:dyDescent="0.2">
      <c r="A32" s="418"/>
      <c r="B32" s="2191"/>
      <c r="C32" s="2184"/>
      <c r="D32" s="405"/>
      <c r="E32" s="405"/>
      <c r="F32" s="2183" t="str">
        <f>IF(COUNTA($F$28:F31)&gt;=Tablas!$P$3427,"",VLOOKUP(Tablas!A4,Tablas!$H$3431:$T$3612,2,FALSE))</f>
        <v/>
      </c>
      <c r="G32" s="4632" t="str">
        <f>IF(F32="","",VLOOKUP(F32,Tablas!$I$3431:$N$3612,6,FALSE))</f>
        <v/>
      </c>
      <c r="H32" s="3105"/>
      <c r="I32" s="3105"/>
      <c r="J32" s="3105"/>
      <c r="K32" s="3105"/>
      <c r="L32" s="3105"/>
      <c r="M32" s="3105"/>
      <c r="N32" s="3105"/>
      <c r="O32" s="3105"/>
      <c r="P32" s="3105"/>
      <c r="Q32" s="4633"/>
      <c r="R32" s="2640"/>
      <c r="S32" s="2634"/>
      <c r="T32" s="2634"/>
      <c r="U32" s="2638"/>
      <c r="X32" s="4542"/>
      <c r="Y32" s="4539" t="s">
        <v>2388</v>
      </c>
      <c r="Z32" s="3405"/>
      <c r="AA32" s="4540"/>
      <c r="AB32" s="112">
        <f>Tablas!$F$501-IF(AC32=0,0,1)-IF(AE32=0,0,1)</f>
        <v>-1</v>
      </c>
      <c r="AC32" s="4593" t="s">
        <v>9949</v>
      </c>
      <c r="AD32" s="3588"/>
      <c r="AE32" s="4593"/>
      <c r="AF32" s="3995"/>
      <c r="AG32" s="4588"/>
      <c r="AH32" s="4589"/>
      <c r="AK32" s="1912"/>
      <c r="AL32" s="2419"/>
      <c r="BB32" s="319"/>
      <c r="BC32" s="319"/>
      <c r="BD32" s="319"/>
    </row>
    <row r="33" spans="1:56" ht="12" customHeight="1" x14ac:dyDescent="0.2">
      <c r="A33" s="418"/>
      <c r="B33" s="2191"/>
      <c r="C33" s="2184"/>
      <c r="D33" s="405"/>
      <c r="E33" s="405"/>
      <c r="F33" s="2183" t="str">
        <f>IF(COUNTA($F$28:F32)&gt;=Tablas!$P$3427,"",VLOOKUP(Tablas!A5,Tablas!$H$3431:$T$3612,2,FALSE))</f>
        <v/>
      </c>
      <c r="G33" s="4632" t="str">
        <f>IF(F33="","",VLOOKUP(F33,Tablas!$I$3431:$N$3612,6,FALSE))</f>
        <v/>
      </c>
      <c r="H33" s="3105"/>
      <c r="I33" s="3105"/>
      <c r="J33" s="3105"/>
      <c r="K33" s="3105"/>
      <c r="L33" s="3105"/>
      <c r="M33" s="3105"/>
      <c r="N33" s="3105"/>
      <c r="O33" s="3105"/>
      <c r="P33" s="3105"/>
      <c r="Q33" s="4633"/>
      <c r="R33" s="2640"/>
      <c r="S33" s="2634"/>
      <c r="T33" s="2634"/>
      <c r="U33" s="2638"/>
      <c r="X33" s="4542"/>
      <c r="Y33" s="4537" t="s">
        <v>2390</v>
      </c>
      <c r="Z33" s="3407"/>
      <c r="AA33" s="4538"/>
      <c r="AB33" s="224">
        <f>Tablas!$F$502-IF(AC33=0,0,1)-IF(AE33=0,0,1)</f>
        <v>0</v>
      </c>
      <c r="AC33" s="4594"/>
      <c r="AD33" s="3591"/>
      <c r="AE33" s="4594"/>
      <c r="AF33" s="4596"/>
      <c r="AG33" s="4588"/>
      <c r="AH33" s="4589"/>
      <c r="AK33" s="2653"/>
      <c r="AL33" s="2651"/>
      <c r="BB33" s="319"/>
      <c r="BC33" s="319"/>
      <c r="BD33" s="319"/>
    </row>
    <row r="34" spans="1:56" ht="12" customHeight="1" thickBot="1" x14ac:dyDescent="0.25">
      <c r="A34" s="418"/>
      <c r="B34" s="2191"/>
      <c r="C34" s="2184"/>
      <c r="D34" s="405"/>
      <c r="E34" s="405"/>
      <c r="F34" s="2183" t="str">
        <f>IF(COUNTA($F$28:F33)&gt;=Tablas!$P$3427,"",VLOOKUP(Tablas!A6,Tablas!$H$3431:$T$3612,2,FALSE))</f>
        <v/>
      </c>
      <c r="G34" s="4632" t="str">
        <f>IF(F34="","",VLOOKUP(F34,Tablas!$I$3431:$N$3612,6,FALSE))</f>
        <v/>
      </c>
      <c r="H34" s="3105"/>
      <c r="I34" s="3105"/>
      <c r="J34" s="3105"/>
      <c r="K34" s="3105"/>
      <c r="L34" s="3105"/>
      <c r="M34" s="3105"/>
      <c r="N34" s="3105"/>
      <c r="O34" s="3105"/>
      <c r="P34" s="3105"/>
      <c r="Q34" s="4633"/>
      <c r="R34" s="2640"/>
      <c r="S34" s="2634"/>
      <c r="T34" s="2634"/>
      <c r="U34" s="2638"/>
      <c r="X34" s="4543"/>
      <c r="Y34" s="4615" t="s">
        <v>2392</v>
      </c>
      <c r="Z34" s="4616"/>
      <c r="AA34" s="4617"/>
      <c r="AB34" s="1830">
        <f>Tablas!$F$503-IF(AC34=0,0,1)-IF(AE34=0,0,1)</f>
        <v>-1</v>
      </c>
      <c r="AC34" s="4595"/>
      <c r="AD34" s="4597"/>
      <c r="AE34" s="4595" t="s">
        <v>8786</v>
      </c>
      <c r="AF34" s="3986"/>
      <c r="AG34" s="4590"/>
      <c r="AH34" s="4591"/>
      <c r="AK34" s="2653"/>
      <c r="AL34" s="2651"/>
      <c r="BB34" s="319"/>
      <c r="BC34" s="319"/>
      <c r="BD34" s="319"/>
    </row>
    <row r="35" spans="1:56" ht="12" customHeight="1" thickBot="1" x14ac:dyDescent="0.25">
      <c r="A35" s="418"/>
      <c r="B35" s="2191"/>
      <c r="C35" s="2184"/>
      <c r="D35" s="405"/>
      <c r="E35" s="405"/>
      <c r="F35" s="2183" t="str">
        <f>IF(COUNTA($F$28:F34)&gt;=Tablas!$P$3427,"",VLOOKUP(Tablas!A7,Tablas!$H$3431:$T$3612,2,FALSE))</f>
        <v/>
      </c>
      <c r="G35" s="4632" t="str">
        <f>IF(F35="","",VLOOKUP(F35,Tablas!$I$3431:$N$3612,6,FALSE))</f>
        <v/>
      </c>
      <c r="H35" s="3105"/>
      <c r="I35" s="3105"/>
      <c r="J35" s="3105"/>
      <c r="K35" s="3105"/>
      <c r="L35" s="3105"/>
      <c r="M35" s="3105"/>
      <c r="N35" s="3105"/>
      <c r="O35" s="3105"/>
      <c r="P35" s="3105"/>
      <c r="Q35" s="4633"/>
      <c r="R35" s="2640"/>
      <c r="S35" s="2634"/>
      <c r="T35" s="2634"/>
      <c r="U35" s="2638"/>
      <c r="AJ35" s="2332"/>
      <c r="AK35" s="2653"/>
      <c r="AL35" s="2651"/>
      <c r="BB35" s="319"/>
      <c r="BC35" s="319"/>
      <c r="BD35" s="319"/>
    </row>
    <row r="36" spans="1:56" ht="12" customHeight="1" x14ac:dyDescent="0.2">
      <c r="A36" s="418"/>
      <c r="B36" s="2191"/>
      <c r="C36" s="2184"/>
      <c r="D36" s="405"/>
      <c r="E36" s="405"/>
      <c r="F36" s="2183" t="str">
        <f>IF(COUNTA($F$28:F35)&gt;=Tablas!$P$3427,"",VLOOKUP(Tablas!A8,Tablas!$H$3431:$T$3612,2,FALSE))</f>
        <v/>
      </c>
      <c r="G36" s="4632" t="str">
        <f>IF(F36="","",VLOOKUP(F36,Tablas!$I$3431:$N$3612,6,FALSE))</f>
        <v/>
      </c>
      <c r="H36" s="3105"/>
      <c r="I36" s="3105"/>
      <c r="J36" s="3105"/>
      <c r="K36" s="3105"/>
      <c r="L36" s="3105"/>
      <c r="M36" s="3105"/>
      <c r="N36" s="3105"/>
      <c r="O36" s="3105"/>
      <c r="P36" s="3105"/>
      <c r="Q36" s="4633"/>
      <c r="R36" s="2640"/>
      <c r="S36" s="2634"/>
      <c r="T36" s="2634"/>
      <c r="U36" s="2638"/>
      <c r="V36" s="4577" t="s">
        <v>9815</v>
      </c>
      <c r="W36" s="4578"/>
      <c r="X36" s="4578"/>
      <c r="Y36" s="4578"/>
      <c r="Z36" s="4578"/>
      <c r="AA36" s="4578"/>
      <c r="AB36" s="4578"/>
      <c r="AC36" s="4578"/>
      <c r="AD36" s="4578"/>
      <c r="AE36" s="4578"/>
      <c r="AF36" s="4578"/>
      <c r="AG36" s="4578"/>
      <c r="AH36" s="4578"/>
      <c r="AI36" s="4578"/>
      <c r="AJ36" s="4579"/>
      <c r="AK36" s="2653"/>
      <c r="AL36" s="2651"/>
      <c r="BB36" s="319"/>
      <c r="BC36" s="319"/>
      <c r="BD36" s="319"/>
    </row>
    <row r="37" spans="1:56" ht="12" customHeight="1" thickBot="1" x14ac:dyDescent="0.25">
      <c r="A37" s="418"/>
      <c r="B37" s="2191"/>
      <c r="C37" s="2184"/>
      <c r="D37" s="405"/>
      <c r="E37" s="405"/>
      <c r="F37" s="2183" t="str">
        <f>IF(COUNTA($F$28:F36)&gt;=Tablas!$P$3427,"",VLOOKUP(Tablas!A9,Tablas!$H$3431:$T$3612,2,FALSE))</f>
        <v/>
      </c>
      <c r="G37" s="4632" t="str">
        <f>IF(F37="","",VLOOKUP(F37,Tablas!$I$3431:$N$3612,6,FALSE))</f>
        <v/>
      </c>
      <c r="H37" s="3105"/>
      <c r="I37" s="3105"/>
      <c r="J37" s="3105"/>
      <c r="K37" s="3105"/>
      <c r="L37" s="3105"/>
      <c r="M37" s="3105"/>
      <c r="N37" s="3105"/>
      <c r="O37" s="3105"/>
      <c r="P37" s="3105"/>
      <c r="Q37" s="4633"/>
      <c r="R37" s="2640"/>
      <c r="S37" s="2634"/>
      <c r="T37" s="2634"/>
      <c r="U37" s="2638"/>
      <c r="V37" s="3567"/>
      <c r="W37" s="3568"/>
      <c r="X37" s="3568"/>
      <c r="Y37" s="3568"/>
      <c r="Z37" s="3568"/>
      <c r="AA37" s="3568"/>
      <c r="AB37" s="3568"/>
      <c r="AC37" s="3568"/>
      <c r="AD37" s="3568"/>
      <c r="AE37" s="3568"/>
      <c r="AF37" s="3568"/>
      <c r="AG37" s="3568"/>
      <c r="AH37" s="3568"/>
      <c r="AI37" s="3568"/>
      <c r="AJ37" s="3569"/>
      <c r="AK37" s="2653"/>
      <c r="AL37" s="2651"/>
      <c r="BB37" s="319"/>
      <c r="BC37" s="319"/>
      <c r="BD37" s="319"/>
    </row>
    <row r="38" spans="1:56" ht="12" customHeight="1" thickBot="1" x14ac:dyDescent="0.25">
      <c r="A38" s="418"/>
      <c r="B38" s="2191"/>
      <c r="C38" s="2184"/>
      <c r="D38" s="405"/>
      <c r="E38" s="405"/>
      <c r="F38" s="2183" t="str">
        <f>IF(COUNTA($F$28:F37)&gt;=Tablas!$P$3427,"",VLOOKUP(Tablas!A10,Tablas!$H$3431:$T$3612,2,FALSE))</f>
        <v/>
      </c>
      <c r="G38" s="4632" t="str">
        <f>IF(F38="","",VLOOKUP(F38,Tablas!$I$3431:$N$3612,6,FALSE))</f>
        <v/>
      </c>
      <c r="H38" s="3105"/>
      <c r="I38" s="3105"/>
      <c r="J38" s="3105"/>
      <c r="K38" s="3105"/>
      <c r="L38" s="3105"/>
      <c r="M38" s="3105"/>
      <c r="N38" s="3105"/>
      <c r="O38" s="3105"/>
      <c r="P38" s="3105"/>
      <c r="Q38" s="4633"/>
      <c r="R38" s="2640"/>
      <c r="S38" s="2634"/>
      <c r="T38" s="2634"/>
      <c r="U38" s="2638"/>
      <c r="AK38" s="2653"/>
      <c r="AL38" s="2651"/>
      <c r="BB38" s="319"/>
      <c r="BC38" s="319"/>
      <c r="BD38" s="319"/>
    </row>
    <row r="39" spans="1:56" ht="12" customHeight="1" thickBot="1" x14ac:dyDescent="0.25">
      <c r="A39" s="418"/>
      <c r="B39" s="2191"/>
      <c r="C39" s="2184"/>
      <c r="D39" s="405"/>
      <c r="E39" s="405"/>
      <c r="F39" s="2183" t="str">
        <f>IF(COUNTA($F$28:F38)&gt;=Tablas!$P$3427,"",VLOOKUP(Tablas!A11,Tablas!$H$3431:$T$3612,2,FALSE))</f>
        <v/>
      </c>
      <c r="G39" s="4632" t="str">
        <f>IF(F39="","",VLOOKUP(F39,Tablas!$I$3431:$N$3612,6,FALSE))</f>
        <v/>
      </c>
      <c r="H39" s="3105"/>
      <c r="I39" s="3105"/>
      <c r="J39" s="3105"/>
      <c r="K39" s="3105"/>
      <c r="L39" s="3105"/>
      <c r="M39" s="3105"/>
      <c r="N39" s="3105"/>
      <c r="O39" s="3105"/>
      <c r="P39" s="3105"/>
      <c r="Q39" s="4633"/>
      <c r="R39" s="2640"/>
      <c r="S39" s="2634"/>
      <c r="T39" s="2634"/>
      <c r="U39" s="2638"/>
      <c r="V39" s="4514" t="s">
        <v>3610</v>
      </c>
      <c r="W39" s="4513" t="s">
        <v>9808</v>
      </c>
      <c r="X39" s="4513"/>
      <c r="Y39" s="4556" t="s">
        <v>2310</v>
      </c>
      <c r="Z39" s="4557"/>
      <c r="AB39" s="4601" t="s">
        <v>9812</v>
      </c>
      <c r="AC39" s="4602"/>
      <c r="AD39" s="4602"/>
      <c r="AE39" s="4603"/>
      <c r="AG39" s="4601" t="s">
        <v>9814</v>
      </c>
      <c r="AH39" s="4602"/>
      <c r="AI39" s="4602"/>
      <c r="AJ39" s="4603"/>
      <c r="AK39" s="2653"/>
      <c r="AL39" s="2651"/>
    </row>
    <row r="40" spans="1:56" ht="12" customHeight="1" thickBot="1" x14ac:dyDescent="0.25">
      <c r="A40" s="418"/>
      <c r="B40" s="2191"/>
      <c r="C40" s="2185"/>
      <c r="D40" s="2186"/>
      <c r="E40" s="2186"/>
      <c r="F40" s="2187" t="str">
        <f>IF(COUNTA($F$28:F39)&gt;=Tablas!$P$3427,"",VLOOKUP(Tablas!A12,Tablas!$H$3431:$T$3612,2,FALSE))</f>
        <v/>
      </c>
      <c r="G40" s="4745" t="str">
        <f>IF(F40="","",VLOOKUP(F40,Tablas!$I$3431:$N$3612,6,FALSE))</f>
        <v/>
      </c>
      <c r="H40" s="3287"/>
      <c r="I40" s="3287"/>
      <c r="J40" s="3287"/>
      <c r="K40" s="3287"/>
      <c r="L40" s="3287"/>
      <c r="M40" s="3287"/>
      <c r="N40" s="3287"/>
      <c r="O40" s="3287"/>
      <c r="P40" s="3287"/>
      <c r="Q40" s="4746"/>
      <c r="R40" s="2640"/>
      <c r="S40" s="2634"/>
      <c r="T40" s="2634"/>
      <c r="U40" s="2638"/>
      <c r="V40" s="4515"/>
      <c r="W40" s="4512" t="s">
        <v>9809</v>
      </c>
      <c r="X40" s="4512"/>
      <c r="Y40" s="4558" t="s">
        <v>2310</v>
      </c>
      <c r="Z40" s="4558"/>
      <c r="AB40" s="4613" t="s">
        <v>9813</v>
      </c>
      <c r="AC40" s="4614"/>
      <c r="AD40" s="4614"/>
      <c r="AE40" s="2695" t="s">
        <v>2234</v>
      </c>
      <c r="AG40" s="4610"/>
      <c r="AH40" s="4611"/>
      <c r="AI40" s="4611"/>
      <c r="AJ40" s="4612"/>
      <c r="AK40" s="2653"/>
      <c r="AL40" s="2651"/>
    </row>
    <row r="41" spans="1:56" ht="12" customHeight="1" thickBot="1" x14ac:dyDescent="0.25">
      <c r="A41" s="418"/>
      <c r="B41" s="2191"/>
      <c r="C41" s="2325"/>
      <c r="D41" s="2325"/>
      <c r="E41" s="2325"/>
      <c r="F41" s="2325"/>
      <c r="G41" s="2325"/>
      <c r="H41" s="2325"/>
      <c r="I41" s="2325"/>
      <c r="J41" s="2325"/>
      <c r="K41" s="2325"/>
      <c r="L41" s="2325"/>
      <c r="M41" s="2325"/>
      <c r="N41" s="2325"/>
      <c r="O41" s="2325"/>
      <c r="P41" s="2325"/>
      <c r="Q41" s="2325"/>
      <c r="R41" s="2640"/>
      <c r="S41" s="2634"/>
      <c r="T41" s="2634"/>
      <c r="U41" s="2638"/>
      <c r="V41" s="4515"/>
      <c r="W41" s="4547" t="s">
        <v>9810</v>
      </c>
      <c r="X41" s="4548"/>
      <c r="Y41" s="4548"/>
      <c r="Z41" s="4549"/>
      <c r="AB41" s="4610"/>
      <c r="AC41" s="4611"/>
      <c r="AD41" s="4611"/>
      <c r="AE41" s="4612"/>
      <c r="AG41" s="4604"/>
      <c r="AH41" s="4605"/>
      <c r="AI41" s="4605"/>
      <c r="AJ41" s="4606"/>
      <c r="AK41" s="2653"/>
      <c r="AL41" s="2651"/>
    </row>
    <row r="42" spans="1:56" ht="12" customHeight="1" thickBot="1" x14ac:dyDescent="0.25">
      <c r="A42" s="418"/>
      <c r="B42" s="2191"/>
      <c r="C42" s="3082" t="s">
        <v>9118</v>
      </c>
      <c r="D42" s="3082"/>
      <c r="E42" s="3082"/>
      <c r="F42" s="3082"/>
      <c r="G42" s="3082"/>
      <c r="H42" s="2325"/>
      <c r="I42" s="3150" t="str">
        <f>"Modificadores Elan Personalizados"</f>
        <v>Modificadores Elan Personalizados</v>
      </c>
      <c r="J42" s="3151"/>
      <c r="K42" s="3151"/>
      <c r="L42" s="3151"/>
      <c r="M42" s="3151"/>
      <c r="N42" s="3151"/>
      <c r="O42" s="3151"/>
      <c r="P42" s="3151"/>
      <c r="Q42" s="3152"/>
      <c r="R42" s="2640"/>
      <c r="S42" s="2634"/>
      <c r="T42" s="2634"/>
      <c r="U42" s="2638"/>
      <c r="V42" s="4515"/>
      <c r="W42" s="4550" t="s">
        <v>2507</v>
      </c>
      <c r="X42" s="4551"/>
      <c r="Y42" s="4551"/>
      <c r="Z42" s="4552"/>
      <c r="AB42" s="4604"/>
      <c r="AC42" s="4605"/>
      <c r="AD42" s="4605"/>
      <c r="AE42" s="4606"/>
      <c r="AG42" s="4607"/>
      <c r="AH42" s="4608"/>
      <c r="AI42" s="4608"/>
      <c r="AJ42" s="4609"/>
      <c r="AK42" s="2653"/>
      <c r="AL42" s="2651"/>
    </row>
    <row r="43" spans="1:56" ht="12" customHeight="1" thickBot="1" x14ac:dyDescent="0.25">
      <c r="A43" s="418"/>
      <c r="B43" s="2191"/>
      <c r="C43" s="4635"/>
      <c r="D43" s="4635"/>
      <c r="E43" s="4635"/>
      <c r="F43" s="4635"/>
      <c r="G43" s="4651"/>
      <c r="H43" s="2325"/>
      <c r="I43" s="4648" t="s">
        <v>9120</v>
      </c>
      <c r="J43" s="4644"/>
      <c r="K43" s="4644"/>
      <c r="L43" s="4644"/>
      <c r="M43" s="4644"/>
      <c r="N43" s="4649"/>
      <c r="O43" s="4643" t="s">
        <v>9122</v>
      </c>
      <c r="P43" s="4644"/>
      <c r="Q43" s="4645"/>
      <c r="R43" s="2640"/>
      <c r="S43" s="2634"/>
      <c r="T43" s="2634"/>
      <c r="U43" s="2638"/>
      <c r="V43" s="4516"/>
      <c r="W43" s="4553" t="s">
        <v>2507</v>
      </c>
      <c r="X43" s="4554"/>
      <c r="Y43" s="4554"/>
      <c r="Z43" s="4555"/>
      <c r="AB43" s="4509"/>
      <c r="AC43" s="4510"/>
      <c r="AD43" s="4510"/>
      <c r="AE43" s="4511"/>
      <c r="AK43" s="2653"/>
      <c r="AL43" s="2651"/>
      <c r="AM43" s="2341"/>
      <c r="AN43" s="2341"/>
    </row>
    <row r="44" spans="1:56" ht="12" customHeight="1" thickBot="1" x14ac:dyDescent="0.25">
      <c r="A44" s="418"/>
      <c r="B44" s="2191"/>
      <c r="C44" s="4635"/>
      <c r="D44" s="4635"/>
      <c r="E44" s="4635"/>
      <c r="F44" s="4635"/>
      <c r="G44" s="4651"/>
      <c r="H44" s="2325"/>
      <c r="I44" s="4667"/>
      <c r="J44" s="4668"/>
      <c r="K44" s="4668"/>
      <c r="L44" s="4668"/>
      <c r="M44" s="4668"/>
      <c r="N44" s="2202"/>
      <c r="O44" s="4669"/>
      <c r="P44" s="4670"/>
      <c r="Q44" s="4664"/>
      <c r="R44" s="2640"/>
      <c r="S44" s="2634"/>
      <c r="T44" s="2634"/>
      <c r="U44" s="2638"/>
      <c r="AK44" s="2653"/>
      <c r="AL44" s="2651"/>
      <c r="AM44" s="2023"/>
      <c r="AN44" s="2023"/>
    </row>
    <row r="45" spans="1:56" ht="12" customHeight="1" thickBot="1" x14ac:dyDescent="0.25">
      <c r="A45" s="418"/>
      <c r="B45" s="2191"/>
      <c r="C45" s="4659"/>
      <c r="D45" s="4659"/>
      <c r="E45" s="4659"/>
      <c r="F45" s="4659"/>
      <c r="G45" s="2560"/>
      <c r="H45" s="2325"/>
      <c r="I45" s="4665"/>
      <c r="J45" s="4666"/>
      <c r="K45" s="4666"/>
      <c r="L45" s="4666"/>
      <c r="M45" s="4666"/>
      <c r="N45" s="2203"/>
      <c r="O45" s="4671"/>
      <c r="P45" s="4672"/>
      <c r="Q45" s="4664"/>
      <c r="R45" s="2640"/>
      <c r="S45" s="2634"/>
      <c r="T45" s="2634"/>
      <c r="U45" s="2638"/>
      <c r="V45" s="3028" t="s">
        <v>2705</v>
      </c>
      <c r="W45" s="3028"/>
      <c r="X45" s="3028"/>
      <c r="Y45" s="3028"/>
      <c r="Z45" s="3028"/>
      <c r="AA45" s="3028"/>
      <c r="AB45" s="3028"/>
      <c r="AC45" s="3028"/>
      <c r="AD45" s="3028"/>
      <c r="AE45" s="3028"/>
      <c r="AF45" s="3028"/>
      <c r="AG45" s="3028"/>
      <c r="AH45" s="3028"/>
      <c r="AI45" s="3028"/>
      <c r="AJ45" s="3028"/>
      <c r="AK45" s="2653"/>
      <c r="AL45" s="2651"/>
      <c r="AM45" s="2023"/>
      <c r="AN45" s="2023"/>
    </row>
    <row r="46" spans="1:56" ht="12" customHeight="1" x14ac:dyDescent="0.2">
      <c r="A46" s="418"/>
      <c r="B46" s="2191"/>
      <c r="C46" s="4658"/>
      <c r="D46" s="4658"/>
      <c r="E46" s="4658"/>
      <c r="F46" s="4658"/>
      <c r="G46" s="2561"/>
      <c r="H46" s="2325"/>
      <c r="I46" s="4665"/>
      <c r="J46" s="4666"/>
      <c r="K46" s="4666"/>
      <c r="L46" s="4666"/>
      <c r="M46" s="4666"/>
      <c r="N46" s="2203"/>
      <c r="O46" s="4673"/>
      <c r="P46" s="4674"/>
      <c r="Q46" s="4664"/>
      <c r="R46" s="2640"/>
      <c r="S46" s="2634"/>
      <c r="T46" s="2634"/>
      <c r="U46" s="2638"/>
      <c r="V46" s="3145" t="s">
        <v>2169</v>
      </c>
      <c r="W46" s="3145"/>
      <c r="X46" s="4656"/>
      <c r="Y46" s="4656"/>
      <c r="Z46" s="4656"/>
      <c r="AA46" s="4656"/>
      <c r="AB46" s="4657"/>
      <c r="AC46" s="4657"/>
      <c r="AD46" s="4657"/>
      <c r="AE46" s="4657"/>
      <c r="AF46" s="4657"/>
      <c r="AG46" s="4657"/>
      <c r="AH46" s="4657"/>
      <c r="AI46" s="4657"/>
      <c r="AJ46" s="4657"/>
      <c r="AK46" s="2653"/>
      <c r="AL46" s="2651"/>
      <c r="AM46" s="2023"/>
      <c r="AN46" s="2023"/>
    </row>
    <row r="47" spans="1:56" ht="12" customHeight="1" x14ac:dyDescent="0.2">
      <c r="A47" s="418"/>
      <c r="B47" s="2191"/>
      <c r="C47" s="4655"/>
      <c r="D47" s="4655"/>
      <c r="E47" s="4655"/>
      <c r="F47" s="4655"/>
      <c r="G47" s="2562"/>
      <c r="H47" s="2325"/>
      <c r="I47" s="4665"/>
      <c r="J47" s="4666"/>
      <c r="K47" s="4666"/>
      <c r="L47" s="4666"/>
      <c r="M47" s="4666"/>
      <c r="N47" s="2203"/>
      <c r="O47" s="4669"/>
      <c r="P47" s="4670"/>
      <c r="Q47" s="4664"/>
      <c r="R47" s="2640"/>
      <c r="S47" s="2634"/>
      <c r="T47" s="2634"/>
      <c r="U47" s="2638"/>
      <c r="V47" s="3145" t="s">
        <v>2706</v>
      </c>
      <c r="W47" s="3145"/>
      <c r="X47" s="91" t="s">
        <v>2234</v>
      </c>
      <c r="Y47" s="424" t="s">
        <v>2246</v>
      </c>
      <c r="Z47" s="189" t="s">
        <v>2432</v>
      </c>
      <c r="AA47" s="3897" t="s">
        <v>2707</v>
      </c>
      <c r="AB47" s="3897"/>
      <c r="AC47" s="91"/>
      <c r="AD47" s="316" t="s">
        <v>2708</v>
      </c>
      <c r="AE47" s="184"/>
      <c r="AF47" s="177" t="s">
        <v>2246</v>
      </c>
      <c r="AG47" s="4678" t="str">
        <f>IF(W48="Escudo","Bono de Parada:",IF(W48="Proyectiles","FUE del arma:",""))</f>
        <v/>
      </c>
      <c r="AH47" s="4679"/>
      <c r="AI47" s="4679"/>
      <c r="AJ47" s="136"/>
      <c r="AK47" s="2653"/>
      <c r="AL47" s="2651"/>
      <c r="AM47" s="2023"/>
      <c r="AN47" s="2023"/>
    </row>
    <row r="48" spans="1:56" ht="12" customHeight="1" thickBot="1" x14ac:dyDescent="0.25">
      <c r="A48" s="418"/>
      <c r="B48" s="2191"/>
      <c r="C48" s="4658"/>
      <c r="D48" s="4658"/>
      <c r="E48" s="4658"/>
      <c r="F48" s="4658"/>
      <c r="G48" s="2561"/>
      <c r="H48" s="2325"/>
      <c r="I48" s="4665"/>
      <c r="J48" s="4666"/>
      <c r="K48" s="4666"/>
      <c r="L48" s="4666"/>
      <c r="M48" s="4666"/>
      <c r="N48" s="2203"/>
      <c r="O48" s="4671"/>
      <c r="P48" s="4672"/>
      <c r="Q48" s="4664"/>
      <c r="R48" s="2640"/>
      <c r="S48" s="2634"/>
      <c r="T48" s="2634"/>
      <c r="U48" s="2638"/>
      <c r="V48" s="425" t="s">
        <v>2709</v>
      </c>
      <c r="W48" s="3585"/>
      <c r="X48" s="3585"/>
      <c r="Y48" s="4660"/>
      <c r="Z48" s="4660"/>
      <c r="AA48" s="161" t="s">
        <v>2434</v>
      </c>
      <c r="AB48" s="161" t="s">
        <v>2435</v>
      </c>
      <c r="AC48" s="161" t="s">
        <v>2415</v>
      </c>
      <c r="AD48" s="161" t="s">
        <v>2436</v>
      </c>
      <c r="AE48" s="426" t="s">
        <v>2416</v>
      </c>
      <c r="AF48" s="169" t="s">
        <v>3682</v>
      </c>
      <c r="AG48" s="4680" t="str">
        <f>IF(W48="Escudo","Bono de Esquiva:",IF(W48="Proyectiles","Turnos de recarga:",""))</f>
        <v/>
      </c>
      <c r="AH48" s="4681"/>
      <c r="AI48" s="4681"/>
      <c r="AJ48" s="136"/>
      <c r="AK48" s="2653"/>
      <c r="AL48" s="2651"/>
      <c r="AM48" s="2023"/>
      <c r="AN48" s="2023"/>
    </row>
    <row r="49" spans="1:40" ht="12" customHeight="1" thickBot="1" x14ac:dyDescent="0.25">
      <c r="A49" s="418"/>
      <c r="B49" s="2191"/>
      <c r="C49" s="4655"/>
      <c r="D49" s="4655"/>
      <c r="E49" s="4655"/>
      <c r="F49" s="4655"/>
      <c r="G49" s="2562"/>
      <c r="H49" s="2325"/>
      <c r="I49" s="4665"/>
      <c r="J49" s="4666"/>
      <c r="K49" s="4666"/>
      <c r="L49" s="4666"/>
      <c r="M49" s="4666"/>
      <c r="N49" s="2203"/>
      <c r="O49" s="4673"/>
      <c r="P49" s="4674"/>
      <c r="Q49" s="4664"/>
      <c r="R49" s="2640"/>
      <c r="S49" s="2634"/>
      <c r="T49" s="2634"/>
      <c r="U49" s="2638"/>
      <c r="V49" s="100" t="s">
        <v>2710</v>
      </c>
      <c r="W49" s="3594"/>
      <c r="X49" s="3594"/>
      <c r="Y49" s="4660"/>
      <c r="Z49" s="4660"/>
      <c r="AA49" s="96"/>
      <c r="AB49" s="96"/>
      <c r="AC49" s="96"/>
      <c r="AD49" s="96"/>
      <c r="AE49" s="96"/>
      <c r="AF49" s="683"/>
      <c r="AG49" s="4682" t="str">
        <f>IF(W48="Proyectiles","Alcance:","")</f>
        <v/>
      </c>
      <c r="AH49" s="4682"/>
      <c r="AI49" s="4682"/>
      <c r="AJ49" s="139"/>
      <c r="AK49" s="2653"/>
      <c r="AL49" s="2651"/>
      <c r="AM49" s="2023"/>
      <c r="AN49" s="2023"/>
    </row>
    <row r="50" spans="1:40" ht="12" customHeight="1" x14ac:dyDescent="0.2">
      <c r="A50" s="418"/>
      <c r="B50" s="2191"/>
      <c r="C50" s="4658"/>
      <c r="D50" s="4658"/>
      <c r="E50" s="4658"/>
      <c r="F50" s="4658"/>
      <c r="G50" s="2561"/>
      <c r="H50" s="2325"/>
      <c r="I50" s="4676"/>
      <c r="J50" s="4677"/>
      <c r="K50" s="4677"/>
      <c r="L50" s="4677"/>
      <c r="M50" s="4677"/>
      <c r="N50" s="2203"/>
      <c r="O50" s="4669"/>
      <c r="P50" s="4670"/>
      <c r="Q50" s="4664"/>
      <c r="R50" s="2640"/>
      <c r="S50" s="2634"/>
      <c r="T50" s="2634"/>
      <c r="U50" s="2638"/>
      <c r="V50" s="3145" t="s">
        <v>2169</v>
      </c>
      <c r="W50" s="3145"/>
      <c r="X50" s="4656"/>
      <c r="Y50" s="4656"/>
      <c r="Z50" s="4656"/>
      <c r="AA50" s="4656"/>
      <c r="AB50" s="4675"/>
      <c r="AC50" s="4675"/>
      <c r="AD50" s="4675"/>
      <c r="AE50" s="4675"/>
      <c r="AF50" s="4675"/>
      <c r="AG50" s="4675"/>
      <c r="AH50" s="4675"/>
      <c r="AI50" s="4675"/>
      <c r="AJ50" s="4675"/>
      <c r="AK50" s="2653"/>
      <c r="AL50" s="2651"/>
      <c r="AM50" s="2023"/>
      <c r="AN50" s="2023"/>
    </row>
    <row r="51" spans="1:40" ht="12" customHeight="1" x14ac:dyDescent="0.2">
      <c r="A51" s="418"/>
      <c r="B51" s="2191"/>
      <c r="C51" s="4655"/>
      <c r="D51" s="4655"/>
      <c r="E51" s="4655"/>
      <c r="F51" s="4655"/>
      <c r="G51" s="2562"/>
      <c r="H51" s="2325"/>
      <c r="I51" s="4648" t="s">
        <v>9121</v>
      </c>
      <c r="J51" s="4644"/>
      <c r="K51" s="4644"/>
      <c r="L51" s="4644"/>
      <c r="M51" s="4644"/>
      <c r="N51" s="4649"/>
      <c r="O51" s="4671"/>
      <c r="P51" s="4672"/>
      <c r="Q51" s="4664"/>
      <c r="R51" s="2640"/>
      <c r="S51" s="2634"/>
      <c r="T51" s="2634"/>
      <c r="U51" s="2638"/>
      <c r="V51" s="3145" t="s">
        <v>2706</v>
      </c>
      <c r="W51" s="3145"/>
      <c r="X51" s="91" t="s">
        <v>2234</v>
      </c>
      <c r="Y51" s="424" t="s">
        <v>2246</v>
      </c>
      <c r="Z51" s="189" t="s">
        <v>2432</v>
      </c>
      <c r="AA51" s="3897" t="s">
        <v>2707</v>
      </c>
      <c r="AB51" s="3897"/>
      <c r="AC51" s="91"/>
      <c r="AD51" s="316" t="s">
        <v>2708</v>
      </c>
      <c r="AE51" s="184"/>
      <c r="AF51" s="177" t="s">
        <v>2246</v>
      </c>
      <c r="AG51" s="4678" t="str">
        <f>IF(W52="Escudo","Bono de Parada:",IF(W52="Proyectiles","FUE del arma:",""))</f>
        <v/>
      </c>
      <c r="AH51" s="4679"/>
      <c r="AI51" s="4679"/>
      <c r="AJ51" s="136"/>
      <c r="AK51" s="2653"/>
      <c r="AL51" s="2651"/>
    </row>
    <row r="52" spans="1:40" ht="12" customHeight="1" thickBot="1" x14ac:dyDescent="0.25">
      <c r="A52" s="418"/>
      <c r="B52" s="2191"/>
      <c r="C52" s="4658"/>
      <c r="D52" s="4658"/>
      <c r="E52" s="4658"/>
      <c r="F52" s="4658"/>
      <c r="G52" s="2563"/>
      <c r="H52" s="2325"/>
      <c r="I52" s="4667"/>
      <c r="J52" s="4668"/>
      <c r="K52" s="4668"/>
      <c r="L52" s="4668"/>
      <c r="M52" s="4668"/>
      <c r="N52" s="2202"/>
      <c r="O52" s="4673"/>
      <c r="P52" s="4674"/>
      <c r="Q52" s="4664"/>
      <c r="R52" s="2640"/>
      <c r="S52" s="2634"/>
      <c r="T52" s="2634"/>
      <c r="U52" s="2638"/>
      <c r="V52" s="425" t="s">
        <v>2709</v>
      </c>
      <c r="W52" s="3585"/>
      <c r="X52" s="3585"/>
      <c r="Y52" s="4660"/>
      <c r="Z52" s="4660"/>
      <c r="AA52" s="161" t="s">
        <v>2434</v>
      </c>
      <c r="AB52" s="161" t="s">
        <v>2435</v>
      </c>
      <c r="AC52" s="161" t="s">
        <v>2415</v>
      </c>
      <c r="AD52" s="161" t="s">
        <v>2436</v>
      </c>
      <c r="AE52" s="426" t="s">
        <v>2416</v>
      </c>
      <c r="AF52" s="169" t="s">
        <v>3682</v>
      </c>
      <c r="AG52" s="4680" t="str">
        <f>IF(W52="Escudo","Bono de Esquiva:",IF(W52="Proyectiles","Turnos de recarga:",""))</f>
        <v/>
      </c>
      <c r="AH52" s="4681"/>
      <c r="AI52" s="4681"/>
      <c r="AJ52" s="136"/>
      <c r="AK52" s="2653"/>
      <c r="AL52" s="2651"/>
    </row>
    <row r="53" spans="1:40" ht="12" customHeight="1" thickBot="1" x14ac:dyDescent="0.25">
      <c r="A53" s="418"/>
      <c r="B53" s="2191"/>
      <c r="C53" s="4655"/>
      <c r="D53" s="4655"/>
      <c r="E53" s="4655"/>
      <c r="F53" s="4655"/>
      <c r="G53" s="2562"/>
      <c r="H53" s="2325"/>
      <c r="I53" s="4665"/>
      <c r="J53" s="4666"/>
      <c r="K53" s="4666"/>
      <c r="L53" s="4666"/>
      <c r="M53" s="4666"/>
      <c r="N53" s="2203"/>
      <c r="O53" s="4669"/>
      <c r="P53" s="4670"/>
      <c r="Q53" s="4664"/>
      <c r="R53" s="2640"/>
      <c r="S53" s="2634"/>
      <c r="T53" s="2634"/>
      <c r="U53" s="2638"/>
      <c r="V53" s="100" t="s">
        <v>2710</v>
      </c>
      <c r="W53" s="3594"/>
      <c r="X53" s="3594"/>
      <c r="Y53" s="4660"/>
      <c r="Z53" s="4660"/>
      <c r="AA53" s="96"/>
      <c r="AB53" s="96"/>
      <c r="AC53" s="96"/>
      <c r="AD53" s="96"/>
      <c r="AE53" s="96"/>
      <c r="AF53" s="683"/>
      <c r="AG53" s="4682" t="str">
        <f>IF(W52="Proyectiles","Alcance:","")</f>
        <v/>
      </c>
      <c r="AH53" s="4682"/>
      <c r="AI53" s="4682"/>
      <c r="AJ53" s="139"/>
      <c r="AK53" s="2653"/>
      <c r="AL53" s="2651"/>
    </row>
    <row r="54" spans="1:40" ht="12" customHeight="1" x14ac:dyDescent="0.2">
      <c r="A54" s="418"/>
      <c r="B54" s="2191"/>
      <c r="C54" s="4658"/>
      <c r="D54" s="4658"/>
      <c r="E54" s="4658"/>
      <c r="F54" s="4658"/>
      <c r="G54" s="2563"/>
      <c r="H54" s="2325"/>
      <c r="I54" s="4665"/>
      <c r="J54" s="4666"/>
      <c r="K54" s="4666"/>
      <c r="L54" s="4666"/>
      <c r="M54" s="4666"/>
      <c r="N54" s="2203"/>
      <c r="O54" s="4671"/>
      <c r="P54" s="4672"/>
      <c r="Q54" s="4664"/>
      <c r="R54" s="2640"/>
      <c r="S54" s="2634"/>
      <c r="T54" s="2634"/>
      <c r="U54" s="2638"/>
      <c r="V54" s="3145" t="s">
        <v>2169</v>
      </c>
      <c r="W54" s="3145"/>
      <c r="X54" s="4656"/>
      <c r="Y54" s="4656"/>
      <c r="Z54" s="4656"/>
      <c r="AA54" s="4656"/>
      <c r="AB54" s="4675"/>
      <c r="AC54" s="4675"/>
      <c r="AD54" s="4675"/>
      <c r="AE54" s="4675"/>
      <c r="AF54" s="4675"/>
      <c r="AG54" s="4675"/>
      <c r="AH54" s="4675"/>
      <c r="AI54" s="4675"/>
      <c r="AJ54" s="4675"/>
      <c r="AK54" s="2653"/>
      <c r="AL54" s="2651"/>
    </row>
    <row r="55" spans="1:40" ht="12" customHeight="1" x14ac:dyDescent="0.2">
      <c r="A55" s="418"/>
      <c r="B55" s="2191"/>
      <c r="C55" s="4655"/>
      <c r="D55" s="4655"/>
      <c r="E55" s="4655"/>
      <c r="F55" s="4655"/>
      <c r="G55" s="2562"/>
      <c r="H55" s="2325"/>
      <c r="I55" s="4665"/>
      <c r="J55" s="4666"/>
      <c r="K55" s="4666"/>
      <c r="L55" s="4666"/>
      <c r="M55" s="4666"/>
      <c r="N55" s="2203"/>
      <c r="O55" s="4673"/>
      <c r="P55" s="4674"/>
      <c r="Q55" s="4664"/>
      <c r="R55" s="2640"/>
      <c r="S55" s="2634"/>
      <c r="T55" s="2634"/>
      <c r="U55" s="2638"/>
      <c r="V55" s="3145" t="s">
        <v>2706</v>
      </c>
      <c r="W55" s="3145"/>
      <c r="X55" s="91" t="s">
        <v>2234</v>
      </c>
      <c r="Y55" s="424" t="s">
        <v>2246</v>
      </c>
      <c r="Z55" s="189" t="s">
        <v>2432</v>
      </c>
      <c r="AA55" s="3897" t="s">
        <v>2707</v>
      </c>
      <c r="AB55" s="3897"/>
      <c r="AC55" s="91"/>
      <c r="AD55" s="316" t="s">
        <v>2708</v>
      </c>
      <c r="AE55" s="184"/>
      <c r="AF55" s="177" t="s">
        <v>2246</v>
      </c>
      <c r="AG55" s="4678" t="str">
        <f>IF(W56="Escudo","Bono de Parada:",IF(W56="Proyectiles","FUE del arma:",""))</f>
        <v/>
      </c>
      <c r="AH55" s="4679"/>
      <c r="AI55" s="4679"/>
      <c r="AJ55" s="136"/>
      <c r="AK55" s="2653"/>
      <c r="AL55" s="2651"/>
    </row>
    <row r="56" spans="1:40" ht="12" customHeight="1" thickBot="1" x14ac:dyDescent="0.25">
      <c r="A56" s="418"/>
      <c r="B56" s="2191"/>
      <c r="C56" s="4658"/>
      <c r="D56" s="4658"/>
      <c r="E56" s="4658"/>
      <c r="F56" s="4658"/>
      <c r="G56" s="2563"/>
      <c r="H56" s="2325"/>
      <c r="I56" s="4665"/>
      <c r="J56" s="4666"/>
      <c r="K56" s="4666"/>
      <c r="L56" s="4666"/>
      <c r="M56" s="4666"/>
      <c r="N56" s="2203"/>
      <c r="O56" s="4669"/>
      <c r="P56" s="4670"/>
      <c r="Q56" s="4664"/>
      <c r="R56" s="2640"/>
      <c r="S56" s="2634"/>
      <c r="T56" s="2634"/>
      <c r="U56" s="2638"/>
      <c r="V56" s="425" t="s">
        <v>2709</v>
      </c>
      <c r="W56" s="3585"/>
      <c r="X56" s="3585"/>
      <c r="Y56" s="4660"/>
      <c r="Z56" s="4660"/>
      <c r="AA56" s="161" t="s">
        <v>2434</v>
      </c>
      <c r="AB56" s="161" t="s">
        <v>2435</v>
      </c>
      <c r="AC56" s="161" t="s">
        <v>2415</v>
      </c>
      <c r="AD56" s="161" t="s">
        <v>2436</v>
      </c>
      <c r="AE56" s="426" t="s">
        <v>2416</v>
      </c>
      <c r="AF56" s="169" t="s">
        <v>3682</v>
      </c>
      <c r="AG56" s="4680" t="str">
        <f>IF(W56="Escudo","Bono de Esquiva:",IF(W56="Proyectiles","Turnos de recarga:",""))</f>
        <v/>
      </c>
      <c r="AH56" s="4681"/>
      <c r="AI56" s="4681"/>
      <c r="AJ56" s="136"/>
      <c r="AK56" s="2653"/>
      <c r="AL56" s="2651"/>
    </row>
    <row r="57" spans="1:40" ht="12" customHeight="1" thickBot="1" x14ac:dyDescent="0.25">
      <c r="A57" s="418"/>
      <c r="B57" s="2191"/>
      <c r="C57" s="4655"/>
      <c r="D57" s="4655"/>
      <c r="E57" s="4655"/>
      <c r="F57" s="4655"/>
      <c r="G57" s="2562"/>
      <c r="H57" s="2325"/>
      <c r="I57" s="4665"/>
      <c r="J57" s="4666"/>
      <c r="K57" s="4666"/>
      <c r="L57" s="4666"/>
      <c r="M57" s="4666"/>
      <c r="N57" s="2203"/>
      <c r="O57" s="4671"/>
      <c r="P57" s="4672"/>
      <c r="Q57" s="4664"/>
      <c r="R57" s="2640"/>
      <c r="S57" s="2634"/>
      <c r="T57" s="2634"/>
      <c r="U57" s="2638"/>
      <c r="V57" s="100" t="s">
        <v>2710</v>
      </c>
      <c r="W57" s="3594"/>
      <c r="X57" s="3594"/>
      <c r="Y57" s="4660"/>
      <c r="Z57" s="4660"/>
      <c r="AA57" s="96"/>
      <c r="AB57" s="96"/>
      <c r="AC57" s="96"/>
      <c r="AD57" s="96"/>
      <c r="AE57" s="96"/>
      <c r="AF57" s="683"/>
      <c r="AG57" s="4682" t="str">
        <f>IF(W56="Proyectiles","Alcance:","")</f>
        <v/>
      </c>
      <c r="AH57" s="4682"/>
      <c r="AI57" s="4682"/>
      <c r="AJ57" s="139"/>
      <c r="AK57" s="2653"/>
      <c r="AL57" s="2651"/>
    </row>
    <row r="58" spans="1:40" ht="12" customHeight="1" thickBot="1" x14ac:dyDescent="0.25">
      <c r="A58" s="418"/>
      <c r="B58" s="2191"/>
      <c r="C58" s="4698" t="str">
        <f>IF(SUM(G45:G57)&gt;G43,"Exceso de Elán utilizado","")</f>
        <v/>
      </c>
      <c r="D58" s="4698"/>
      <c r="E58" s="4698"/>
      <c r="F58" s="4698"/>
      <c r="G58" s="4698"/>
      <c r="H58" s="2325"/>
      <c r="I58" s="4676"/>
      <c r="J58" s="4677"/>
      <c r="K58" s="4677"/>
      <c r="L58" s="4677"/>
      <c r="M58" s="4677"/>
      <c r="N58" s="2204"/>
      <c r="O58" s="4749"/>
      <c r="P58" s="4750"/>
      <c r="Q58" s="4751"/>
      <c r="R58" s="2640"/>
      <c r="S58" s="2634"/>
      <c r="T58" s="2634"/>
      <c r="U58" s="2638"/>
      <c r="AK58" s="2653"/>
      <c r="AL58" s="2651"/>
    </row>
    <row r="59" spans="1:40" ht="12" customHeight="1" thickBot="1" x14ac:dyDescent="0.25">
      <c r="A59" s="418"/>
      <c r="B59" s="2191"/>
      <c r="C59" s="2325"/>
      <c r="D59" s="2325"/>
      <c r="E59" s="2325"/>
      <c r="F59" s="2325"/>
      <c r="G59" s="2325"/>
      <c r="H59" s="2325"/>
      <c r="I59" s="2325"/>
      <c r="J59" s="2325"/>
      <c r="K59" s="2325"/>
      <c r="L59" s="2325"/>
      <c r="M59" s="2325"/>
      <c r="N59" s="2325"/>
      <c r="O59" s="2325"/>
      <c r="P59" s="2325"/>
      <c r="Q59" s="2325"/>
      <c r="R59" s="2640"/>
      <c r="S59" s="2634"/>
      <c r="T59" s="2634"/>
      <c r="U59" s="2638"/>
      <c r="V59" s="4684" t="s">
        <v>2713</v>
      </c>
      <c r="W59" s="4697" t="s">
        <v>2169</v>
      </c>
      <c r="X59" s="4697"/>
      <c r="Y59" s="4699"/>
      <c r="Z59" s="4699"/>
      <c r="AA59" s="4699"/>
      <c r="AB59" s="4699"/>
      <c r="AC59" s="4699"/>
      <c r="AD59" s="4697" t="s">
        <v>2169</v>
      </c>
      <c r="AE59" s="4697"/>
      <c r="AF59" s="4699"/>
      <c r="AG59" s="4699"/>
      <c r="AH59" s="4699"/>
      <c r="AI59" s="4699"/>
      <c r="AJ59" s="4699"/>
      <c r="AK59" s="2653"/>
      <c r="AL59" s="2651"/>
    </row>
    <row r="60" spans="1:40" ht="12" customHeight="1" thickBot="1" x14ac:dyDescent="0.25">
      <c r="A60" s="418"/>
      <c r="B60" s="2191"/>
      <c r="C60" s="4747" t="s">
        <v>9452</v>
      </c>
      <c r="D60" s="4748"/>
      <c r="E60" s="4748"/>
      <c r="F60" s="4748"/>
      <c r="G60" s="4544" t="s">
        <v>2407</v>
      </c>
      <c r="H60" s="4545"/>
      <c r="I60" s="4545"/>
      <c r="J60" s="4545"/>
      <c r="K60" s="4545"/>
      <c r="L60" s="4545"/>
      <c r="M60" s="4545"/>
      <c r="N60" s="4545"/>
      <c r="O60" s="4545"/>
      <c r="P60" s="4545"/>
      <c r="Q60" s="4739"/>
      <c r="R60" s="2640"/>
      <c r="S60" s="2634"/>
      <c r="T60" s="2634"/>
      <c r="U60" s="2638"/>
      <c r="V60" s="4684"/>
      <c r="W60" s="4683" t="s">
        <v>2714</v>
      </c>
      <c r="X60" s="4683"/>
      <c r="Y60" s="4696" t="str">
        <f>IF($Y$66="Cabeza","Pen.Percepción","Pen. Natural")</f>
        <v>Pen. Natural</v>
      </c>
      <c r="Z60" s="4696"/>
      <c r="AA60" s="4685" t="s">
        <v>2715</v>
      </c>
      <c r="AB60" s="4685"/>
      <c r="AC60" s="4685"/>
      <c r="AD60" s="4683" t="s">
        <v>2714</v>
      </c>
      <c r="AE60" s="4683"/>
      <c r="AF60" s="4696" t="str">
        <f>IF($AF$66="Cabeza","Pen.Percepción","Pen. Natural")</f>
        <v>Pen. Natural</v>
      </c>
      <c r="AG60" s="4696"/>
      <c r="AH60" s="4685" t="s">
        <v>2715</v>
      </c>
      <c r="AI60" s="4685"/>
      <c r="AJ60" s="4685"/>
      <c r="AK60" s="2653"/>
      <c r="AL60" s="2651"/>
    </row>
    <row r="61" spans="1:40" ht="12" customHeight="1" thickBot="1" x14ac:dyDescent="0.25">
      <c r="A61" s="418"/>
      <c r="B61" s="2191"/>
      <c r="C61" s="2336"/>
      <c r="D61" s="2337"/>
      <c r="E61" s="2337"/>
      <c r="F61" s="2182" t="str">
        <f>IF(C45="","",C45)</f>
        <v/>
      </c>
      <c r="G61" s="3954"/>
      <c r="H61" s="3587"/>
      <c r="I61" s="3587"/>
      <c r="J61" s="3587"/>
      <c r="K61" s="3587"/>
      <c r="L61" s="3587"/>
      <c r="M61" s="3587"/>
      <c r="N61" s="3587"/>
      <c r="O61" s="3587"/>
      <c r="P61" s="3587"/>
      <c r="Q61" s="3955"/>
      <c r="R61" s="2640"/>
      <c r="S61" s="2634"/>
      <c r="T61" s="2634"/>
      <c r="U61" s="2638"/>
      <c r="V61" s="4684"/>
      <c r="W61" s="4686"/>
      <c r="X61" s="4686"/>
      <c r="Y61" s="4687"/>
      <c r="Z61" s="4687"/>
      <c r="AA61" s="4732"/>
      <c r="AB61" s="4732"/>
      <c r="AC61" s="4732"/>
      <c r="AD61" s="4686"/>
      <c r="AE61" s="4686"/>
      <c r="AF61" s="4687"/>
      <c r="AG61" s="4687"/>
      <c r="AH61" s="4732"/>
      <c r="AI61" s="4732"/>
      <c r="AJ61" s="4732"/>
      <c r="AK61" s="2653"/>
      <c r="AL61" s="2651"/>
    </row>
    <row r="62" spans="1:40" ht="12" customHeight="1" thickBot="1" x14ac:dyDescent="0.25">
      <c r="A62" s="418"/>
      <c r="B62" s="2191"/>
      <c r="C62" s="2184"/>
      <c r="D62" s="405"/>
      <c r="E62" s="405"/>
      <c r="F62" s="2183" t="str">
        <f t="shared" ref="F62:F72" si="0">IF(C46="","",C46)</f>
        <v/>
      </c>
      <c r="G62" s="3954"/>
      <c r="H62" s="3587"/>
      <c r="I62" s="3587"/>
      <c r="J62" s="3587"/>
      <c r="K62" s="3587"/>
      <c r="L62" s="3587"/>
      <c r="M62" s="3587"/>
      <c r="N62" s="3587"/>
      <c r="O62" s="3587"/>
      <c r="P62" s="3587"/>
      <c r="Q62" s="3955"/>
      <c r="R62" s="2640"/>
      <c r="S62" s="2634"/>
      <c r="T62" s="2634"/>
      <c r="U62" s="2638"/>
      <c r="V62" s="4684"/>
      <c r="W62" s="433" t="s">
        <v>2409</v>
      </c>
      <c r="X62" s="433" t="s">
        <v>2354</v>
      </c>
      <c r="Y62" s="433" t="s">
        <v>2410</v>
      </c>
      <c r="Z62" s="433" t="s">
        <v>2411</v>
      </c>
      <c r="AA62" s="433" t="s">
        <v>2412</v>
      </c>
      <c r="AB62" s="433" t="s">
        <v>2413</v>
      </c>
      <c r="AC62" s="434" t="s">
        <v>2414</v>
      </c>
      <c r="AD62" s="433" t="s">
        <v>2409</v>
      </c>
      <c r="AE62" s="433" t="s">
        <v>2354</v>
      </c>
      <c r="AF62" s="433" t="s">
        <v>2410</v>
      </c>
      <c r="AG62" s="433" t="s">
        <v>2411</v>
      </c>
      <c r="AH62" s="433" t="s">
        <v>2412</v>
      </c>
      <c r="AI62" s="433" t="s">
        <v>2413</v>
      </c>
      <c r="AJ62" s="434" t="s">
        <v>2414</v>
      </c>
      <c r="AK62" s="2653"/>
      <c r="AL62" s="2651"/>
    </row>
    <row r="63" spans="1:40" ht="12" customHeight="1" thickBot="1" x14ac:dyDescent="0.25">
      <c r="A63" s="418"/>
      <c r="B63" s="2191"/>
      <c r="C63" s="2184"/>
      <c r="D63" s="405"/>
      <c r="E63" s="405"/>
      <c r="F63" s="2183" t="str">
        <f t="shared" si="0"/>
        <v/>
      </c>
      <c r="G63" s="3954"/>
      <c r="H63" s="3587"/>
      <c r="I63" s="3587"/>
      <c r="J63" s="3587"/>
      <c r="K63" s="3587"/>
      <c r="L63" s="3587"/>
      <c r="M63" s="3587"/>
      <c r="N63" s="3587"/>
      <c r="O63" s="3587"/>
      <c r="P63" s="3587"/>
      <c r="Q63" s="3955"/>
      <c r="R63" s="2640"/>
      <c r="S63" s="2634"/>
      <c r="T63" s="2634"/>
      <c r="U63" s="2638"/>
      <c r="V63" s="4684"/>
      <c r="W63" s="4692"/>
      <c r="X63" s="4692"/>
      <c r="Y63" s="4692"/>
      <c r="Z63" s="4692"/>
      <c r="AA63" s="4692"/>
      <c r="AB63" s="4694"/>
      <c r="AC63" s="4700"/>
      <c r="AD63" s="4690"/>
      <c r="AE63" s="4692"/>
      <c r="AF63" s="4692"/>
      <c r="AG63" s="4692"/>
      <c r="AH63" s="4692"/>
      <c r="AI63" s="4694"/>
      <c r="AJ63" s="4700"/>
      <c r="AK63" s="2653"/>
      <c r="AL63" s="2651"/>
    </row>
    <row r="64" spans="1:40" ht="12" customHeight="1" thickBot="1" x14ac:dyDescent="0.25">
      <c r="A64" s="418"/>
      <c r="B64" s="2191"/>
      <c r="C64" s="2184"/>
      <c r="D64" s="405"/>
      <c r="E64" s="405"/>
      <c r="F64" s="2183" t="str">
        <f t="shared" si="0"/>
        <v/>
      </c>
      <c r="G64" s="3954"/>
      <c r="H64" s="3587"/>
      <c r="I64" s="3587"/>
      <c r="J64" s="3587"/>
      <c r="K64" s="3587"/>
      <c r="L64" s="3587"/>
      <c r="M64" s="3587"/>
      <c r="N64" s="3587"/>
      <c r="O64" s="3587"/>
      <c r="P64" s="3587"/>
      <c r="Q64" s="3955"/>
      <c r="R64" s="2640"/>
      <c r="S64" s="2634"/>
      <c r="T64" s="2634"/>
      <c r="U64" s="2638"/>
      <c r="V64" s="4684"/>
      <c r="W64" s="4692"/>
      <c r="X64" s="4693"/>
      <c r="Y64" s="4693"/>
      <c r="Z64" s="4693"/>
      <c r="AA64" s="4693"/>
      <c r="AB64" s="4703"/>
      <c r="AC64" s="4701"/>
      <c r="AD64" s="4691"/>
      <c r="AE64" s="4693"/>
      <c r="AF64" s="4693"/>
      <c r="AG64" s="4693"/>
      <c r="AH64" s="4693"/>
      <c r="AI64" s="4695"/>
      <c r="AJ64" s="4701"/>
      <c r="AK64" s="2653"/>
      <c r="AL64" s="2651"/>
    </row>
    <row r="65" spans="1:38" ht="12" customHeight="1" thickBot="1" x14ac:dyDescent="0.25">
      <c r="A65" s="418"/>
      <c r="B65" s="2191"/>
      <c r="C65" s="2184"/>
      <c r="D65" s="405"/>
      <c r="E65" s="405"/>
      <c r="F65" s="2183" t="str">
        <f t="shared" si="0"/>
        <v/>
      </c>
      <c r="G65" s="3954"/>
      <c r="H65" s="3587"/>
      <c r="I65" s="3587"/>
      <c r="J65" s="3587"/>
      <c r="K65" s="3587"/>
      <c r="L65" s="3587"/>
      <c r="M65" s="3587"/>
      <c r="N65" s="3587"/>
      <c r="O65" s="3587"/>
      <c r="P65" s="3587"/>
      <c r="Q65" s="3955"/>
      <c r="R65" s="2640"/>
      <c r="S65" s="2634"/>
      <c r="T65" s="2634"/>
      <c r="U65" s="2638"/>
      <c r="V65" s="4684"/>
      <c r="W65" s="3103" t="s">
        <v>2716</v>
      </c>
      <c r="X65" s="3103"/>
      <c r="Y65" s="3811"/>
      <c r="Z65" s="3811"/>
      <c r="AA65" s="3103" t="s">
        <v>2717</v>
      </c>
      <c r="AB65" s="3103"/>
      <c r="AC65" s="2138"/>
      <c r="AD65" s="3103" t="s">
        <v>2716</v>
      </c>
      <c r="AE65" s="3103"/>
      <c r="AF65" s="3811"/>
      <c r="AG65" s="3811"/>
      <c r="AH65" s="3103" t="s">
        <v>2717</v>
      </c>
      <c r="AI65" s="3103"/>
      <c r="AJ65" s="2138"/>
      <c r="AK65" s="2653"/>
      <c r="AL65" s="2651"/>
    </row>
    <row r="66" spans="1:38" ht="12" customHeight="1" thickBot="1" x14ac:dyDescent="0.25">
      <c r="A66" s="418"/>
      <c r="B66" s="2191"/>
      <c r="C66" s="2184"/>
      <c r="D66" s="405"/>
      <c r="E66" s="405"/>
      <c r="F66" s="2183" t="str">
        <f t="shared" si="0"/>
        <v/>
      </c>
      <c r="G66" s="3954"/>
      <c r="H66" s="3587"/>
      <c r="I66" s="3587"/>
      <c r="J66" s="3587"/>
      <c r="K66" s="3587"/>
      <c r="L66" s="3587"/>
      <c r="M66" s="3587"/>
      <c r="N66" s="3587"/>
      <c r="O66" s="3587"/>
      <c r="P66" s="3587"/>
      <c r="Q66" s="3955"/>
      <c r="R66" s="2640"/>
      <c r="S66" s="2634"/>
      <c r="T66" s="2634"/>
      <c r="U66" s="2638"/>
      <c r="V66" s="4684"/>
      <c r="W66" s="4249" t="s">
        <v>2718</v>
      </c>
      <c r="X66" s="4249"/>
      <c r="Y66" s="4688"/>
      <c r="Z66" s="4688"/>
      <c r="AA66" s="4689" t="s">
        <v>2719</v>
      </c>
      <c r="AB66" s="4689"/>
      <c r="AC66" s="436"/>
      <c r="AD66" s="4249" t="s">
        <v>2718</v>
      </c>
      <c r="AE66" s="4249"/>
      <c r="AF66" s="4688"/>
      <c r="AG66" s="4688"/>
      <c r="AH66" s="4689" t="s">
        <v>2719</v>
      </c>
      <c r="AI66" s="4689"/>
      <c r="AJ66" s="437"/>
      <c r="AK66" s="2653"/>
      <c r="AL66" s="2651"/>
    </row>
    <row r="67" spans="1:38" ht="12" customHeight="1" thickBot="1" x14ac:dyDescent="0.25">
      <c r="A67" s="418"/>
      <c r="B67" s="2191"/>
      <c r="C67" s="2184"/>
      <c r="D67" s="405"/>
      <c r="E67" s="405"/>
      <c r="F67" s="2183" t="str">
        <f t="shared" si="0"/>
        <v/>
      </c>
      <c r="G67" s="3954"/>
      <c r="H67" s="3587"/>
      <c r="I67" s="3587"/>
      <c r="J67" s="3587"/>
      <c r="K67" s="3587"/>
      <c r="L67" s="3587"/>
      <c r="M67" s="3587"/>
      <c r="N67" s="3587"/>
      <c r="O67" s="3587"/>
      <c r="P67" s="3587"/>
      <c r="Q67" s="3955"/>
      <c r="R67" s="2640"/>
      <c r="S67" s="2634"/>
      <c r="T67" s="2634"/>
      <c r="U67" s="2638"/>
      <c r="AK67" s="2653"/>
      <c r="AL67" s="2651"/>
    </row>
    <row r="68" spans="1:38" ht="12" customHeight="1" thickBot="1" x14ac:dyDescent="0.25">
      <c r="A68" s="418"/>
      <c r="B68" s="2191"/>
      <c r="C68" s="2184"/>
      <c r="D68" s="405"/>
      <c r="E68" s="405"/>
      <c r="F68" s="2183" t="str">
        <f t="shared" si="0"/>
        <v/>
      </c>
      <c r="G68" s="3954"/>
      <c r="H68" s="3587"/>
      <c r="I68" s="3587"/>
      <c r="J68" s="3587"/>
      <c r="K68" s="3587"/>
      <c r="L68" s="3587"/>
      <c r="M68" s="3587"/>
      <c r="N68" s="3587"/>
      <c r="O68" s="3587"/>
      <c r="P68" s="3587"/>
      <c r="Q68" s="3955"/>
      <c r="R68" s="2640"/>
      <c r="S68" s="2634"/>
      <c r="T68" s="2634"/>
      <c r="U68" s="2638"/>
      <c r="V68" s="3028" t="s">
        <v>2723</v>
      </c>
      <c r="W68" s="3028"/>
      <c r="X68" s="3028"/>
      <c r="Y68" s="3028"/>
      <c r="Z68" s="3028"/>
      <c r="AA68" s="3028"/>
      <c r="AB68" s="3028"/>
      <c r="AC68" s="3028"/>
      <c r="AD68" s="3028"/>
      <c r="AE68" s="3028"/>
      <c r="AF68" s="3028"/>
      <c r="AG68" s="3028"/>
      <c r="AH68" s="3028"/>
      <c r="AI68" s="3028"/>
      <c r="AJ68" s="3028"/>
      <c r="AK68" s="2653"/>
      <c r="AL68" s="2651"/>
    </row>
    <row r="69" spans="1:38" ht="12" customHeight="1" thickBot="1" x14ac:dyDescent="0.25">
      <c r="A69" s="418"/>
      <c r="B69" s="2191"/>
      <c r="C69" s="2184"/>
      <c r="D69" s="405"/>
      <c r="E69" s="405"/>
      <c r="F69" s="2183" t="str">
        <f t="shared" si="0"/>
        <v/>
      </c>
      <c r="G69" s="3954"/>
      <c r="H69" s="3587"/>
      <c r="I69" s="3587"/>
      <c r="J69" s="3587"/>
      <c r="K69" s="3587"/>
      <c r="L69" s="3587"/>
      <c r="M69" s="3587"/>
      <c r="N69" s="3587"/>
      <c r="O69" s="3587"/>
      <c r="P69" s="3587"/>
      <c r="Q69" s="3955"/>
      <c r="R69" s="2640"/>
      <c r="S69" s="2634"/>
      <c r="T69" s="2634"/>
      <c r="U69" s="2638"/>
      <c r="V69" s="4728" t="s">
        <v>2724</v>
      </c>
      <c r="W69" s="4728"/>
      <c r="X69" s="4728"/>
      <c r="Y69" s="4729"/>
      <c r="Z69" s="4729"/>
      <c r="AA69" s="4729"/>
      <c r="AB69" s="4730"/>
      <c r="AC69" s="4730"/>
      <c r="AD69" s="4730"/>
      <c r="AE69" s="4730"/>
      <c r="AF69" s="4730"/>
      <c r="AG69" s="4730"/>
      <c r="AH69" s="4731"/>
      <c r="AI69" s="4731"/>
      <c r="AJ69" s="4731"/>
      <c r="AK69" s="2653"/>
      <c r="AL69" s="2651"/>
    </row>
    <row r="70" spans="1:38" ht="12" customHeight="1" x14ac:dyDescent="0.2">
      <c r="A70" s="418"/>
      <c r="B70" s="2191"/>
      <c r="C70" s="2184"/>
      <c r="D70" s="405"/>
      <c r="E70" s="405"/>
      <c r="F70" s="2183" t="str">
        <f t="shared" si="0"/>
        <v/>
      </c>
      <c r="G70" s="3954"/>
      <c r="H70" s="3587"/>
      <c r="I70" s="3587"/>
      <c r="J70" s="3587"/>
      <c r="K70" s="3587"/>
      <c r="L70" s="3587"/>
      <c r="M70" s="3587"/>
      <c r="N70" s="3587"/>
      <c r="O70" s="3587"/>
      <c r="P70" s="3587"/>
      <c r="Q70" s="3955"/>
      <c r="R70" s="2640"/>
      <c r="S70" s="2634"/>
      <c r="T70" s="2634"/>
      <c r="U70" s="2638"/>
      <c r="V70" s="4728"/>
      <c r="W70" s="4728"/>
      <c r="X70" s="4728"/>
      <c r="Y70" s="4729"/>
      <c r="Z70" s="4729"/>
      <c r="AA70" s="4729"/>
      <c r="AB70" s="4730"/>
      <c r="AC70" s="4730"/>
      <c r="AD70" s="4730"/>
      <c r="AE70" s="4730"/>
      <c r="AF70" s="4730"/>
      <c r="AG70" s="4730"/>
      <c r="AH70" s="4731"/>
      <c r="AI70" s="4731"/>
      <c r="AJ70" s="4731"/>
      <c r="AK70" s="2653"/>
      <c r="AL70" s="2651"/>
    </row>
    <row r="71" spans="1:38" ht="12" customHeight="1" x14ac:dyDescent="0.2">
      <c r="A71" s="418"/>
      <c r="B71" s="2191"/>
      <c r="C71" s="2184"/>
      <c r="D71" s="405"/>
      <c r="E71" s="405"/>
      <c r="F71" s="2183" t="str">
        <f t="shared" si="0"/>
        <v/>
      </c>
      <c r="G71" s="3954"/>
      <c r="H71" s="3587"/>
      <c r="I71" s="3587"/>
      <c r="J71" s="3587"/>
      <c r="K71" s="3587"/>
      <c r="L71" s="3587"/>
      <c r="M71" s="3587"/>
      <c r="N71" s="3587"/>
      <c r="O71" s="3587"/>
      <c r="P71" s="3587"/>
      <c r="Q71" s="3955"/>
      <c r="R71" s="2640"/>
      <c r="S71" s="2634"/>
      <c r="T71" s="2634"/>
      <c r="U71" s="2638"/>
      <c r="V71" s="3115" t="s">
        <v>2727</v>
      </c>
      <c r="W71" s="3115"/>
      <c r="X71" s="3115"/>
      <c r="Y71" s="4719"/>
      <c r="Z71" s="4719"/>
      <c r="AA71" s="4719"/>
      <c r="AB71" s="4720"/>
      <c r="AC71" s="4720"/>
      <c r="AD71" s="4720"/>
      <c r="AE71" s="4720"/>
      <c r="AF71" s="4720"/>
      <c r="AG71" s="4720"/>
      <c r="AH71" s="4724"/>
      <c r="AI71" s="4724"/>
      <c r="AJ71" s="4724"/>
      <c r="AK71" s="2653"/>
      <c r="AL71" s="2651"/>
    </row>
    <row r="72" spans="1:38" ht="12" customHeight="1" thickBot="1" x14ac:dyDescent="0.25">
      <c r="A72" s="418"/>
      <c r="B72" s="2191"/>
      <c r="C72" s="2185"/>
      <c r="D72" s="2186"/>
      <c r="E72" s="2186"/>
      <c r="F72" s="2187" t="str">
        <f t="shared" si="0"/>
        <v/>
      </c>
      <c r="G72" s="3956"/>
      <c r="H72" s="3882"/>
      <c r="I72" s="3882"/>
      <c r="J72" s="3882"/>
      <c r="K72" s="3882"/>
      <c r="L72" s="3882"/>
      <c r="M72" s="3882"/>
      <c r="N72" s="3882"/>
      <c r="O72" s="3882"/>
      <c r="P72" s="3882"/>
      <c r="Q72" s="3957"/>
      <c r="R72" s="2640"/>
      <c r="S72" s="2634"/>
      <c r="T72" s="2634"/>
      <c r="U72" s="2638"/>
      <c r="V72" s="4702" t="s">
        <v>2728</v>
      </c>
      <c r="W72" s="4702"/>
      <c r="X72" s="4702"/>
      <c r="Y72" s="4725"/>
      <c r="Z72" s="4725"/>
      <c r="AA72" s="4725"/>
      <c r="AB72" s="4726"/>
      <c r="AC72" s="4726"/>
      <c r="AD72" s="4726"/>
      <c r="AE72" s="4726"/>
      <c r="AF72" s="4726"/>
      <c r="AG72" s="4726"/>
      <c r="AH72" s="4727"/>
      <c r="AI72" s="4727"/>
      <c r="AJ72" s="4727"/>
      <c r="AK72" s="2653"/>
      <c r="AL72" s="2651"/>
    </row>
    <row r="73" spans="1:38" ht="12" customHeight="1" x14ac:dyDescent="0.2">
      <c r="A73" s="2634"/>
      <c r="B73" s="2642"/>
      <c r="C73" s="2325"/>
      <c r="D73" s="2325"/>
      <c r="E73" s="2325"/>
      <c r="F73" s="2325"/>
      <c r="G73" s="2325"/>
      <c r="H73" s="2646"/>
      <c r="I73" s="2646"/>
      <c r="J73" s="2646"/>
      <c r="K73" s="2646"/>
      <c r="L73" s="2646"/>
      <c r="M73" s="2646"/>
      <c r="N73" s="2646"/>
      <c r="O73" s="2646"/>
      <c r="P73" s="2646"/>
      <c r="Q73" s="2646"/>
      <c r="R73" s="2640"/>
      <c r="S73" s="2634"/>
      <c r="T73" s="2634"/>
      <c r="U73" s="2638"/>
      <c r="V73" s="4716" t="s">
        <v>2729</v>
      </c>
      <c r="W73" s="4716"/>
      <c r="X73" s="4716"/>
      <c r="Y73" s="4717"/>
      <c r="Z73" s="4717"/>
      <c r="AA73" s="4717"/>
      <c r="AB73" s="4718"/>
      <c r="AC73" s="4718"/>
      <c r="AD73" s="4718"/>
      <c r="AE73" s="4718"/>
      <c r="AF73" s="4718"/>
      <c r="AG73" s="4718"/>
      <c r="AH73" s="4714"/>
      <c r="AI73" s="4714"/>
      <c r="AJ73" s="4714"/>
      <c r="AK73" s="2653"/>
      <c r="AL73" s="2651"/>
    </row>
    <row r="74" spans="1:38" ht="12" customHeight="1" thickBot="1" x14ac:dyDescent="0.25">
      <c r="A74" s="2634"/>
      <c r="B74" s="2644"/>
      <c r="C74" s="2192"/>
      <c r="D74" s="2192"/>
      <c r="E74" s="2192"/>
      <c r="F74" s="2192"/>
      <c r="G74" s="2192"/>
      <c r="H74" s="2647"/>
      <c r="I74" s="2647"/>
      <c r="J74" s="2647"/>
      <c r="K74" s="2647"/>
      <c r="L74" s="2647"/>
      <c r="M74" s="2647"/>
      <c r="N74" s="2647"/>
      <c r="O74" s="2647"/>
      <c r="P74" s="2647"/>
      <c r="Q74" s="2647"/>
      <c r="R74" s="2643"/>
      <c r="S74" s="2634"/>
      <c r="T74" s="2634"/>
      <c r="U74" s="2638"/>
      <c r="V74" s="4702" t="s">
        <v>2730</v>
      </c>
      <c r="W74" s="4702"/>
      <c r="X74" s="4702"/>
      <c r="Y74" s="4725"/>
      <c r="Z74" s="4725"/>
      <c r="AA74" s="4725"/>
      <c r="AB74" s="4726"/>
      <c r="AC74" s="4726"/>
      <c r="AD74" s="4726"/>
      <c r="AE74" s="4726"/>
      <c r="AF74" s="4726"/>
      <c r="AG74" s="4726"/>
      <c r="AH74" s="4727"/>
      <c r="AI74" s="4727"/>
      <c r="AJ74" s="4727"/>
      <c r="AK74" s="2653"/>
      <c r="AL74" s="2651"/>
    </row>
    <row r="75" spans="1:38" ht="12" customHeight="1" thickBot="1" x14ac:dyDescent="0.25">
      <c r="A75" s="2634"/>
      <c r="B75" s="2634"/>
      <c r="C75" s="418"/>
      <c r="D75" s="418"/>
      <c r="E75" s="418"/>
      <c r="F75" s="418"/>
      <c r="G75" s="418"/>
      <c r="H75" s="2634"/>
      <c r="I75" s="2634"/>
      <c r="J75" s="2634"/>
      <c r="K75" s="2634"/>
      <c r="L75" s="2634"/>
      <c r="M75" s="2634"/>
      <c r="N75" s="2634"/>
      <c r="O75" s="2634"/>
      <c r="P75" s="2634"/>
      <c r="Q75" s="2634"/>
      <c r="R75" s="2634"/>
      <c r="S75" s="2634"/>
      <c r="T75" s="2634"/>
      <c r="U75" s="2638"/>
      <c r="V75" s="3917" t="s">
        <v>2731</v>
      </c>
      <c r="W75" s="4704"/>
      <c r="X75" s="4705"/>
      <c r="Y75" s="4710"/>
      <c r="Z75" s="4711"/>
      <c r="AA75" s="4712"/>
      <c r="AB75" s="4710"/>
      <c r="AC75" s="4711"/>
      <c r="AD75" s="4712"/>
      <c r="AE75" s="4710"/>
      <c r="AF75" s="4711"/>
      <c r="AG75" s="4712"/>
      <c r="AH75" s="4710"/>
      <c r="AI75" s="4711"/>
      <c r="AJ75" s="4713"/>
      <c r="AK75" s="2653"/>
      <c r="AL75" s="2651"/>
    </row>
    <row r="76" spans="1:38" ht="12" customHeight="1" thickBot="1" x14ac:dyDescent="0.25">
      <c r="T76" s="2634"/>
      <c r="U76" s="2638"/>
      <c r="AK76" s="2653"/>
      <c r="AL76" s="2651"/>
    </row>
    <row r="77" spans="1:38" ht="12" customHeight="1" x14ac:dyDescent="0.2">
      <c r="T77" s="2634"/>
      <c r="U77" s="2638"/>
      <c r="V77" s="4577" t="s">
        <v>9816</v>
      </c>
      <c r="W77" s="4578"/>
      <c r="X77" s="4578"/>
      <c r="Y77" s="4578"/>
      <c r="Z77" s="4578"/>
      <c r="AA77" s="4578"/>
      <c r="AB77" s="4578"/>
      <c r="AC77" s="4578"/>
      <c r="AD77" s="4578"/>
      <c r="AE77" s="4578"/>
      <c r="AF77" s="4578"/>
      <c r="AG77" s="4578"/>
      <c r="AH77" s="4578"/>
      <c r="AI77" s="4578"/>
      <c r="AJ77" s="4579"/>
      <c r="AK77" s="2653"/>
      <c r="AL77" s="2651"/>
    </row>
    <row r="78" spans="1:38" ht="12" customHeight="1" thickBot="1" x14ac:dyDescent="0.25">
      <c r="T78" s="2634"/>
      <c r="U78" s="2638"/>
      <c r="V78" s="3567"/>
      <c r="W78" s="3568"/>
      <c r="X78" s="3568"/>
      <c r="Y78" s="3568"/>
      <c r="Z78" s="3568"/>
      <c r="AA78" s="3568"/>
      <c r="AB78" s="3568"/>
      <c r="AC78" s="3568"/>
      <c r="AD78" s="3568"/>
      <c r="AE78" s="3568"/>
      <c r="AF78" s="3568"/>
      <c r="AG78" s="3568"/>
      <c r="AH78" s="3568"/>
      <c r="AI78" s="3568"/>
      <c r="AJ78" s="3569"/>
      <c r="AK78" s="2653"/>
      <c r="AL78" s="2651"/>
    </row>
    <row r="79" spans="1:38" ht="12" customHeight="1" thickBot="1" x14ac:dyDescent="0.25">
      <c r="A79" s="2629"/>
      <c r="B79" s="2629"/>
      <c r="C79" s="2325"/>
      <c r="D79" s="2325"/>
      <c r="E79" s="2325"/>
      <c r="F79" s="2325"/>
      <c r="G79" s="2325"/>
      <c r="H79" s="2646"/>
      <c r="I79" s="2646"/>
      <c r="J79" s="2646"/>
      <c r="K79" s="2646"/>
      <c r="L79" s="2646"/>
      <c r="M79" s="2646"/>
      <c r="N79" s="2646"/>
      <c r="O79" s="2646"/>
      <c r="P79" s="2646"/>
      <c r="Q79" s="2629"/>
      <c r="R79" s="2629"/>
      <c r="S79" s="2629"/>
      <c r="T79" s="2634"/>
      <c r="U79" s="2638"/>
      <c r="AK79" s="2653"/>
      <c r="AL79" s="2651"/>
    </row>
    <row r="80" spans="1:38" ht="12" customHeight="1" thickBot="1" x14ac:dyDescent="0.25">
      <c r="H80" s="2645"/>
      <c r="I80" s="2645"/>
      <c r="J80" s="2645"/>
      <c r="K80" s="2645"/>
      <c r="L80" s="2645"/>
      <c r="M80" s="2645"/>
      <c r="N80" s="2645"/>
      <c r="O80" s="2645"/>
      <c r="P80" s="2645"/>
      <c r="R80" s="319"/>
      <c r="S80" s="319"/>
      <c r="T80" s="2634"/>
      <c r="U80" s="2638"/>
      <c r="V80" s="3028" t="s">
        <v>2711</v>
      </c>
      <c r="W80" s="3028"/>
      <c r="X80" s="3028"/>
      <c r="Y80" s="3028"/>
      <c r="Z80" s="3028"/>
      <c r="AA80" s="3028"/>
      <c r="AB80" s="3028"/>
      <c r="AC80" s="3028"/>
      <c r="AE80" s="3028" t="s">
        <v>2712</v>
      </c>
      <c r="AF80" s="3028"/>
      <c r="AG80" s="3028"/>
      <c r="AH80" s="3028"/>
      <c r="AI80" s="3028"/>
      <c r="AJ80" s="3028"/>
      <c r="AK80" s="2653"/>
      <c r="AL80" s="2651"/>
    </row>
    <row r="81" spans="1:38" ht="12" customHeight="1" x14ac:dyDescent="0.2">
      <c r="H81" s="2645"/>
      <c r="I81" s="2645"/>
      <c r="J81" s="2645"/>
      <c r="K81" s="2645"/>
      <c r="L81" s="2645"/>
      <c r="M81" s="2645"/>
      <c r="N81" s="2645"/>
      <c r="O81" s="2645"/>
      <c r="P81" s="2645"/>
      <c r="R81" s="319"/>
      <c r="S81" s="319"/>
      <c r="T81" s="2634"/>
      <c r="U81" s="2638"/>
      <c r="V81" s="3307" t="s">
        <v>2295</v>
      </c>
      <c r="W81" s="3307"/>
      <c r="X81" s="3307"/>
      <c r="Y81" s="3307"/>
      <c r="Z81" s="3307"/>
      <c r="AA81" s="3307"/>
      <c r="AB81" s="24" t="s">
        <v>2589</v>
      </c>
      <c r="AC81" s="30" t="s">
        <v>2365</v>
      </c>
      <c r="AE81" s="427" t="s">
        <v>2508</v>
      </c>
      <c r="AF81" s="3192" t="s">
        <v>2564</v>
      </c>
      <c r="AG81" s="3192"/>
      <c r="AH81" s="3192"/>
      <c r="AI81" s="3192"/>
      <c r="AJ81" s="3" t="s">
        <v>2256</v>
      </c>
      <c r="AK81" s="2653"/>
      <c r="AL81" s="2651"/>
    </row>
    <row r="82" spans="1:38" ht="12" customHeight="1" x14ac:dyDescent="0.2">
      <c r="R82" s="319"/>
      <c r="S82" s="319"/>
      <c r="T82" s="2634"/>
      <c r="U82" s="2638"/>
      <c r="V82" s="3920"/>
      <c r="W82" s="3920"/>
      <c r="X82" s="3920"/>
      <c r="Y82" s="3920"/>
      <c r="Z82" s="3920"/>
      <c r="AA82" s="3920"/>
      <c r="AB82" s="162"/>
      <c r="AC82" s="32"/>
      <c r="AE82" s="428">
        <f>IF(Metamagia!X15=1,30,0)</f>
        <v>0</v>
      </c>
      <c r="AF82" s="4721"/>
      <c r="AG82" s="4721"/>
      <c r="AH82" s="4721"/>
      <c r="AI82" s="4721"/>
      <c r="AJ82" s="80" t="str">
        <f>IF(AF82=0,"",VLOOKUP(AF82,Tablas!$D$2533:$F$3207,2,FALSE))</f>
        <v/>
      </c>
      <c r="AK82" s="2653"/>
      <c r="AL82" s="2651"/>
    </row>
    <row r="83" spans="1:38" ht="12" customHeight="1" x14ac:dyDescent="0.2">
      <c r="T83" s="2634"/>
      <c r="U83" s="2638"/>
      <c r="V83" s="4621"/>
      <c r="W83" s="4621"/>
      <c r="X83" s="4621"/>
      <c r="Y83" s="4621"/>
      <c r="Z83" s="4621"/>
      <c r="AA83" s="4621"/>
      <c r="AB83" s="429"/>
      <c r="AC83" s="430"/>
      <c r="AE83" s="431">
        <f>IF(Metamagia!AD15=1,30,0)</f>
        <v>0</v>
      </c>
      <c r="AF83" s="4623"/>
      <c r="AG83" s="4623"/>
      <c r="AH83" s="4623"/>
      <c r="AI83" s="4623"/>
      <c r="AJ83" s="198" t="str">
        <f>IF(AF83=0,"",VLOOKUP(AF83,Tablas!$D$2533:$F$3207,2,FALSE))</f>
        <v/>
      </c>
      <c r="AK83" s="2653"/>
      <c r="AL83" s="2651"/>
    </row>
    <row r="84" spans="1:38" ht="12" customHeight="1" x14ac:dyDescent="0.2">
      <c r="T84" s="2634"/>
      <c r="U84" s="2638"/>
      <c r="V84" s="3879"/>
      <c r="W84" s="3879"/>
      <c r="X84" s="3879"/>
      <c r="Y84" s="3879"/>
      <c r="Z84" s="3879"/>
      <c r="AA84" s="3879"/>
      <c r="AB84" s="162"/>
      <c r="AC84" s="32"/>
      <c r="AE84" s="432">
        <f>IF(Metamagia!R29=1,50,0)</f>
        <v>0</v>
      </c>
      <c r="AF84" s="4576"/>
      <c r="AG84" s="4576"/>
      <c r="AH84" s="4576"/>
      <c r="AI84" s="4576"/>
      <c r="AJ84" s="80" t="str">
        <f>IF(AF84=0,"",VLOOKUP(AF84,Tablas!$D$2533:$F$3207,2,FALSE))</f>
        <v/>
      </c>
      <c r="AK84" s="2653"/>
      <c r="AL84" s="2651"/>
    </row>
    <row r="85" spans="1:38" ht="12" customHeight="1" x14ac:dyDescent="0.2">
      <c r="A85" s="2645"/>
      <c r="B85" s="2645"/>
      <c r="H85" s="2645"/>
      <c r="I85" s="2645"/>
      <c r="J85" s="2645"/>
      <c r="K85" s="2645"/>
      <c r="L85" s="2645"/>
      <c r="M85" s="2645"/>
      <c r="N85" s="2645"/>
      <c r="O85" s="2645"/>
      <c r="P85" s="2645"/>
      <c r="Q85" s="2645"/>
      <c r="T85" s="2634"/>
      <c r="U85" s="2642"/>
      <c r="V85" s="4621"/>
      <c r="W85" s="4621"/>
      <c r="X85" s="4621"/>
      <c r="Y85" s="4621"/>
      <c r="Z85" s="4621"/>
      <c r="AA85" s="4621"/>
      <c r="AB85" s="429"/>
      <c r="AC85" s="430"/>
      <c r="AE85" s="431">
        <f>IF(Metamagia!AG24=1,60,0)</f>
        <v>0</v>
      </c>
      <c r="AF85" s="4623"/>
      <c r="AG85" s="4623"/>
      <c r="AH85" s="4623"/>
      <c r="AI85" s="4623"/>
      <c r="AJ85" s="198" t="str">
        <f>IF(AF85=0,"",VLOOKUP(AF85,Tablas!$D$2533:$F$3207,2,FALSE))</f>
        <v/>
      </c>
      <c r="AK85" s="2653"/>
      <c r="AL85" s="2651"/>
    </row>
    <row r="86" spans="1:38" ht="12" customHeight="1" x14ac:dyDescent="0.2">
      <c r="H86" s="2645"/>
      <c r="I86" s="2645"/>
      <c r="J86" s="2645"/>
      <c r="K86" s="2645"/>
      <c r="L86" s="2645"/>
      <c r="M86" s="2645"/>
      <c r="N86" s="2645"/>
      <c r="O86" s="2645"/>
      <c r="P86" s="2645"/>
      <c r="Q86" s="2645"/>
      <c r="T86" s="2634"/>
      <c r="U86" s="2638"/>
      <c r="V86" s="3879"/>
      <c r="W86" s="3879"/>
      <c r="X86" s="3879"/>
      <c r="Y86" s="3879"/>
      <c r="Z86" s="3879"/>
      <c r="AA86" s="3879"/>
      <c r="AB86" s="162"/>
      <c r="AC86" s="32"/>
      <c r="AE86" s="432">
        <f>IF(Metamagia!X24=1,60,0)</f>
        <v>0</v>
      </c>
      <c r="AF86" s="4576"/>
      <c r="AG86" s="4576"/>
      <c r="AH86" s="4576"/>
      <c r="AI86" s="4576"/>
      <c r="AJ86" s="80" t="str">
        <f>IF(AF86=0,"",VLOOKUP(AF86,Tablas!$D$2533:$F$3207,2,FALSE))</f>
        <v/>
      </c>
      <c r="AK86" s="2653"/>
      <c r="AL86" s="2651"/>
    </row>
    <row r="87" spans="1:38" ht="12" customHeight="1" x14ac:dyDescent="0.2">
      <c r="H87" s="2645"/>
      <c r="I87" s="2645"/>
      <c r="J87" s="2645"/>
      <c r="K87" s="2645"/>
      <c r="L87" s="2645"/>
      <c r="M87" s="2645"/>
      <c r="N87" s="2645"/>
      <c r="O87" s="2645"/>
      <c r="P87" s="2645"/>
      <c r="Q87" s="2645"/>
      <c r="T87" s="2634"/>
      <c r="U87" s="2638"/>
      <c r="V87" s="4621"/>
      <c r="W87" s="4621"/>
      <c r="X87" s="4621"/>
      <c r="Y87" s="4621"/>
      <c r="Z87" s="4621"/>
      <c r="AA87" s="4621"/>
      <c r="AB87" s="429"/>
      <c r="AC87" s="430"/>
      <c r="AE87" s="431">
        <f>IF(Metamagia!AG39=1,70,0)</f>
        <v>0</v>
      </c>
      <c r="AF87" s="4623"/>
      <c r="AG87" s="4623"/>
      <c r="AH87" s="4623"/>
      <c r="AI87" s="4623"/>
      <c r="AJ87" s="198" t="str">
        <f>IF(AF87=0,"",VLOOKUP(AF87,Tablas!$D$2533:$F$3207,2,FALSE))</f>
        <v/>
      </c>
      <c r="AK87" s="2653"/>
      <c r="AL87" s="2651"/>
    </row>
    <row r="88" spans="1:38" ht="12" customHeight="1" thickBot="1" x14ac:dyDescent="0.25">
      <c r="T88" s="2634"/>
      <c r="U88" s="2638"/>
      <c r="V88" s="4706"/>
      <c r="W88" s="4706"/>
      <c r="X88" s="4706"/>
      <c r="Y88" s="4706"/>
      <c r="Z88" s="4706"/>
      <c r="AA88" s="4706"/>
      <c r="AB88" s="211"/>
      <c r="AC88" s="33"/>
      <c r="AE88" s="435">
        <f>IF(Metamagia!AA29=1,80,0)</f>
        <v>0</v>
      </c>
      <c r="AF88" s="4715"/>
      <c r="AG88" s="4715"/>
      <c r="AH88" s="4715"/>
      <c r="AI88" s="4715"/>
      <c r="AJ88" s="99" t="str">
        <f>IF(AF88=0,"",VLOOKUP(AF88,Tablas!$D$2533:$F$3207,2,FALSE))</f>
        <v/>
      </c>
      <c r="AK88" s="2653"/>
      <c r="AL88" s="2651"/>
    </row>
    <row r="89" spans="1:38" ht="12" customHeight="1" thickBot="1" x14ac:dyDescent="0.25">
      <c r="T89" s="2634"/>
      <c r="U89" s="2638"/>
      <c r="AK89" s="2653"/>
      <c r="AL89" s="2651"/>
    </row>
    <row r="90" spans="1:38" ht="12" customHeight="1" thickBot="1" x14ac:dyDescent="0.25">
      <c r="T90" s="2634"/>
      <c r="U90" s="2638"/>
      <c r="V90" s="4684" t="s">
        <v>2720</v>
      </c>
      <c r="W90" s="3167" t="s">
        <v>2721</v>
      </c>
      <c r="X90" s="3167"/>
      <c r="Y90" s="3167"/>
      <c r="Z90" s="3167"/>
      <c r="AA90" s="3167"/>
      <c r="AB90" s="106" t="s">
        <v>2345</v>
      </c>
      <c r="AC90" s="289" t="s">
        <v>2722</v>
      </c>
      <c r="AD90" s="4002" t="s">
        <v>2407</v>
      </c>
      <c r="AE90" s="4002"/>
      <c r="AF90" s="4002"/>
      <c r="AG90" s="4002"/>
      <c r="AH90" s="4002"/>
      <c r="AI90" s="4002"/>
      <c r="AJ90" s="4002"/>
      <c r="AK90" s="2653"/>
      <c r="AL90" s="2651"/>
    </row>
    <row r="91" spans="1:38" ht="12" customHeight="1" thickBot="1" x14ac:dyDescent="0.25">
      <c r="T91" s="2634"/>
      <c r="U91" s="2638"/>
      <c r="V91" s="4684"/>
      <c r="W91" s="4722"/>
      <c r="X91" s="4722"/>
      <c r="Y91" s="4722"/>
      <c r="Z91" s="4722"/>
      <c r="AA91" s="4722"/>
      <c r="AB91" s="438"/>
      <c r="AC91" s="438"/>
      <c r="AD91" s="4723"/>
      <c r="AE91" s="4723"/>
      <c r="AF91" s="4723"/>
      <c r="AG91" s="4723"/>
      <c r="AH91" s="4723"/>
      <c r="AI91" s="4723"/>
      <c r="AJ91" s="4723"/>
      <c r="AK91" s="2653"/>
      <c r="AL91" s="2651"/>
    </row>
    <row r="92" spans="1:38" ht="12" customHeight="1" thickBot="1" x14ac:dyDescent="0.25">
      <c r="T92" s="2634"/>
      <c r="U92" s="2638"/>
      <c r="V92" s="4684"/>
      <c r="W92" s="4707" t="s">
        <v>2725</v>
      </c>
      <c r="X92" s="4707"/>
      <c r="Y92" s="4708"/>
      <c r="Z92" s="4708"/>
      <c r="AA92" s="4708"/>
      <c r="AB92" s="4708"/>
      <c r="AC92" s="4708"/>
      <c r="AD92" s="4708"/>
      <c r="AE92" s="4708"/>
      <c r="AF92" s="4708"/>
      <c r="AG92" s="4708"/>
      <c r="AH92" s="4708"/>
      <c r="AI92" s="4708"/>
      <c r="AJ92" s="4708"/>
      <c r="AK92" s="2653"/>
      <c r="AL92" s="2651"/>
    </row>
    <row r="93" spans="1:38" ht="12" customHeight="1" thickBot="1" x14ac:dyDescent="0.25">
      <c r="T93" s="2634"/>
      <c r="U93" s="2638"/>
      <c r="V93" s="4684"/>
      <c r="W93" s="3810" t="s">
        <v>2726</v>
      </c>
      <c r="X93" s="3810"/>
      <c r="Y93" s="4709"/>
      <c r="Z93" s="4709"/>
      <c r="AA93" s="4709"/>
      <c r="AB93" s="4709"/>
      <c r="AC93" s="4709"/>
      <c r="AD93" s="4709"/>
      <c r="AE93" s="4709"/>
      <c r="AF93" s="4709"/>
      <c r="AG93" s="4709"/>
      <c r="AH93" s="4709"/>
      <c r="AI93" s="4709"/>
      <c r="AJ93" s="4709"/>
      <c r="AK93" s="2653"/>
      <c r="AL93" s="2651"/>
    </row>
    <row r="94" spans="1:38" ht="12" customHeight="1" thickBot="1" x14ac:dyDescent="0.25">
      <c r="T94" s="2634"/>
      <c r="U94" s="2638"/>
      <c r="V94" s="4684"/>
      <c r="W94" s="3167" t="s">
        <v>2721</v>
      </c>
      <c r="X94" s="3167"/>
      <c r="Y94" s="3167"/>
      <c r="Z94" s="3167"/>
      <c r="AA94" s="3167"/>
      <c r="AB94" s="106" t="s">
        <v>2345</v>
      </c>
      <c r="AC94" s="289" t="s">
        <v>2722</v>
      </c>
      <c r="AD94" s="4002" t="s">
        <v>2407</v>
      </c>
      <c r="AE94" s="4002"/>
      <c r="AF94" s="4002"/>
      <c r="AG94" s="4002"/>
      <c r="AH94" s="4002"/>
      <c r="AI94" s="4002"/>
      <c r="AJ94" s="4002"/>
      <c r="AK94" s="2653"/>
      <c r="AL94" s="2651"/>
    </row>
    <row r="95" spans="1:38" ht="12" customHeight="1" thickBot="1" x14ac:dyDescent="0.25">
      <c r="T95" s="2634"/>
      <c r="U95" s="2638"/>
      <c r="V95" s="4684"/>
      <c r="W95" s="4722"/>
      <c r="X95" s="4722"/>
      <c r="Y95" s="4722"/>
      <c r="Z95" s="4722"/>
      <c r="AA95" s="4722"/>
      <c r="AB95" s="438"/>
      <c r="AC95" s="438"/>
      <c r="AD95" s="4723"/>
      <c r="AE95" s="4723"/>
      <c r="AF95" s="4723"/>
      <c r="AG95" s="4723"/>
      <c r="AH95" s="4723"/>
      <c r="AI95" s="4723"/>
      <c r="AJ95" s="4723"/>
      <c r="AK95" s="2654"/>
      <c r="AL95" s="2651"/>
    </row>
    <row r="96" spans="1:38" ht="12" customHeight="1" thickBot="1" x14ac:dyDescent="0.25">
      <c r="T96" s="2634"/>
      <c r="U96" s="2638"/>
      <c r="V96" s="4684"/>
      <c r="W96" s="4707" t="s">
        <v>2725</v>
      </c>
      <c r="X96" s="4707"/>
      <c r="Y96" s="4708"/>
      <c r="Z96" s="4708"/>
      <c r="AA96" s="4708"/>
      <c r="AB96" s="4708"/>
      <c r="AC96" s="4708"/>
      <c r="AD96" s="4708"/>
      <c r="AE96" s="4708"/>
      <c r="AF96" s="4708"/>
      <c r="AG96" s="4708"/>
      <c r="AH96" s="4708"/>
      <c r="AI96" s="4708"/>
      <c r="AJ96" s="4708"/>
      <c r="AK96" s="2654"/>
      <c r="AL96" s="2651"/>
    </row>
    <row r="97" spans="20:38" ht="12" customHeight="1" thickBot="1" x14ac:dyDescent="0.25">
      <c r="T97" s="2634"/>
      <c r="U97" s="2642"/>
      <c r="V97" s="4684"/>
      <c r="W97" s="3810" t="s">
        <v>2726</v>
      </c>
      <c r="X97" s="3810"/>
      <c r="Y97" s="4709"/>
      <c r="Z97" s="4709"/>
      <c r="AA97" s="4709"/>
      <c r="AB97" s="4709"/>
      <c r="AC97" s="4709"/>
      <c r="AD97" s="4709"/>
      <c r="AE97" s="4709"/>
      <c r="AF97" s="4709"/>
      <c r="AG97" s="4709"/>
      <c r="AH97" s="4709"/>
      <c r="AI97" s="4709"/>
      <c r="AJ97" s="4709"/>
      <c r="AK97" s="2654"/>
      <c r="AL97" s="2651"/>
    </row>
    <row r="98" spans="20:38" ht="12" customHeight="1" thickBot="1" x14ac:dyDescent="0.25">
      <c r="T98" s="2634"/>
      <c r="U98" s="2644"/>
      <c r="V98" s="2647"/>
      <c r="W98" s="2647"/>
      <c r="X98" s="2647"/>
      <c r="Y98" s="2647"/>
      <c r="Z98" s="2647"/>
      <c r="AA98" s="2647"/>
      <c r="AB98" s="2647"/>
      <c r="AC98" s="2647"/>
      <c r="AD98" s="2647"/>
      <c r="AE98" s="2647"/>
      <c r="AF98" s="2647"/>
      <c r="AG98" s="2647"/>
      <c r="AH98" s="2647"/>
      <c r="AI98" s="2647"/>
      <c r="AJ98" s="2647"/>
      <c r="AK98" s="2655"/>
      <c r="AL98" s="2651"/>
    </row>
    <row r="99" spans="20:38" ht="12" customHeight="1" x14ac:dyDescent="0.2">
      <c r="T99" s="2634"/>
      <c r="U99" s="2634"/>
      <c r="V99" s="2634"/>
      <c r="W99" s="2634"/>
      <c r="X99" s="2634"/>
      <c r="Y99" s="2634"/>
      <c r="Z99" s="2634"/>
      <c r="AA99" s="2634"/>
      <c r="AB99" s="2634"/>
      <c r="AC99" s="2634"/>
      <c r="AD99" s="2634"/>
      <c r="AE99" s="2634"/>
      <c r="AF99" s="2634"/>
      <c r="AG99" s="2634"/>
      <c r="AH99" s="2634"/>
      <c r="AI99" s="2634"/>
      <c r="AJ99" s="2634"/>
      <c r="AK99" s="2651"/>
      <c r="AL99" s="2651"/>
    </row>
    <row r="121" spans="44:44" ht="12" customHeight="1" x14ac:dyDescent="0.2">
      <c r="AR121" s="2646"/>
    </row>
    <row r="122" spans="44:44" ht="12" customHeight="1" thickBot="1" x14ac:dyDescent="0.25">
      <c r="AR122" s="2647"/>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OR(VLOOKUP($C45,Tabla_Elan,2,FALSE)&gt;$G$43,VLOOKUP($C45,Tabla_Elan,3,FALSE)=0)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Tabla_Cercanía_Dragón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 type="list" allowBlank="1" showInputMessage="1" showErrorMessage="1" xr:uid="{00000000-0002-0000-0100-000008000000}">
          <x14:formula1>
            <xm:f>Tablas!$L$98:$L$101</xm:f>
          </x14:formula1>
          <xm:sqref>AR6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911" zoomScaleNormal="100" workbookViewId="0">
      <selection activeCell="P933" sqref="P933"/>
    </sheetView>
  </sheetViews>
  <sheetFormatPr defaultColWidth="9.140625" defaultRowHeight="12.75" customHeight="1" x14ac:dyDescent="0.2"/>
  <cols>
    <col min="1" max="1" width="5.5703125" style="2180" customWidth="1"/>
    <col min="2" max="2" width="10.85546875" style="447" customWidth="1"/>
    <col min="3" max="3" width="11.7109375" style="447" customWidth="1"/>
    <col min="4" max="4" width="21.28515625" style="447" customWidth="1"/>
    <col min="5" max="7" width="10.7109375" style="447" customWidth="1"/>
    <col min="8" max="8" width="8.7109375" style="1855" customWidth="1"/>
    <col min="9" max="9" width="9" style="447" customWidth="1"/>
    <col min="10" max="12" width="10.7109375" style="447" customWidth="1"/>
    <col min="13" max="13" width="9.7109375" style="447" customWidth="1"/>
    <col min="14" max="14" width="10.7109375" style="2284" customWidth="1"/>
    <col min="15" max="16" width="10.7109375" style="447" customWidth="1"/>
    <col min="17" max="17" width="11.140625" style="447" customWidth="1"/>
    <col min="18" max="18" width="9.42578125" style="447" customWidth="1"/>
    <col min="19" max="19" width="10.85546875" style="447" customWidth="1"/>
    <col min="20" max="21" width="9.140625" style="447"/>
    <col min="22" max="22" width="9.140625" style="447" customWidth="1"/>
    <col min="23" max="23" width="10.7109375" style="447" customWidth="1"/>
    <col min="24" max="24" width="12.28515625" style="447" bestFit="1" customWidth="1"/>
    <col min="25" max="53" width="9.140625" style="447"/>
    <col min="54" max="54" width="9.85546875" style="447" customWidth="1"/>
    <col min="55" max="16384" width="9.140625" style="447"/>
  </cols>
  <sheetData>
    <row r="1" spans="1:80" ht="12.75" customHeight="1" thickBot="1" x14ac:dyDescent="0.25">
      <c r="A1" s="2180">
        <v>1</v>
      </c>
      <c r="B1" s="2180">
        <v>2</v>
      </c>
      <c r="C1" s="2180">
        <v>3</v>
      </c>
      <c r="D1" s="2180">
        <v>4</v>
      </c>
      <c r="E1" s="2180">
        <v>5</v>
      </c>
      <c r="F1" s="2180">
        <v>6</v>
      </c>
      <c r="G1" s="2180">
        <v>7</v>
      </c>
      <c r="H1" s="2180">
        <v>8</v>
      </c>
      <c r="I1" s="2180">
        <v>9</v>
      </c>
      <c r="J1" s="2180">
        <v>10</v>
      </c>
      <c r="K1" s="2180">
        <v>11</v>
      </c>
      <c r="L1" s="2180">
        <v>12</v>
      </c>
      <c r="M1" s="2180">
        <v>13</v>
      </c>
      <c r="N1" s="2180">
        <v>14</v>
      </c>
      <c r="O1" s="2180">
        <v>15</v>
      </c>
      <c r="P1" s="2180">
        <v>16</v>
      </c>
      <c r="Q1" s="2180">
        <v>17</v>
      </c>
      <c r="R1" s="2180">
        <v>18</v>
      </c>
      <c r="S1" s="2180">
        <v>19</v>
      </c>
      <c r="T1" s="2180">
        <v>20</v>
      </c>
      <c r="U1" s="2180">
        <v>21</v>
      </c>
      <c r="V1" s="2180">
        <v>22</v>
      </c>
      <c r="W1" s="2180">
        <v>23</v>
      </c>
      <c r="X1" s="2180">
        <v>24</v>
      </c>
      <c r="Y1" s="2180">
        <v>25</v>
      </c>
      <c r="Z1" s="2180">
        <v>26</v>
      </c>
      <c r="AA1" s="2180">
        <v>27</v>
      </c>
      <c r="AB1" s="2180">
        <v>28</v>
      </c>
      <c r="AC1" s="2180">
        <v>29</v>
      </c>
      <c r="AD1" s="2180">
        <v>30</v>
      </c>
      <c r="AE1" s="2180">
        <v>31</v>
      </c>
      <c r="AF1" s="2180">
        <v>32</v>
      </c>
      <c r="AG1" s="2180">
        <v>33</v>
      </c>
      <c r="AH1" s="2180">
        <v>34</v>
      </c>
      <c r="AI1" s="2180">
        <v>35</v>
      </c>
      <c r="AJ1" s="2180">
        <v>36</v>
      </c>
      <c r="AK1" s="2180">
        <v>37</v>
      </c>
      <c r="AL1" s="2180">
        <v>38</v>
      </c>
      <c r="AM1" s="2180">
        <v>39</v>
      </c>
      <c r="AN1" s="2180">
        <v>40</v>
      </c>
      <c r="AO1" s="2180">
        <v>41</v>
      </c>
      <c r="AP1" s="2180">
        <v>42</v>
      </c>
      <c r="AQ1" s="2180">
        <v>43</v>
      </c>
      <c r="AR1" s="2180">
        <v>44</v>
      </c>
      <c r="AS1" s="2180">
        <v>45</v>
      </c>
      <c r="AT1" s="2180">
        <v>46</v>
      </c>
      <c r="AU1" s="2180">
        <v>47</v>
      </c>
      <c r="AV1" s="2180">
        <v>48</v>
      </c>
      <c r="AW1" s="2180">
        <v>49</v>
      </c>
      <c r="AX1" s="2180">
        <v>50</v>
      </c>
      <c r="AY1" s="2180">
        <v>51</v>
      </c>
      <c r="AZ1" s="2180">
        <v>52</v>
      </c>
      <c r="BA1" s="2180">
        <v>53</v>
      </c>
      <c r="BB1" s="2180">
        <v>54</v>
      </c>
      <c r="BC1" s="2180">
        <v>55</v>
      </c>
      <c r="BD1" s="2180">
        <v>56</v>
      </c>
      <c r="BE1" s="2180">
        <v>57</v>
      </c>
      <c r="BF1" s="2180">
        <v>58</v>
      </c>
      <c r="BG1" s="2180">
        <v>59</v>
      </c>
      <c r="BH1" s="2180">
        <v>60</v>
      </c>
      <c r="BI1" s="2180">
        <v>61</v>
      </c>
      <c r="BJ1" s="2180">
        <v>62</v>
      </c>
      <c r="BK1" s="2180">
        <v>63</v>
      </c>
      <c r="BL1" s="2180">
        <v>64</v>
      </c>
      <c r="BM1" s="2180">
        <v>65</v>
      </c>
      <c r="BN1" s="2180">
        <v>66</v>
      </c>
      <c r="BO1" s="2180">
        <v>67</v>
      </c>
      <c r="BP1" s="2180">
        <v>68</v>
      </c>
      <c r="BQ1" s="2180">
        <v>69</v>
      </c>
      <c r="BR1" s="2180">
        <v>70</v>
      </c>
      <c r="BS1" s="2180">
        <v>71</v>
      </c>
      <c r="BT1" s="2180">
        <v>72</v>
      </c>
      <c r="BU1" s="2180">
        <v>73</v>
      </c>
      <c r="BV1" s="2180">
        <v>74</v>
      </c>
      <c r="BW1" s="2180">
        <v>75</v>
      </c>
      <c r="BX1" s="2180">
        <v>76</v>
      </c>
      <c r="BY1" s="2180">
        <v>77</v>
      </c>
      <c r="BZ1" s="2180">
        <v>78</v>
      </c>
      <c r="CA1" s="2180">
        <v>79</v>
      </c>
      <c r="CB1" s="2180">
        <v>80</v>
      </c>
    </row>
    <row r="2" spans="1:80" ht="12.75" customHeight="1" thickBot="1" x14ac:dyDescent="0.25">
      <c r="A2" s="2180">
        <v>2</v>
      </c>
      <c r="B2" s="4752" t="s">
        <v>2785</v>
      </c>
      <c r="C2" s="4752"/>
      <c r="D2" s="4752"/>
      <c r="E2" s="4752"/>
      <c r="F2" s="4752"/>
      <c r="G2" s="4752"/>
      <c r="H2" s="4752"/>
      <c r="I2" s="4752"/>
      <c r="J2" s="4752"/>
      <c r="K2" s="4752"/>
      <c r="L2" s="4752"/>
      <c r="M2" s="4752"/>
      <c r="N2" s="4752"/>
      <c r="O2" s="4752"/>
      <c r="P2" s="4752"/>
      <c r="Q2" s="4752"/>
      <c r="R2" s="4752"/>
      <c r="S2" s="4752"/>
      <c r="T2" s="4752"/>
      <c r="U2" s="4752"/>
      <c r="V2" s="4752"/>
      <c r="W2" s="4752"/>
      <c r="X2" s="4752"/>
      <c r="Y2" s="4752"/>
      <c r="Z2" s="4752"/>
      <c r="AA2" s="4752"/>
      <c r="AB2" s="4752"/>
      <c r="AC2" s="4752"/>
      <c r="AD2" s="4752"/>
      <c r="AE2" s="4752"/>
      <c r="AF2" s="4752"/>
      <c r="AG2" s="4752"/>
      <c r="AH2" s="4752"/>
      <c r="AI2" s="4752"/>
      <c r="AJ2" s="4752"/>
      <c r="AK2" s="4752"/>
      <c r="AL2" s="4752"/>
      <c r="AM2" s="4752"/>
      <c r="AN2" s="4752"/>
      <c r="AO2" s="4752"/>
      <c r="AP2" s="4752"/>
      <c r="AQ2" s="4752"/>
      <c r="AR2" s="4752"/>
      <c r="AS2" s="4752"/>
      <c r="AT2" s="4752"/>
      <c r="AU2" s="4752"/>
      <c r="AV2" s="4752"/>
      <c r="AW2" s="4752"/>
      <c r="AX2" s="4752"/>
      <c r="AY2" s="4752"/>
      <c r="AZ2" s="4752"/>
      <c r="BA2" s="4752"/>
      <c r="BB2" s="4752"/>
      <c r="BC2" s="4752"/>
      <c r="BD2" s="4752"/>
      <c r="BE2" s="4752"/>
    </row>
    <row r="3" spans="1:80" ht="12.75" customHeight="1" x14ac:dyDescent="0.2">
      <c r="A3" s="2180">
        <v>3</v>
      </c>
      <c r="B3" s="4752"/>
      <c r="C3" s="4752"/>
      <c r="D3" s="4752"/>
      <c r="E3" s="4752"/>
      <c r="F3" s="4752"/>
      <c r="G3" s="4752"/>
      <c r="H3" s="4752"/>
      <c r="I3" s="4752"/>
      <c r="J3" s="4752"/>
      <c r="K3" s="4752"/>
      <c r="L3" s="4752"/>
      <c r="M3" s="4752"/>
      <c r="N3" s="4752"/>
      <c r="O3" s="4752"/>
      <c r="P3" s="4752"/>
      <c r="Q3" s="4752"/>
      <c r="R3" s="4752"/>
      <c r="S3" s="4752"/>
      <c r="T3" s="4752"/>
      <c r="U3" s="4752"/>
      <c r="V3" s="4752"/>
      <c r="W3" s="4752"/>
      <c r="X3" s="4752"/>
      <c r="Y3" s="4752"/>
      <c r="Z3" s="4752"/>
      <c r="AA3" s="4752"/>
      <c r="AB3" s="4752"/>
      <c r="AC3" s="4752"/>
      <c r="AD3" s="4752"/>
      <c r="AE3" s="4752"/>
      <c r="AF3" s="4752"/>
      <c r="AG3" s="4752"/>
      <c r="AH3" s="4752"/>
      <c r="AI3" s="4752"/>
      <c r="AJ3" s="4752"/>
      <c r="AK3" s="4752"/>
      <c r="AL3" s="4752"/>
      <c r="AM3" s="4752"/>
      <c r="AN3" s="4752"/>
      <c r="AO3" s="4752"/>
      <c r="AP3" s="4752"/>
      <c r="AQ3" s="4752"/>
      <c r="AR3" s="4752"/>
      <c r="AS3" s="4752"/>
      <c r="AT3" s="4752"/>
      <c r="AU3" s="4752"/>
      <c r="AV3" s="4752"/>
      <c r="AW3" s="4752"/>
      <c r="AX3" s="4752"/>
      <c r="AY3" s="4752"/>
      <c r="AZ3" s="4752"/>
      <c r="BA3" s="4752"/>
      <c r="BB3" s="4752"/>
      <c r="BC3" s="4752"/>
      <c r="BD3" s="4752"/>
      <c r="BE3" s="4752"/>
    </row>
    <row r="4" spans="1:80" ht="12.75" customHeight="1" x14ac:dyDescent="0.2">
      <c r="A4" s="2181">
        <v>4</v>
      </c>
      <c r="B4" s="448"/>
      <c r="C4" s="2837">
        <v>1</v>
      </c>
      <c r="D4" s="2837">
        <v>2</v>
      </c>
      <c r="E4" s="2837">
        <v>3</v>
      </c>
      <c r="F4" s="2837">
        <v>4</v>
      </c>
      <c r="G4" s="2837">
        <v>5</v>
      </c>
      <c r="H4" s="1967">
        <v>6</v>
      </c>
      <c r="I4" s="2837">
        <v>7</v>
      </c>
      <c r="J4" s="2837">
        <v>8</v>
      </c>
      <c r="K4" s="2842">
        <v>9</v>
      </c>
      <c r="L4" s="2842">
        <v>10</v>
      </c>
      <c r="M4" s="2842">
        <v>11</v>
      </c>
      <c r="N4" s="2289">
        <v>12</v>
      </c>
      <c r="O4" s="2842">
        <v>13</v>
      </c>
      <c r="P4" s="2842">
        <v>14</v>
      </c>
      <c r="Q4" s="2842">
        <v>15</v>
      </c>
      <c r="R4" s="2842">
        <v>16</v>
      </c>
      <c r="S4" s="2842">
        <v>17</v>
      </c>
      <c r="T4" s="2842">
        <v>18</v>
      </c>
      <c r="U4" s="2842">
        <v>19</v>
      </c>
      <c r="V4" s="4821">
        <v>20</v>
      </c>
      <c r="W4" s="4821"/>
      <c r="X4" s="2842">
        <v>21</v>
      </c>
      <c r="Y4" s="4821">
        <v>22</v>
      </c>
      <c r="Z4" s="4821"/>
      <c r="AA4" s="2842">
        <v>23</v>
      </c>
      <c r="AB4" s="4821">
        <v>24</v>
      </c>
      <c r="AC4" s="4821"/>
      <c r="AD4" s="2842">
        <v>25</v>
      </c>
      <c r="AE4" s="4821">
        <v>26</v>
      </c>
      <c r="AF4" s="4821"/>
      <c r="AG4" s="2842">
        <v>27</v>
      </c>
      <c r="AH4" s="4821">
        <v>28</v>
      </c>
      <c r="AI4" s="4821"/>
      <c r="AJ4" s="2842">
        <v>29</v>
      </c>
      <c r="AK4" s="4821">
        <v>30</v>
      </c>
      <c r="AL4" s="4821"/>
      <c r="AM4" s="2842">
        <v>31</v>
      </c>
      <c r="AN4" s="4821">
        <v>32</v>
      </c>
      <c r="AO4" s="4821"/>
      <c r="AP4" s="2842">
        <v>33</v>
      </c>
      <c r="AQ4" s="4821">
        <v>34</v>
      </c>
      <c r="AR4" s="4821"/>
      <c r="AS4" s="2842">
        <v>35</v>
      </c>
      <c r="AT4" s="4821">
        <v>36</v>
      </c>
      <c r="AU4" s="4821"/>
      <c r="AV4" s="2842">
        <v>37</v>
      </c>
      <c r="AW4" s="4821">
        <v>38</v>
      </c>
      <c r="AX4" s="4821"/>
      <c r="AY4" s="2842">
        <v>39</v>
      </c>
      <c r="AZ4" s="4821">
        <v>40</v>
      </c>
      <c r="BA4" s="4821"/>
      <c r="BB4" s="2842">
        <v>41</v>
      </c>
      <c r="BC4" s="4821">
        <v>42</v>
      </c>
      <c r="BD4" s="4821"/>
      <c r="BE4" s="451">
        <v>43</v>
      </c>
    </row>
    <row r="5" spans="1:80" ht="13.5" customHeight="1" thickBot="1" x14ac:dyDescent="0.25">
      <c r="A5" s="2181">
        <v>5</v>
      </c>
      <c r="B5" s="2844" t="s">
        <v>9913</v>
      </c>
      <c r="C5" s="2843" t="s">
        <v>2307</v>
      </c>
      <c r="D5" s="2843" t="s">
        <v>2313</v>
      </c>
      <c r="E5" s="2843" t="s">
        <v>2315</v>
      </c>
      <c r="F5" s="2843" t="s">
        <v>2317</v>
      </c>
      <c r="G5" s="2843" t="s">
        <v>2319</v>
      </c>
      <c r="H5" s="1968" t="s">
        <v>2321</v>
      </c>
      <c r="I5" s="2843" t="s">
        <v>2786</v>
      </c>
      <c r="J5" s="2843" t="s">
        <v>2226</v>
      </c>
      <c r="K5" s="2843" t="s">
        <v>2354</v>
      </c>
      <c r="L5" s="2843" t="s">
        <v>2231</v>
      </c>
      <c r="M5" s="2843" t="s">
        <v>2236</v>
      </c>
      <c r="N5" s="1968" t="s">
        <v>2239</v>
      </c>
      <c r="O5" s="2843" t="s">
        <v>2242</v>
      </c>
      <c r="P5" s="2843" t="s">
        <v>2244</v>
      </c>
      <c r="Q5" s="2843" t="s">
        <v>2245</v>
      </c>
      <c r="R5" s="2843" t="s">
        <v>2787</v>
      </c>
      <c r="S5" s="2843" t="s">
        <v>2221</v>
      </c>
      <c r="T5" s="2843" t="s">
        <v>2241</v>
      </c>
      <c r="U5" s="2843" t="s">
        <v>2788</v>
      </c>
      <c r="V5" s="4822" t="s">
        <v>2789</v>
      </c>
      <c r="W5" s="4822"/>
      <c r="X5" s="2843" t="s">
        <v>2790</v>
      </c>
      <c r="Y5" s="4822" t="s">
        <v>2791</v>
      </c>
      <c r="Z5" s="4822"/>
      <c r="AA5" s="2843" t="s">
        <v>2790</v>
      </c>
      <c r="AB5" s="4822" t="s">
        <v>2792</v>
      </c>
      <c r="AC5" s="4822"/>
      <c r="AD5" s="2843" t="s">
        <v>2790</v>
      </c>
      <c r="AE5" s="4822" t="s">
        <v>2793</v>
      </c>
      <c r="AF5" s="4822"/>
      <c r="AG5" s="2843" t="s">
        <v>2790</v>
      </c>
      <c r="AH5" s="4822" t="s">
        <v>2794</v>
      </c>
      <c r="AI5" s="4822"/>
      <c r="AJ5" s="2843" t="s">
        <v>2790</v>
      </c>
      <c r="AK5" s="4822" t="s">
        <v>2795</v>
      </c>
      <c r="AL5" s="4822"/>
      <c r="AM5" s="2843" t="s">
        <v>2790</v>
      </c>
      <c r="AN5" s="4822" t="s">
        <v>2796</v>
      </c>
      <c r="AO5" s="4822"/>
      <c r="AP5" s="2843" t="s">
        <v>2790</v>
      </c>
      <c r="AQ5" s="4822" t="s">
        <v>2797</v>
      </c>
      <c r="AR5" s="4822"/>
      <c r="AS5" s="2843" t="s">
        <v>2790</v>
      </c>
      <c r="AT5" s="4822" t="s">
        <v>2798</v>
      </c>
      <c r="AU5" s="4822"/>
      <c r="AV5" s="2843" t="s">
        <v>2790</v>
      </c>
      <c r="AW5" s="4822" t="s">
        <v>2799</v>
      </c>
      <c r="AX5" s="4822"/>
      <c r="AY5" s="2843" t="s">
        <v>2790</v>
      </c>
      <c r="AZ5" s="4822" t="s">
        <v>2800</v>
      </c>
      <c r="BA5" s="4822"/>
      <c r="BB5" s="2843" t="s">
        <v>2790</v>
      </c>
      <c r="BC5" s="4822" t="s">
        <v>2801</v>
      </c>
      <c r="BD5" s="4822"/>
      <c r="BE5" s="454" t="s">
        <v>2790</v>
      </c>
    </row>
    <row r="6" spans="1:80" ht="12.75" customHeight="1" x14ac:dyDescent="0.2">
      <c r="A6" s="2181">
        <v>6</v>
      </c>
      <c r="B6" s="2878" t="str">
        <f t="shared" ref="B6:B26" si="0">IF(OR(Nephilim=C6,Raza=C6),1,"")</f>
        <v/>
      </c>
      <c r="C6" s="2929" t="s">
        <v>2803</v>
      </c>
      <c r="D6" s="457">
        <v>5</v>
      </c>
      <c r="E6" s="457">
        <v>20</v>
      </c>
      <c r="F6" s="457">
        <v>5</v>
      </c>
      <c r="G6" s="457">
        <v>10</v>
      </c>
      <c r="H6" s="458">
        <v>10</v>
      </c>
      <c r="I6" s="459"/>
      <c r="J6" s="383">
        <v>0</v>
      </c>
      <c r="K6" s="456">
        <v>0</v>
      </c>
      <c r="L6" s="383">
        <v>0</v>
      </c>
      <c r="M6" s="456">
        <v>0</v>
      </c>
      <c r="N6" s="383">
        <v>0</v>
      </c>
      <c r="O6" s="383">
        <v>0</v>
      </c>
      <c r="P6" s="383">
        <v>0</v>
      </c>
      <c r="Q6" s="460">
        <v>0</v>
      </c>
      <c r="R6" s="383">
        <v>0</v>
      </c>
      <c r="S6" s="383">
        <v>1</v>
      </c>
      <c r="T6" s="383"/>
      <c r="U6" s="456"/>
      <c r="V6" s="2924" t="s">
        <v>9762</v>
      </c>
      <c r="W6" s="2924"/>
      <c r="X6" s="2925">
        <v>1</v>
      </c>
      <c r="Y6" s="56" t="s">
        <v>9763</v>
      </c>
      <c r="Z6" s="56"/>
      <c r="AA6" s="2925"/>
      <c r="AB6" s="56" t="s">
        <v>2804</v>
      </c>
      <c r="AC6" s="56"/>
      <c r="AD6" s="2925">
        <v>1</v>
      </c>
      <c r="AE6" s="56" t="s">
        <v>2805</v>
      </c>
      <c r="AF6" s="56"/>
      <c r="AG6" s="2925"/>
      <c r="AH6" s="56" t="s">
        <v>2806</v>
      </c>
      <c r="AI6" s="56"/>
      <c r="AJ6" s="2925"/>
      <c r="AK6" s="56" t="s">
        <v>2807</v>
      </c>
      <c r="AL6" s="56"/>
      <c r="AM6" s="2925"/>
      <c r="AN6" s="56"/>
      <c r="AO6" s="56"/>
      <c r="AP6" s="2925"/>
      <c r="AQ6" s="56"/>
      <c r="AR6" s="56"/>
      <c r="AS6" s="2925"/>
      <c r="AT6" s="56"/>
      <c r="AU6" s="56"/>
      <c r="AV6" s="2925"/>
      <c r="AW6" s="56"/>
      <c r="AX6" s="56"/>
      <c r="AY6" s="2925"/>
      <c r="AZ6" s="56"/>
      <c r="BA6" s="56"/>
      <c r="BB6" s="2925"/>
      <c r="BC6" s="56"/>
      <c r="BD6" s="56"/>
      <c r="BE6" s="2926"/>
    </row>
    <row r="7" spans="1:80" ht="12.75" customHeight="1" x14ac:dyDescent="0.2">
      <c r="A7" s="2181">
        <v>7</v>
      </c>
      <c r="B7" s="2878" t="str">
        <f t="shared" si="0"/>
        <v/>
      </c>
      <c r="C7" s="2929" t="s">
        <v>2808</v>
      </c>
      <c r="D7" s="457">
        <v>15</v>
      </c>
      <c r="E7" s="457"/>
      <c r="F7" s="457"/>
      <c r="G7" s="457">
        <v>-10</v>
      </c>
      <c r="H7" s="458"/>
      <c r="I7" s="459"/>
      <c r="J7" s="457">
        <v>0</v>
      </c>
      <c r="K7" s="456">
        <v>0</v>
      </c>
      <c r="L7" s="383">
        <v>0</v>
      </c>
      <c r="M7" s="457">
        <v>1</v>
      </c>
      <c r="N7" s="457">
        <v>0</v>
      </c>
      <c r="O7" s="457">
        <v>0</v>
      </c>
      <c r="P7" s="457">
        <v>0</v>
      </c>
      <c r="Q7" s="458">
        <v>0</v>
      </c>
      <c r="R7" s="457">
        <v>2</v>
      </c>
      <c r="S7" s="457"/>
      <c r="T7" s="457">
        <v>1</v>
      </c>
      <c r="U7" s="456"/>
      <c r="V7" s="2924" t="s">
        <v>2809</v>
      </c>
      <c r="W7" s="2924"/>
      <c r="X7" s="2925">
        <v>1</v>
      </c>
      <c r="Y7" s="56" t="s">
        <v>2810</v>
      </c>
      <c r="Z7" s="56"/>
      <c r="AA7" s="2925">
        <v>1</v>
      </c>
      <c r="AB7" s="56" t="s">
        <v>2811</v>
      </c>
      <c r="AC7" s="56"/>
      <c r="AD7" s="2925">
        <v>1</v>
      </c>
      <c r="AE7" s="56" t="s">
        <v>2812</v>
      </c>
      <c r="AF7" s="56"/>
      <c r="AG7" s="2925">
        <v>1</v>
      </c>
      <c r="AH7" s="56" t="s">
        <v>2813</v>
      </c>
      <c r="AI7" s="56"/>
      <c r="AJ7" s="2925"/>
      <c r="AK7" s="56" t="s">
        <v>2814</v>
      </c>
      <c r="AL7" s="56"/>
      <c r="AM7" s="2925">
        <v>1</v>
      </c>
      <c r="AN7" s="56" t="s">
        <v>2815</v>
      </c>
      <c r="AO7" s="56"/>
      <c r="AP7" s="2925"/>
      <c r="AQ7" s="56"/>
      <c r="AR7" s="56"/>
      <c r="AS7" s="2925"/>
      <c r="AT7" s="56"/>
      <c r="AU7" s="56"/>
      <c r="AV7" s="2925"/>
      <c r="AW7" s="56"/>
      <c r="AX7" s="56"/>
      <c r="AY7" s="2925"/>
      <c r="AZ7" s="56"/>
      <c r="BA7" s="56"/>
      <c r="BB7" s="2925"/>
      <c r="BC7" s="56"/>
      <c r="BD7" s="56"/>
      <c r="BE7" s="2926"/>
    </row>
    <row r="8" spans="1:80" ht="12.75" customHeight="1" x14ac:dyDescent="0.2">
      <c r="A8" s="2181">
        <v>8</v>
      </c>
      <c r="B8" s="2878" t="str">
        <f t="shared" si="0"/>
        <v/>
      </c>
      <c r="C8" s="2929" t="s">
        <v>2816</v>
      </c>
      <c r="D8" s="457"/>
      <c r="E8" s="457"/>
      <c r="F8" s="457"/>
      <c r="G8" s="457"/>
      <c r="H8" s="458"/>
      <c r="I8" s="459"/>
      <c r="J8" s="457">
        <v>0</v>
      </c>
      <c r="K8" s="456">
        <v>0</v>
      </c>
      <c r="L8" s="383">
        <v>0</v>
      </c>
      <c r="M8" s="457">
        <v>0</v>
      </c>
      <c r="N8" s="457">
        <v>0</v>
      </c>
      <c r="O8" s="457">
        <v>0</v>
      </c>
      <c r="P8" s="457">
        <v>0</v>
      </c>
      <c r="Q8" s="458">
        <v>0</v>
      </c>
      <c r="R8" s="457">
        <v>0</v>
      </c>
      <c r="S8" s="457"/>
      <c r="T8" s="457"/>
      <c r="U8" s="456"/>
      <c r="V8" s="2924" t="s">
        <v>2817</v>
      </c>
      <c r="W8" s="2924"/>
      <c r="X8" s="2925">
        <v>2</v>
      </c>
      <c r="Y8" s="56" t="s">
        <v>2818</v>
      </c>
      <c r="Z8" s="56"/>
      <c r="AA8" s="2925"/>
      <c r="AB8" s="56" t="s">
        <v>2819</v>
      </c>
      <c r="AC8" s="56"/>
      <c r="AD8" s="2925"/>
      <c r="AE8" s="56" t="s">
        <v>2820</v>
      </c>
      <c r="AF8" s="56"/>
      <c r="AG8" s="2925"/>
      <c r="AH8" s="56" t="s">
        <v>2821</v>
      </c>
      <c r="AI8" s="56"/>
      <c r="AJ8" s="2925"/>
      <c r="AK8" s="56" t="s">
        <v>2815</v>
      </c>
      <c r="AL8" s="56"/>
      <c r="AM8" s="2925"/>
      <c r="AN8" s="56"/>
      <c r="AO8" s="56"/>
      <c r="AP8" s="2925"/>
      <c r="AQ8" s="56"/>
      <c r="AR8" s="56"/>
      <c r="AS8" s="2925"/>
      <c r="AT8" s="56"/>
      <c r="AU8" s="56"/>
      <c r="AV8" s="2925"/>
      <c r="AW8" s="56"/>
      <c r="AX8" s="56"/>
      <c r="AY8" s="2925"/>
      <c r="AZ8" s="56"/>
      <c r="BA8" s="56"/>
      <c r="BB8" s="2925"/>
      <c r="BC8" s="56"/>
      <c r="BD8" s="56"/>
      <c r="BE8" s="2926"/>
    </row>
    <row r="9" spans="1:80" ht="12.75" customHeight="1" x14ac:dyDescent="0.2">
      <c r="A9" s="2181">
        <v>9</v>
      </c>
      <c r="B9" s="2878" t="str">
        <f t="shared" si="0"/>
        <v/>
      </c>
      <c r="C9" s="2929" t="s">
        <v>2822</v>
      </c>
      <c r="D9" s="2931"/>
      <c r="E9" s="2931"/>
      <c r="F9" s="2931"/>
      <c r="G9" s="2931"/>
      <c r="H9" s="2932"/>
      <c r="I9" s="2933"/>
      <c r="J9" s="457">
        <v>0</v>
      </c>
      <c r="K9" s="456">
        <v>0</v>
      </c>
      <c r="L9" s="383">
        <v>0</v>
      </c>
      <c r="M9" s="457">
        <v>0</v>
      </c>
      <c r="N9" s="457">
        <v>0</v>
      </c>
      <c r="O9" s="457">
        <v>0</v>
      </c>
      <c r="P9" s="457">
        <v>0</v>
      </c>
      <c r="Q9" s="458">
        <v>0</v>
      </c>
      <c r="R9" s="457">
        <v>0</v>
      </c>
      <c r="S9" s="457"/>
      <c r="T9" s="457"/>
      <c r="U9" s="456"/>
      <c r="V9" s="2924" t="s">
        <v>2823</v>
      </c>
      <c r="W9" s="2924"/>
      <c r="X9" s="2925"/>
      <c r="Y9" s="56" t="s">
        <v>2824</v>
      </c>
      <c r="Z9" s="56"/>
      <c r="AA9" s="2925"/>
      <c r="AB9" s="56" t="s">
        <v>2825</v>
      </c>
      <c r="AC9" s="56"/>
      <c r="AD9" s="2925"/>
      <c r="AE9" s="56" t="s">
        <v>2815</v>
      </c>
      <c r="AF9" s="56"/>
      <c r="AG9" s="2925"/>
      <c r="AH9" s="56"/>
      <c r="AI9" s="56"/>
      <c r="AJ9" s="2925"/>
      <c r="AK9" s="56"/>
      <c r="AL9" s="56"/>
      <c r="AM9" s="2925"/>
      <c r="AN9" s="56"/>
      <c r="AO9" s="56"/>
      <c r="AP9" s="2925"/>
      <c r="AQ9" s="56"/>
      <c r="AR9" s="56"/>
      <c r="AS9" s="2925"/>
      <c r="AT9" s="56"/>
      <c r="AU9" s="56"/>
      <c r="AV9" s="2925"/>
      <c r="AW9" s="56"/>
      <c r="AX9" s="56"/>
      <c r="AY9" s="2925"/>
      <c r="AZ9" s="56"/>
      <c r="BA9" s="56"/>
      <c r="BB9" s="2925"/>
      <c r="BC9" s="56"/>
      <c r="BD9" s="56"/>
      <c r="BE9" s="2926"/>
    </row>
    <row r="10" spans="1:80" ht="12.75" customHeight="1" x14ac:dyDescent="0.2">
      <c r="A10" s="2180">
        <v>10</v>
      </c>
      <c r="B10" s="2878" t="str">
        <f t="shared" si="0"/>
        <v/>
      </c>
      <c r="C10" s="2929" t="s">
        <v>2826</v>
      </c>
      <c r="D10" s="457"/>
      <c r="E10" s="457"/>
      <c r="F10" s="457"/>
      <c r="G10" s="457"/>
      <c r="H10" s="458"/>
      <c r="I10" s="459"/>
      <c r="J10" s="457">
        <v>0</v>
      </c>
      <c r="K10" s="456">
        <v>0</v>
      </c>
      <c r="L10" s="383">
        <v>0</v>
      </c>
      <c r="M10" s="457">
        <v>0</v>
      </c>
      <c r="N10" s="457">
        <v>0</v>
      </c>
      <c r="O10" s="457">
        <v>0</v>
      </c>
      <c r="P10" s="457">
        <v>0</v>
      </c>
      <c r="Q10" s="458">
        <v>0</v>
      </c>
      <c r="R10" s="457">
        <v>-1</v>
      </c>
      <c r="S10" s="457"/>
      <c r="T10" s="457"/>
      <c r="U10" s="456"/>
      <c r="V10" s="2924" t="s">
        <v>2827</v>
      </c>
      <c r="W10" s="2924"/>
      <c r="X10" s="2925"/>
      <c r="Y10" s="56" t="s">
        <v>9764</v>
      </c>
      <c r="Z10" s="56"/>
      <c r="AA10" s="2925"/>
      <c r="AB10" s="56" t="s">
        <v>2829</v>
      </c>
      <c r="AC10" s="56"/>
      <c r="AD10" s="2925">
        <v>1</v>
      </c>
      <c r="AE10" s="56" t="s">
        <v>2830</v>
      </c>
      <c r="AF10" s="56"/>
      <c r="AG10" s="2925"/>
      <c r="AH10" s="56" t="s">
        <v>2831</v>
      </c>
      <c r="AI10" s="56"/>
      <c r="AJ10" s="2925"/>
      <c r="AK10" s="56" t="s">
        <v>2832</v>
      </c>
      <c r="AL10" s="56"/>
      <c r="AM10" s="2925"/>
      <c r="AN10" s="56"/>
      <c r="AO10" s="56"/>
      <c r="AP10" s="2925"/>
      <c r="AQ10" s="56"/>
      <c r="AR10" s="56"/>
      <c r="AS10" s="2925"/>
      <c r="AT10" s="56"/>
      <c r="AU10" s="56"/>
      <c r="AV10" s="2925"/>
      <c r="AW10" s="56"/>
      <c r="AX10" s="56"/>
      <c r="AY10" s="2925"/>
      <c r="AZ10" s="56"/>
      <c r="BA10" s="56"/>
      <c r="BB10" s="2925"/>
      <c r="BC10" s="56"/>
      <c r="BD10" s="56"/>
      <c r="BE10" s="2926"/>
    </row>
    <row r="11" spans="1:80" ht="12.75" customHeight="1" x14ac:dyDescent="0.2">
      <c r="A11" s="2180">
        <v>11</v>
      </c>
      <c r="B11" s="2878" t="str">
        <f t="shared" si="0"/>
        <v/>
      </c>
      <c r="C11" s="2929" t="s">
        <v>2833</v>
      </c>
      <c r="D11" s="457">
        <v>20</v>
      </c>
      <c r="E11" s="457">
        <v>15</v>
      </c>
      <c r="F11" s="457">
        <v>15</v>
      </c>
      <c r="G11" s="457">
        <v>15</v>
      </c>
      <c r="H11" s="458">
        <v>15</v>
      </c>
      <c r="I11" s="459"/>
      <c r="J11" s="457">
        <v>0</v>
      </c>
      <c r="K11" s="456">
        <v>0</v>
      </c>
      <c r="L11" s="383">
        <v>0</v>
      </c>
      <c r="M11" s="457">
        <v>0</v>
      </c>
      <c r="N11" s="457">
        <v>0</v>
      </c>
      <c r="O11" s="457">
        <v>0</v>
      </c>
      <c r="P11" s="457">
        <v>0</v>
      </c>
      <c r="Q11" s="458">
        <v>0</v>
      </c>
      <c r="R11" s="457">
        <v>0</v>
      </c>
      <c r="S11" s="457">
        <v>1</v>
      </c>
      <c r="T11" s="457"/>
      <c r="U11" s="456"/>
      <c r="V11" s="2924" t="s">
        <v>9762</v>
      </c>
      <c r="W11" s="2924"/>
      <c r="X11" s="2925">
        <v>1</v>
      </c>
      <c r="Y11" s="56" t="s">
        <v>9761</v>
      </c>
      <c r="Z11" s="56"/>
      <c r="AA11" s="2925"/>
      <c r="AB11" s="56" t="s">
        <v>2834</v>
      </c>
      <c r="AC11" s="56"/>
      <c r="AD11" s="2925"/>
      <c r="AE11" s="56" t="s">
        <v>2804</v>
      </c>
      <c r="AF11" s="56"/>
      <c r="AG11" s="2925">
        <v>1</v>
      </c>
      <c r="AH11" s="56" t="s">
        <v>2835</v>
      </c>
      <c r="AI11" s="56"/>
      <c r="AJ11" s="2925"/>
      <c r="AK11" s="56" t="s">
        <v>2806</v>
      </c>
      <c r="AL11" s="56"/>
      <c r="AM11" s="2925"/>
      <c r="AN11" s="56" t="s">
        <v>2836</v>
      </c>
      <c r="AO11" s="56"/>
      <c r="AP11" s="2925"/>
      <c r="AQ11" s="56" t="s">
        <v>2837</v>
      </c>
      <c r="AR11" s="56"/>
      <c r="AS11" s="2925"/>
      <c r="AT11" s="56" t="s">
        <v>2838</v>
      </c>
      <c r="AU11" s="56"/>
      <c r="AV11" s="2925"/>
      <c r="AW11" s="56" t="s">
        <v>2839</v>
      </c>
      <c r="AX11" s="56"/>
      <c r="AY11" s="2925"/>
      <c r="AZ11" s="56" t="s">
        <v>2840</v>
      </c>
      <c r="BA11" s="56"/>
      <c r="BB11" s="2925"/>
      <c r="BC11" s="56"/>
      <c r="BD11" s="56"/>
      <c r="BE11" s="2926"/>
    </row>
    <row r="12" spans="1:80" ht="12.75" customHeight="1" x14ac:dyDescent="0.2">
      <c r="A12" s="2180">
        <v>12</v>
      </c>
      <c r="B12" s="2878" t="str">
        <f t="shared" si="0"/>
        <v/>
      </c>
      <c r="C12" s="2929" t="s">
        <v>9903</v>
      </c>
      <c r="D12" s="457">
        <v>-10</v>
      </c>
      <c r="E12" s="457">
        <v>-10</v>
      </c>
      <c r="F12" s="457"/>
      <c r="G12" s="457"/>
      <c r="H12" s="458"/>
      <c r="I12" s="459"/>
      <c r="J12" s="457">
        <v>0</v>
      </c>
      <c r="K12" s="456">
        <v>0</v>
      </c>
      <c r="L12" s="383">
        <v>0</v>
      </c>
      <c r="M12" s="457">
        <v>0</v>
      </c>
      <c r="N12" s="457">
        <v>0</v>
      </c>
      <c r="O12" s="457">
        <v>0</v>
      </c>
      <c r="P12" s="457">
        <v>0</v>
      </c>
      <c r="Q12" s="458">
        <v>0</v>
      </c>
      <c r="R12" s="457">
        <v>0</v>
      </c>
      <c r="S12" s="457"/>
      <c r="T12" s="457"/>
      <c r="U12" s="456"/>
      <c r="V12" s="2924" t="s">
        <v>2841</v>
      </c>
      <c r="W12" s="2924"/>
      <c r="X12" s="2925"/>
      <c r="Y12" s="2924" t="s">
        <v>2842</v>
      </c>
      <c r="Z12" s="2924"/>
      <c r="AA12" s="2925"/>
      <c r="AB12" s="2924" t="s">
        <v>2843</v>
      </c>
      <c r="AC12" s="2924"/>
      <c r="AD12" s="2925">
        <v>1</v>
      </c>
      <c r="AE12" s="2924" t="s">
        <v>2844</v>
      </c>
      <c r="AF12" s="2924"/>
      <c r="AG12" s="2925">
        <v>1</v>
      </c>
      <c r="AH12" s="2924" t="s">
        <v>2845</v>
      </c>
      <c r="AI12" s="2924"/>
      <c r="AJ12" s="2925"/>
      <c r="AK12" s="56"/>
      <c r="AL12" s="56"/>
      <c r="AM12" s="2925"/>
      <c r="AN12" s="56"/>
      <c r="AO12" s="56"/>
      <c r="AP12" s="2925"/>
      <c r="AQ12" s="56"/>
      <c r="AR12" s="56"/>
      <c r="AS12" s="2925"/>
      <c r="AT12" s="56"/>
      <c r="AU12" s="56"/>
      <c r="AV12" s="2925"/>
      <c r="AW12" s="56"/>
      <c r="AX12" s="56"/>
      <c r="AY12" s="2925"/>
      <c r="AZ12" s="56"/>
      <c r="BA12" s="56"/>
      <c r="BB12" s="2925"/>
      <c r="BC12" s="56"/>
      <c r="BD12" s="56"/>
      <c r="BE12" s="2926"/>
    </row>
    <row r="13" spans="1:80" ht="12.75" customHeight="1" x14ac:dyDescent="0.2">
      <c r="A13" s="2181">
        <v>13</v>
      </c>
      <c r="B13" s="2878" t="str">
        <f t="shared" si="0"/>
        <v/>
      </c>
      <c r="C13" s="2929" t="s">
        <v>2846</v>
      </c>
      <c r="D13" s="457"/>
      <c r="E13" s="457">
        <v>-20</v>
      </c>
      <c r="F13" s="457"/>
      <c r="G13" s="457"/>
      <c r="H13" s="458"/>
      <c r="I13" s="459"/>
      <c r="J13" s="457">
        <v>0</v>
      </c>
      <c r="K13" s="456">
        <v>0</v>
      </c>
      <c r="L13" s="383">
        <v>0</v>
      </c>
      <c r="M13" s="457">
        <v>0</v>
      </c>
      <c r="N13" s="457">
        <v>0</v>
      </c>
      <c r="O13" s="457">
        <v>0</v>
      </c>
      <c r="P13" s="457">
        <v>0</v>
      </c>
      <c r="Q13" s="458">
        <v>0</v>
      </c>
      <c r="R13" s="457">
        <v>0</v>
      </c>
      <c r="S13" s="457"/>
      <c r="T13" s="457"/>
      <c r="U13" s="456"/>
      <c r="V13" s="2924" t="s">
        <v>2847</v>
      </c>
      <c r="W13" s="2924"/>
      <c r="X13" s="2925"/>
      <c r="Y13" s="2924" t="s">
        <v>2848</v>
      </c>
      <c r="Z13" s="2924"/>
      <c r="AA13" s="2925"/>
      <c r="AB13" s="2924" t="s">
        <v>2804</v>
      </c>
      <c r="AC13" s="2924"/>
      <c r="AD13" s="2925"/>
      <c r="AE13" s="2924" t="s">
        <v>2849</v>
      </c>
      <c r="AF13" s="2924"/>
      <c r="AG13" s="2925"/>
      <c r="AH13" s="2924" t="s">
        <v>2850</v>
      </c>
      <c r="AI13" s="2924"/>
      <c r="AJ13" s="2925"/>
      <c r="AK13" s="2924" t="s">
        <v>2851</v>
      </c>
      <c r="AL13" s="2924"/>
      <c r="AM13" s="2925">
        <v>1</v>
      </c>
      <c r="AN13" s="2924" t="s">
        <v>2845</v>
      </c>
      <c r="AO13" s="2924"/>
      <c r="AP13" s="2925"/>
      <c r="AQ13" s="56"/>
      <c r="AR13" s="56"/>
      <c r="AS13" s="2925"/>
      <c r="AT13" s="56"/>
      <c r="AU13" s="56"/>
      <c r="AV13" s="2925"/>
      <c r="AW13" s="56"/>
      <c r="AX13" s="56"/>
      <c r="AY13" s="2925"/>
      <c r="AZ13" s="56"/>
      <c r="BA13" s="56"/>
      <c r="BB13" s="2925"/>
      <c r="BC13" s="56"/>
      <c r="BD13" s="56"/>
      <c r="BE13" s="2926"/>
    </row>
    <row r="14" spans="1:80" ht="12.75" customHeight="1" x14ac:dyDescent="0.2">
      <c r="A14" s="2181">
        <v>14</v>
      </c>
      <c r="B14" s="2878" t="str">
        <f t="shared" si="0"/>
        <v/>
      </c>
      <c r="C14" s="2929" t="s">
        <v>2852</v>
      </c>
      <c r="D14" s="457"/>
      <c r="E14" s="457"/>
      <c r="F14" s="457"/>
      <c r="G14" s="457"/>
      <c r="H14" s="458"/>
      <c r="I14" s="459"/>
      <c r="J14" s="457">
        <v>0</v>
      </c>
      <c r="K14" s="456">
        <v>0</v>
      </c>
      <c r="L14" s="383">
        <v>0</v>
      </c>
      <c r="M14" s="457">
        <v>0</v>
      </c>
      <c r="N14" s="457">
        <v>0</v>
      </c>
      <c r="O14" s="457">
        <v>0</v>
      </c>
      <c r="P14" s="457">
        <v>0</v>
      </c>
      <c r="Q14" s="458">
        <v>0</v>
      </c>
      <c r="R14" s="457">
        <v>0</v>
      </c>
      <c r="S14" s="457"/>
      <c r="T14" s="457"/>
      <c r="U14" s="456"/>
      <c r="V14" s="4770" t="s">
        <v>2853</v>
      </c>
      <c r="W14" s="4770"/>
      <c r="X14" s="2925">
        <v>1</v>
      </c>
      <c r="Y14" s="4824" t="s">
        <v>2854</v>
      </c>
      <c r="Z14" s="4824"/>
      <c r="AA14" s="2925"/>
      <c r="AB14" s="4824">
        <f>IF(TipoDeCriatura="Natural",MAX(Principal!AB13-IF(Raza=0,0,VLOOKUP(Raza,Tablas!$C$6:$U$26,19,FALSE)),0),"-")</f>
        <v>5</v>
      </c>
      <c r="AC14" s="4824"/>
      <c r="AD14" s="2925">
        <v>1</v>
      </c>
      <c r="AE14" s="4824" t="s">
        <v>2855</v>
      </c>
      <c r="AF14" s="4824"/>
      <c r="AG14" s="2925">
        <v>1</v>
      </c>
      <c r="AH14" s="4769" t="s">
        <v>2815</v>
      </c>
      <c r="AI14" s="4769"/>
      <c r="AJ14" s="2925"/>
      <c r="AK14" s="4824"/>
      <c r="AL14" s="4824"/>
      <c r="AM14" s="2925"/>
      <c r="AN14" s="4824"/>
      <c r="AO14" s="4824"/>
      <c r="AP14" s="2925"/>
      <c r="AQ14" s="4823"/>
      <c r="AR14" s="4823"/>
      <c r="AS14" s="2925"/>
      <c r="AT14" s="4823"/>
      <c r="AU14" s="4823"/>
      <c r="AV14" s="2925"/>
      <c r="AW14" s="4823"/>
      <c r="AX14" s="4823"/>
      <c r="AY14" s="2925"/>
      <c r="AZ14" s="4823"/>
      <c r="BA14" s="4823"/>
      <c r="BB14" s="2925"/>
      <c r="BC14" s="4823"/>
      <c r="BD14" s="4823"/>
      <c r="BE14" s="2926"/>
    </row>
    <row r="15" spans="1:80" ht="12.75" customHeight="1" x14ac:dyDescent="0.2">
      <c r="A15" s="2181">
        <v>15</v>
      </c>
      <c r="B15" s="2878" t="str">
        <f t="shared" si="0"/>
        <v/>
      </c>
      <c r="C15" s="2929" t="s">
        <v>2802</v>
      </c>
      <c r="D15" s="457"/>
      <c r="E15" s="457"/>
      <c r="F15" s="457"/>
      <c r="G15" s="457"/>
      <c r="H15" s="458"/>
      <c r="I15" s="459"/>
      <c r="J15" s="457">
        <v>0</v>
      </c>
      <c r="K15" s="456">
        <v>0</v>
      </c>
      <c r="L15" s="383">
        <v>0</v>
      </c>
      <c r="M15" s="457">
        <v>0</v>
      </c>
      <c r="N15" s="457">
        <v>0</v>
      </c>
      <c r="O15" s="457">
        <v>0</v>
      </c>
      <c r="P15" s="457">
        <v>0</v>
      </c>
      <c r="Q15" s="458">
        <v>0</v>
      </c>
      <c r="R15" s="457">
        <v>0</v>
      </c>
      <c r="S15" s="457"/>
      <c r="T15" s="457"/>
      <c r="U15" s="456"/>
      <c r="V15" s="4770"/>
      <c r="W15" s="4770"/>
      <c r="X15" s="2925"/>
      <c r="Y15" s="4824"/>
      <c r="Z15" s="4824"/>
      <c r="AA15" s="2925"/>
      <c r="AB15" s="4824"/>
      <c r="AC15" s="4824"/>
      <c r="AD15" s="2925"/>
      <c r="AE15" s="4824"/>
      <c r="AF15" s="4824"/>
      <c r="AG15" s="2925"/>
      <c r="AH15" s="4769"/>
      <c r="AI15" s="4769"/>
      <c r="AJ15" s="2925"/>
      <c r="AK15" s="4824"/>
      <c r="AL15" s="4824"/>
      <c r="AM15" s="2925"/>
      <c r="AN15" s="4824"/>
      <c r="AO15" s="4824"/>
      <c r="AP15" s="2925"/>
      <c r="AQ15" s="4823"/>
      <c r="AR15" s="4823"/>
      <c r="AS15" s="2925"/>
      <c r="AT15" s="4823"/>
      <c r="AU15" s="4823"/>
      <c r="AV15" s="2925"/>
      <c r="AW15" s="4823"/>
      <c r="AX15" s="4823"/>
      <c r="AY15" s="2925"/>
      <c r="AZ15" s="4823"/>
      <c r="BA15" s="4823"/>
      <c r="BB15" s="2925"/>
      <c r="BC15" s="4823"/>
      <c r="BD15" s="4823"/>
      <c r="BE15" s="2926"/>
    </row>
    <row r="16" spans="1:80" ht="12.75" customHeight="1" x14ac:dyDescent="0.2">
      <c r="A16" s="2180">
        <v>16</v>
      </c>
      <c r="B16" s="2878" t="str">
        <f t="shared" si="0"/>
        <v/>
      </c>
      <c r="C16" s="2929" t="s">
        <v>2856</v>
      </c>
      <c r="D16" s="457"/>
      <c r="E16" s="457">
        <v>20</v>
      </c>
      <c r="F16" s="457">
        <v>10</v>
      </c>
      <c r="G16" s="457">
        <v>30</v>
      </c>
      <c r="H16" s="458">
        <v>30</v>
      </c>
      <c r="I16" s="461">
        <v>2</v>
      </c>
      <c r="J16" s="457">
        <v>1</v>
      </c>
      <c r="K16" s="457">
        <v>-1</v>
      </c>
      <c r="L16" s="457">
        <v>1</v>
      </c>
      <c r="M16" s="457">
        <v>-1</v>
      </c>
      <c r="N16" s="457">
        <v>1</v>
      </c>
      <c r="O16" s="457">
        <v>0</v>
      </c>
      <c r="P16" s="457">
        <v>1</v>
      </c>
      <c r="Q16" s="458">
        <v>0</v>
      </c>
      <c r="R16" s="457">
        <v>0</v>
      </c>
      <c r="S16" s="457">
        <v>3</v>
      </c>
      <c r="T16" s="457"/>
      <c r="U16" s="456">
        <v>5</v>
      </c>
      <c r="V16" s="4770" t="s">
        <v>2857</v>
      </c>
      <c r="W16" s="4770"/>
      <c r="X16" s="2925">
        <v>1</v>
      </c>
      <c r="Y16" s="4769" t="s">
        <v>2858</v>
      </c>
      <c r="Z16" s="4769"/>
      <c r="AA16" s="2925">
        <v>1</v>
      </c>
      <c r="AB16" s="4769" t="s">
        <v>2859</v>
      </c>
      <c r="AC16" s="4769"/>
      <c r="AD16" s="2925"/>
      <c r="AE16" s="4769" t="s">
        <v>2552</v>
      </c>
      <c r="AF16" s="4769"/>
      <c r="AG16" s="2925">
        <v>1</v>
      </c>
      <c r="AH16" s="4769" t="s">
        <v>2860</v>
      </c>
      <c r="AI16" s="4769"/>
      <c r="AJ16" s="2925"/>
      <c r="AK16" s="4769" t="s">
        <v>2804</v>
      </c>
      <c r="AL16" s="4769"/>
      <c r="AM16" s="2925">
        <v>1</v>
      </c>
      <c r="AN16" s="4769" t="s">
        <v>2806</v>
      </c>
      <c r="AO16" s="4769"/>
      <c r="AP16" s="2925"/>
      <c r="AQ16" s="4769" t="s">
        <v>2861</v>
      </c>
      <c r="AR16" s="4769"/>
      <c r="AS16" s="2925"/>
      <c r="AT16" s="4769" t="s">
        <v>2862</v>
      </c>
      <c r="AU16" s="4769"/>
      <c r="AV16" s="2925"/>
      <c r="AW16" s="4769" t="s">
        <v>2863</v>
      </c>
      <c r="AX16" s="4769"/>
      <c r="AY16" s="2925"/>
      <c r="AZ16" s="4769" t="s">
        <v>2864</v>
      </c>
      <c r="BA16" s="4769"/>
      <c r="BB16" s="2925">
        <v>1</v>
      </c>
      <c r="BC16" s="4769"/>
      <c r="BD16" s="4769"/>
      <c r="BE16" s="2926"/>
    </row>
    <row r="17" spans="1:113" ht="12.75" customHeight="1" x14ac:dyDescent="0.2">
      <c r="A17" s="2180">
        <v>17</v>
      </c>
      <c r="B17" s="2878" t="str">
        <f t="shared" si="0"/>
        <v/>
      </c>
      <c r="C17" s="2929" t="s">
        <v>2865</v>
      </c>
      <c r="D17" s="457">
        <v>20</v>
      </c>
      <c r="E17" s="457"/>
      <c r="F17" s="457"/>
      <c r="G17" s="457">
        <v>-20</v>
      </c>
      <c r="H17" s="458"/>
      <c r="I17" s="461">
        <v>1</v>
      </c>
      <c r="J17" s="457">
        <v>0</v>
      </c>
      <c r="K17" s="457">
        <v>1</v>
      </c>
      <c r="L17" s="457">
        <v>0</v>
      </c>
      <c r="M17" s="457">
        <v>2</v>
      </c>
      <c r="N17" s="457">
        <v>0</v>
      </c>
      <c r="O17" s="457">
        <v>0</v>
      </c>
      <c r="P17" s="457">
        <v>-1</v>
      </c>
      <c r="Q17" s="458">
        <v>0</v>
      </c>
      <c r="R17" s="457">
        <v>2</v>
      </c>
      <c r="S17" s="457"/>
      <c r="T17" s="457">
        <v>3</v>
      </c>
      <c r="U17" s="456">
        <v>5</v>
      </c>
      <c r="V17" s="4770" t="s">
        <v>2809</v>
      </c>
      <c r="W17" s="4770"/>
      <c r="X17" s="2925">
        <v>1</v>
      </c>
      <c r="Y17" s="4769" t="s">
        <v>2866</v>
      </c>
      <c r="Z17" s="4769"/>
      <c r="AA17" s="2925">
        <v>1</v>
      </c>
      <c r="AB17" s="4769" t="s">
        <v>2810</v>
      </c>
      <c r="AC17" s="4769"/>
      <c r="AD17" s="2925">
        <v>1</v>
      </c>
      <c r="AE17" s="4769" t="s">
        <v>2867</v>
      </c>
      <c r="AF17" s="4769"/>
      <c r="AG17" s="2925">
        <v>1</v>
      </c>
      <c r="AH17" s="4769" t="s">
        <v>2868</v>
      </c>
      <c r="AI17" s="4769"/>
      <c r="AJ17" s="2925"/>
      <c r="AK17" s="4769" t="s">
        <v>2853</v>
      </c>
      <c r="AL17" s="4769"/>
      <c r="AM17" s="2925">
        <v>1</v>
      </c>
      <c r="AN17" s="4769" t="s">
        <v>9778</v>
      </c>
      <c r="AO17" s="4769"/>
      <c r="AP17" s="2925">
        <v>1</v>
      </c>
      <c r="AQ17" s="4769" t="s">
        <v>2869</v>
      </c>
      <c r="AR17" s="4769"/>
      <c r="AS17" s="2925">
        <v>1</v>
      </c>
      <c r="AT17" s="4769" t="s">
        <v>2870</v>
      </c>
      <c r="AU17" s="4769"/>
      <c r="AV17" s="2925">
        <v>1</v>
      </c>
      <c r="AW17" s="4769"/>
      <c r="AX17" s="4769"/>
      <c r="AY17" s="2925"/>
      <c r="AZ17" s="4769"/>
      <c r="BA17" s="4769"/>
      <c r="BB17" s="2925"/>
      <c r="BC17" s="4769"/>
      <c r="BD17" s="4769"/>
      <c r="BE17" s="2926"/>
    </row>
    <row r="18" spans="1:113" ht="12.75" customHeight="1" x14ac:dyDescent="0.2">
      <c r="A18" s="2180">
        <v>18</v>
      </c>
      <c r="B18" s="2878" t="str">
        <f t="shared" si="0"/>
        <v/>
      </c>
      <c r="C18" s="2929" t="s">
        <v>2871</v>
      </c>
      <c r="D18" s="457"/>
      <c r="E18" s="457"/>
      <c r="F18" s="457"/>
      <c r="G18" s="457"/>
      <c r="H18" s="458"/>
      <c r="I18" s="461">
        <v>1</v>
      </c>
      <c r="J18" s="457">
        <v>0</v>
      </c>
      <c r="K18" s="457">
        <v>0</v>
      </c>
      <c r="L18" s="457">
        <v>0</v>
      </c>
      <c r="M18" s="457">
        <v>0</v>
      </c>
      <c r="N18" s="457">
        <v>0</v>
      </c>
      <c r="O18" s="457">
        <v>0</v>
      </c>
      <c r="P18" s="457">
        <v>0</v>
      </c>
      <c r="Q18" s="458">
        <v>0</v>
      </c>
      <c r="R18" s="457">
        <v>0</v>
      </c>
      <c r="S18" s="457"/>
      <c r="T18" s="457"/>
      <c r="U18" s="456">
        <v>5</v>
      </c>
      <c r="V18" s="4770" t="s">
        <v>2818</v>
      </c>
      <c r="W18" s="4770"/>
      <c r="X18" s="2925"/>
      <c r="Y18" s="4769" t="s">
        <v>2817</v>
      </c>
      <c r="Z18" s="4769"/>
      <c r="AA18" s="2925">
        <v>2</v>
      </c>
      <c r="AB18" s="4769" t="s">
        <v>2872</v>
      </c>
      <c r="AC18" s="4769"/>
      <c r="AD18" s="2925"/>
      <c r="AE18" s="4769" t="s">
        <v>2820</v>
      </c>
      <c r="AF18" s="4769"/>
      <c r="AG18" s="2925"/>
      <c r="AH18" s="4769" t="s">
        <v>2819</v>
      </c>
      <c r="AI18" s="4769"/>
      <c r="AJ18" s="2925"/>
      <c r="AK18" s="4769" t="s">
        <v>2873</v>
      </c>
      <c r="AL18" s="4769"/>
      <c r="AM18" s="2925"/>
      <c r="AN18" s="4769" t="s">
        <v>2870</v>
      </c>
      <c r="AO18" s="4769"/>
      <c r="AP18" s="2925">
        <v>1</v>
      </c>
      <c r="AQ18" s="4769"/>
      <c r="AR18" s="4769"/>
      <c r="AS18" s="2925"/>
      <c r="AT18" s="4769"/>
      <c r="AU18" s="4769"/>
      <c r="AV18" s="2925"/>
      <c r="AW18" s="4769"/>
      <c r="AX18" s="4769"/>
      <c r="AY18" s="2925"/>
      <c r="AZ18" s="4769"/>
      <c r="BA18" s="4769"/>
      <c r="BB18" s="2925"/>
      <c r="BC18" s="4769"/>
      <c r="BD18" s="4769"/>
      <c r="BE18" s="2926"/>
    </row>
    <row r="19" spans="1:113" ht="12.75" customHeight="1" x14ac:dyDescent="0.2">
      <c r="A19" s="2181">
        <v>19</v>
      </c>
      <c r="B19" s="2878" t="str">
        <f t="shared" si="0"/>
        <v/>
      </c>
      <c r="C19" s="2929" t="s">
        <v>2874</v>
      </c>
      <c r="D19" s="457"/>
      <c r="E19" s="457"/>
      <c r="F19" s="457"/>
      <c r="G19" s="457"/>
      <c r="H19" s="458"/>
      <c r="I19" s="461">
        <v>1</v>
      </c>
      <c r="J19" s="457">
        <v>0</v>
      </c>
      <c r="K19" s="457">
        <v>0</v>
      </c>
      <c r="L19" s="457">
        <v>0</v>
      </c>
      <c r="M19" s="457">
        <v>0</v>
      </c>
      <c r="N19" s="457">
        <v>0</v>
      </c>
      <c r="O19" s="457">
        <v>0</v>
      </c>
      <c r="P19" s="457">
        <v>0</v>
      </c>
      <c r="Q19" s="458">
        <v>0</v>
      </c>
      <c r="R19" s="457">
        <v>0</v>
      </c>
      <c r="S19" s="457"/>
      <c r="T19" s="457"/>
      <c r="U19" s="456">
        <f>IF(General!$N$23="Conseguido",30,10)</f>
        <v>10</v>
      </c>
      <c r="V19" s="4770" t="s">
        <v>2823</v>
      </c>
      <c r="W19" s="4770"/>
      <c r="X19" s="2925"/>
      <c r="Y19" s="4769" t="s">
        <v>2875</v>
      </c>
      <c r="Z19" s="4769"/>
      <c r="AA19" s="2925"/>
      <c r="AB19" s="4769" t="s">
        <v>2825</v>
      </c>
      <c r="AC19" s="4769"/>
      <c r="AD19" s="2925"/>
      <c r="AE19" s="4769" t="str">
        <f>IF(General!$N$23="Conseguido","Modificador de nivel: +3","Modificador de nivel: +1")</f>
        <v>Modificador de nivel: +1</v>
      </c>
      <c r="AF19" s="4769"/>
      <c r="AG19" s="2925">
        <v>1</v>
      </c>
      <c r="AH19" s="4769"/>
      <c r="AI19" s="4769"/>
      <c r="AJ19" s="2925"/>
      <c r="AK19" s="4769"/>
      <c r="AL19" s="4769"/>
      <c r="AM19" s="2925"/>
      <c r="AN19" s="4769"/>
      <c r="AO19" s="4769"/>
      <c r="AP19" s="2925"/>
      <c r="AQ19" s="4769"/>
      <c r="AR19" s="4769"/>
      <c r="AS19" s="2925"/>
      <c r="AT19" s="4769"/>
      <c r="AU19" s="4769"/>
      <c r="AV19" s="2925"/>
      <c r="AW19" s="4769"/>
      <c r="AX19" s="4769"/>
      <c r="AY19" s="2925"/>
      <c r="AZ19" s="4769"/>
      <c r="BA19" s="4769"/>
      <c r="BB19" s="2925"/>
      <c r="BC19" s="4769"/>
      <c r="BD19" s="4769"/>
      <c r="BE19" s="2926"/>
    </row>
    <row r="20" spans="1:113" ht="12.75" customHeight="1" x14ac:dyDescent="0.2">
      <c r="A20" s="2181">
        <v>20</v>
      </c>
      <c r="B20" s="2878" t="str">
        <f t="shared" si="0"/>
        <v/>
      </c>
      <c r="C20" s="2929" t="s">
        <v>2876</v>
      </c>
      <c r="D20" s="457"/>
      <c r="E20" s="457"/>
      <c r="F20" s="457"/>
      <c r="G20" s="457"/>
      <c r="H20" s="458"/>
      <c r="I20" s="461">
        <v>1</v>
      </c>
      <c r="J20" s="457">
        <v>1</v>
      </c>
      <c r="K20" s="457">
        <v>-1</v>
      </c>
      <c r="L20" s="457">
        <v>1</v>
      </c>
      <c r="M20" s="457">
        <v>0</v>
      </c>
      <c r="N20" s="457">
        <v>0</v>
      </c>
      <c r="O20" s="457">
        <v>0</v>
      </c>
      <c r="P20" s="457">
        <v>0</v>
      </c>
      <c r="Q20" s="458">
        <v>-1</v>
      </c>
      <c r="R20" s="457">
        <v>-1</v>
      </c>
      <c r="S20" s="457"/>
      <c r="T20" s="457"/>
      <c r="U20" s="456">
        <v>5</v>
      </c>
      <c r="V20" s="4770" t="s">
        <v>2877</v>
      </c>
      <c r="W20" s="4770"/>
      <c r="X20" s="2925">
        <v>1</v>
      </c>
      <c r="Y20" s="4769" t="s">
        <v>2827</v>
      </c>
      <c r="Z20" s="4769"/>
      <c r="AA20" s="2925"/>
      <c r="AB20" s="4769" t="s">
        <v>2878</v>
      </c>
      <c r="AC20" s="4769"/>
      <c r="AD20" s="2925">
        <v>1</v>
      </c>
      <c r="AE20" s="4769" t="s">
        <v>2552</v>
      </c>
      <c r="AF20" s="4769"/>
      <c r="AG20" s="2925">
        <v>1</v>
      </c>
      <c r="AH20" s="4769" t="s">
        <v>2829</v>
      </c>
      <c r="AI20" s="4769"/>
      <c r="AJ20" s="2925">
        <v>1</v>
      </c>
      <c r="AK20" s="4769" t="s">
        <v>2830</v>
      </c>
      <c r="AL20" s="4769"/>
      <c r="AM20" s="2925"/>
      <c r="AN20" s="4769" t="s">
        <v>2879</v>
      </c>
      <c r="AO20" s="4769"/>
      <c r="AP20" s="2925"/>
      <c r="AQ20" s="4769" t="s">
        <v>2859</v>
      </c>
      <c r="AR20" s="4769"/>
      <c r="AS20" s="2925"/>
      <c r="AT20" s="4769" t="s">
        <v>2880</v>
      </c>
      <c r="AU20" s="4769"/>
      <c r="AV20" s="2925"/>
      <c r="AW20" s="4769" t="s">
        <v>2828</v>
      </c>
      <c r="AX20" s="4769"/>
      <c r="AY20" s="2925"/>
      <c r="AZ20" s="4769" t="s">
        <v>2831</v>
      </c>
      <c r="BA20" s="4769"/>
      <c r="BB20" s="2925"/>
      <c r="BC20" s="4769" t="s">
        <v>2870</v>
      </c>
      <c r="BD20" s="4769"/>
      <c r="BE20" s="2926">
        <v>1</v>
      </c>
    </row>
    <row r="21" spans="1:113" ht="12.75" customHeight="1" x14ac:dyDescent="0.2">
      <c r="A21" s="2181">
        <v>21</v>
      </c>
      <c r="B21" s="2878" t="str">
        <f t="shared" si="0"/>
        <v/>
      </c>
      <c r="C21" s="2929" t="s">
        <v>2881</v>
      </c>
      <c r="D21" s="457">
        <v>20</v>
      </c>
      <c r="E21" s="457">
        <v>15</v>
      </c>
      <c r="F21" s="457">
        <v>15</v>
      </c>
      <c r="G21" s="457">
        <v>15</v>
      </c>
      <c r="H21" s="458">
        <v>15</v>
      </c>
      <c r="I21" s="461">
        <v>3</v>
      </c>
      <c r="J21" s="457">
        <v>1</v>
      </c>
      <c r="K21" s="457">
        <v>1</v>
      </c>
      <c r="L21" s="457">
        <v>1</v>
      </c>
      <c r="M21" s="457">
        <v>1</v>
      </c>
      <c r="N21" s="457">
        <v>1</v>
      </c>
      <c r="O21" s="457">
        <v>1</v>
      </c>
      <c r="P21" s="457">
        <v>1</v>
      </c>
      <c r="Q21" s="458">
        <v>1</v>
      </c>
      <c r="R21" s="457">
        <v>0</v>
      </c>
      <c r="S21" s="457">
        <v>5</v>
      </c>
      <c r="T21" s="457"/>
      <c r="U21" s="456">
        <v>5</v>
      </c>
      <c r="V21" s="4770" t="s">
        <v>2882</v>
      </c>
      <c r="W21" s="4770"/>
      <c r="X21" s="2925">
        <v>1</v>
      </c>
      <c r="Y21" s="4769" t="s">
        <v>2883</v>
      </c>
      <c r="Z21" s="4769"/>
      <c r="AA21" s="2925"/>
      <c r="AB21" s="4769" t="s">
        <v>2552</v>
      </c>
      <c r="AC21" s="4769"/>
      <c r="AD21" s="2925">
        <v>1</v>
      </c>
      <c r="AE21" s="4769" t="s">
        <v>2806</v>
      </c>
      <c r="AF21" s="4769"/>
      <c r="AG21" s="2925"/>
      <c r="AH21" s="4769" t="s">
        <v>2884</v>
      </c>
      <c r="AI21" s="4769"/>
      <c r="AJ21" s="2925"/>
      <c r="AK21" s="4769" t="s">
        <v>2885</v>
      </c>
      <c r="AL21" s="4769"/>
      <c r="AM21" s="2925">
        <v>1</v>
      </c>
      <c r="AN21" s="4769" t="s">
        <v>2886</v>
      </c>
      <c r="AO21" s="4769"/>
      <c r="AP21" s="2925"/>
      <c r="AQ21" s="4769" t="s">
        <v>2804</v>
      </c>
      <c r="AR21" s="4769"/>
      <c r="AS21" s="2925">
        <v>1</v>
      </c>
      <c r="AT21" s="4769" t="s">
        <v>2887</v>
      </c>
      <c r="AU21" s="4769"/>
      <c r="AV21" s="2925"/>
      <c r="AW21" s="4769" t="s">
        <v>2888</v>
      </c>
      <c r="AX21" s="4769"/>
      <c r="AY21" s="2925"/>
      <c r="AZ21" s="4769" t="s">
        <v>2839</v>
      </c>
      <c r="BA21" s="4769"/>
      <c r="BB21" s="2925"/>
      <c r="BC21" s="4769" t="s">
        <v>2889</v>
      </c>
      <c r="BD21" s="4769"/>
      <c r="BE21" s="2926">
        <v>1</v>
      </c>
    </row>
    <row r="22" spans="1:113" ht="12.75" customHeight="1" x14ac:dyDescent="0.2">
      <c r="A22" s="2181">
        <v>22</v>
      </c>
      <c r="B22" s="2878" t="str">
        <f t="shared" si="0"/>
        <v/>
      </c>
      <c r="C22" s="2929" t="s">
        <v>2890</v>
      </c>
      <c r="D22" s="457">
        <v>-10</v>
      </c>
      <c r="E22" s="457">
        <v>-10</v>
      </c>
      <c r="F22" s="457"/>
      <c r="G22" s="457"/>
      <c r="H22" s="458"/>
      <c r="I22" s="461">
        <v>2</v>
      </c>
      <c r="J22" s="457">
        <v>0</v>
      </c>
      <c r="K22" s="457">
        <v>-2</v>
      </c>
      <c r="L22" s="457">
        <v>0</v>
      </c>
      <c r="M22" s="457">
        <v>-1</v>
      </c>
      <c r="N22" s="457">
        <v>1</v>
      </c>
      <c r="O22" s="457">
        <v>0</v>
      </c>
      <c r="P22" s="457">
        <v>1</v>
      </c>
      <c r="Q22" s="458">
        <v>1</v>
      </c>
      <c r="R22" s="457">
        <v>-1</v>
      </c>
      <c r="S22" s="457"/>
      <c r="T22" s="457"/>
      <c r="U22" s="456">
        <v>5</v>
      </c>
      <c r="V22" s="4770" t="s">
        <v>2891</v>
      </c>
      <c r="W22" s="4770"/>
      <c r="X22" s="2925">
        <v>1</v>
      </c>
      <c r="Y22" s="4770" t="str">
        <f>IF(AA22=0,"",Raza)</f>
        <v>Turak</v>
      </c>
      <c r="Z22" s="4770"/>
      <c r="AA22" s="2925">
        <f>IF(Raza=0,0,VLOOKUP(Raza,Tablas!$C$6:$I$26,7,FALSE))</f>
        <v>1</v>
      </c>
      <c r="AB22" s="4770" t="s">
        <v>2892</v>
      </c>
      <c r="AC22" s="4770"/>
      <c r="AD22" s="2925"/>
      <c r="AE22" s="4770" t="s">
        <v>2841</v>
      </c>
      <c r="AF22" s="4770"/>
      <c r="AG22" s="2925"/>
      <c r="AH22" s="4770" t="s">
        <v>2842</v>
      </c>
      <c r="AI22" s="4770"/>
      <c r="AJ22" s="2925"/>
      <c r="AK22" s="4770" t="s">
        <v>2843</v>
      </c>
      <c r="AL22" s="4770"/>
      <c r="AM22" s="2925">
        <v>1</v>
      </c>
      <c r="AN22" s="4770" t="s">
        <v>2844</v>
      </c>
      <c r="AO22" s="4770"/>
      <c r="AP22" s="2925">
        <v>1</v>
      </c>
      <c r="AQ22" s="4770" t="s">
        <v>2893</v>
      </c>
      <c r="AR22" s="4770"/>
      <c r="AS22" s="2925"/>
      <c r="AT22" s="56"/>
      <c r="AU22" s="56"/>
      <c r="AV22" s="2925"/>
      <c r="AW22" s="56"/>
      <c r="AX22" s="56"/>
      <c r="AY22" s="2925"/>
      <c r="AZ22" s="56"/>
      <c r="BA22" s="56"/>
      <c r="BB22" s="2925"/>
      <c r="BC22" s="56"/>
      <c r="BD22" s="56"/>
      <c r="BE22" s="2926"/>
    </row>
    <row r="23" spans="1:113" ht="12.75" customHeight="1" x14ac:dyDescent="0.2">
      <c r="A23" s="2181">
        <v>23</v>
      </c>
      <c r="B23" s="2878" t="str">
        <f t="shared" si="0"/>
        <v/>
      </c>
      <c r="C23" s="2929" t="s">
        <v>2894</v>
      </c>
      <c r="D23" s="457"/>
      <c r="E23" s="457"/>
      <c r="F23" s="457"/>
      <c r="G23" s="457"/>
      <c r="H23" s="458"/>
      <c r="I23" s="461">
        <v>2</v>
      </c>
      <c r="J23" s="457">
        <v>0</v>
      </c>
      <c r="K23" s="457">
        <v>0</v>
      </c>
      <c r="L23" s="457">
        <v>0</v>
      </c>
      <c r="M23" s="457">
        <v>0</v>
      </c>
      <c r="N23" s="457">
        <v>0</v>
      </c>
      <c r="O23" s="457">
        <v>0</v>
      </c>
      <c r="P23" s="457">
        <v>0</v>
      </c>
      <c r="Q23" s="458">
        <v>0</v>
      </c>
      <c r="R23" s="457">
        <v>0</v>
      </c>
      <c r="S23" s="457"/>
      <c r="T23" s="457"/>
      <c r="U23" s="456">
        <v>5</v>
      </c>
      <c r="V23" s="4770" t="s">
        <v>2895</v>
      </c>
      <c r="W23" s="4770"/>
      <c r="X23" s="2925"/>
      <c r="Y23" s="4770" t="s">
        <v>2847</v>
      </c>
      <c r="Z23" s="4770"/>
      <c r="AA23" s="2925"/>
      <c r="AB23" s="4770" t="s">
        <v>2896</v>
      </c>
      <c r="AC23" s="4770"/>
      <c r="AD23" s="2925"/>
      <c r="AE23" s="4770" t="s">
        <v>2848</v>
      </c>
      <c r="AF23" s="4770"/>
      <c r="AG23" s="2925"/>
      <c r="AH23" s="4770" t="s">
        <v>2804</v>
      </c>
      <c r="AI23" s="4770"/>
      <c r="AJ23" s="2925"/>
      <c r="AK23" s="4770" t="s">
        <v>2897</v>
      </c>
      <c r="AL23" s="4770"/>
      <c r="AM23" s="2925"/>
      <c r="AN23" s="4770" t="s">
        <v>2898</v>
      </c>
      <c r="AO23" s="4770"/>
      <c r="AP23" s="2925"/>
      <c r="AQ23" s="56"/>
      <c r="AR23" s="56"/>
      <c r="AS23" s="2925"/>
      <c r="AT23" s="56"/>
      <c r="AU23" s="56"/>
      <c r="AV23" s="2925"/>
      <c r="AW23" s="56"/>
      <c r="AX23" s="56"/>
      <c r="AY23" s="2925"/>
      <c r="AZ23" s="56"/>
      <c r="BA23" s="56"/>
      <c r="BB23" s="2925"/>
      <c r="BC23" s="56"/>
      <c r="BD23" s="56"/>
      <c r="BE23" s="2926"/>
    </row>
    <row r="24" spans="1:113" ht="12.75" customHeight="1" x14ac:dyDescent="0.2">
      <c r="A24" s="2181">
        <v>24</v>
      </c>
      <c r="B24" s="2878" t="str">
        <f t="shared" si="0"/>
        <v/>
      </c>
      <c r="C24" s="2929" t="s">
        <v>2899</v>
      </c>
      <c r="D24" s="457"/>
      <c r="E24" s="457"/>
      <c r="F24" s="457"/>
      <c r="G24" s="457"/>
      <c r="H24" s="458"/>
      <c r="I24" s="461">
        <v>2</v>
      </c>
      <c r="J24" s="457">
        <v>0</v>
      </c>
      <c r="K24" s="457">
        <v>0</v>
      </c>
      <c r="L24" s="457">
        <v>0</v>
      </c>
      <c r="M24" s="457">
        <v>0</v>
      </c>
      <c r="N24" s="457">
        <v>0</v>
      </c>
      <c r="O24" s="457">
        <v>1</v>
      </c>
      <c r="P24" s="457">
        <v>0</v>
      </c>
      <c r="Q24" s="458">
        <v>0</v>
      </c>
      <c r="R24" s="457">
        <v>0</v>
      </c>
      <c r="S24" s="457"/>
      <c r="T24" s="457"/>
      <c r="U24" s="456">
        <v>5</v>
      </c>
      <c r="V24" s="4770" t="s">
        <v>2853</v>
      </c>
      <c r="W24" s="4770"/>
      <c r="X24" s="2925">
        <v>1</v>
      </c>
      <c r="Y24" s="4770" t="s">
        <v>2900</v>
      </c>
      <c r="Z24" s="4770"/>
      <c r="AA24" s="2925"/>
      <c r="AB24" s="4770" t="s">
        <v>2901</v>
      </c>
      <c r="AC24" s="4770"/>
      <c r="AD24" s="2925">
        <v>1</v>
      </c>
      <c r="AE24" s="4770" t="s">
        <v>2902</v>
      </c>
      <c r="AF24" s="4770"/>
      <c r="AG24" s="2925"/>
      <c r="AH24" s="4770" t="s">
        <v>2903</v>
      </c>
      <c r="AI24" s="4770"/>
      <c r="AJ24" s="2925"/>
      <c r="AK24" s="56"/>
      <c r="AL24" s="56"/>
      <c r="AM24" s="2925"/>
      <c r="AN24" s="56"/>
      <c r="AO24" s="56"/>
      <c r="AP24" s="2925"/>
      <c r="AQ24" s="56"/>
      <c r="AR24" s="56"/>
      <c r="AS24" s="2925"/>
      <c r="AT24" s="56"/>
      <c r="AU24" s="56"/>
      <c r="AV24" s="2925"/>
      <c r="AW24" s="56"/>
      <c r="AX24" s="56"/>
      <c r="AY24" s="2925"/>
      <c r="AZ24" s="56"/>
      <c r="BA24" s="56"/>
      <c r="BB24" s="2925"/>
      <c r="BC24" s="56"/>
      <c r="BD24" s="56"/>
      <c r="BE24" s="2926"/>
    </row>
    <row r="25" spans="1:113" ht="12.75" customHeight="1" x14ac:dyDescent="0.2">
      <c r="A25" s="2180">
        <v>25</v>
      </c>
      <c r="B25" s="2878">
        <f t="shared" si="0"/>
        <v>1</v>
      </c>
      <c r="C25" s="2929" t="s">
        <v>2904</v>
      </c>
      <c r="D25" s="457"/>
      <c r="E25" s="457"/>
      <c r="F25" s="457"/>
      <c r="G25" s="457"/>
      <c r="H25" s="458"/>
      <c r="I25" s="461">
        <v>1</v>
      </c>
      <c r="J25" s="457">
        <f>$J$26</f>
        <v>0</v>
      </c>
      <c r="K25" s="457">
        <f>$J$26</f>
        <v>0</v>
      </c>
      <c r="L25" s="457">
        <v>0</v>
      </c>
      <c r="M25" s="457">
        <f>$J$26</f>
        <v>0</v>
      </c>
      <c r="N25" s="457">
        <f>IF('Elan y Personalización'!V10="",-1,IF('Elan y Personalización'!V11="",-1,IF('Elan y Personalización'!V12="",-1,0)))</f>
        <v>-1</v>
      </c>
      <c r="O25" s="457">
        <v>0</v>
      </c>
      <c r="P25" s="457">
        <v>0</v>
      </c>
      <c r="Q25" s="458">
        <v>0</v>
      </c>
      <c r="R25" s="457">
        <f>IF('Elan y Personalización'!V10="Descomunales",2,IF('Elan y Personalización'!V11="Descomunales",2,IF('Elan y Personalización'!V12="Descomunales",2,)))</f>
        <v>0</v>
      </c>
      <c r="S25" s="457">
        <v>1</v>
      </c>
      <c r="T25" s="457"/>
      <c r="U25" s="456">
        <v>5</v>
      </c>
      <c r="V25" s="4770" t="s">
        <v>2905</v>
      </c>
      <c r="W25" s="4770"/>
      <c r="X25" s="2925">
        <v>1</v>
      </c>
      <c r="Y25" s="4770" t="s">
        <v>2853</v>
      </c>
      <c r="Z25" s="4770"/>
      <c r="AA25" s="2925">
        <v>1</v>
      </c>
      <c r="AB25" s="4824" t="s">
        <v>2906</v>
      </c>
      <c r="AC25" s="4824"/>
      <c r="AD25" s="2925">
        <v>1</v>
      </c>
      <c r="AE25" s="4824" t="s">
        <v>2907</v>
      </c>
      <c r="AF25" s="4824"/>
      <c r="AG25" s="2925">
        <v>1</v>
      </c>
      <c r="AH25" s="4824" t="s">
        <v>2703</v>
      </c>
      <c r="AI25" s="4824"/>
      <c r="AJ25" s="2925"/>
      <c r="AK25" s="4823" t="s">
        <v>2855</v>
      </c>
      <c r="AL25" s="4823"/>
      <c r="AM25" s="2925">
        <v>1</v>
      </c>
      <c r="AN25" s="4769" t="s">
        <v>2908</v>
      </c>
      <c r="AO25" s="4769"/>
      <c r="AP25" s="2925"/>
      <c r="AQ25" s="4769" t="s">
        <v>2870</v>
      </c>
      <c r="AR25" s="4769"/>
      <c r="AS25" s="2925">
        <v>1</v>
      </c>
      <c r="AT25" s="56"/>
      <c r="AU25" s="56"/>
      <c r="AV25" s="2925"/>
      <c r="AW25" s="56"/>
      <c r="AX25" s="56"/>
      <c r="AY25" s="2925"/>
      <c r="AZ25" s="56"/>
      <c r="BA25" s="56"/>
      <c r="BB25" s="2925"/>
      <c r="BC25" s="56"/>
      <c r="BD25" s="56"/>
      <c r="BE25" s="2926"/>
    </row>
    <row r="26" spans="1:113" ht="13.5" customHeight="1" thickBot="1" x14ac:dyDescent="0.25">
      <c r="A26" s="2180">
        <v>26</v>
      </c>
      <c r="B26" s="2879" t="str">
        <f t="shared" si="0"/>
        <v/>
      </c>
      <c r="C26" s="2930" t="s">
        <v>2462</v>
      </c>
      <c r="D26" s="2934"/>
      <c r="E26" s="2934"/>
      <c r="F26" s="2934"/>
      <c r="G26" s="2934"/>
      <c r="H26" s="2935"/>
      <c r="I26" s="462"/>
      <c r="J26" s="463"/>
      <c r="K26" s="463"/>
      <c r="L26" s="463"/>
      <c r="M26" s="463"/>
      <c r="N26" s="463"/>
      <c r="O26" s="463"/>
      <c r="P26" s="463"/>
      <c r="Q26" s="464"/>
      <c r="R26" s="463"/>
      <c r="S26" s="463"/>
      <c r="T26" s="463"/>
      <c r="U26" s="463"/>
      <c r="V26" s="4826"/>
      <c r="W26" s="4826"/>
      <c r="X26" s="2927"/>
      <c r="Y26" s="4825"/>
      <c r="Z26" s="4825"/>
      <c r="AA26" s="2927"/>
      <c r="AB26" s="4825"/>
      <c r="AC26" s="4825"/>
      <c r="AD26" s="2927"/>
      <c r="AE26" s="4825"/>
      <c r="AF26" s="4825"/>
      <c r="AG26" s="2927"/>
      <c r="AH26" s="4825"/>
      <c r="AI26" s="4825"/>
      <c r="AJ26" s="2927"/>
      <c r="AK26" s="4825"/>
      <c r="AL26" s="4825"/>
      <c r="AM26" s="2927"/>
      <c r="AN26" s="4825"/>
      <c r="AO26" s="4825"/>
      <c r="AP26" s="2927"/>
      <c r="AQ26" s="4825"/>
      <c r="AR26" s="4825"/>
      <c r="AS26" s="2927"/>
      <c r="AT26" s="4825"/>
      <c r="AU26" s="4825"/>
      <c r="AV26" s="2927"/>
      <c r="AW26" s="4825"/>
      <c r="AX26" s="4825"/>
      <c r="AY26" s="2927"/>
      <c r="AZ26" s="4825"/>
      <c r="BA26" s="4825"/>
      <c r="BB26" s="2927"/>
      <c r="BC26" s="4825"/>
      <c r="BD26" s="4825"/>
      <c r="BE26" s="2928"/>
    </row>
    <row r="27" spans="1:113" ht="12.75" customHeight="1" thickBot="1" x14ac:dyDescent="0.25">
      <c r="A27" s="2180">
        <v>27</v>
      </c>
      <c r="D27" s="2875" t="str">
        <f>D5</f>
        <v>RF</v>
      </c>
      <c r="E27" s="2875" t="str">
        <f t="shared" ref="E27:U27" si="1">E5</f>
        <v>RE</v>
      </c>
      <c r="F27" s="2875" t="str">
        <f t="shared" si="1"/>
        <v>RV</v>
      </c>
      <c r="G27" s="2875" t="str">
        <f t="shared" si="1"/>
        <v>RM</v>
      </c>
      <c r="H27" s="2875" t="str">
        <f t="shared" si="1"/>
        <v>RP</v>
      </c>
      <c r="I27" s="2875" t="s">
        <v>2310</v>
      </c>
      <c r="J27" s="2875" t="str">
        <f t="shared" si="1"/>
        <v>AGI</v>
      </c>
      <c r="K27" s="2875" t="str">
        <f t="shared" si="1"/>
        <v>CON</v>
      </c>
      <c r="L27" s="2875" t="str">
        <f t="shared" si="1"/>
        <v>DES</v>
      </c>
      <c r="M27" s="2875" t="str">
        <f t="shared" si="1"/>
        <v>FUE</v>
      </c>
      <c r="N27" s="2875" t="str">
        <f t="shared" si="1"/>
        <v>INT</v>
      </c>
      <c r="O27" s="2875" t="str">
        <f t="shared" si="1"/>
        <v>PER</v>
      </c>
      <c r="P27" s="2875" t="str">
        <f t="shared" si="1"/>
        <v>POD</v>
      </c>
      <c r="Q27" s="2875" t="str">
        <f t="shared" si="1"/>
        <v>VOL</v>
      </c>
      <c r="R27" s="2875" t="str">
        <f t="shared" si="1"/>
        <v>Tamaño</v>
      </c>
      <c r="S27" s="2875" t="str">
        <f t="shared" si="1"/>
        <v>Regeneración</v>
      </c>
      <c r="T27" s="2875" t="str">
        <f t="shared" si="1"/>
        <v>Cansancio</v>
      </c>
      <c r="U27" s="2875" t="str">
        <f t="shared" si="1"/>
        <v>Natura</v>
      </c>
    </row>
    <row r="28" spans="1:113" ht="12.75" customHeight="1" x14ac:dyDescent="0.2">
      <c r="A28" s="2181">
        <v>28</v>
      </c>
      <c r="C28" s="2903" t="s">
        <v>2202</v>
      </c>
      <c r="D28" s="2884">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884">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884">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884">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884">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884" t="s">
        <v>2310</v>
      </c>
      <c r="J28" s="2884">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884">
        <f t="shared" si="2"/>
        <v>0</v>
      </c>
      <c r="L28" s="2884">
        <f t="shared" si="2"/>
        <v>0</v>
      </c>
      <c r="M28" s="2884">
        <f t="shared" si="2"/>
        <v>0</v>
      </c>
      <c r="N28" s="2884">
        <f t="shared" si="2"/>
        <v>-1</v>
      </c>
      <c r="O28" s="2884">
        <f t="shared" si="2"/>
        <v>0</v>
      </c>
      <c r="P28" s="2884">
        <f t="shared" si="2"/>
        <v>0</v>
      </c>
      <c r="Q28" s="2884">
        <f t="shared" si="2"/>
        <v>0</v>
      </c>
      <c r="R28" s="2884">
        <f t="shared" si="2"/>
        <v>0</v>
      </c>
      <c r="S28" s="2884">
        <f t="shared" si="2"/>
        <v>1</v>
      </c>
      <c r="T28" s="2884">
        <f t="shared" si="2"/>
        <v>0</v>
      </c>
      <c r="U28" s="2936">
        <f t="shared" si="2"/>
        <v>5</v>
      </c>
    </row>
    <row r="29" spans="1:113" ht="12.75" customHeight="1" thickBot="1" x14ac:dyDescent="0.25">
      <c r="A29" s="2181">
        <v>29</v>
      </c>
    </row>
    <row r="30" spans="1:113" ht="12.75" customHeight="1" thickBot="1" x14ac:dyDescent="0.25">
      <c r="A30" s="2181">
        <v>30</v>
      </c>
      <c r="F30" s="4807" t="s">
        <v>8861</v>
      </c>
      <c r="G30" s="4808"/>
      <c r="H30" s="4808"/>
      <c r="I30" s="4808"/>
      <c r="J30" s="4808"/>
      <c r="K30" s="4808"/>
      <c r="L30" s="4808"/>
      <c r="M30" s="4808"/>
      <c r="N30" s="4808"/>
      <c r="O30" s="4808"/>
      <c r="P30" s="4808"/>
      <c r="Q30" s="4808"/>
      <c r="R30" s="4808"/>
      <c r="S30" s="4808"/>
      <c r="T30" s="4808"/>
      <c r="U30" s="4808"/>
      <c r="V30" s="4808"/>
      <c r="W30" s="4808"/>
      <c r="X30" s="4808"/>
      <c r="Y30" s="4808"/>
      <c r="Z30" s="4808"/>
      <c r="AA30" s="4808"/>
      <c r="AB30" s="4808"/>
      <c r="AC30" s="4808"/>
      <c r="AD30" s="4808"/>
      <c r="AE30" s="4808"/>
      <c r="AF30" s="4808"/>
      <c r="AG30" s="4808"/>
      <c r="AH30" s="4808"/>
      <c r="AI30" s="4808"/>
      <c r="AJ30" s="4808"/>
      <c r="AK30" s="4808"/>
      <c r="AL30" s="4808"/>
      <c r="AM30" s="4808"/>
      <c r="AN30" s="4808"/>
      <c r="AO30" s="4808"/>
      <c r="AP30" s="4808"/>
      <c r="AQ30" s="4808"/>
      <c r="AR30" s="4808"/>
      <c r="AS30" s="4808"/>
      <c r="AT30" s="4808"/>
      <c r="AU30" s="4808"/>
      <c r="AV30" s="4808"/>
      <c r="AW30" s="4808"/>
      <c r="AX30" s="4808"/>
      <c r="AY30" s="4808"/>
      <c r="AZ30" s="4808"/>
      <c r="BA30" s="4808"/>
      <c r="BB30" s="4808"/>
      <c r="BC30" s="4808"/>
      <c r="BD30" s="4808"/>
      <c r="BE30" s="4808"/>
      <c r="BF30" s="4808"/>
      <c r="BG30" s="4808"/>
      <c r="BH30" s="4808"/>
      <c r="BI30" s="4808"/>
      <c r="BJ30" s="4808"/>
      <c r="BK30" s="4808"/>
      <c r="BL30" s="4808"/>
      <c r="BM30" s="4808"/>
      <c r="BN30" s="4808"/>
      <c r="BO30" s="4808"/>
      <c r="BP30" s="4808"/>
      <c r="BQ30" s="4808"/>
      <c r="BR30" s="4808"/>
      <c r="BS30" s="4808"/>
      <c r="BT30" s="4808"/>
      <c r="BU30" s="4808"/>
      <c r="BV30" s="4808"/>
      <c r="BW30" s="4808"/>
      <c r="BX30" s="4808"/>
      <c r="BY30" s="4808"/>
      <c r="BZ30" s="4808"/>
      <c r="CA30" s="4808"/>
      <c r="CB30" s="4808"/>
      <c r="CC30" s="4808"/>
      <c r="CD30" s="4808"/>
      <c r="CE30" s="4808"/>
      <c r="CF30" s="4808"/>
      <c r="CG30" s="4808"/>
      <c r="CH30" s="4808"/>
      <c r="CI30" s="4808"/>
      <c r="CJ30" s="4808"/>
      <c r="CK30" s="4808"/>
      <c r="CL30" s="4808"/>
      <c r="CM30" s="4808"/>
      <c r="CN30" s="4808"/>
      <c r="CO30" s="4808"/>
      <c r="CP30" s="4808"/>
      <c r="CQ30" s="4808"/>
      <c r="CR30" s="4808"/>
      <c r="CS30" s="4808"/>
      <c r="CT30" s="4808"/>
      <c r="CU30" s="4808"/>
      <c r="CV30" s="4808"/>
      <c r="CW30" s="4808"/>
      <c r="CX30" s="4808"/>
      <c r="CY30" s="4808"/>
      <c r="CZ30" s="4808"/>
      <c r="DA30" s="4808"/>
      <c r="DB30" s="4808"/>
      <c r="DC30" s="4808"/>
      <c r="DD30" s="4809"/>
    </row>
    <row r="31" spans="1:113" s="1855" customFormat="1" ht="14.85" customHeight="1" thickBot="1" x14ac:dyDescent="0.25">
      <c r="A31" s="2180">
        <v>31</v>
      </c>
      <c r="B31" s="4803" t="s">
        <v>8854</v>
      </c>
      <c r="C31" s="4804"/>
      <c r="E31" s="447"/>
      <c r="F31" s="4810"/>
      <c r="G31" s="4811"/>
      <c r="H31" s="4811"/>
      <c r="I31" s="4811"/>
      <c r="J31" s="4811"/>
      <c r="K31" s="4811"/>
      <c r="L31" s="4811"/>
      <c r="M31" s="4811"/>
      <c r="N31" s="4811"/>
      <c r="O31" s="4811"/>
      <c r="P31" s="4811"/>
      <c r="Q31" s="4811"/>
      <c r="R31" s="4811"/>
      <c r="S31" s="4811"/>
      <c r="T31" s="4811"/>
      <c r="U31" s="4811"/>
      <c r="V31" s="4811"/>
      <c r="W31" s="4811"/>
      <c r="X31" s="4811"/>
      <c r="Y31" s="4811"/>
      <c r="Z31" s="4811"/>
      <c r="AA31" s="4811"/>
      <c r="AB31" s="4811"/>
      <c r="AC31" s="4811"/>
      <c r="AD31" s="4811"/>
      <c r="AE31" s="4811"/>
      <c r="AF31" s="4811"/>
      <c r="AG31" s="4811"/>
      <c r="AH31" s="4811"/>
      <c r="AI31" s="4811"/>
      <c r="AJ31" s="4811"/>
      <c r="AK31" s="4811"/>
      <c r="AL31" s="4811"/>
      <c r="AM31" s="4811"/>
      <c r="AN31" s="4811"/>
      <c r="AO31" s="4811"/>
      <c r="AP31" s="4811"/>
      <c r="AQ31" s="4811"/>
      <c r="AR31" s="4811"/>
      <c r="AS31" s="4811"/>
      <c r="AT31" s="4811"/>
      <c r="AU31" s="4811"/>
      <c r="AV31" s="4811"/>
      <c r="AW31" s="4811"/>
      <c r="AX31" s="4811"/>
      <c r="AY31" s="4811"/>
      <c r="AZ31" s="4811"/>
      <c r="BA31" s="4811"/>
      <c r="BB31" s="4811"/>
      <c r="BC31" s="4811"/>
      <c r="BD31" s="4811"/>
      <c r="BE31" s="4811"/>
      <c r="BF31" s="4811"/>
      <c r="BG31" s="4811"/>
      <c r="BH31" s="4811"/>
      <c r="BI31" s="4811"/>
      <c r="BJ31" s="4811"/>
      <c r="BK31" s="4811"/>
      <c r="BL31" s="4811"/>
      <c r="BM31" s="4811"/>
      <c r="BN31" s="4811"/>
      <c r="BO31" s="4811"/>
      <c r="BP31" s="4811"/>
      <c r="BQ31" s="4811"/>
      <c r="BR31" s="4811"/>
      <c r="BS31" s="4811"/>
      <c r="BT31" s="4811"/>
      <c r="BU31" s="4811"/>
      <c r="BV31" s="4811"/>
      <c r="BW31" s="4811"/>
      <c r="BX31" s="4811"/>
      <c r="BY31" s="4811"/>
      <c r="BZ31" s="4811"/>
      <c r="CA31" s="4811"/>
      <c r="CB31" s="4811"/>
      <c r="CC31" s="4811"/>
      <c r="CD31" s="4811"/>
      <c r="CE31" s="4811"/>
      <c r="CF31" s="4811"/>
      <c r="CG31" s="4811"/>
      <c r="CH31" s="4811"/>
      <c r="CI31" s="4811"/>
      <c r="CJ31" s="4811"/>
      <c r="CK31" s="4811"/>
      <c r="CL31" s="4811"/>
      <c r="CM31" s="4811"/>
      <c r="CN31" s="4811"/>
      <c r="CO31" s="4811"/>
      <c r="CP31" s="4811"/>
      <c r="CQ31" s="4811"/>
      <c r="CR31" s="4811"/>
      <c r="CS31" s="4811"/>
      <c r="CT31" s="4811"/>
      <c r="CU31" s="4811"/>
      <c r="CV31" s="4811"/>
      <c r="CW31" s="4811"/>
      <c r="CX31" s="4811"/>
      <c r="CY31" s="4811"/>
      <c r="CZ31" s="4811"/>
      <c r="DA31" s="4811"/>
      <c r="DB31" s="4811"/>
      <c r="DC31" s="4811"/>
      <c r="DD31" s="4812"/>
      <c r="DI31" s="1855" t="str">
        <f>IFERROR(VLOOKUP(SMALL($DH$31:$DH$34,DF31),$DF$31:$DG$34,2,FALSE),"")</f>
        <v/>
      </c>
    </row>
    <row r="32" spans="1:113" s="1855" customFormat="1" ht="12.75" customHeight="1" thickBot="1" x14ac:dyDescent="0.25">
      <c r="A32" s="2180">
        <v>32</v>
      </c>
      <c r="B32" s="4805"/>
      <c r="C32" s="4806"/>
      <c r="E32" s="447"/>
      <c r="F32" s="2034" t="s">
        <v>8869</v>
      </c>
      <c r="G32" s="1876">
        <v>1</v>
      </c>
      <c r="H32" s="1969">
        <v>2</v>
      </c>
      <c r="I32" s="1876">
        <v>3</v>
      </c>
      <c r="J32" s="1876">
        <v>4</v>
      </c>
      <c r="K32" s="1876">
        <v>5</v>
      </c>
      <c r="L32" s="1876">
        <v>6</v>
      </c>
      <c r="M32" s="1876">
        <v>7</v>
      </c>
      <c r="N32" s="1969">
        <v>8</v>
      </c>
      <c r="O32" s="1876">
        <v>9</v>
      </c>
      <c r="P32" s="1876">
        <v>10</v>
      </c>
      <c r="Q32" s="1876">
        <v>11</v>
      </c>
      <c r="R32" s="1876">
        <v>12</v>
      </c>
      <c r="S32" s="1876">
        <v>13</v>
      </c>
      <c r="T32" s="1876">
        <v>14</v>
      </c>
      <c r="U32" s="1876">
        <v>15</v>
      </c>
      <c r="V32" s="1876" t="str">
        <f>IF(Raza=0,0,VLOOKUP(Raza,Tabla_Razas,20,FALSE))</f>
        <v>Hombres dragón</v>
      </c>
      <c r="W32" s="1876">
        <v>17</v>
      </c>
      <c r="X32" s="1876">
        <v>18</v>
      </c>
      <c r="Y32" s="1876">
        <v>19</v>
      </c>
      <c r="Z32" s="1876">
        <v>20</v>
      </c>
      <c r="AA32" s="1876" t="str">
        <f>IF(Raza=0,0,VLOOKUP(Raza,Tabla_Razas,38,FALSE))</f>
        <v>Aprendizaje lento (-3 PXs)</v>
      </c>
      <c r="AB32" s="1876">
        <v>22</v>
      </c>
      <c r="AC32" s="1876">
        <v>23</v>
      </c>
      <c r="AD32" s="1876">
        <v>24</v>
      </c>
      <c r="AE32" s="1876">
        <v>25</v>
      </c>
      <c r="AF32" s="1876">
        <v>26</v>
      </c>
      <c r="AG32" s="1876">
        <v>27</v>
      </c>
      <c r="AH32" s="1876">
        <v>28</v>
      </c>
      <c r="AI32" s="1876">
        <v>29</v>
      </c>
      <c r="AJ32" s="1876">
        <v>30</v>
      </c>
      <c r="AK32" s="1876">
        <v>31</v>
      </c>
      <c r="AL32" s="1876">
        <v>32</v>
      </c>
      <c r="AM32" s="1876">
        <v>33</v>
      </c>
      <c r="AN32" s="1876">
        <v>34</v>
      </c>
      <c r="AO32" s="1876">
        <v>35</v>
      </c>
      <c r="AP32" s="1876">
        <v>36</v>
      </c>
      <c r="AQ32" s="1876">
        <v>37</v>
      </c>
      <c r="AR32" s="1876">
        <v>38</v>
      </c>
      <c r="AS32" s="1876">
        <v>39</v>
      </c>
      <c r="AT32" s="1876">
        <v>40</v>
      </c>
      <c r="AU32" s="1876">
        <v>41</v>
      </c>
      <c r="AV32" s="1876">
        <v>42</v>
      </c>
      <c r="AW32" s="1876">
        <v>43</v>
      </c>
      <c r="AX32" s="1876">
        <v>44</v>
      </c>
      <c r="AY32" s="1876">
        <v>45</v>
      </c>
      <c r="AZ32" s="1876">
        <v>46</v>
      </c>
      <c r="BA32" s="1876">
        <v>47</v>
      </c>
      <c r="BB32" s="1876">
        <v>48</v>
      </c>
      <c r="BC32" s="1876">
        <v>49</v>
      </c>
      <c r="BD32" s="1876">
        <v>50</v>
      </c>
      <c r="BE32" s="1876">
        <v>51</v>
      </c>
      <c r="BF32" s="1876">
        <v>52</v>
      </c>
      <c r="BG32" s="1876">
        <v>53</v>
      </c>
      <c r="BH32" s="1876">
        <v>54</v>
      </c>
      <c r="BI32" s="1876">
        <v>55</v>
      </c>
      <c r="BJ32" s="1876">
        <v>56</v>
      </c>
      <c r="BK32" s="1876">
        <v>57</v>
      </c>
      <c r="BL32" s="1876">
        <v>58</v>
      </c>
      <c r="BM32" s="1876">
        <v>59</v>
      </c>
      <c r="BN32" s="1876">
        <v>60</v>
      </c>
      <c r="BO32" s="1876">
        <v>61</v>
      </c>
      <c r="BP32" s="1876">
        <v>62</v>
      </c>
      <c r="BQ32" s="1876">
        <v>63</v>
      </c>
      <c r="BR32" s="1876">
        <v>64</v>
      </c>
      <c r="BS32" s="1876">
        <v>65</v>
      </c>
      <c r="BT32" s="1876">
        <v>66</v>
      </c>
      <c r="BU32" s="1876">
        <v>67</v>
      </c>
      <c r="BV32" s="1876">
        <v>68</v>
      </c>
      <c r="BW32" s="1876">
        <v>69</v>
      </c>
      <c r="BX32" s="1876">
        <v>70</v>
      </c>
      <c r="BY32" s="1876">
        <v>71</v>
      </c>
      <c r="BZ32" s="1876">
        <v>72</v>
      </c>
      <c r="CA32" s="1876">
        <v>73</v>
      </c>
      <c r="CB32" s="1876">
        <v>74</v>
      </c>
      <c r="CC32" s="1876">
        <v>75</v>
      </c>
      <c r="CD32" s="1876">
        <v>76</v>
      </c>
      <c r="CE32" s="1876">
        <v>77</v>
      </c>
      <c r="CF32" s="1876">
        <v>78</v>
      </c>
      <c r="CG32" s="1876">
        <v>79</v>
      </c>
      <c r="CH32" s="1876">
        <v>80</v>
      </c>
      <c r="CI32" s="1876">
        <v>81</v>
      </c>
      <c r="CJ32" s="1876">
        <v>82</v>
      </c>
      <c r="CK32" s="1876">
        <v>83</v>
      </c>
      <c r="CL32" s="1876">
        <v>84</v>
      </c>
      <c r="CM32" s="1876">
        <v>85</v>
      </c>
      <c r="CN32" s="1876">
        <v>86</v>
      </c>
      <c r="CO32" s="1876">
        <v>87</v>
      </c>
      <c r="CP32" s="1876">
        <v>88</v>
      </c>
      <c r="CQ32" s="1876">
        <v>89</v>
      </c>
      <c r="CR32" s="1876">
        <v>90</v>
      </c>
      <c r="CS32" s="1876">
        <v>91</v>
      </c>
      <c r="CT32" s="1876">
        <v>92</v>
      </c>
      <c r="CU32" s="1876">
        <v>93</v>
      </c>
      <c r="CV32" s="1876">
        <v>94</v>
      </c>
      <c r="CW32" s="1876">
        <v>95</v>
      </c>
      <c r="CX32" s="1876">
        <v>96</v>
      </c>
      <c r="CY32" s="1876">
        <v>97</v>
      </c>
      <c r="CZ32" s="1876">
        <v>98</v>
      </c>
      <c r="DA32" s="1876">
        <v>99</v>
      </c>
      <c r="DB32" s="1876">
        <v>100</v>
      </c>
      <c r="DC32" s="1876">
        <v>101</v>
      </c>
      <c r="DD32" s="1877">
        <v>102</v>
      </c>
      <c r="DG32" s="2501"/>
      <c r="DH32" s="2501"/>
      <c r="DI32" s="2501" t="str">
        <f t="shared" ref="DI32:DI34" si="3">IFERROR(VLOOKUP(SMALL($DH$31:$DH$34,DF32),$DF$31:$DG$34,2,FALSE),"")</f>
        <v/>
      </c>
    </row>
    <row r="33" spans="1:113" s="1854" customFormat="1" ht="14.85" customHeight="1" x14ac:dyDescent="0.2">
      <c r="A33" s="2180">
        <v>33</v>
      </c>
      <c r="B33" s="1860" t="s">
        <v>8862</v>
      </c>
      <c r="C33" s="1857"/>
      <c r="E33" s="1855"/>
      <c r="F33" s="2035" t="str">
        <f>IF(ISNA(HLOOKUP($H$33&amp;1,$G$36:$DD$37,2,FALSE)),"",HLOOKUP($H$33&amp;1,$G$36:$DD$37,2,FALSE))</f>
        <v/>
      </c>
      <c r="G33" s="2032" t="s">
        <v>8868</v>
      </c>
      <c r="H33" s="4816" t="str">
        <f>IF(Region="","",Region)</f>
        <v/>
      </c>
      <c r="I33" s="4817"/>
      <c r="J33" s="2840" t="e">
        <f>IF(Raza="Criatura",0,3)+TRUNC((PDs!X5+PDs!X7+PDs!X9+PDs!X11+PDs!X13)/2,0)-Tablas!B449+IF(Y23="PDs",0,IF($AB$13=0,0,VLOOKUP($AB$13,Tabla_Gnosis,3,FALSE)))</f>
        <v>#N/A</v>
      </c>
      <c r="K33" s="1902" t="str">
        <f>IF(OR(H33="",H34=""),"",IF(AND(H33="Elicia",OR(H34=F35,H34=F36)),'Elan y Personalización'!$X$25,MID(HLOOKUP($H$33&amp;$H$34,$F$38:$DD$93,53,FALSE),4,10)))</f>
        <v/>
      </c>
      <c r="L33" s="2841" t="e">
        <f>LEFT(HLOOKUP($H$33&amp;$H$34,$F$38:$DD$93,53,FALSE),2)</f>
        <v>#N/A</v>
      </c>
      <c r="M33" s="1902" t="str">
        <f>IF(OR(H33="",H34=""),"",MID(HLOOKUP($H$33&amp;$H$34,$F$38:$DD$93,55,FALSE),4,25))</f>
        <v/>
      </c>
      <c r="N33" s="2290" t="e">
        <f>LEFT(HLOOKUP($H$33&amp;$H$34,$F$38:$DD$93,55,FALSE),2)</f>
        <v>#N/A</v>
      </c>
      <c r="O33" s="1878"/>
      <c r="P33" s="1878"/>
      <c r="Q33" s="1878"/>
      <c r="R33" s="1878"/>
      <c r="S33" s="1878"/>
      <c r="T33" s="1878"/>
      <c r="U33" s="1878"/>
      <c r="V33" s="1878" t="str">
        <f>IF(Raza=0,0,VLOOKUP(Raza,Tabla_Razas,23,FALSE))</f>
        <v>Armas naturales</v>
      </c>
      <c r="W33" s="1878"/>
      <c r="X33" s="1878"/>
      <c r="Y33" s="1878"/>
      <c r="Z33" s="1878"/>
      <c r="AA33" s="1878" t="str">
        <f>IF(Raza=0,0,VLOOKUP(Raza,Tabla_Razas,41,FALSE))</f>
        <v>Modificador de nivel: +1</v>
      </c>
      <c r="AB33" s="1878"/>
      <c r="AC33" s="1878"/>
      <c r="AD33" s="1878"/>
      <c r="AE33" s="1878"/>
      <c r="AF33" s="1878"/>
      <c r="AG33" s="1878"/>
      <c r="AH33" s="1878"/>
      <c r="AI33" s="1878"/>
      <c r="AJ33" s="1878"/>
      <c r="AK33" s="1878"/>
      <c r="AL33" s="1878"/>
      <c r="AM33" s="1878"/>
      <c r="AN33" s="1878"/>
      <c r="AO33" s="1878"/>
      <c r="AP33" s="1878"/>
      <c r="AQ33" s="1878"/>
      <c r="AR33" s="1878"/>
      <c r="AS33" s="1878"/>
      <c r="AT33" s="1878"/>
      <c r="AU33" s="1878"/>
      <c r="AV33" s="1878"/>
      <c r="AW33" s="1878"/>
      <c r="AX33" s="1878"/>
      <c r="AY33" s="1878"/>
      <c r="AZ33" s="1878"/>
      <c r="BA33" s="1878"/>
      <c r="BB33" s="1878"/>
      <c r="BC33" s="1878"/>
      <c r="BD33" s="1878"/>
      <c r="BE33" s="1878"/>
      <c r="BF33" s="1878"/>
      <c r="BG33" s="1878"/>
      <c r="BH33" s="1878"/>
      <c r="BI33" s="1878"/>
      <c r="BJ33" s="1878"/>
      <c r="BK33" s="1878"/>
      <c r="BL33" s="1878"/>
      <c r="BM33" s="1878"/>
      <c r="BN33" s="1878"/>
      <c r="BO33" s="1878"/>
      <c r="BP33" s="1878"/>
      <c r="BQ33" s="1878"/>
      <c r="BR33" s="1878"/>
      <c r="BS33" s="1878"/>
      <c r="BT33" s="1878"/>
      <c r="BU33" s="1878"/>
      <c r="BV33" s="1878"/>
      <c r="BW33" s="1878"/>
      <c r="BX33" s="1878"/>
      <c r="BY33" s="1878"/>
      <c r="BZ33" s="1878"/>
      <c r="CA33" s="1878"/>
      <c r="CB33" s="1878"/>
      <c r="CC33" s="1878"/>
      <c r="CD33" s="1878"/>
      <c r="CE33" s="1878"/>
      <c r="CF33" s="1878"/>
      <c r="CG33" s="1878"/>
      <c r="CH33" s="1878"/>
      <c r="CI33" s="1878"/>
      <c r="CJ33" s="1878"/>
      <c r="CK33" s="1878"/>
      <c r="CL33" s="1878"/>
      <c r="CM33" s="1878"/>
      <c r="CN33" s="1878"/>
      <c r="CO33" s="1878"/>
      <c r="CP33" s="1878"/>
      <c r="CQ33" s="1878"/>
      <c r="CR33" s="1878"/>
      <c r="CS33" s="1878"/>
      <c r="CT33" s="1878"/>
      <c r="CU33" s="1878"/>
      <c r="CV33" s="1878"/>
      <c r="CW33" s="1878"/>
      <c r="CX33" s="1878"/>
      <c r="CY33" s="1878"/>
      <c r="CZ33" s="1878"/>
      <c r="DA33" s="1878"/>
      <c r="DB33" s="1878"/>
      <c r="DC33" s="1878"/>
      <c r="DD33" s="1879"/>
      <c r="DG33" s="2501"/>
      <c r="DH33" s="2501"/>
      <c r="DI33" s="2501" t="str">
        <f t="shared" si="3"/>
        <v/>
      </c>
    </row>
    <row r="34" spans="1:113" s="1855" customFormat="1" ht="14.85" customHeight="1" thickBot="1" x14ac:dyDescent="0.25">
      <c r="A34" s="2181">
        <v>34</v>
      </c>
      <c r="B34" s="1860" t="s">
        <v>8863</v>
      </c>
      <c r="C34" s="1857"/>
      <c r="F34" s="2035" t="str">
        <f>IF(ISNA(HLOOKUP($H$33&amp;2,$G$36:$DD$37,2,FALSE)),"",HLOOKUP($H$33&amp;2,$G$36:$DD$37,2,FALSE))</f>
        <v/>
      </c>
      <c r="G34" s="2033" t="s">
        <v>2216</v>
      </c>
      <c r="H34" s="4818" t="str">
        <f>IF(ClaseSocial="","",ClaseSocial)</f>
        <v/>
      </c>
      <c r="I34" s="4819"/>
      <c r="J34" s="1904"/>
      <c r="K34" s="2059" t="str">
        <f>IF(K33="","",MID(HLOOKUP($H$33&amp;$H$34,$F$38:$DD$93,54,FALSE),4,10))</f>
        <v/>
      </c>
      <c r="L34" s="1905" t="e">
        <f>LEFT(HLOOKUP($H$33&amp;$H$34,$F$38:$DD$93,54,FALSE),2)</f>
        <v>#N/A</v>
      </c>
      <c r="M34" s="2059" t="str">
        <f>IF(M33="","",MID(HLOOKUP($H$33&amp;$H$34,$F$38:$DD$93,56,FALSE),4,25))</f>
        <v/>
      </c>
      <c r="N34" s="2291" t="e">
        <f>LEFT(HLOOKUP($H$33&amp;$H$34,$F$38:$DD$93,56,FALSE),2)</f>
        <v>#N/A</v>
      </c>
      <c r="O34" s="1903"/>
      <c r="P34" s="1878"/>
      <c r="Q34" s="1878"/>
      <c r="R34" s="1878"/>
      <c r="S34" s="1878"/>
      <c r="T34" s="1878"/>
      <c r="U34" s="1878"/>
      <c r="V34" s="1878" t="str">
        <f>IF(Raza=0,0,VLOOKUP(Raza,Tabla_Razas,26,FALSE))</f>
        <v>Escamas</v>
      </c>
      <c r="W34" s="1878"/>
      <c r="X34" s="1878"/>
      <c r="Y34" s="1878"/>
      <c r="Z34" s="1878"/>
      <c r="AA34" s="1878">
        <f>IF(Raza=0,0,VLOOKUP(Raza,Tabla_Razas,44,FALSE))</f>
        <v>0</v>
      </c>
      <c r="AB34" s="1878"/>
      <c r="AC34" s="1878"/>
      <c r="AD34" s="1878"/>
      <c r="AE34" s="1878"/>
      <c r="AF34" s="1878"/>
      <c r="AG34" s="1878"/>
      <c r="AH34" s="1878"/>
      <c r="AI34" s="1878"/>
      <c r="AJ34" s="1878"/>
      <c r="AK34" s="1878"/>
      <c r="AL34" s="1878"/>
      <c r="AM34" s="1878"/>
      <c r="AN34" s="1878" t="str">
        <f>IF(Raza="Criatura","","V_Comunes")</f>
        <v>V_Comunes</v>
      </c>
      <c r="AO34" s="1878"/>
      <c r="AP34" s="1878"/>
      <c r="AQ34" s="1878"/>
      <c r="AR34" s="1878"/>
      <c r="AS34" s="1878"/>
      <c r="AT34" s="1878"/>
      <c r="AU34" s="1878"/>
      <c r="AV34" s="1878"/>
      <c r="AW34" s="1878"/>
      <c r="AX34" s="1878"/>
      <c r="AY34" s="1878"/>
      <c r="AZ34" s="1878"/>
      <c r="BA34" s="1878"/>
      <c r="BB34" s="1878"/>
      <c r="BC34" s="1878"/>
      <c r="BD34" s="1878"/>
      <c r="BE34" s="1878"/>
      <c r="BF34" s="1878"/>
      <c r="BG34" s="1878"/>
      <c r="BH34" s="1878"/>
      <c r="BI34" s="1878"/>
      <c r="BJ34" s="1878"/>
      <c r="BK34" s="1878"/>
      <c r="BL34" s="1878"/>
      <c r="BM34" s="1878"/>
      <c r="BN34" s="1878"/>
      <c r="BO34" s="1878"/>
      <c r="BP34" s="1878"/>
      <c r="BQ34" s="1878"/>
      <c r="BR34" s="1878"/>
      <c r="BS34" s="1878"/>
      <c r="BT34" s="1878"/>
      <c r="BU34" s="1878"/>
      <c r="BV34" s="1878"/>
      <c r="BW34" s="1878"/>
      <c r="BX34" s="1878"/>
      <c r="BY34" s="1878"/>
      <c r="BZ34" s="1878"/>
      <c r="CA34" s="1878"/>
      <c r="CB34" s="1878"/>
      <c r="CC34" s="1878"/>
      <c r="CD34" s="1878"/>
      <c r="CE34" s="1878"/>
      <c r="CF34" s="1878"/>
      <c r="CG34" s="1878"/>
      <c r="CH34" s="1878"/>
      <c r="CI34" s="1878"/>
      <c r="CJ34" s="1878"/>
      <c r="CK34" s="1878"/>
      <c r="CL34" s="1878"/>
      <c r="CM34" s="1878"/>
      <c r="CN34" s="1878"/>
      <c r="CO34" s="1878"/>
      <c r="CP34" s="1878"/>
      <c r="CQ34" s="1878"/>
      <c r="CR34" s="1878"/>
      <c r="CS34" s="1878"/>
      <c r="CT34" s="1878"/>
      <c r="CU34" s="1878"/>
      <c r="CV34" s="1878"/>
      <c r="CW34" s="1878"/>
      <c r="CX34" s="1878"/>
      <c r="CY34" s="1878"/>
      <c r="CZ34" s="1878"/>
      <c r="DA34" s="1878"/>
      <c r="DB34" s="1878"/>
      <c r="DC34" s="1878"/>
      <c r="DD34" s="1879"/>
      <c r="DG34" s="2501"/>
      <c r="DH34" s="2501"/>
      <c r="DI34" s="2501" t="str">
        <f t="shared" si="3"/>
        <v/>
      </c>
    </row>
    <row r="35" spans="1:113" ht="14.85" customHeight="1" x14ac:dyDescent="0.2">
      <c r="A35" s="2181">
        <v>35</v>
      </c>
      <c r="B35" s="1856" t="s">
        <v>8806</v>
      </c>
      <c r="C35" s="1857"/>
      <c r="E35" s="1854"/>
      <c r="F35" s="2035" t="str">
        <f>IF(ISNA(HLOOKUP($H$33&amp;3,$G$36:$DD$37,2,FALSE)),"",HLOOKUP($H$33&amp;3,$G$36:$DD$37,2,FALSE))</f>
        <v/>
      </c>
      <c r="G35" s="4813" t="s">
        <v>8806</v>
      </c>
      <c r="H35" s="4813"/>
      <c r="I35" s="4815"/>
      <c r="J35" s="4813" t="s">
        <v>8807</v>
      </c>
      <c r="K35" s="4813"/>
      <c r="L35" s="4802" t="s">
        <v>8808</v>
      </c>
      <c r="M35" s="4802"/>
      <c r="N35" s="4802"/>
      <c r="O35" s="4813" t="s">
        <v>8809</v>
      </c>
      <c r="P35" s="4813"/>
      <c r="Q35" s="4814" t="s">
        <v>8810</v>
      </c>
      <c r="R35" s="4815"/>
      <c r="S35" s="2839" t="s">
        <v>8811</v>
      </c>
      <c r="T35" s="4787" t="s">
        <v>8812</v>
      </c>
      <c r="U35" s="4788"/>
      <c r="V35" s="4800" t="str">
        <f>IF(Raza=0,0,VLOOKUP(Raza,Tabla_Razas,29,FALSE))</f>
        <v>Regeneración de lagarto</v>
      </c>
      <c r="W35" s="4800"/>
      <c r="X35" s="4787" t="s">
        <v>8814</v>
      </c>
      <c r="Y35" s="4800"/>
      <c r="Z35" s="4788"/>
      <c r="AA35" s="4800">
        <f>IF(Raza=0,0,VLOOKUP(Raza,Tabla_Razas,47,FALSE))</f>
        <v>0</v>
      </c>
      <c r="AB35" s="4800"/>
      <c r="AC35" s="4801" t="s">
        <v>8816</v>
      </c>
      <c r="AD35" s="4801"/>
      <c r="AE35" s="4800" t="s">
        <v>8817</v>
      </c>
      <c r="AF35" s="4800"/>
      <c r="AG35" s="4800"/>
      <c r="AH35" s="4787" t="s">
        <v>8818</v>
      </c>
      <c r="AI35" s="4800"/>
      <c r="AJ35" s="4788"/>
      <c r="AK35" s="4800" t="s">
        <v>8819</v>
      </c>
      <c r="AL35" s="4800"/>
      <c r="AM35" s="4800"/>
      <c r="AN35" s="4800"/>
      <c r="AO35" s="4787" t="s">
        <v>8820</v>
      </c>
      <c r="AP35" s="4800"/>
      <c r="AQ35" s="4788"/>
      <c r="AR35" s="4800" t="s">
        <v>8821</v>
      </c>
      <c r="AS35" s="4800"/>
      <c r="AT35" s="4787" t="s">
        <v>8822</v>
      </c>
      <c r="AU35" s="4800"/>
      <c r="AV35" s="4788"/>
      <c r="AW35" s="4800" t="s">
        <v>8823</v>
      </c>
      <c r="AX35" s="4800"/>
      <c r="AY35" s="4787" t="s">
        <v>8824</v>
      </c>
      <c r="AZ35" s="4788"/>
      <c r="BA35" s="4800" t="s">
        <v>8825</v>
      </c>
      <c r="BB35" s="4800"/>
      <c r="BC35" s="4787" t="s">
        <v>8826</v>
      </c>
      <c r="BD35" s="4788"/>
      <c r="BE35" s="4800" t="s">
        <v>8827</v>
      </c>
      <c r="BF35" s="4800"/>
      <c r="BG35" s="2838" t="s">
        <v>8828</v>
      </c>
      <c r="BH35" s="4787" t="s">
        <v>8788</v>
      </c>
      <c r="BI35" s="4788"/>
      <c r="BJ35" s="2417" t="s">
        <v>8789</v>
      </c>
      <c r="BK35" s="2418"/>
      <c r="BL35" s="2838" t="s">
        <v>8790</v>
      </c>
      <c r="BM35" s="4800" t="s">
        <v>8791</v>
      </c>
      <c r="BN35" s="4800"/>
      <c r="BO35" s="4787" t="s">
        <v>8829</v>
      </c>
      <c r="BP35" s="4800"/>
      <c r="BQ35" s="4788"/>
      <c r="BR35" s="4800" t="s">
        <v>8830</v>
      </c>
      <c r="BS35" s="4800"/>
      <c r="BT35" s="4801" t="s">
        <v>8792</v>
      </c>
      <c r="BU35" s="4801"/>
      <c r="BV35" s="4801"/>
      <c r="BW35" s="4801"/>
      <c r="BX35" s="4788" t="s">
        <v>8793</v>
      </c>
      <c r="BY35" s="4801"/>
      <c r="BZ35" s="4787"/>
      <c r="CA35" s="4801" t="s">
        <v>8794</v>
      </c>
      <c r="CB35" s="4801"/>
      <c r="CC35" s="4801"/>
      <c r="CD35" s="4788" t="s">
        <v>8795</v>
      </c>
      <c r="CE35" s="4787"/>
      <c r="CF35" s="4801" t="s">
        <v>8796</v>
      </c>
      <c r="CG35" s="4801"/>
      <c r="CH35" s="4801"/>
      <c r="CI35" s="4788" t="s">
        <v>8797</v>
      </c>
      <c r="CJ35" s="4801"/>
      <c r="CK35" s="4801"/>
      <c r="CL35" s="4787"/>
      <c r="CM35" s="4801" t="s">
        <v>8798</v>
      </c>
      <c r="CN35" s="4801"/>
      <c r="CO35" s="4788" t="s">
        <v>8799</v>
      </c>
      <c r="CP35" s="4787"/>
      <c r="CQ35" s="4801" t="s">
        <v>8800</v>
      </c>
      <c r="CR35" s="4801"/>
      <c r="CS35" s="4801"/>
      <c r="CT35" s="4788" t="s">
        <v>8801</v>
      </c>
      <c r="CU35" s="4787"/>
      <c r="CV35" s="4801" t="s">
        <v>8802</v>
      </c>
      <c r="CW35" s="4801"/>
      <c r="CX35" s="4801"/>
      <c r="CY35" s="1894" t="s">
        <v>8803</v>
      </c>
      <c r="CZ35" s="4801" t="s">
        <v>8804</v>
      </c>
      <c r="DA35" s="4801"/>
      <c r="DB35" s="4801"/>
      <c r="DC35" s="4788" t="s">
        <v>8805</v>
      </c>
      <c r="DD35" s="4820"/>
    </row>
    <row r="36" spans="1:113" ht="14.85" customHeight="1" thickBot="1" x14ac:dyDescent="0.25">
      <c r="A36" s="2181">
        <v>36</v>
      </c>
      <c r="B36" s="1856" t="s">
        <v>8807</v>
      </c>
      <c r="C36" s="1680"/>
      <c r="E36" s="1855"/>
      <c r="F36" s="2036" t="str">
        <f>IF(ISNA(HLOOKUP($H$33&amp;4,$G$36:$DD$37,2,FALSE)),"",HLOOKUP($H$33&amp;4,$G$36:$DD$37,2,FALSE))</f>
        <v/>
      </c>
      <c r="G36" s="1881" t="str">
        <f>G35&amp;1</f>
        <v>Abel1</v>
      </c>
      <c r="H36" s="1881" t="str">
        <f>G35&amp;2</f>
        <v>Abel2</v>
      </c>
      <c r="I36" s="1889" t="str">
        <f>G35&amp;3</f>
        <v>Abel3</v>
      </c>
      <c r="J36" s="1881" t="str">
        <f>J35&amp;1</f>
        <v>Ilmora1</v>
      </c>
      <c r="K36" s="1881" t="str">
        <f>J35&amp;2</f>
        <v>Ilmora2</v>
      </c>
      <c r="L36" s="1888" t="str">
        <f>L35&amp;1</f>
        <v>Helenia1</v>
      </c>
      <c r="M36" s="1881" t="str">
        <f>L35&amp;2</f>
        <v>Helenia2</v>
      </c>
      <c r="N36" s="1889" t="str">
        <f>L35&amp;3</f>
        <v>Helenia3</v>
      </c>
      <c r="O36" s="1881" t="str">
        <f>O35&amp;1</f>
        <v>Dalaborn1</v>
      </c>
      <c r="P36" s="1881" t="str">
        <f>O35&amp;2</f>
        <v>Dalaborn2</v>
      </c>
      <c r="Q36" s="1888" t="str">
        <f>Q35&amp;1</f>
        <v>Alberia1</v>
      </c>
      <c r="R36" s="1889" t="str">
        <f>Q35&amp;2</f>
        <v>Alberia2</v>
      </c>
      <c r="S36" s="1881" t="str">
        <f>S35&amp;1</f>
        <v>Galgados1</v>
      </c>
      <c r="T36" s="1888" t="str">
        <f>T35&amp;1</f>
        <v>Arlan1</v>
      </c>
      <c r="U36" s="1889" t="str">
        <f>T35&amp;2</f>
        <v>Arlan2</v>
      </c>
      <c r="V36" s="1881" t="str">
        <f>IF(Raza=0,0,VLOOKUP(Raza,Tabla_Razas,32,FALSE))</f>
        <v>Cercanía con El dragón</v>
      </c>
      <c r="W36" s="1881" t="str">
        <f>V35&amp;2</f>
        <v>Regeneración de lagarto2</v>
      </c>
      <c r="X36" s="1888" t="str">
        <f>X35&amp;1</f>
        <v>Togarini1</v>
      </c>
      <c r="Y36" s="1881" t="str">
        <f>X35&amp;2</f>
        <v>Togarini2</v>
      </c>
      <c r="Z36" s="1889" t="str">
        <f>X35&amp;3</f>
        <v>Togarini3</v>
      </c>
      <c r="AA36" s="1881">
        <f>IF(Raza=0,0,VLOOKUP(Raza,Tabla_Razas,50,FALSE))</f>
        <v>0</v>
      </c>
      <c r="AB36" s="1881" t="str">
        <f>AA35&amp;2</f>
        <v>02</v>
      </c>
      <c r="AC36" s="1888" t="str">
        <f>AC35&amp;1</f>
        <v>Bellafonte1</v>
      </c>
      <c r="AD36" s="1889" t="str">
        <f>AC35&amp;2</f>
        <v>Bellafonte2</v>
      </c>
      <c r="AE36" s="1881" t="str">
        <f>AE35&amp;1</f>
        <v>Goldar1</v>
      </c>
      <c r="AF36" s="1881" t="str">
        <f>AE35&amp;2</f>
        <v>Goldar2</v>
      </c>
      <c r="AG36" s="1881" t="str">
        <f>AE35&amp;3</f>
        <v>Goldar3</v>
      </c>
      <c r="AH36" s="1888" t="str">
        <f>AH35&amp;1</f>
        <v>Haufman1</v>
      </c>
      <c r="AI36" s="1881" t="str">
        <f>AH35&amp;2</f>
        <v>Haufman2</v>
      </c>
      <c r="AJ36" s="1889" t="str">
        <f>AH35&amp;3</f>
        <v>Haufman3</v>
      </c>
      <c r="AK36" s="1881" t="str">
        <f>AK35&amp;1</f>
        <v>Hendell1</v>
      </c>
      <c r="AL36" s="1881" t="str">
        <f>AK35&amp;2</f>
        <v>Hendell2</v>
      </c>
      <c r="AM36" s="1881" t="str">
        <f>AK35&amp;3</f>
        <v>Hendell3</v>
      </c>
      <c r="AN36" s="1881" t="str">
        <f>IF(Raza="Criatura","","V_Trasfondo")</f>
        <v>V_Trasfondo</v>
      </c>
      <c r="AO36" s="1888" t="str">
        <f>AO35&amp;1</f>
        <v>Moth1</v>
      </c>
      <c r="AP36" s="1881" t="str">
        <f>AO35&amp;2</f>
        <v>Moth2</v>
      </c>
      <c r="AQ36" s="1889" t="str">
        <f>AO35&amp;3</f>
        <v>Moth3</v>
      </c>
      <c r="AR36" s="1881" t="str">
        <f>AR35&amp;1</f>
        <v>Dwänholf1</v>
      </c>
      <c r="AS36" s="1881" t="str">
        <f>AR35&amp;2</f>
        <v>Dwänholf2</v>
      </c>
      <c r="AT36" s="1888" t="str">
        <f>AT35&amp;1</f>
        <v>Gabriel1</v>
      </c>
      <c r="AU36" s="1881" t="str">
        <f>AT35&amp;2</f>
        <v>Gabriel2</v>
      </c>
      <c r="AV36" s="1889" t="str">
        <f>AT35&amp;3</f>
        <v>Gabriel3</v>
      </c>
      <c r="AW36" s="1881" t="str">
        <f>AW35&amp;1</f>
        <v>Phaion Eien Seimon1</v>
      </c>
      <c r="AX36" s="1881" t="str">
        <f>AW35&amp;2</f>
        <v>Phaion Eien Seimon2</v>
      </c>
      <c r="AY36" s="1888" t="str">
        <f>AY35&amp;1</f>
        <v>El Dominio1</v>
      </c>
      <c r="AZ36" s="1889" t="str">
        <f>AY35&amp;2</f>
        <v>El Dominio2</v>
      </c>
      <c r="BA36" s="1881" t="str">
        <f>BA35&amp;1</f>
        <v>Argos1</v>
      </c>
      <c r="BB36" s="1881" t="str">
        <f>BA35&amp;2</f>
        <v>Argos2</v>
      </c>
      <c r="BC36" s="1888" t="str">
        <f>BC35&amp;1</f>
        <v>Kushistán1</v>
      </c>
      <c r="BD36" s="1889" t="str">
        <f>BC35&amp;2</f>
        <v>Kushistán2</v>
      </c>
      <c r="BE36" s="1881" t="str">
        <f>BE35&amp;1</f>
        <v>Estigia1</v>
      </c>
      <c r="BF36" s="1881" t="str">
        <f>BE35&amp;2</f>
        <v>Estigia2</v>
      </c>
      <c r="BG36" s="1892" t="str">
        <f>BG35&amp;1</f>
        <v>Salazar1</v>
      </c>
      <c r="BH36" s="1888" t="str">
        <f>BH35&amp;1</f>
        <v>Nanwe1</v>
      </c>
      <c r="BI36" s="1889" t="str">
        <f>BH35&amp;2</f>
        <v>Nanwe2</v>
      </c>
      <c r="BJ36" s="1881" t="str">
        <f>BJ35&amp;1</f>
        <v>Lucrecio1</v>
      </c>
      <c r="BK36" s="1881" t="str">
        <f>BJ35&amp;2</f>
        <v>Lucrecio2</v>
      </c>
      <c r="BL36" s="1892" t="str">
        <f>BL35&amp;1</f>
        <v>Kashimir1</v>
      </c>
      <c r="BM36" s="1881" t="str">
        <f>BM35&amp;1</f>
        <v>Baho1</v>
      </c>
      <c r="BN36" s="1881" t="str">
        <f>BM35&amp;2</f>
        <v>Baho2</v>
      </c>
      <c r="BO36" s="1888" t="str">
        <f>BO35&amp;1</f>
        <v>Lannet1</v>
      </c>
      <c r="BP36" s="1881" t="str">
        <f>BO35&amp;2</f>
        <v>Lannet2</v>
      </c>
      <c r="BQ36" s="1889" t="str">
        <f>BO35&amp;3</f>
        <v>Lannet3</v>
      </c>
      <c r="BR36" s="1881" t="str">
        <f>BR35&amp;1</f>
        <v>Shivat1</v>
      </c>
      <c r="BS36" s="1881" t="str">
        <f>BR35&amp;2</f>
        <v>Shivat2</v>
      </c>
      <c r="BT36" s="1888" t="str">
        <f>BT35&amp;1</f>
        <v>Manterra1</v>
      </c>
      <c r="BU36" s="1881" t="str">
        <f>BT35&amp;2</f>
        <v>Manterra2</v>
      </c>
      <c r="BV36" s="1881" t="str">
        <f>BT35&amp;3</f>
        <v>Manterra3</v>
      </c>
      <c r="BW36" s="1889" t="str">
        <f>BT35&amp;4</f>
        <v>Manterra4</v>
      </c>
      <c r="BX36" s="1881" t="str">
        <f>BX35&amp;1</f>
        <v>Corinia1</v>
      </c>
      <c r="BY36" s="1881" t="str">
        <f>BX35&amp;2</f>
        <v>Corinia2</v>
      </c>
      <c r="BZ36" s="1881" t="str">
        <f>BX35&amp;3</f>
        <v>Corinia3</v>
      </c>
      <c r="CA36" s="1888" t="str">
        <f>CA35&amp;1</f>
        <v>Arabal1</v>
      </c>
      <c r="CB36" s="1881" t="str">
        <f>CA35&amp;2</f>
        <v>Arabal2</v>
      </c>
      <c r="CC36" s="1889" t="str">
        <f>CA35&amp;3</f>
        <v>Arabal3</v>
      </c>
      <c r="CD36" s="1881" t="str">
        <f>CD35&amp;1</f>
        <v>Pristina1</v>
      </c>
      <c r="CE36" s="1881" t="str">
        <f>CD35&amp;2</f>
        <v>Pristina2</v>
      </c>
      <c r="CF36" s="1888" t="str">
        <f>CF35&amp;1</f>
        <v>Ygdramar1</v>
      </c>
      <c r="CG36" s="1881" t="str">
        <f>CF35&amp;2</f>
        <v>Ygdramar2</v>
      </c>
      <c r="CH36" s="1889" t="str">
        <f>CF35&amp;3</f>
        <v>Ygdramar3</v>
      </c>
      <c r="CI36" s="1881" t="str">
        <f>CI35&amp;1</f>
        <v>Elicia1</v>
      </c>
      <c r="CJ36" s="1881" t="str">
        <f>CI35&amp;2</f>
        <v>Elicia2</v>
      </c>
      <c r="CK36" s="1881" t="str">
        <f>CI35&amp;3</f>
        <v>Elicia3</v>
      </c>
      <c r="CL36" s="1881" t="str">
        <f>CI35&amp;4</f>
        <v>Elicia4</v>
      </c>
      <c r="CM36" s="1888" t="str">
        <f>CM35&amp;1</f>
        <v>Espheria1</v>
      </c>
      <c r="CN36" s="1889" t="str">
        <f>CM35&amp;2</f>
        <v>Espheria2</v>
      </c>
      <c r="CO36" s="1881" t="str">
        <f>CO35&amp;1</f>
        <v>Itzi1</v>
      </c>
      <c r="CP36" s="1881" t="str">
        <f>CO35&amp;2</f>
        <v>Itzi2</v>
      </c>
      <c r="CQ36" s="1888" t="str">
        <f>CQ35&amp;1</f>
        <v>Dafne1</v>
      </c>
      <c r="CR36" s="1881" t="str">
        <f>CQ35&amp;2</f>
        <v>Dafne2</v>
      </c>
      <c r="CS36" s="1889" t="str">
        <f>CQ35&amp;3</f>
        <v>Dafne3</v>
      </c>
      <c r="CT36" s="1881" t="str">
        <f>CT35&amp;1</f>
        <v>Bekent1</v>
      </c>
      <c r="CU36" s="1881" t="str">
        <f>CT35&amp;2</f>
        <v>Bekent2</v>
      </c>
      <c r="CV36" s="1888" t="str">
        <f>CV35&amp;1</f>
        <v>Heinlein1</v>
      </c>
      <c r="CW36" s="1881" t="str">
        <f>CV35&amp;2</f>
        <v>Heinlein2</v>
      </c>
      <c r="CX36" s="1889" t="str">
        <f>CV35&amp;3</f>
        <v>Heinlein3</v>
      </c>
      <c r="CY36" s="1881" t="str">
        <f>CY35&amp;1</f>
        <v>Dravenor1</v>
      </c>
      <c r="CZ36" s="1888" t="str">
        <f>CZ35&amp;1</f>
        <v>Theresia1</v>
      </c>
      <c r="DA36" s="1881" t="str">
        <f>CZ35&amp;2</f>
        <v>Theresia2</v>
      </c>
      <c r="DB36" s="1889" t="str">
        <f>CZ35&amp;3</f>
        <v>Theresia3</v>
      </c>
      <c r="DC36" s="1881" t="str">
        <f>DC35&amp;1</f>
        <v>Deloran1</v>
      </c>
      <c r="DD36" s="1882" t="str">
        <f>DC35&amp;2</f>
        <v>Deloran2</v>
      </c>
    </row>
    <row r="37" spans="1:113" ht="14.85" customHeight="1" x14ac:dyDescent="0.2">
      <c r="A37" s="2181">
        <v>37</v>
      </c>
      <c r="B37" s="1856" t="s">
        <v>8808</v>
      </c>
      <c r="C37" s="1857"/>
      <c r="E37" s="1861"/>
      <c r="F37" s="1896" t="s">
        <v>2223</v>
      </c>
      <c r="G37" s="1897" t="s">
        <v>8870</v>
      </c>
      <c r="H37" s="1970" t="s">
        <v>8831</v>
      </c>
      <c r="I37" s="1899" t="s">
        <v>264</v>
      </c>
      <c r="J37" s="1898" t="s">
        <v>8870</v>
      </c>
      <c r="K37" s="1898" t="s">
        <v>264</v>
      </c>
      <c r="L37" s="1897" t="s">
        <v>8870</v>
      </c>
      <c r="M37" s="1898" t="s">
        <v>3643</v>
      </c>
      <c r="N37" s="2292" t="s">
        <v>264</v>
      </c>
      <c r="O37" s="1898" t="s">
        <v>8870</v>
      </c>
      <c r="P37" s="1898" t="s">
        <v>264</v>
      </c>
      <c r="Q37" s="1897" t="s">
        <v>8870</v>
      </c>
      <c r="R37" s="1899" t="s">
        <v>264</v>
      </c>
      <c r="S37" s="1898" t="s">
        <v>8871</v>
      </c>
      <c r="T37" s="1897" t="s">
        <v>8870</v>
      </c>
      <c r="U37" s="1899" t="s">
        <v>8831</v>
      </c>
      <c r="V37" s="1898" t="str">
        <f>IF(Raza=0,0,VLOOKUP(Raza,Tabla_Razas,35,FALSE))</f>
        <v>Sangre fría</v>
      </c>
      <c r="W37" s="1898" t="s">
        <v>264</v>
      </c>
      <c r="X37" s="1897" t="s">
        <v>8870</v>
      </c>
      <c r="Y37" s="1898" t="s">
        <v>8831</v>
      </c>
      <c r="Z37" s="1899" t="s">
        <v>264</v>
      </c>
      <c r="AA37" s="1898">
        <f>IF(Raza=0,0,VLOOKUP(Raza,Tabla_Razas,53,FALSE))</f>
        <v>0</v>
      </c>
      <c r="AB37" s="1898" t="s">
        <v>8872</v>
      </c>
      <c r="AC37" s="1897" t="s">
        <v>8870</v>
      </c>
      <c r="AD37" s="1899" t="s">
        <v>264</v>
      </c>
      <c r="AE37" s="1898" t="s">
        <v>8873</v>
      </c>
      <c r="AF37" s="1898" t="s">
        <v>8832</v>
      </c>
      <c r="AG37" s="1898" t="s">
        <v>8874</v>
      </c>
      <c r="AH37" s="1897" t="s">
        <v>8832</v>
      </c>
      <c r="AI37" s="1898" t="s">
        <v>8833</v>
      </c>
      <c r="AJ37" s="1899" t="s">
        <v>8834</v>
      </c>
      <c r="AK37" s="1898" t="s">
        <v>8835</v>
      </c>
      <c r="AL37" s="1898" t="s">
        <v>8832</v>
      </c>
      <c r="AM37" s="1898" t="s">
        <v>8836</v>
      </c>
      <c r="AN37" s="1898" t="str">
        <f>IF(Raza="Criatura","","Legados_de_sangre")</f>
        <v>Legados_de_sangre</v>
      </c>
      <c r="AO37" s="1897" t="s">
        <v>8870</v>
      </c>
      <c r="AP37" s="1898" t="s">
        <v>8837</v>
      </c>
      <c r="AQ37" s="1899" t="s">
        <v>264</v>
      </c>
      <c r="AR37" s="1898" t="s">
        <v>8875</v>
      </c>
      <c r="AS37" s="1898" t="s">
        <v>8838</v>
      </c>
      <c r="AT37" s="1897" t="s">
        <v>8876</v>
      </c>
      <c r="AU37" s="1898" t="s">
        <v>8831</v>
      </c>
      <c r="AV37" s="1899" t="s">
        <v>264</v>
      </c>
      <c r="AW37" s="1898" t="s">
        <v>8870</v>
      </c>
      <c r="AX37" s="1898" t="s">
        <v>8872</v>
      </c>
      <c r="AY37" s="1897" t="s">
        <v>8870</v>
      </c>
      <c r="AZ37" s="1899" t="s">
        <v>8877</v>
      </c>
      <c r="BA37" s="1898" t="s">
        <v>8870</v>
      </c>
      <c r="BB37" s="1898" t="s">
        <v>264</v>
      </c>
      <c r="BC37" s="1897" t="s">
        <v>8870</v>
      </c>
      <c r="BD37" s="1899" t="s">
        <v>8872</v>
      </c>
      <c r="BE37" s="1898" t="s">
        <v>8870</v>
      </c>
      <c r="BF37" s="1898" t="s">
        <v>8878</v>
      </c>
      <c r="BG37" s="1900" t="s">
        <v>8839</v>
      </c>
      <c r="BH37" s="1897" t="s">
        <v>8840</v>
      </c>
      <c r="BI37" s="1899" t="s">
        <v>8879</v>
      </c>
      <c r="BJ37" s="1898" t="s">
        <v>8870</v>
      </c>
      <c r="BK37" s="1898" t="s">
        <v>8880</v>
      </c>
      <c r="BL37" s="1900" t="s">
        <v>8841</v>
      </c>
      <c r="BM37" s="1898" t="s">
        <v>8842</v>
      </c>
      <c r="BN37" s="1898" t="s">
        <v>8843</v>
      </c>
      <c r="BO37" s="1897" t="s">
        <v>8844</v>
      </c>
      <c r="BP37" s="1898" t="s">
        <v>8881</v>
      </c>
      <c r="BQ37" s="1899" t="s">
        <v>8845</v>
      </c>
      <c r="BR37" s="1898" t="s">
        <v>8870</v>
      </c>
      <c r="BS37" s="1898" t="s">
        <v>8882</v>
      </c>
      <c r="BT37" s="1897" t="s">
        <v>8883</v>
      </c>
      <c r="BU37" s="1898" t="s">
        <v>8846</v>
      </c>
      <c r="BV37" s="1898" t="s">
        <v>8831</v>
      </c>
      <c r="BW37" s="1899" t="s">
        <v>264</v>
      </c>
      <c r="BX37" s="1898" t="s">
        <v>3639</v>
      </c>
      <c r="BY37" s="1898" t="s">
        <v>8847</v>
      </c>
      <c r="BZ37" s="1898" t="s">
        <v>8848</v>
      </c>
      <c r="CA37" s="1897" t="s">
        <v>8870</v>
      </c>
      <c r="CB37" s="1898" t="s">
        <v>8831</v>
      </c>
      <c r="CC37" s="1899" t="s">
        <v>264</v>
      </c>
      <c r="CD37" s="1898" t="s">
        <v>8870</v>
      </c>
      <c r="CE37" s="1898" t="s">
        <v>8838</v>
      </c>
      <c r="CF37" s="1897" t="s">
        <v>8849</v>
      </c>
      <c r="CG37" s="1898" t="s">
        <v>3641</v>
      </c>
      <c r="CH37" s="1899" t="s">
        <v>264</v>
      </c>
      <c r="CI37" s="1898" t="s">
        <v>8844</v>
      </c>
      <c r="CJ37" s="1898" t="s">
        <v>8850</v>
      </c>
      <c r="CK37" s="1898" t="s">
        <v>8831</v>
      </c>
      <c r="CL37" s="1898" t="s">
        <v>8851</v>
      </c>
      <c r="CM37" s="1897" t="s">
        <v>8870</v>
      </c>
      <c r="CN37" s="1899" t="s">
        <v>8831</v>
      </c>
      <c r="CO37" s="1898" t="s">
        <v>8870</v>
      </c>
      <c r="CP37" s="1898" t="s">
        <v>8852</v>
      </c>
      <c r="CQ37" s="1897" t="s">
        <v>8870</v>
      </c>
      <c r="CR37" s="1898" t="s">
        <v>8831</v>
      </c>
      <c r="CS37" s="1899" t="s">
        <v>264</v>
      </c>
      <c r="CT37" s="1898" t="s">
        <v>3643</v>
      </c>
      <c r="CU37" s="1898" t="s">
        <v>8848</v>
      </c>
      <c r="CV37" s="1897" t="s">
        <v>8870</v>
      </c>
      <c r="CW37" s="1898" t="s">
        <v>8831</v>
      </c>
      <c r="CX37" s="1899" t="s">
        <v>264</v>
      </c>
      <c r="CY37" s="1898" t="s">
        <v>8884</v>
      </c>
      <c r="CZ37" s="1897" t="s">
        <v>8870</v>
      </c>
      <c r="DA37" s="1898" t="s">
        <v>8831</v>
      </c>
      <c r="DB37" s="1899" t="s">
        <v>264</v>
      </c>
      <c r="DC37" s="1898" t="s">
        <v>8870</v>
      </c>
      <c r="DD37" s="1901" t="s">
        <v>8831</v>
      </c>
    </row>
    <row r="38" spans="1:113" ht="14.85" customHeight="1" x14ac:dyDescent="0.2">
      <c r="A38" s="2181">
        <v>38</v>
      </c>
      <c r="B38" s="1856" t="s">
        <v>8809</v>
      </c>
      <c r="C38" s="1857"/>
      <c r="E38" s="1861">
        <v>1</v>
      </c>
      <c r="F38" s="1880" t="s">
        <v>2310</v>
      </c>
      <c r="G38" s="1890" t="str">
        <f>G35&amp;G37</f>
        <v>AbelMedia / Baja</v>
      </c>
      <c r="H38" s="1881" t="str">
        <f>G35&amp;H37</f>
        <v>AbelBurgués</v>
      </c>
      <c r="I38" s="1891" t="str">
        <f>G35&amp;I37</f>
        <v>AbelNobleza</v>
      </c>
      <c r="J38" s="1883" t="str">
        <f>J35&amp;J37</f>
        <v>IlmoraMedia / Baja</v>
      </c>
      <c r="K38" s="1883" t="str">
        <f>J35&amp;K37</f>
        <v>IlmoraNobleza</v>
      </c>
      <c r="L38" s="1890" t="str">
        <f>L35&amp;L37</f>
        <v>HeleniaMedia / Baja</v>
      </c>
      <c r="M38" s="1883" t="str">
        <f>L35&amp;M37</f>
        <v>HeleniaNómada</v>
      </c>
      <c r="N38" s="1889" t="str">
        <f>L35&amp;N37</f>
        <v>HeleniaNobleza</v>
      </c>
      <c r="O38" s="1883" t="str">
        <f>O35&amp;O37</f>
        <v>DalabornMedia / Baja</v>
      </c>
      <c r="P38" s="1883" t="str">
        <f>O35&amp;P37</f>
        <v>DalabornNobleza</v>
      </c>
      <c r="Q38" s="1890" t="str">
        <f>Q35&amp;Q37</f>
        <v>AlberiaMedia / Baja</v>
      </c>
      <c r="R38" s="1891" t="str">
        <f>Q35&amp;R37</f>
        <v>AlberiaNobleza</v>
      </c>
      <c r="S38" s="1883" t="str">
        <f>S35&amp;S37</f>
        <v>GalgadosMedia / Baja / Nobleza</v>
      </c>
      <c r="T38" s="1890" t="str">
        <f>T35&amp;T37</f>
        <v>ArlanMedia / Baja</v>
      </c>
      <c r="U38" s="1891" t="str">
        <f>T35&amp;U37</f>
        <v>ArlanBurgués</v>
      </c>
      <c r="V38" s="1883" t="str">
        <f>V35&amp;V37</f>
        <v>Regeneración de lagartoSangre fría</v>
      </c>
      <c r="W38" s="1883" t="str">
        <f>V35&amp;W37</f>
        <v>Regeneración de lagartoNobleza</v>
      </c>
      <c r="X38" s="1890" t="str">
        <f>X35&amp;X37</f>
        <v>TogariniMedia / Baja</v>
      </c>
      <c r="Y38" s="1883" t="str">
        <f>X35&amp;Y37</f>
        <v>TogariniBurgués</v>
      </c>
      <c r="Z38" s="1891" t="str">
        <f>X35&amp;Z37</f>
        <v>TogariniNobleza</v>
      </c>
      <c r="AA38" s="1883" t="str">
        <f>AA35&amp;AA37</f>
        <v>00</v>
      </c>
      <c r="AB38" s="1883" t="str">
        <f>AA35&amp;AB37</f>
        <v>0Burgués / Nobleza</v>
      </c>
      <c r="AC38" s="1890" t="str">
        <f>AC35&amp;AC37</f>
        <v>BellafonteMedia / Baja</v>
      </c>
      <c r="AD38" s="1891" t="str">
        <f>AC35&amp;AD37</f>
        <v>BellafonteNobleza</v>
      </c>
      <c r="AE38" s="1883" t="str">
        <f>AE35&amp;AE37</f>
        <v>GoldarCampesino / Desterrado</v>
      </c>
      <c r="AF38" s="1883" t="str">
        <f>AE35&amp;AF37</f>
        <v>GoldarNorteño</v>
      </c>
      <c r="AG38" s="1883" t="str">
        <f>AE35&amp;AG37</f>
        <v>GoldarErling / Skalmo / Escaldo Honorable</v>
      </c>
      <c r="AH38" s="1890" t="str">
        <f>AH35&amp;AH37</f>
        <v>HaufmanNorteño</v>
      </c>
      <c r="AI38" s="1883" t="str">
        <f>AH35&amp;AI37</f>
        <v>HaufmanSaerinmir</v>
      </c>
      <c r="AJ38" s="1891" t="str">
        <f>AH35&amp;AJ37</f>
        <v>HaufmanNoble</v>
      </c>
      <c r="AK38" s="1883" t="str">
        <f>AK35&amp;AK37</f>
        <v>HendellCampesino</v>
      </c>
      <c r="AL38" s="1883" t="str">
        <f>AK35&amp;AL37</f>
        <v>HendellNorteño</v>
      </c>
      <c r="AM38" s="1883" t="str">
        <f>AK35&amp;AM37</f>
        <v>HendellLochgjest</v>
      </c>
      <c r="AN38" s="1883" t="str">
        <f>AK35&amp;AN37</f>
        <v>HendellLegados_de_sangre</v>
      </c>
      <c r="AO38" s="1890" t="str">
        <f>AO35&amp;AO37</f>
        <v>MothMedia / Baja</v>
      </c>
      <c r="AP38" s="1883" t="str">
        <f>AO35&amp;AP37</f>
        <v>MothZigeuner</v>
      </c>
      <c r="AQ38" s="1891" t="str">
        <f>AO35&amp;AQ37</f>
        <v>MothNobleza</v>
      </c>
      <c r="AR38" s="1883" t="str">
        <f>AR35&amp;AR37</f>
        <v>DwänholfMedia / Pobre</v>
      </c>
      <c r="AS38" s="1883" t="str">
        <f>AR35&amp;AS37</f>
        <v>DwänholfAdinerada</v>
      </c>
      <c r="AT38" s="1890" t="str">
        <f>AT35&amp;AT37</f>
        <v>GabrielMedia / Indigente</v>
      </c>
      <c r="AU38" s="1883" t="str">
        <f>AT35&amp;AU37</f>
        <v>GabrielBurgués</v>
      </c>
      <c r="AV38" s="1891" t="str">
        <f>AT35&amp;AV37</f>
        <v>GabrielNobleza</v>
      </c>
      <c r="AW38" s="1883" t="str">
        <f>AW35&amp;AW37</f>
        <v>Phaion Eien SeimonMedia / Baja</v>
      </c>
      <c r="AX38" s="1883" t="str">
        <f>AW35&amp;AX37</f>
        <v>Phaion Eien SeimonBurgués / Nobleza</v>
      </c>
      <c r="AY38" s="1890" t="str">
        <f>AY35&amp;AY37</f>
        <v>El DominioMedia / Baja</v>
      </c>
      <c r="AZ38" s="1891" t="str">
        <f>AY35&amp;AZ37</f>
        <v>El DominioNobleza / Clero</v>
      </c>
      <c r="BA38" s="1883" t="str">
        <f>BA35&amp;BA37</f>
        <v>ArgosMedia / Baja</v>
      </c>
      <c r="BB38" s="1883" t="str">
        <f>BA35&amp;BB37</f>
        <v>ArgosNobleza</v>
      </c>
      <c r="BC38" s="1890" t="str">
        <f>BC35&amp;BC37</f>
        <v>KushistánMedia / Baja</v>
      </c>
      <c r="BD38" s="1891" t="str">
        <f>BC35&amp;BD37</f>
        <v>KushistánBurgués / Nobleza</v>
      </c>
      <c r="BE38" s="1883" t="str">
        <f>BE35&amp;BE37</f>
        <v>EstigiaMedia / Baja</v>
      </c>
      <c r="BF38" s="1883" t="str">
        <f>BE35&amp;BF37</f>
        <v>EstigiaBurócrata / Burgués / Nobleza</v>
      </c>
      <c r="BG38" s="1893" t="str">
        <f>BG35&amp;BG37</f>
        <v>SalazarNómadas</v>
      </c>
      <c r="BH38" s="1890" t="str">
        <f>BH35&amp;BH37</f>
        <v>NanweMiembro de tribu</v>
      </c>
      <c r="BI38" s="1891" t="str">
        <f>BH35&amp;BI37</f>
        <v>NanweMedia / Burgués</v>
      </c>
      <c r="BJ38" s="1883" t="str">
        <f>BJ35&amp;BJ37</f>
        <v>LucrecioMedia / Baja</v>
      </c>
      <c r="BK38" s="1883" t="str">
        <f>BJ35&amp;BK37</f>
        <v>LucrecioAlta / Burguesía</v>
      </c>
      <c r="BL38" s="1893" t="str">
        <f>BL35&amp;BL37</f>
        <v>KashimirHabitante de la sabana</v>
      </c>
      <c r="BM38" s="1883" t="str">
        <f>BM35&amp;BM37</f>
        <v>BahoCasta de los sabios</v>
      </c>
      <c r="BN38" s="1883" t="str">
        <f>BM35&amp;BN37</f>
        <v>BahoCasta de los guerreros</v>
      </c>
      <c r="BO38" s="1890" t="str">
        <f>BO35&amp;BO37</f>
        <v>LannetBaja</v>
      </c>
      <c r="BP38" s="1883" t="str">
        <f>BO35&amp;BP37</f>
        <v>LannetBurgués / Samurái (cortesano)</v>
      </c>
      <c r="BQ38" s="1891" t="str">
        <f>BO35&amp;BQ37</f>
        <v>LannetSamurái (guerrero)</v>
      </c>
      <c r="BR38" s="1883" t="str">
        <f>BR35&amp;BR37</f>
        <v>ShivatMedia / Baja</v>
      </c>
      <c r="BS38" s="1883" t="str">
        <f>BR35&amp;BS37</f>
        <v>ShivatNobleza / Burguesía / Burócrata</v>
      </c>
      <c r="BT38" s="1890" t="str">
        <f>BT35&amp;BT37</f>
        <v>ManterraMedia /  Baja</v>
      </c>
      <c r="BU38" s="1883" t="str">
        <f>BT35&amp;BU37</f>
        <v>ManterraNativo</v>
      </c>
      <c r="BV38" s="1883" t="str">
        <f>BT35&amp;BV37</f>
        <v>ManterraBurgués</v>
      </c>
      <c r="BW38" s="1891" t="str">
        <f>BT35&amp;BW37</f>
        <v>ManterraNobleza</v>
      </c>
      <c r="BX38" s="1883" t="str">
        <f>BX35&amp;BX37</f>
        <v>CoriniaBárbaro</v>
      </c>
      <c r="BY38" s="1883" t="str">
        <f>BX35&amp;BY37</f>
        <v>CoriniaColono</v>
      </c>
      <c r="BZ38" s="1883" t="str">
        <f>BX35&amp;BZ37</f>
        <v>CoriniaPrivilegiado</v>
      </c>
      <c r="CA38" s="1890" t="str">
        <f>CA35&amp;CA37</f>
        <v>ArabalMedia / Baja</v>
      </c>
      <c r="CB38" s="1883" t="str">
        <f>CA35&amp;CB37</f>
        <v>ArabalBurgués</v>
      </c>
      <c r="CC38" s="1891" t="str">
        <f>CA35&amp;CC37</f>
        <v>ArabalNobleza</v>
      </c>
      <c r="CD38" s="1883" t="str">
        <f>CD35&amp;CD37</f>
        <v>PristinaMedia / Baja</v>
      </c>
      <c r="CE38" s="1883" t="str">
        <f>CD35&amp;CE37</f>
        <v>PristinaAdinerada</v>
      </c>
      <c r="CF38" s="1890" t="str">
        <f>CF35&amp;CF37</f>
        <v>YgdramarPlebeyo</v>
      </c>
      <c r="CG38" s="1883" t="str">
        <f>CF35&amp;CG37</f>
        <v>YgdramarCaballero</v>
      </c>
      <c r="CH38" s="1891" t="str">
        <f>CF35&amp;CH37</f>
        <v>YgdramarNobleza</v>
      </c>
      <c r="CI38" s="1883" t="str">
        <f>CI35&amp;CI37</f>
        <v>EliciaBaja</v>
      </c>
      <c r="CJ38" s="1883" t="str">
        <f>CI35&amp;CJ37</f>
        <v>EliciaGremio</v>
      </c>
      <c r="CK38" s="1883" t="str">
        <f>CI35&amp;CK37</f>
        <v>EliciaBurgués</v>
      </c>
      <c r="CL38" s="1883" t="str">
        <f>CI35&amp;CL37</f>
        <v>EliciaNobleza gremial</v>
      </c>
      <c r="CM38" s="1890" t="str">
        <f>CM35&amp;CM37</f>
        <v>EspheriaMedia / Baja</v>
      </c>
      <c r="CN38" s="1891" t="str">
        <f>CM35&amp;CN37</f>
        <v>EspheriaBurgués</v>
      </c>
      <c r="CO38" s="1883" t="str">
        <f>CO35&amp;CO37</f>
        <v>ItziMedia / Baja</v>
      </c>
      <c r="CP38" s="1883" t="str">
        <f>CO35&amp;CP37</f>
        <v>ItziAlta</v>
      </c>
      <c r="CQ38" s="1890" t="str">
        <f>CQ35&amp;CQ37</f>
        <v>DafneMedia / Baja</v>
      </c>
      <c r="CR38" s="1883" t="str">
        <f>CQ35&amp;CR37</f>
        <v>DafneBurgués</v>
      </c>
      <c r="CS38" s="1891" t="str">
        <f>CQ35&amp;CS37</f>
        <v>DafneNobleza</v>
      </c>
      <c r="CT38" s="1883" t="str">
        <f>CT35&amp;CT37</f>
        <v>BekentNómada</v>
      </c>
      <c r="CU38" s="1883" t="str">
        <f>CT35&amp;CU37</f>
        <v>BekentPrivilegiado</v>
      </c>
      <c r="CV38" s="1890" t="str">
        <f>CV35&amp;CV37</f>
        <v>HeinleinMedia / Baja</v>
      </c>
      <c r="CW38" s="1883" t="str">
        <f>CV35&amp;CW37</f>
        <v>HeinleinBurgués</v>
      </c>
      <c r="CX38" s="1891" t="str">
        <f>CV35&amp;CX37</f>
        <v>HeinleinNobleza</v>
      </c>
      <c r="CY38" s="1883" t="str">
        <f>CY35&amp;CY37</f>
        <v>DravenorSoldado / Refugiado</v>
      </c>
      <c r="CZ38" s="1890" t="str">
        <f>CZ35&amp;CZ37</f>
        <v>TheresiaMedia / Baja</v>
      </c>
      <c r="DA38" s="1883" t="str">
        <f>CZ35&amp;DA37</f>
        <v>TheresiaBurgués</v>
      </c>
      <c r="DB38" s="1891" t="str">
        <f>CZ35&amp;DB37</f>
        <v>TheresiaNobleza</v>
      </c>
      <c r="DC38" s="1883" t="str">
        <f>DC35&amp;DC37</f>
        <v>DeloranMedia / Baja</v>
      </c>
      <c r="DD38" s="1884" t="str">
        <f>DC35&amp;DD37</f>
        <v>DeloranBurgués</v>
      </c>
    </row>
    <row r="39" spans="1:113" ht="12.75" customHeight="1" x14ac:dyDescent="0.2">
      <c r="A39" s="2181">
        <v>39</v>
      </c>
      <c r="B39" s="1856" t="s">
        <v>8810</v>
      </c>
      <c r="C39" s="1857"/>
      <c r="E39" s="1861">
        <v>2</v>
      </c>
      <c r="F39" s="754" t="s">
        <v>2258</v>
      </c>
      <c r="G39" s="2845"/>
      <c r="H39" s="1971"/>
      <c r="I39" s="2846"/>
      <c r="J39" s="750"/>
      <c r="K39" s="750"/>
      <c r="L39" s="2845"/>
      <c r="M39" s="750"/>
      <c r="N39" s="2293"/>
      <c r="O39" s="750"/>
      <c r="P39" s="750"/>
      <c r="Q39" s="2845"/>
      <c r="R39" s="2846"/>
      <c r="S39" s="750">
        <v>10</v>
      </c>
      <c r="T39" s="2845"/>
      <c r="U39" s="2846"/>
      <c r="V39" s="750"/>
      <c r="W39" s="750"/>
      <c r="X39" s="2845"/>
      <c r="Y39" s="750"/>
      <c r="Z39" s="2846"/>
      <c r="AA39" s="750"/>
      <c r="AB39" s="750"/>
      <c r="AC39" s="2845"/>
      <c r="AD39" s="2846"/>
      <c r="AE39" s="750"/>
      <c r="AF39" s="750"/>
      <c r="AG39" s="750"/>
      <c r="AH39" s="2845"/>
      <c r="AI39" s="750"/>
      <c r="AJ39" s="2846"/>
      <c r="AK39" s="750"/>
      <c r="AL39" s="750"/>
      <c r="AM39" s="750"/>
      <c r="AN39" s="750"/>
      <c r="AO39" s="2845"/>
      <c r="AP39" s="750"/>
      <c r="AQ39" s="2846"/>
      <c r="AR39" s="750"/>
      <c r="AS39" s="750"/>
      <c r="AT39" s="2845">
        <v>20</v>
      </c>
      <c r="AU39" s="750"/>
      <c r="AV39" s="2846"/>
      <c r="AW39" s="750"/>
      <c r="AX39" s="750"/>
      <c r="AY39" s="2845"/>
      <c r="AZ39" s="2846"/>
      <c r="BA39" s="750"/>
      <c r="BB39" s="750"/>
      <c r="BC39" s="2845"/>
      <c r="BD39" s="2846"/>
      <c r="BE39" s="750"/>
      <c r="BF39" s="750"/>
      <c r="BG39" s="737"/>
      <c r="BH39" s="2845"/>
      <c r="BI39" s="2846"/>
      <c r="BJ39" s="750"/>
      <c r="BK39" s="750"/>
      <c r="BL39" s="737"/>
      <c r="BM39" s="750"/>
      <c r="BN39" s="750"/>
      <c r="BO39" s="2845"/>
      <c r="BP39" s="750"/>
      <c r="BQ39" s="2846"/>
      <c r="BR39" s="750">
        <v>20</v>
      </c>
      <c r="BS39" s="750"/>
      <c r="BT39" s="2845"/>
      <c r="BU39" s="750"/>
      <c r="BV39" s="750"/>
      <c r="BW39" s="2846"/>
      <c r="BX39" s="750"/>
      <c r="BY39" s="750"/>
      <c r="BZ39" s="750"/>
      <c r="CA39" s="2845"/>
      <c r="CB39" s="750"/>
      <c r="CC39" s="2846"/>
      <c r="CD39" s="750"/>
      <c r="CE39" s="750"/>
      <c r="CF39" s="2845"/>
      <c r="CG39" s="750"/>
      <c r="CH39" s="2846"/>
      <c r="CI39" s="750"/>
      <c r="CJ39" s="750"/>
      <c r="CK39" s="750"/>
      <c r="CL39" s="750"/>
      <c r="CM39" s="2845"/>
      <c r="CN39" s="2846"/>
      <c r="CO39" s="750"/>
      <c r="CP39" s="750"/>
      <c r="CQ39" s="2845"/>
      <c r="CR39" s="750"/>
      <c r="CS39" s="2846"/>
      <c r="CT39" s="750"/>
      <c r="CU39" s="750"/>
      <c r="CV39" s="2845"/>
      <c r="CW39" s="750"/>
      <c r="CX39" s="2846"/>
      <c r="CY39" s="750"/>
      <c r="CZ39" s="2845"/>
      <c r="DA39" s="750"/>
      <c r="DB39" s="2846"/>
      <c r="DC39" s="750"/>
      <c r="DD39" s="1885"/>
    </row>
    <row r="40" spans="1:113" ht="12.75" customHeight="1" x14ac:dyDescent="0.2">
      <c r="A40" s="2180">
        <v>40</v>
      </c>
      <c r="B40" s="1856" t="s">
        <v>8811</v>
      </c>
      <c r="C40" s="1857"/>
      <c r="E40" s="1861">
        <v>3</v>
      </c>
      <c r="F40" s="754" t="s">
        <v>2260</v>
      </c>
      <c r="G40" s="2845">
        <v>30</v>
      </c>
      <c r="H40" s="1971"/>
      <c r="I40" s="2846"/>
      <c r="J40" s="750"/>
      <c r="K40" s="750"/>
      <c r="L40" s="2845">
        <v>20</v>
      </c>
      <c r="M40" s="750">
        <v>20</v>
      </c>
      <c r="N40" s="2293">
        <v>20</v>
      </c>
      <c r="O40" s="750">
        <v>20</v>
      </c>
      <c r="P40" s="750">
        <v>20</v>
      </c>
      <c r="Q40" s="2845">
        <v>20</v>
      </c>
      <c r="R40" s="2846">
        <v>20</v>
      </c>
      <c r="S40" s="750">
        <v>30</v>
      </c>
      <c r="T40" s="2845"/>
      <c r="U40" s="2846"/>
      <c r="V40" s="750">
        <v>20</v>
      </c>
      <c r="W40" s="750">
        <v>20</v>
      </c>
      <c r="X40" s="2845">
        <v>20</v>
      </c>
      <c r="Y40" s="750"/>
      <c r="Z40" s="2846"/>
      <c r="AA40" s="750">
        <v>20</v>
      </c>
      <c r="AB40" s="750"/>
      <c r="AC40" s="2845">
        <v>20</v>
      </c>
      <c r="AD40" s="2846">
        <v>20</v>
      </c>
      <c r="AE40" s="750">
        <v>30</v>
      </c>
      <c r="AF40" s="750">
        <v>20</v>
      </c>
      <c r="AG40" s="750">
        <v>20</v>
      </c>
      <c r="AH40" s="2845">
        <v>20</v>
      </c>
      <c r="AI40" s="750">
        <v>20</v>
      </c>
      <c r="AJ40" s="2846">
        <v>20</v>
      </c>
      <c r="AK40" s="750">
        <v>20</v>
      </c>
      <c r="AL40" s="750">
        <v>20</v>
      </c>
      <c r="AM40" s="750">
        <v>20</v>
      </c>
      <c r="AN40" s="750">
        <v>20</v>
      </c>
      <c r="AO40" s="2845"/>
      <c r="AP40" s="750"/>
      <c r="AQ40" s="2846"/>
      <c r="AR40" s="750"/>
      <c r="AS40" s="750"/>
      <c r="AT40" s="2845">
        <v>20</v>
      </c>
      <c r="AU40" s="750"/>
      <c r="AV40" s="2846"/>
      <c r="AW40" s="750">
        <v>20</v>
      </c>
      <c r="AX40" s="750"/>
      <c r="AY40" s="2845"/>
      <c r="AZ40" s="2846"/>
      <c r="BA40" s="750">
        <v>20</v>
      </c>
      <c r="BB40" s="750">
        <v>20</v>
      </c>
      <c r="BC40" s="2845">
        <v>20</v>
      </c>
      <c r="BD40" s="2846"/>
      <c r="BE40" s="750">
        <v>20</v>
      </c>
      <c r="BF40" s="750"/>
      <c r="BG40" s="737">
        <v>30</v>
      </c>
      <c r="BH40" s="2845">
        <v>20</v>
      </c>
      <c r="BI40" s="2846"/>
      <c r="BJ40" s="750">
        <v>20</v>
      </c>
      <c r="BK40" s="750">
        <v>20</v>
      </c>
      <c r="BL40" s="737">
        <v>40</v>
      </c>
      <c r="BM40" s="750"/>
      <c r="BN40" s="750">
        <v>20</v>
      </c>
      <c r="BO40" s="2845">
        <v>30</v>
      </c>
      <c r="BP40" s="750">
        <v>20</v>
      </c>
      <c r="BQ40" s="2846">
        <v>20</v>
      </c>
      <c r="BR40" s="750">
        <v>20</v>
      </c>
      <c r="BS40" s="750"/>
      <c r="BT40" s="2845">
        <v>30</v>
      </c>
      <c r="BU40" s="750">
        <v>20</v>
      </c>
      <c r="BV40" s="750"/>
      <c r="BW40" s="2846"/>
      <c r="BX40" s="750">
        <v>20</v>
      </c>
      <c r="BY40" s="750">
        <v>20</v>
      </c>
      <c r="BZ40" s="750">
        <v>20</v>
      </c>
      <c r="CA40" s="2845">
        <v>20</v>
      </c>
      <c r="CB40" s="750"/>
      <c r="CC40" s="2846"/>
      <c r="CD40" s="750">
        <v>20</v>
      </c>
      <c r="CE40" s="750">
        <v>20</v>
      </c>
      <c r="CF40" s="2845">
        <v>30</v>
      </c>
      <c r="CG40" s="750">
        <v>30</v>
      </c>
      <c r="CH40" s="2846"/>
      <c r="CI40" s="750">
        <v>30</v>
      </c>
      <c r="CJ40" s="750">
        <v>30</v>
      </c>
      <c r="CK40" s="750"/>
      <c r="CL40" s="750"/>
      <c r="CM40" s="2845">
        <v>20</v>
      </c>
      <c r="CN40" s="2846"/>
      <c r="CO40" s="750">
        <v>20</v>
      </c>
      <c r="CP40" s="750">
        <v>20</v>
      </c>
      <c r="CQ40" s="2845">
        <v>20</v>
      </c>
      <c r="CR40" s="750"/>
      <c r="CS40" s="2846"/>
      <c r="CT40" s="750">
        <v>20</v>
      </c>
      <c r="CU40" s="750">
        <v>20</v>
      </c>
      <c r="CV40" s="2845">
        <v>20</v>
      </c>
      <c r="CW40" s="750">
        <v>20</v>
      </c>
      <c r="CX40" s="2846">
        <v>20</v>
      </c>
      <c r="CY40" s="750">
        <v>20</v>
      </c>
      <c r="CZ40" s="2845">
        <v>20</v>
      </c>
      <c r="DA40" s="750"/>
      <c r="DB40" s="2846"/>
      <c r="DC40" s="750">
        <v>30</v>
      </c>
      <c r="DD40" s="1885">
        <v>20</v>
      </c>
    </row>
    <row r="41" spans="1:113" ht="12.75" customHeight="1" x14ac:dyDescent="0.2">
      <c r="A41" s="2180">
        <v>41</v>
      </c>
      <c r="B41" s="1856" t="s">
        <v>8812</v>
      </c>
      <c r="C41" s="1857"/>
      <c r="E41" s="1861">
        <v>4</v>
      </c>
      <c r="F41" s="754" t="s">
        <v>2263</v>
      </c>
      <c r="G41" s="2845">
        <v>20</v>
      </c>
      <c r="H41" s="1971">
        <v>20</v>
      </c>
      <c r="I41" s="2846">
        <v>20</v>
      </c>
      <c r="J41" s="750"/>
      <c r="K41" s="750"/>
      <c r="L41" s="2845">
        <v>40</v>
      </c>
      <c r="M41" s="750">
        <v>40</v>
      </c>
      <c r="N41" s="2293">
        <v>40</v>
      </c>
      <c r="O41" s="750">
        <v>20</v>
      </c>
      <c r="P41" s="750">
        <v>20</v>
      </c>
      <c r="Q41" s="2845"/>
      <c r="R41" s="2846"/>
      <c r="S41" s="750"/>
      <c r="T41" s="2845">
        <v>10</v>
      </c>
      <c r="U41" s="2846">
        <v>20</v>
      </c>
      <c r="V41" s="750">
        <f>IF(Raza=0,0,VLOOKUP(Raza,Tabla_Razas,22,FALSE))</f>
        <v>1</v>
      </c>
      <c r="W41" s="750">
        <f>IF(Raza=0,0,VLOOKUP(Raza,Tabla_Razas,25,FALSE))</f>
        <v>1</v>
      </c>
      <c r="X41" s="2845">
        <f>IF(Raza=0,0,VLOOKUP(Raza,Tabla_Razas,28,FALSE))</f>
        <v>1</v>
      </c>
      <c r="Y41" s="750">
        <f>IF(Raza=0,0,VLOOKUP(Raza,Tabla_Razas,31,FALSE))</f>
        <v>1</v>
      </c>
      <c r="Z41" s="2846">
        <f>IF(Raza=0,0,VLOOKUP(Raza,Tabla_Razas,34,FALSE))</f>
        <v>0</v>
      </c>
      <c r="AA41" s="750">
        <f>IF(Raza=0,0,VLOOKUP(Raza,Tabla_Razas,37,FALSE))</f>
        <v>1</v>
      </c>
      <c r="AB41" s="750">
        <f>IF(Raza=0,0,VLOOKUP(Raza,Tabla_Razas,40,FALSE))</f>
        <v>0</v>
      </c>
      <c r="AC41" s="2845">
        <f>IF(Raza=0,0,VLOOKUP(Raza,Tabla_Razas,43,FALSE))</f>
        <v>1</v>
      </c>
      <c r="AD41" s="2846">
        <f>IF(Raza=0,0,VLOOKUP(Raza,Tabla_Razas,46,FALSE))</f>
        <v>0</v>
      </c>
      <c r="AE41" s="750">
        <f>IF(Raza=0,0,VLOOKUP(Raza,Tabla_Razas,49,FALSE))</f>
        <v>0</v>
      </c>
      <c r="AF41" s="750">
        <f>IF(Raza=0,0,VLOOKUP(Raza,Tabla_Razas,52,FALSE))</f>
        <v>0</v>
      </c>
      <c r="AG41" s="750">
        <f>IF(Raza=0,0,VLOOKUP(Raza,Tabla_Razas,55,FALSE))</f>
        <v>0</v>
      </c>
      <c r="AH41" s="2845"/>
      <c r="AI41" s="750"/>
      <c r="AJ41" s="2846"/>
      <c r="AK41" s="750">
        <v>20</v>
      </c>
      <c r="AL41" s="750">
        <v>20</v>
      </c>
      <c r="AM41" s="750"/>
      <c r="AN41" s="750">
        <v>20</v>
      </c>
      <c r="AO41" s="2845">
        <v>20</v>
      </c>
      <c r="AP41" s="750">
        <v>20</v>
      </c>
      <c r="AQ41" s="2846">
        <v>20</v>
      </c>
      <c r="AR41" s="750"/>
      <c r="AS41" s="750"/>
      <c r="AT41" s="2845">
        <v>20</v>
      </c>
      <c r="AU41" s="750">
        <v>20</v>
      </c>
      <c r="AV41" s="2846">
        <v>20</v>
      </c>
      <c r="AW41" s="750">
        <v>20</v>
      </c>
      <c r="AX41" s="750">
        <v>20</v>
      </c>
      <c r="AY41" s="2845"/>
      <c r="AZ41" s="2846"/>
      <c r="BA41" s="750">
        <v>20</v>
      </c>
      <c r="BB41" s="750">
        <v>20</v>
      </c>
      <c r="BC41" s="2845">
        <v>20</v>
      </c>
      <c r="BD41" s="2846">
        <v>20</v>
      </c>
      <c r="BE41" s="750"/>
      <c r="BF41" s="750">
        <v>20</v>
      </c>
      <c r="BG41" s="737">
        <v>20</v>
      </c>
      <c r="BH41" s="2845"/>
      <c r="BI41" s="2846"/>
      <c r="BJ41" s="750">
        <v>20</v>
      </c>
      <c r="BK41" s="750">
        <v>20</v>
      </c>
      <c r="BL41" s="737"/>
      <c r="BM41" s="750"/>
      <c r="BN41" s="750"/>
      <c r="BO41" s="2845"/>
      <c r="BP41" s="750"/>
      <c r="BQ41" s="2846">
        <v>20</v>
      </c>
      <c r="BR41" s="750"/>
      <c r="BS41" s="750">
        <v>20</v>
      </c>
      <c r="BT41" s="2845">
        <v>30</v>
      </c>
      <c r="BU41" s="750"/>
      <c r="BV41" s="750">
        <v>20</v>
      </c>
      <c r="BW41" s="2846">
        <v>20</v>
      </c>
      <c r="BX41" s="750">
        <v>20</v>
      </c>
      <c r="BY41" s="750">
        <v>20</v>
      </c>
      <c r="BZ41" s="750">
        <v>20</v>
      </c>
      <c r="CA41" s="2845">
        <v>20</v>
      </c>
      <c r="CB41" s="750">
        <v>20</v>
      </c>
      <c r="CC41" s="2846">
        <v>20</v>
      </c>
      <c r="CD41" s="750"/>
      <c r="CE41" s="750">
        <v>20</v>
      </c>
      <c r="CF41" s="2845"/>
      <c r="CG41" s="750">
        <v>30</v>
      </c>
      <c r="CH41" s="2846">
        <v>20</v>
      </c>
      <c r="CI41" s="750"/>
      <c r="CJ41" s="750"/>
      <c r="CK41" s="750">
        <v>20</v>
      </c>
      <c r="CL41" s="750">
        <v>20</v>
      </c>
      <c r="CM41" s="2845"/>
      <c r="CN41" s="2846">
        <v>20</v>
      </c>
      <c r="CO41" s="750"/>
      <c r="CP41" s="750"/>
      <c r="CQ41" s="2845"/>
      <c r="CR41" s="750"/>
      <c r="CS41" s="2846">
        <v>20</v>
      </c>
      <c r="CT41" s="750"/>
      <c r="CU41" s="750"/>
      <c r="CV41" s="2845"/>
      <c r="CW41" s="750"/>
      <c r="CX41" s="2846"/>
      <c r="CY41" s="750"/>
      <c r="CZ41" s="2845"/>
      <c r="DA41" s="750">
        <v>20</v>
      </c>
      <c r="DB41" s="2846">
        <v>20</v>
      </c>
      <c r="DC41" s="750"/>
      <c r="DD41" s="1885"/>
    </row>
    <row r="42" spans="1:113" ht="12.75" customHeight="1" x14ac:dyDescent="0.2">
      <c r="A42" s="2180">
        <v>42</v>
      </c>
      <c r="B42" s="1856" t="s">
        <v>8813</v>
      </c>
      <c r="C42" s="1857"/>
      <c r="E42" s="1861">
        <v>5</v>
      </c>
      <c r="F42" s="754" t="s">
        <v>2267</v>
      </c>
      <c r="G42" s="2845">
        <v>20</v>
      </c>
      <c r="H42" s="1971">
        <v>20</v>
      </c>
      <c r="I42" s="2846"/>
      <c r="J42" s="750"/>
      <c r="K42" s="750"/>
      <c r="L42" s="2845">
        <v>20</v>
      </c>
      <c r="M42" s="750"/>
      <c r="N42" s="2293">
        <v>20</v>
      </c>
      <c r="O42" s="750"/>
      <c r="P42" s="750"/>
      <c r="Q42" s="2845"/>
      <c r="R42" s="2846"/>
      <c r="S42" s="750"/>
      <c r="T42" s="2845">
        <v>20</v>
      </c>
      <c r="U42" s="2846">
        <v>20</v>
      </c>
      <c r="V42" s="750">
        <v>30</v>
      </c>
      <c r="W42" s="750"/>
      <c r="X42" s="2845"/>
      <c r="Y42" s="750"/>
      <c r="Z42" s="2846"/>
      <c r="AA42" s="750">
        <v>20</v>
      </c>
      <c r="AB42" s="750">
        <v>20</v>
      </c>
      <c r="AC42" s="2845">
        <v>10</v>
      </c>
      <c r="AD42" s="2846"/>
      <c r="AE42" s="750">
        <v>20</v>
      </c>
      <c r="AF42" s="750">
        <v>20</v>
      </c>
      <c r="AG42" s="750">
        <v>20</v>
      </c>
      <c r="AH42" s="2845"/>
      <c r="AI42" s="750">
        <v>20</v>
      </c>
      <c r="AJ42" s="2846"/>
      <c r="AK42" s="750"/>
      <c r="AL42" s="750"/>
      <c r="AM42" s="750">
        <v>20</v>
      </c>
      <c r="AN42" s="750"/>
      <c r="AO42" s="2845"/>
      <c r="AP42" s="750"/>
      <c r="AQ42" s="2846"/>
      <c r="AR42" s="750">
        <v>20</v>
      </c>
      <c r="AS42" s="750">
        <v>20</v>
      </c>
      <c r="AT42" s="2845">
        <v>20</v>
      </c>
      <c r="AU42" s="750"/>
      <c r="AV42" s="2846"/>
      <c r="AW42" s="750"/>
      <c r="AX42" s="750"/>
      <c r="AY42" s="2845">
        <v>20</v>
      </c>
      <c r="AZ42" s="2846"/>
      <c r="BA42" s="750"/>
      <c r="BB42" s="750"/>
      <c r="BC42" s="2845"/>
      <c r="BD42" s="2846"/>
      <c r="BE42" s="750"/>
      <c r="BF42" s="750"/>
      <c r="BG42" s="737"/>
      <c r="BH42" s="2845"/>
      <c r="BI42" s="2846">
        <v>20</v>
      </c>
      <c r="BJ42" s="750"/>
      <c r="BK42" s="750"/>
      <c r="BL42" s="737">
        <v>10</v>
      </c>
      <c r="BM42" s="750">
        <v>20</v>
      </c>
      <c r="BN42" s="750">
        <v>20</v>
      </c>
      <c r="BO42" s="2845">
        <v>20</v>
      </c>
      <c r="BP42" s="750">
        <v>20</v>
      </c>
      <c r="BQ42" s="2846">
        <v>20</v>
      </c>
      <c r="BR42" s="750">
        <v>20</v>
      </c>
      <c r="BS42" s="750"/>
      <c r="BT42" s="2845">
        <v>20</v>
      </c>
      <c r="BU42" s="750">
        <v>20</v>
      </c>
      <c r="BV42" s="750">
        <v>20</v>
      </c>
      <c r="BW42" s="2846"/>
      <c r="BX42" s="750"/>
      <c r="BY42" s="750"/>
      <c r="BZ42" s="750"/>
      <c r="CA42" s="2845">
        <v>30</v>
      </c>
      <c r="CB42" s="750">
        <v>30</v>
      </c>
      <c r="CC42" s="2846">
        <v>30</v>
      </c>
      <c r="CD42" s="750"/>
      <c r="CE42" s="750"/>
      <c r="CF42" s="2845"/>
      <c r="CG42" s="750"/>
      <c r="CH42" s="2846"/>
      <c r="CI42" s="750"/>
      <c r="CJ42" s="750"/>
      <c r="CK42" s="750"/>
      <c r="CL42" s="750"/>
      <c r="CM42" s="2845">
        <v>20</v>
      </c>
      <c r="CN42" s="2846">
        <v>20</v>
      </c>
      <c r="CO42" s="750"/>
      <c r="CP42" s="750"/>
      <c r="CQ42" s="2845"/>
      <c r="CR42" s="750"/>
      <c r="CS42" s="2846"/>
      <c r="CT42" s="750"/>
      <c r="CU42" s="750"/>
      <c r="CV42" s="2845"/>
      <c r="CW42" s="750"/>
      <c r="CX42" s="2846"/>
      <c r="CY42" s="750"/>
      <c r="CZ42" s="2845">
        <v>20</v>
      </c>
      <c r="DA42" s="750">
        <v>20</v>
      </c>
      <c r="DB42" s="2846"/>
      <c r="DC42" s="750"/>
      <c r="DD42" s="1885"/>
    </row>
    <row r="43" spans="1:113" ht="12.75" customHeight="1" x14ac:dyDescent="0.2">
      <c r="A43" s="2181">
        <v>43</v>
      </c>
      <c r="B43" s="1856" t="s">
        <v>8855</v>
      </c>
      <c r="C43" s="1857"/>
      <c r="E43" s="1861">
        <v>6</v>
      </c>
      <c r="F43" s="754" t="s">
        <v>2270</v>
      </c>
      <c r="G43" s="2845"/>
      <c r="H43" s="1971"/>
      <c r="I43" s="2846"/>
      <c r="J43" s="750"/>
      <c r="K43" s="750"/>
      <c r="L43" s="2845">
        <v>20</v>
      </c>
      <c r="M43" s="750">
        <v>20</v>
      </c>
      <c r="N43" s="2293">
        <v>20</v>
      </c>
      <c r="O43" s="750"/>
      <c r="P43" s="750"/>
      <c r="Q43" s="2845">
        <v>20</v>
      </c>
      <c r="R43" s="2846">
        <v>20</v>
      </c>
      <c r="S43" s="750">
        <v>20</v>
      </c>
      <c r="T43" s="2845"/>
      <c r="U43" s="2846"/>
      <c r="V43" s="750"/>
      <c r="W43" s="750"/>
      <c r="X43" s="2845">
        <v>20</v>
      </c>
      <c r="Y43" s="750"/>
      <c r="Z43" s="2846"/>
      <c r="AA43" s="750"/>
      <c r="AB43" s="750"/>
      <c r="AC43" s="2845"/>
      <c r="AD43" s="2846"/>
      <c r="AE43" s="750"/>
      <c r="AF43" s="750"/>
      <c r="AG43" s="750"/>
      <c r="AH43" s="2845">
        <v>20</v>
      </c>
      <c r="AI43" s="750">
        <v>20</v>
      </c>
      <c r="AJ43" s="2846"/>
      <c r="AK43" s="750"/>
      <c r="AL43" s="750"/>
      <c r="AM43" s="750"/>
      <c r="AN43" s="750"/>
      <c r="AO43" s="2845">
        <v>20</v>
      </c>
      <c r="AP43" s="750">
        <v>20</v>
      </c>
      <c r="AQ43" s="2846"/>
      <c r="AR43" s="750"/>
      <c r="AS43" s="750"/>
      <c r="AT43" s="2845"/>
      <c r="AU43" s="750"/>
      <c r="AV43" s="2846"/>
      <c r="AW43" s="750"/>
      <c r="AX43" s="750"/>
      <c r="AY43" s="2845"/>
      <c r="AZ43" s="2846"/>
      <c r="BA43" s="750">
        <v>20</v>
      </c>
      <c r="BB43" s="750"/>
      <c r="BC43" s="2845">
        <v>20</v>
      </c>
      <c r="BD43" s="2846"/>
      <c r="BE43" s="750"/>
      <c r="BF43" s="750"/>
      <c r="BG43" s="737"/>
      <c r="BH43" s="2845">
        <v>20</v>
      </c>
      <c r="BI43" s="2846">
        <v>10</v>
      </c>
      <c r="BJ43" s="750"/>
      <c r="BK43" s="750"/>
      <c r="BL43" s="737"/>
      <c r="BM43" s="750"/>
      <c r="BN43" s="750">
        <v>20</v>
      </c>
      <c r="BO43" s="2845">
        <v>20</v>
      </c>
      <c r="BP43" s="750"/>
      <c r="BQ43" s="2846"/>
      <c r="BR43" s="750">
        <v>20</v>
      </c>
      <c r="BS43" s="750"/>
      <c r="BT43" s="2845"/>
      <c r="BU43" s="750">
        <v>20</v>
      </c>
      <c r="BV43" s="750"/>
      <c r="BW43" s="2846"/>
      <c r="BX43" s="750"/>
      <c r="BY43" s="750">
        <v>20</v>
      </c>
      <c r="BZ43" s="750"/>
      <c r="CA43" s="2845"/>
      <c r="CB43" s="750"/>
      <c r="CC43" s="2846"/>
      <c r="CD43" s="750">
        <v>20</v>
      </c>
      <c r="CE43" s="750"/>
      <c r="CF43" s="2845">
        <v>20</v>
      </c>
      <c r="CG43" s="750"/>
      <c r="CH43" s="2846"/>
      <c r="CI43" s="750"/>
      <c r="CJ43" s="750"/>
      <c r="CK43" s="750"/>
      <c r="CL43" s="750"/>
      <c r="CM43" s="2845"/>
      <c r="CN43" s="2846"/>
      <c r="CO43" s="750">
        <v>20</v>
      </c>
      <c r="CP43" s="750"/>
      <c r="CQ43" s="2845"/>
      <c r="CR43" s="750"/>
      <c r="CS43" s="2846"/>
      <c r="CT43" s="750">
        <v>20</v>
      </c>
      <c r="CU43" s="750"/>
      <c r="CV43" s="2845">
        <v>20</v>
      </c>
      <c r="CW43" s="750"/>
      <c r="CX43" s="2846"/>
      <c r="CY43" s="750">
        <v>20</v>
      </c>
      <c r="CZ43" s="2845">
        <v>20</v>
      </c>
      <c r="DA43" s="750"/>
      <c r="DB43" s="2846"/>
      <c r="DC43" s="750">
        <v>20</v>
      </c>
      <c r="DD43" s="1885"/>
    </row>
    <row r="44" spans="1:113" ht="14.85" customHeight="1" x14ac:dyDescent="0.2">
      <c r="A44" s="2181">
        <v>44</v>
      </c>
      <c r="B44" s="1856" t="s">
        <v>8814</v>
      </c>
      <c r="C44" s="1857"/>
      <c r="E44" s="1861">
        <v>7</v>
      </c>
      <c r="F44" s="754" t="s">
        <v>2273</v>
      </c>
      <c r="G44" s="2845"/>
      <c r="H44" s="1971"/>
      <c r="I44" s="2846"/>
      <c r="J44" s="750"/>
      <c r="K44" s="750"/>
      <c r="L44" s="2845"/>
      <c r="M44" s="750"/>
      <c r="N44" s="2293"/>
      <c r="O44" s="750"/>
      <c r="P44" s="750"/>
      <c r="Q44" s="2845"/>
      <c r="R44" s="2846"/>
      <c r="S44" s="750"/>
      <c r="T44" s="2845"/>
      <c r="U44" s="2846"/>
      <c r="V44" s="750"/>
      <c r="W44" s="750"/>
      <c r="X44" s="2845"/>
      <c r="Y44" s="750"/>
      <c r="Z44" s="2846"/>
      <c r="AA44" s="750">
        <v>20</v>
      </c>
      <c r="AB44" s="750"/>
      <c r="AC44" s="2845"/>
      <c r="AD44" s="2846"/>
      <c r="AE44" s="750"/>
      <c r="AF44" s="750"/>
      <c r="AG44" s="750"/>
      <c r="AH44" s="2845"/>
      <c r="AI44" s="750"/>
      <c r="AJ44" s="2846"/>
      <c r="AK44" s="750"/>
      <c r="AL44" s="750"/>
      <c r="AM44" s="750"/>
      <c r="AN44" s="750"/>
      <c r="AO44" s="2845"/>
      <c r="AP44" s="750"/>
      <c r="AQ44" s="2846"/>
      <c r="AR44" s="750"/>
      <c r="AS44" s="750"/>
      <c r="AT44" s="2845"/>
      <c r="AU44" s="750"/>
      <c r="AV44" s="2846"/>
      <c r="AW44" s="750"/>
      <c r="AX44" s="750"/>
      <c r="AY44" s="2845"/>
      <c r="AZ44" s="2846"/>
      <c r="BA44" s="750"/>
      <c r="BB44" s="750"/>
      <c r="BC44" s="2845"/>
      <c r="BD44" s="2846"/>
      <c r="BE44" s="750"/>
      <c r="BF44" s="750"/>
      <c r="BG44" s="737"/>
      <c r="BH44" s="2845"/>
      <c r="BI44" s="2846"/>
      <c r="BJ44" s="750"/>
      <c r="BK44" s="750"/>
      <c r="BL44" s="737"/>
      <c r="BM44" s="750"/>
      <c r="BN44" s="750"/>
      <c r="BO44" s="2845"/>
      <c r="BP44" s="750"/>
      <c r="BQ44" s="2846"/>
      <c r="BR44" s="750"/>
      <c r="BS44" s="750"/>
      <c r="BT44" s="2845"/>
      <c r="BU44" s="750">
        <v>20</v>
      </c>
      <c r="BV44" s="750"/>
      <c r="BW44" s="2846"/>
      <c r="BX44" s="750"/>
      <c r="BY44" s="750">
        <v>20</v>
      </c>
      <c r="BZ44" s="750"/>
      <c r="CA44" s="2845"/>
      <c r="CB44" s="750"/>
      <c r="CC44" s="2846"/>
      <c r="CD44" s="750"/>
      <c r="CE44" s="750"/>
      <c r="CF44" s="2845">
        <v>20</v>
      </c>
      <c r="CG44" s="750"/>
      <c r="CH44" s="2846"/>
      <c r="CI44" s="750"/>
      <c r="CJ44" s="750"/>
      <c r="CK44" s="750"/>
      <c r="CL44" s="750"/>
      <c r="CM44" s="2845"/>
      <c r="CN44" s="2846"/>
      <c r="CO44" s="750"/>
      <c r="CP44" s="750"/>
      <c r="CQ44" s="2845"/>
      <c r="CR44" s="750"/>
      <c r="CS44" s="2846"/>
      <c r="CT44" s="750"/>
      <c r="CU44" s="750"/>
      <c r="CV44" s="2845"/>
      <c r="CW44" s="750"/>
      <c r="CX44" s="2846"/>
      <c r="CY44" s="750"/>
      <c r="CZ44" s="2845">
        <v>20</v>
      </c>
      <c r="DA44" s="750"/>
      <c r="DB44" s="2846"/>
      <c r="DC44" s="750">
        <v>20</v>
      </c>
      <c r="DD44" s="1885"/>
    </row>
    <row r="45" spans="1:113" ht="14.85" customHeight="1" x14ac:dyDescent="0.2">
      <c r="A45" s="2181">
        <v>45</v>
      </c>
      <c r="B45" s="1856" t="s">
        <v>8815</v>
      </c>
      <c r="C45" s="1857"/>
      <c r="E45" s="1861">
        <v>8</v>
      </c>
      <c r="F45" s="754" t="s">
        <v>8782</v>
      </c>
      <c r="G45" s="2845"/>
      <c r="H45" s="1971"/>
      <c r="I45" s="2846"/>
      <c r="J45" s="750"/>
      <c r="K45" s="750"/>
      <c r="L45" s="2845"/>
      <c r="M45" s="750"/>
      <c r="N45" s="2293"/>
      <c r="O45" s="750"/>
      <c r="P45" s="750"/>
      <c r="Q45" s="2845"/>
      <c r="R45" s="2846"/>
      <c r="S45" s="750"/>
      <c r="T45" s="2845"/>
      <c r="U45" s="2846"/>
      <c r="V45" s="750"/>
      <c r="W45" s="750"/>
      <c r="X45" s="2845"/>
      <c r="Y45" s="750"/>
      <c r="Z45" s="2846"/>
      <c r="AA45" s="750"/>
      <c r="AB45" s="750"/>
      <c r="AC45" s="2845"/>
      <c r="AD45" s="2846"/>
      <c r="AE45" s="750"/>
      <c r="AF45" s="750"/>
      <c r="AG45" s="750"/>
      <c r="AH45" s="2845"/>
      <c r="AI45" s="750"/>
      <c r="AJ45" s="2846"/>
      <c r="AK45" s="750"/>
      <c r="AL45" s="750"/>
      <c r="AM45" s="750"/>
      <c r="AN45" s="750"/>
      <c r="AO45" s="2845"/>
      <c r="AP45" s="750"/>
      <c r="AQ45" s="2846"/>
      <c r="AR45" s="750"/>
      <c r="AS45" s="750"/>
      <c r="AT45" s="2845"/>
      <c r="AU45" s="750"/>
      <c r="AV45" s="2846"/>
      <c r="AW45" s="750"/>
      <c r="AX45" s="750"/>
      <c r="AY45" s="2845"/>
      <c r="AZ45" s="2846"/>
      <c r="BA45" s="750"/>
      <c r="BB45" s="750"/>
      <c r="BC45" s="2845"/>
      <c r="BD45" s="2846"/>
      <c r="BE45" s="750"/>
      <c r="BF45" s="750"/>
      <c r="BG45" s="737"/>
      <c r="BH45" s="2845"/>
      <c r="BI45" s="2846"/>
      <c r="BJ45" s="750"/>
      <c r="BK45" s="750"/>
      <c r="BL45" s="737"/>
      <c r="BM45" s="750"/>
      <c r="BN45" s="750"/>
      <c r="BO45" s="2845"/>
      <c r="BP45" s="750"/>
      <c r="BQ45" s="2846"/>
      <c r="BR45" s="750"/>
      <c r="BS45" s="750"/>
      <c r="BT45" s="2845"/>
      <c r="BU45" s="750"/>
      <c r="BV45" s="750"/>
      <c r="BW45" s="2846"/>
      <c r="BX45" s="750"/>
      <c r="BY45" s="750"/>
      <c r="BZ45" s="750"/>
      <c r="CA45" s="2845"/>
      <c r="CB45" s="750"/>
      <c r="CC45" s="2846"/>
      <c r="CD45" s="750"/>
      <c r="CE45" s="750"/>
      <c r="CF45" s="2845"/>
      <c r="CG45" s="750"/>
      <c r="CH45" s="2846"/>
      <c r="CI45" s="750"/>
      <c r="CJ45" s="750"/>
      <c r="CK45" s="750"/>
      <c r="CL45" s="750"/>
      <c r="CM45" s="2845"/>
      <c r="CN45" s="2846"/>
      <c r="CO45" s="750"/>
      <c r="CP45" s="750"/>
      <c r="CQ45" s="2845"/>
      <c r="CR45" s="750"/>
      <c r="CS45" s="2846"/>
      <c r="CT45" s="750"/>
      <c r="CU45" s="750"/>
      <c r="CV45" s="2845"/>
      <c r="CW45" s="750"/>
      <c r="CX45" s="2846"/>
      <c r="CY45" s="750"/>
      <c r="CZ45" s="2845"/>
      <c r="DA45" s="750"/>
      <c r="DB45" s="2846"/>
      <c r="DC45" s="750"/>
      <c r="DD45" s="1885"/>
    </row>
    <row r="46" spans="1:113" ht="14.85" customHeight="1" x14ac:dyDescent="0.2">
      <c r="A46" s="2180">
        <v>46</v>
      </c>
      <c r="B46" s="1856" t="s">
        <v>8816</v>
      </c>
      <c r="C46" s="1857"/>
      <c r="E46" s="1861">
        <v>9</v>
      </c>
      <c r="F46" s="754" t="s">
        <v>2277</v>
      </c>
      <c r="G46" s="2845"/>
      <c r="H46" s="1971">
        <v>20</v>
      </c>
      <c r="I46" s="2846">
        <v>20</v>
      </c>
      <c r="J46" s="750"/>
      <c r="K46" s="750">
        <v>20</v>
      </c>
      <c r="L46" s="2845"/>
      <c r="M46" s="750"/>
      <c r="N46" s="2293"/>
      <c r="O46" s="750"/>
      <c r="P46" s="750"/>
      <c r="Q46" s="2845"/>
      <c r="R46" s="2846"/>
      <c r="S46" s="750"/>
      <c r="T46" s="2845"/>
      <c r="U46" s="2846">
        <v>10</v>
      </c>
      <c r="V46" s="750"/>
      <c r="W46" s="750"/>
      <c r="X46" s="2845"/>
      <c r="Y46" s="750">
        <v>20</v>
      </c>
      <c r="Z46" s="2846">
        <v>20</v>
      </c>
      <c r="AA46" s="750"/>
      <c r="AB46" s="750"/>
      <c r="AC46" s="2845"/>
      <c r="AD46" s="2846"/>
      <c r="AE46" s="750"/>
      <c r="AF46" s="750"/>
      <c r="AG46" s="750"/>
      <c r="AH46" s="2845"/>
      <c r="AI46" s="750"/>
      <c r="AJ46" s="2846"/>
      <c r="AK46" s="750"/>
      <c r="AL46" s="750"/>
      <c r="AM46" s="750"/>
      <c r="AN46" s="750"/>
      <c r="AO46" s="2845"/>
      <c r="AP46" s="750"/>
      <c r="AQ46" s="2846"/>
      <c r="AR46" s="750"/>
      <c r="AS46" s="750"/>
      <c r="AT46" s="2845"/>
      <c r="AU46" s="750">
        <v>20</v>
      </c>
      <c r="AV46" s="2846">
        <v>40</v>
      </c>
      <c r="AW46" s="750"/>
      <c r="AX46" s="750">
        <v>20</v>
      </c>
      <c r="AY46" s="2845"/>
      <c r="AZ46" s="2846"/>
      <c r="BA46" s="750"/>
      <c r="BB46" s="750"/>
      <c r="BC46" s="2845"/>
      <c r="BD46" s="2846">
        <v>20</v>
      </c>
      <c r="BE46" s="750"/>
      <c r="BF46" s="750">
        <v>30</v>
      </c>
      <c r="BG46" s="737"/>
      <c r="BH46" s="2845"/>
      <c r="BI46" s="2846"/>
      <c r="BJ46" s="750"/>
      <c r="BK46" s="750"/>
      <c r="BL46" s="737"/>
      <c r="BM46" s="750"/>
      <c r="BN46" s="750"/>
      <c r="BO46" s="2845"/>
      <c r="BP46" s="750">
        <v>40</v>
      </c>
      <c r="BQ46" s="2846">
        <v>20</v>
      </c>
      <c r="BR46" s="750">
        <v>20</v>
      </c>
      <c r="BS46" s="750">
        <v>30</v>
      </c>
      <c r="BT46" s="2845"/>
      <c r="BU46" s="750"/>
      <c r="BV46" s="750">
        <v>20</v>
      </c>
      <c r="BW46" s="2846">
        <v>20</v>
      </c>
      <c r="BX46" s="750"/>
      <c r="BY46" s="750"/>
      <c r="BZ46" s="750">
        <v>20</v>
      </c>
      <c r="CA46" s="2845"/>
      <c r="CB46" s="750"/>
      <c r="CC46" s="2846">
        <v>10</v>
      </c>
      <c r="CD46" s="750"/>
      <c r="CE46" s="750"/>
      <c r="CF46" s="2845"/>
      <c r="CG46" s="750">
        <v>20</v>
      </c>
      <c r="CH46" s="2846">
        <v>30</v>
      </c>
      <c r="CI46" s="750"/>
      <c r="CJ46" s="750"/>
      <c r="CK46" s="750">
        <v>20</v>
      </c>
      <c r="CL46" s="750"/>
      <c r="CM46" s="2845"/>
      <c r="CN46" s="2846">
        <v>20</v>
      </c>
      <c r="CO46" s="750"/>
      <c r="CP46" s="750"/>
      <c r="CQ46" s="2845">
        <v>20</v>
      </c>
      <c r="CR46" s="750">
        <v>20</v>
      </c>
      <c r="CS46" s="2846">
        <v>30</v>
      </c>
      <c r="CT46" s="750"/>
      <c r="CU46" s="750"/>
      <c r="CV46" s="2845"/>
      <c r="CW46" s="750"/>
      <c r="CX46" s="2846"/>
      <c r="CY46" s="750"/>
      <c r="CZ46" s="2845"/>
      <c r="DA46" s="750">
        <v>20</v>
      </c>
      <c r="DB46" s="2846">
        <v>20</v>
      </c>
      <c r="DC46" s="750"/>
      <c r="DD46" s="1885"/>
    </row>
    <row r="47" spans="1:113" ht="14.85" customHeight="1" x14ac:dyDescent="0.2">
      <c r="A47" s="2180">
        <v>47</v>
      </c>
      <c r="B47" s="1856" t="s">
        <v>8856</v>
      </c>
      <c r="C47" s="1857"/>
      <c r="E47" s="1861">
        <v>10</v>
      </c>
      <c r="F47" s="754" t="s">
        <v>2279</v>
      </c>
      <c r="G47" s="2845"/>
      <c r="H47" s="1971"/>
      <c r="I47" s="2846"/>
      <c r="J47" s="750"/>
      <c r="K47" s="750"/>
      <c r="L47" s="2845"/>
      <c r="M47" s="750"/>
      <c r="N47" s="2293"/>
      <c r="O47" s="750">
        <v>20</v>
      </c>
      <c r="P47" s="750">
        <v>20</v>
      </c>
      <c r="Q47" s="2845"/>
      <c r="R47" s="2846"/>
      <c r="S47" s="750"/>
      <c r="T47" s="2845"/>
      <c r="U47" s="2846"/>
      <c r="V47" s="750"/>
      <c r="W47" s="750"/>
      <c r="X47" s="2845"/>
      <c r="Y47" s="750"/>
      <c r="Z47" s="2846">
        <v>20</v>
      </c>
      <c r="AA47" s="750">
        <v>20</v>
      </c>
      <c r="AB47" s="750"/>
      <c r="AC47" s="2845"/>
      <c r="AD47" s="2846"/>
      <c r="AE47" s="750"/>
      <c r="AF47" s="750">
        <v>20</v>
      </c>
      <c r="AG47" s="750"/>
      <c r="AH47" s="2845">
        <v>20</v>
      </c>
      <c r="AI47" s="750">
        <v>20</v>
      </c>
      <c r="AJ47" s="2846">
        <v>20</v>
      </c>
      <c r="AK47" s="750"/>
      <c r="AL47" s="750">
        <v>20</v>
      </c>
      <c r="AM47" s="750"/>
      <c r="AN47" s="750">
        <v>20</v>
      </c>
      <c r="AO47" s="2845"/>
      <c r="AP47" s="750"/>
      <c r="AQ47" s="2846">
        <v>20</v>
      </c>
      <c r="AR47" s="750">
        <v>30</v>
      </c>
      <c r="AS47" s="750">
        <v>20</v>
      </c>
      <c r="AT47" s="2845"/>
      <c r="AU47" s="750"/>
      <c r="AV47" s="2846"/>
      <c r="AW47" s="750"/>
      <c r="AX47" s="750"/>
      <c r="AY47" s="2845"/>
      <c r="AZ47" s="2846"/>
      <c r="BA47" s="750"/>
      <c r="BB47" s="750"/>
      <c r="BC47" s="2845"/>
      <c r="BD47" s="2846"/>
      <c r="BE47" s="750"/>
      <c r="BF47" s="750">
        <v>10</v>
      </c>
      <c r="BG47" s="737"/>
      <c r="BH47" s="2845"/>
      <c r="BI47" s="2846"/>
      <c r="BJ47" s="750"/>
      <c r="BK47" s="750"/>
      <c r="BL47" s="737"/>
      <c r="BM47" s="750"/>
      <c r="BN47" s="750">
        <v>30</v>
      </c>
      <c r="BO47" s="2845"/>
      <c r="BP47" s="750"/>
      <c r="BQ47" s="2846">
        <v>20</v>
      </c>
      <c r="BR47" s="750"/>
      <c r="BS47" s="750"/>
      <c r="BT47" s="2845"/>
      <c r="BU47" s="750"/>
      <c r="BV47" s="750"/>
      <c r="BW47" s="2846"/>
      <c r="BX47" s="750">
        <v>20</v>
      </c>
      <c r="BY47" s="750"/>
      <c r="BZ47" s="750">
        <v>20</v>
      </c>
      <c r="CA47" s="2845"/>
      <c r="CB47" s="750"/>
      <c r="CC47" s="2846"/>
      <c r="CD47" s="750"/>
      <c r="CE47" s="750"/>
      <c r="CF47" s="2845"/>
      <c r="CG47" s="750">
        <v>20</v>
      </c>
      <c r="CH47" s="2846">
        <v>20</v>
      </c>
      <c r="CI47" s="750"/>
      <c r="CJ47" s="750"/>
      <c r="CK47" s="750"/>
      <c r="CL47" s="750"/>
      <c r="CM47" s="2845"/>
      <c r="CN47" s="2846"/>
      <c r="CO47" s="750"/>
      <c r="CP47" s="750"/>
      <c r="CQ47" s="2845"/>
      <c r="CR47" s="750"/>
      <c r="CS47" s="2846"/>
      <c r="CT47" s="750"/>
      <c r="CU47" s="750"/>
      <c r="CV47" s="2845"/>
      <c r="CW47" s="750"/>
      <c r="CX47" s="2846"/>
      <c r="CY47" s="750"/>
      <c r="CZ47" s="2845"/>
      <c r="DA47" s="750"/>
      <c r="DB47" s="2846"/>
      <c r="DC47" s="750"/>
      <c r="DD47" s="1885"/>
    </row>
    <row r="48" spans="1:113" ht="14.85" customHeight="1" x14ac:dyDescent="0.2">
      <c r="A48" s="2180">
        <v>48</v>
      </c>
      <c r="B48" s="1856" t="s">
        <v>8817</v>
      </c>
      <c r="C48" s="1857"/>
      <c r="E48" s="1861">
        <v>11</v>
      </c>
      <c r="F48" s="754" t="s">
        <v>2282</v>
      </c>
      <c r="G48" s="2845"/>
      <c r="H48" s="1971"/>
      <c r="I48" s="2846">
        <v>40</v>
      </c>
      <c r="J48" s="750">
        <v>20</v>
      </c>
      <c r="K48" s="750">
        <v>20</v>
      </c>
      <c r="L48" s="2845"/>
      <c r="M48" s="750"/>
      <c r="N48" s="2293">
        <v>20</v>
      </c>
      <c r="O48" s="750"/>
      <c r="P48" s="750">
        <v>40</v>
      </c>
      <c r="Q48" s="2845"/>
      <c r="R48" s="2846">
        <v>30</v>
      </c>
      <c r="S48" s="750"/>
      <c r="T48" s="2845"/>
      <c r="U48" s="2846"/>
      <c r="V48" s="750"/>
      <c r="W48" s="750">
        <v>20</v>
      </c>
      <c r="X48" s="2845"/>
      <c r="Y48" s="750"/>
      <c r="Z48" s="2846">
        <v>20</v>
      </c>
      <c r="AA48" s="750"/>
      <c r="AB48" s="750"/>
      <c r="AC48" s="2845"/>
      <c r="AD48" s="2846">
        <v>40</v>
      </c>
      <c r="AE48" s="750"/>
      <c r="AF48" s="750"/>
      <c r="AG48" s="750">
        <v>20</v>
      </c>
      <c r="AH48" s="2845"/>
      <c r="AI48" s="750"/>
      <c r="AJ48" s="2846">
        <v>40</v>
      </c>
      <c r="AK48" s="750"/>
      <c r="AL48" s="750"/>
      <c r="AM48" s="750"/>
      <c r="AN48" s="750">
        <v>20</v>
      </c>
      <c r="AO48" s="2845"/>
      <c r="AP48" s="750"/>
      <c r="AQ48" s="2846">
        <v>30</v>
      </c>
      <c r="AR48" s="750"/>
      <c r="AS48" s="750">
        <v>20</v>
      </c>
      <c r="AT48" s="2845"/>
      <c r="AU48" s="750"/>
      <c r="AV48" s="2846">
        <v>20</v>
      </c>
      <c r="AW48" s="750"/>
      <c r="AX48" s="750">
        <v>20</v>
      </c>
      <c r="AY48" s="2845"/>
      <c r="AZ48" s="2846">
        <v>20</v>
      </c>
      <c r="BA48" s="750"/>
      <c r="BB48" s="750">
        <v>40</v>
      </c>
      <c r="BC48" s="2845"/>
      <c r="BD48" s="2846">
        <v>20</v>
      </c>
      <c r="BE48" s="750"/>
      <c r="BF48" s="750">
        <v>20</v>
      </c>
      <c r="BG48" s="737"/>
      <c r="BH48" s="2845"/>
      <c r="BI48" s="2846"/>
      <c r="BJ48" s="750"/>
      <c r="BK48" s="750"/>
      <c r="BL48" s="737"/>
      <c r="BM48" s="750"/>
      <c r="BN48" s="750"/>
      <c r="BO48" s="2845"/>
      <c r="BP48" s="750"/>
      <c r="BQ48" s="2846"/>
      <c r="BR48" s="750"/>
      <c r="BS48" s="750"/>
      <c r="BT48" s="2845"/>
      <c r="BU48" s="750"/>
      <c r="BV48" s="750"/>
      <c r="BW48" s="2846">
        <v>30</v>
      </c>
      <c r="BX48" s="750"/>
      <c r="BY48" s="750"/>
      <c r="BZ48" s="750">
        <v>20</v>
      </c>
      <c r="CA48" s="2845"/>
      <c r="CB48" s="750"/>
      <c r="CC48" s="2846">
        <v>20</v>
      </c>
      <c r="CD48" s="750"/>
      <c r="CE48" s="750"/>
      <c r="CF48" s="2845"/>
      <c r="CG48" s="750">
        <v>20</v>
      </c>
      <c r="CH48" s="2846">
        <v>30</v>
      </c>
      <c r="CI48" s="750"/>
      <c r="CJ48" s="750"/>
      <c r="CK48" s="750"/>
      <c r="CL48" s="750">
        <v>20</v>
      </c>
      <c r="CM48" s="2845"/>
      <c r="CN48" s="2846"/>
      <c r="CO48" s="750"/>
      <c r="CP48" s="750">
        <v>20</v>
      </c>
      <c r="CQ48" s="2845"/>
      <c r="CR48" s="750"/>
      <c r="CS48" s="2846">
        <v>30</v>
      </c>
      <c r="CT48" s="750"/>
      <c r="CU48" s="750">
        <v>20</v>
      </c>
      <c r="CV48" s="2845"/>
      <c r="CW48" s="750">
        <v>20</v>
      </c>
      <c r="CX48" s="2846">
        <v>30</v>
      </c>
      <c r="CY48" s="750"/>
      <c r="CZ48" s="2845"/>
      <c r="DA48" s="750"/>
      <c r="DB48" s="2846">
        <v>30</v>
      </c>
      <c r="DC48" s="750"/>
      <c r="DD48" s="1885"/>
    </row>
    <row r="49" spans="1:108" ht="14.85" customHeight="1" x14ac:dyDescent="0.2">
      <c r="A49" s="2181">
        <v>49</v>
      </c>
      <c r="B49" s="1856" t="s">
        <v>8818</v>
      </c>
      <c r="C49" s="1857"/>
      <c r="E49" s="1861">
        <v>12</v>
      </c>
      <c r="F49" s="754" t="s">
        <v>2284</v>
      </c>
      <c r="G49" s="2845">
        <v>20</v>
      </c>
      <c r="H49" s="1971">
        <v>30</v>
      </c>
      <c r="I49" s="2846">
        <v>20</v>
      </c>
      <c r="J49" s="750">
        <v>20</v>
      </c>
      <c r="K49" s="750">
        <v>20</v>
      </c>
      <c r="L49" s="2845"/>
      <c r="M49" s="750"/>
      <c r="N49" s="2293"/>
      <c r="O49" s="750"/>
      <c r="P49" s="750"/>
      <c r="Q49" s="2845"/>
      <c r="R49" s="2846">
        <v>20</v>
      </c>
      <c r="S49" s="750"/>
      <c r="T49" s="2845">
        <v>40</v>
      </c>
      <c r="U49" s="2846">
        <v>40</v>
      </c>
      <c r="V49" s="750"/>
      <c r="W49" s="750">
        <v>20</v>
      </c>
      <c r="X49" s="2845">
        <v>20</v>
      </c>
      <c r="Y49" s="750">
        <v>20</v>
      </c>
      <c r="Z49" s="2846">
        <v>20</v>
      </c>
      <c r="AA49" s="750"/>
      <c r="AB49" s="750">
        <v>20</v>
      </c>
      <c r="AC49" s="2845"/>
      <c r="AD49" s="2846"/>
      <c r="AE49" s="750"/>
      <c r="AF49" s="750"/>
      <c r="AG49" s="750"/>
      <c r="AH49" s="2845"/>
      <c r="AI49" s="750"/>
      <c r="AJ49" s="2846"/>
      <c r="AK49" s="750"/>
      <c r="AL49" s="750"/>
      <c r="AM49" s="750"/>
      <c r="AN49" s="750">
        <v>20</v>
      </c>
      <c r="AO49" s="2845"/>
      <c r="AP49" s="750">
        <v>20</v>
      </c>
      <c r="AQ49" s="2846"/>
      <c r="AR49" s="750">
        <v>10</v>
      </c>
      <c r="AS49" s="750">
        <v>40</v>
      </c>
      <c r="AT49" s="2845">
        <v>20</v>
      </c>
      <c r="AU49" s="750">
        <v>40</v>
      </c>
      <c r="AV49" s="2846">
        <v>20</v>
      </c>
      <c r="AW49" s="750">
        <v>30</v>
      </c>
      <c r="AX49" s="750">
        <v>30</v>
      </c>
      <c r="AY49" s="2845">
        <v>20</v>
      </c>
      <c r="AZ49" s="2846">
        <v>40</v>
      </c>
      <c r="BA49" s="750"/>
      <c r="BB49" s="750"/>
      <c r="BC49" s="2845"/>
      <c r="BD49" s="2846">
        <v>30</v>
      </c>
      <c r="BE49" s="750"/>
      <c r="BF49" s="750"/>
      <c r="BG49" s="737"/>
      <c r="BH49" s="2845"/>
      <c r="BI49" s="2846">
        <v>20</v>
      </c>
      <c r="BJ49" s="750"/>
      <c r="BK49" s="750">
        <v>20</v>
      </c>
      <c r="BL49" s="737"/>
      <c r="BM49" s="750">
        <v>20</v>
      </c>
      <c r="BN49" s="750"/>
      <c r="BO49" s="2845"/>
      <c r="BP49" s="750">
        <v>20</v>
      </c>
      <c r="BQ49" s="2846"/>
      <c r="BR49" s="750"/>
      <c r="BS49" s="750">
        <v>40</v>
      </c>
      <c r="BT49" s="2845">
        <v>20</v>
      </c>
      <c r="BU49" s="750"/>
      <c r="BV49" s="750">
        <v>30</v>
      </c>
      <c r="BW49" s="2846">
        <v>20</v>
      </c>
      <c r="BX49" s="750"/>
      <c r="BY49" s="750"/>
      <c r="BZ49" s="750">
        <v>20</v>
      </c>
      <c r="CA49" s="2845">
        <v>20</v>
      </c>
      <c r="CB49" s="750">
        <v>20</v>
      </c>
      <c r="CC49" s="2846">
        <v>10</v>
      </c>
      <c r="CD49" s="750"/>
      <c r="CE49" s="750">
        <v>20</v>
      </c>
      <c r="CF49" s="2845"/>
      <c r="CG49" s="750"/>
      <c r="CH49" s="2846">
        <v>20</v>
      </c>
      <c r="CI49" s="750">
        <v>20</v>
      </c>
      <c r="CJ49" s="750">
        <v>20</v>
      </c>
      <c r="CK49" s="750">
        <v>20</v>
      </c>
      <c r="CL49" s="750">
        <v>20</v>
      </c>
      <c r="CM49" s="2845"/>
      <c r="CN49" s="2846">
        <v>30</v>
      </c>
      <c r="CO49" s="750"/>
      <c r="CP49" s="750"/>
      <c r="CQ49" s="2845">
        <v>20</v>
      </c>
      <c r="CR49" s="750">
        <v>30</v>
      </c>
      <c r="CS49" s="2846">
        <v>20</v>
      </c>
      <c r="CT49" s="750"/>
      <c r="CU49" s="750">
        <v>20</v>
      </c>
      <c r="CV49" s="2845"/>
      <c r="CW49" s="750">
        <v>20</v>
      </c>
      <c r="CX49" s="2846">
        <v>20</v>
      </c>
      <c r="CY49" s="750"/>
      <c r="CZ49" s="2845">
        <v>20</v>
      </c>
      <c r="DA49" s="750">
        <v>30</v>
      </c>
      <c r="DB49" s="2846">
        <v>20</v>
      </c>
      <c r="DC49" s="750"/>
      <c r="DD49" s="1885">
        <v>30</v>
      </c>
    </row>
    <row r="50" spans="1:108" ht="14.85" customHeight="1" x14ac:dyDescent="0.2">
      <c r="A50" s="2181">
        <v>50</v>
      </c>
      <c r="B50" s="1856" t="s">
        <v>8819</v>
      </c>
      <c r="C50" s="1857"/>
      <c r="E50" s="1861">
        <v>13</v>
      </c>
      <c r="F50" s="754" t="s">
        <v>1282</v>
      </c>
      <c r="G50" s="2845"/>
      <c r="H50" s="1971"/>
      <c r="I50" s="2846"/>
      <c r="J50" s="750"/>
      <c r="K50" s="750"/>
      <c r="L50" s="2845"/>
      <c r="M50" s="750"/>
      <c r="N50" s="2293"/>
      <c r="O50" s="750"/>
      <c r="P50" s="750"/>
      <c r="Q50" s="2845"/>
      <c r="R50" s="2846"/>
      <c r="S50" s="750"/>
      <c r="T50" s="2845"/>
      <c r="U50" s="2846"/>
      <c r="V50" s="750"/>
      <c r="W50" s="750"/>
      <c r="X50" s="2845"/>
      <c r="Y50" s="750"/>
      <c r="Z50" s="2846"/>
      <c r="AA50" s="750"/>
      <c r="AB50" s="750"/>
      <c r="AC50" s="2845"/>
      <c r="AD50" s="2846"/>
      <c r="AE50" s="750"/>
      <c r="AF50" s="750"/>
      <c r="AG50" s="750"/>
      <c r="AH50" s="2845"/>
      <c r="AI50" s="750"/>
      <c r="AJ50" s="2846"/>
      <c r="AK50" s="750"/>
      <c r="AL50" s="750"/>
      <c r="AM50" s="750"/>
      <c r="AN50" s="750"/>
      <c r="AO50" s="2845"/>
      <c r="AP50" s="750"/>
      <c r="AQ50" s="2846"/>
      <c r="AR50" s="750"/>
      <c r="AS50" s="750"/>
      <c r="AT50" s="2845"/>
      <c r="AU50" s="750"/>
      <c r="AV50" s="2846"/>
      <c r="AW50" s="750"/>
      <c r="AX50" s="750"/>
      <c r="AY50" s="2845"/>
      <c r="AZ50" s="2846"/>
      <c r="BA50" s="750"/>
      <c r="BB50" s="750"/>
      <c r="BC50" s="2845"/>
      <c r="BD50" s="2846"/>
      <c r="BE50" s="750"/>
      <c r="BF50" s="750"/>
      <c r="BG50" s="737"/>
      <c r="BH50" s="2845"/>
      <c r="BI50" s="2846"/>
      <c r="BJ50" s="750"/>
      <c r="BK50" s="750"/>
      <c r="BL50" s="737"/>
      <c r="BM50" s="750"/>
      <c r="BN50" s="750"/>
      <c r="BO50" s="2845"/>
      <c r="BP50" s="750"/>
      <c r="BQ50" s="2846"/>
      <c r="BR50" s="750"/>
      <c r="BS50" s="750"/>
      <c r="BT50" s="2845"/>
      <c r="BU50" s="750"/>
      <c r="BV50" s="750"/>
      <c r="BW50" s="2846"/>
      <c r="BX50" s="750"/>
      <c r="BY50" s="750"/>
      <c r="BZ50" s="750"/>
      <c r="CA50" s="2845"/>
      <c r="CB50" s="750"/>
      <c r="CC50" s="2846"/>
      <c r="CD50" s="750"/>
      <c r="CE50" s="750"/>
      <c r="CF50" s="2845"/>
      <c r="CG50" s="750"/>
      <c r="CH50" s="2846"/>
      <c r="CI50" s="750"/>
      <c r="CJ50" s="750"/>
      <c r="CK50" s="750"/>
      <c r="CL50" s="750"/>
      <c r="CM50" s="2845"/>
      <c r="CN50" s="2846"/>
      <c r="CO50" s="750"/>
      <c r="CP50" s="750"/>
      <c r="CQ50" s="2845"/>
      <c r="CR50" s="750"/>
      <c r="CS50" s="2846"/>
      <c r="CT50" s="750"/>
      <c r="CU50" s="750"/>
      <c r="CV50" s="2845"/>
      <c r="CW50" s="750"/>
      <c r="CX50" s="2846"/>
      <c r="CY50" s="750"/>
      <c r="CZ50" s="2845"/>
      <c r="DA50" s="750"/>
      <c r="DB50" s="2846"/>
      <c r="DC50" s="750"/>
      <c r="DD50" s="1885"/>
    </row>
    <row r="51" spans="1:108" ht="12.75" customHeight="1" x14ac:dyDescent="0.2">
      <c r="A51" s="2181">
        <v>51</v>
      </c>
      <c r="B51" s="1856" t="s">
        <v>8857</v>
      </c>
      <c r="C51" s="1857"/>
      <c r="E51" s="1861">
        <v>14</v>
      </c>
      <c r="F51" s="754" t="s">
        <v>1283</v>
      </c>
      <c r="G51" s="2845"/>
      <c r="H51" s="1971"/>
      <c r="I51" s="2846"/>
      <c r="J51" s="750"/>
      <c r="K51" s="750"/>
      <c r="L51" s="2845"/>
      <c r="M51" s="750"/>
      <c r="N51" s="2293"/>
      <c r="O51" s="750"/>
      <c r="P51" s="750"/>
      <c r="Q51" s="2845"/>
      <c r="R51" s="2846"/>
      <c r="S51" s="750"/>
      <c r="T51" s="2845"/>
      <c r="U51" s="2846"/>
      <c r="V51" s="750"/>
      <c r="W51" s="750"/>
      <c r="X51" s="2845"/>
      <c r="Y51" s="750"/>
      <c r="Z51" s="2846"/>
      <c r="AA51" s="750"/>
      <c r="AB51" s="750"/>
      <c r="AC51" s="2845"/>
      <c r="AD51" s="2846"/>
      <c r="AE51" s="750"/>
      <c r="AF51" s="750"/>
      <c r="AG51" s="750"/>
      <c r="AH51" s="2845"/>
      <c r="AI51" s="750"/>
      <c r="AJ51" s="2846"/>
      <c r="AK51" s="750"/>
      <c r="AL51" s="750"/>
      <c r="AM51" s="750"/>
      <c r="AN51" s="750"/>
      <c r="AO51" s="2845"/>
      <c r="AP51" s="750"/>
      <c r="AQ51" s="2846"/>
      <c r="AR51" s="750"/>
      <c r="AS51" s="750"/>
      <c r="AT51" s="2845"/>
      <c r="AU51" s="750"/>
      <c r="AV51" s="2846"/>
      <c r="AW51" s="750"/>
      <c r="AX51" s="750"/>
      <c r="AY51" s="2845"/>
      <c r="AZ51" s="2846"/>
      <c r="BA51" s="750"/>
      <c r="BB51" s="750"/>
      <c r="BC51" s="2845"/>
      <c r="BD51" s="2846"/>
      <c r="BE51" s="750"/>
      <c r="BF51" s="750"/>
      <c r="BG51" s="737"/>
      <c r="BH51" s="2845"/>
      <c r="BI51" s="2846"/>
      <c r="BJ51" s="750"/>
      <c r="BK51" s="750"/>
      <c r="BL51" s="737"/>
      <c r="BM51" s="750"/>
      <c r="BN51" s="750"/>
      <c r="BO51" s="2845"/>
      <c r="BP51" s="750"/>
      <c r="BQ51" s="2846"/>
      <c r="BR51" s="750"/>
      <c r="BS51" s="750"/>
      <c r="BT51" s="2845"/>
      <c r="BU51" s="750"/>
      <c r="BV51" s="750"/>
      <c r="BW51" s="2846"/>
      <c r="BX51" s="750"/>
      <c r="BY51" s="750"/>
      <c r="BZ51" s="750"/>
      <c r="CA51" s="2845"/>
      <c r="CB51" s="750"/>
      <c r="CC51" s="2846"/>
      <c r="CD51" s="750"/>
      <c r="CE51" s="750"/>
      <c r="CF51" s="2845"/>
      <c r="CG51" s="750"/>
      <c r="CH51" s="2846"/>
      <c r="CI51" s="750"/>
      <c r="CJ51" s="750"/>
      <c r="CK51" s="750"/>
      <c r="CL51" s="750"/>
      <c r="CM51" s="2845"/>
      <c r="CN51" s="2846"/>
      <c r="CO51" s="750"/>
      <c r="CP51" s="750"/>
      <c r="CQ51" s="2845"/>
      <c r="CR51" s="750"/>
      <c r="CS51" s="2846"/>
      <c r="CT51" s="750"/>
      <c r="CU51" s="750"/>
      <c r="CV51" s="2845"/>
      <c r="CW51" s="750"/>
      <c r="CX51" s="2846"/>
      <c r="CY51" s="750"/>
      <c r="CZ51" s="2845"/>
      <c r="DA51" s="750"/>
      <c r="DB51" s="2846"/>
      <c r="DC51" s="750"/>
      <c r="DD51" s="1885"/>
    </row>
    <row r="52" spans="1:108" ht="12.75" customHeight="1" x14ac:dyDescent="0.2">
      <c r="A52" s="2181">
        <v>52</v>
      </c>
      <c r="B52" s="1856" t="s">
        <v>8820</v>
      </c>
      <c r="C52" s="1857"/>
      <c r="E52" s="1861">
        <v>15</v>
      </c>
      <c r="F52" s="754" t="s">
        <v>1284</v>
      </c>
      <c r="G52" s="2845"/>
      <c r="H52" s="1971"/>
      <c r="I52" s="2846"/>
      <c r="J52" s="750"/>
      <c r="K52" s="750"/>
      <c r="L52" s="2845"/>
      <c r="M52" s="750"/>
      <c r="N52" s="2293"/>
      <c r="O52" s="750"/>
      <c r="P52" s="750"/>
      <c r="Q52" s="2845"/>
      <c r="R52" s="2846"/>
      <c r="S52" s="750"/>
      <c r="T52" s="2845"/>
      <c r="U52" s="2846"/>
      <c r="V52" s="750"/>
      <c r="W52" s="750"/>
      <c r="X52" s="2845"/>
      <c r="Y52" s="750"/>
      <c r="Z52" s="2846"/>
      <c r="AA52" s="750"/>
      <c r="AB52" s="750"/>
      <c r="AC52" s="2845"/>
      <c r="AD52" s="2846"/>
      <c r="AE52" s="750"/>
      <c r="AF52" s="750"/>
      <c r="AG52" s="750"/>
      <c r="AH52" s="2845"/>
      <c r="AI52" s="750"/>
      <c r="AJ52" s="2846"/>
      <c r="AK52" s="750"/>
      <c r="AL52" s="750"/>
      <c r="AM52" s="750"/>
      <c r="AN52" s="750"/>
      <c r="AO52" s="2845"/>
      <c r="AP52" s="750"/>
      <c r="AQ52" s="2846"/>
      <c r="AR52" s="750"/>
      <c r="AS52" s="750"/>
      <c r="AT52" s="2845"/>
      <c r="AU52" s="750"/>
      <c r="AV52" s="2846"/>
      <c r="AW52" s="750"/>
      <c r="AX52" s="750"/>
      <c r="AY52" s="2845"/>
      <c r="AZ52" s="2846"/>
      <c r="BA52" s="750"/>
      <c r="BB52" s="750"/>
      <c r="BC52" s="2845"/>
      <c r="BD52" s="2846"/>
      <c r="BE52" s="750"/>
      <c r="BF52" s="750"/>
      <c r="BG52" s="737"/>
      <c r="BH52" s="2845"/>
      <c r="BI52" s="2846"/>
      <c r="BJ52" s="750"/>
      <c r="BK52" s="750"/>
      <c r="BL52" s="737"/>
      <c r="BM52" s="750"/>
      <c r="BN52" s="750"/>
      <c r="BO52" s="2845"/>
      <c r="BP52" s="750"/>
      <c r="BQ52" s="2846"/>
      <c r="BR52" s="750"/>
      <c r="BS52" s="750"/>
      <c r="BT52" s="2845"/>
      <c r="BU52" s="750"/>
      <c r="BV52" s="750"/>
      <c r="BW52" s="2846"/>
      <c r="BX52" s="750"/>
      <c r="BY52" s="750"/>
      <c r="BZ52" s="750"/>
      <c r="CA52" s="2845"/>
      <c r="CB52" s="750"/>
      <c r="CC52" s="2846"/>
      <c r="CD52" s="750"/>
      <c r="CE52" s="750"/>
      <c r="CF52" s="2845"/>
      <c r="CG52" s="750"/>
      <c r="CH52" s="2846"/>
      <c r="CI52" s="750"/>
      <c r="CJ52" s="750"/>
      <c r="CK52" s="750"/>
      <c r="CL52" s="750"/>
      <c r="CM52" s="2845"/>
      <c r="CN52" s="2846"/>
      <c r="CO52" s="750"/>
      <c r="CP52" s="750"/>
      <c r="CQ52" s="2845"/>
      <c r="CR52" s="750"/>
      <c r="CS52" s="2846"/>
      <c r="CT52" s="750"/>
      <c r="CU52" s="750"/>
      <c r="CV52" s="2845"/>
      <c r="CW52" s="750"/>
      <c r="CX52" s="2846"/>
      <c r="CY52" s="750"/>
      <c r="CZ52" s="2845"/>
      <c r="DA52" s="750"/>
      <c r="DB52" s="2846"/>
      <c r="DC52" s="750"/>
      <c r="DD52" s="1885"/>
    </row>
    <row r="53" spans="1:108" ht="12.75" customHeight="1" x14ac:dyDescent="0.2">
      <c r="A53" s="2181">
        <v>53</v>
      </c>
      <c r="B53" s="1856" t="s">
        <v>8821</v>
      </c>
      <c r="C53" s="1857"/>
      <c r="E53" s="1861">
        <v>16</v>
      </c>
      <c r="F53" s="754" t="s">
        <v>2286</v>
      </c>
      <c r="G53" s="2845">
        <v>30</v>
      </c>
      <c r="H53" s="1971"/>
      <c r="I53" s="2846"/>
      <c r="J53" s="750"/>
      <c r="K53" s="750"/>
      <c r="L53" s="2845">
        <v>20</v>
      </c>
      <c r="M53" s="750"/>
      <c r="N53" s="2293">
        <v>20</v>
      </c>
      <c r="O53" s="750">
        <v>20</v>
      </c>
      <c r="P53" s="750">
        <v>20</v>
      </c>
      <c r="Q53" s="2845">
        <v>20</v>
      </c>
      <c r="R53" s="2846">
        <v>20</v>
      </c>
      <c r="S53" s="750">
        <v>20</v>
      </c>
      <c r="T53" s="2845"/>
      <c r="U53" s="2846"/>
      <c r="V53" s="750">
        <v>20</v>
      </c>
      <c r="W53" s="750">
        <v>20</v>
      </c>
      <c r="X53" s="2845">
        <v>20</v>
      </c>
      <c r="Y53" s="750"/>
      <c r="Z53" s="2846"/>
      <c r="AA53" s="750">
        <v>20</v>
      </c>
      <c r="AB53" s="750">
        <v>20</v>
      </c>
      <c r="AC53" s="2845">
        <v>20</v>
      </c>
      <c r="AD53" s="2846">
        <v>10</v>
      </c>
      <c r="AE53" s="750">
        <v>20</v>
      </c>
      <c r="AF53" s="750">
        <v>20</v>
      </c>
      <c r="AG53" s="750">
        <v>20</v>
      </c>
      <c r="AH53" s="2845">
        <v>20</v>
      </c>
      <c r="AI53" s="750">
        <v>20</v>
      </c>
      <c r="AJ53" s="2846">
        <v>20</v>
      </c>
      <c r="AK53" s="750">
        <v>20</v>
      </c>
      <c r="AL53" s="750">
        <v>20</v>
      </c>
      <c r="AM53" s="750">
        <v>20</v>
      </c>
      <c r="AN53" s="750">
        <v>20</v>
      </c>
      <c r="AO53" s="2845">
        <v>30</v>
      </c>
      <c r="AP53" s="750">
        <v>20</v>
      </c>
      <c r="AQ53" s="2846">
        <v>20</v>
      </c>
      <c r="AR53" s="750">
        <v>30</v>
      </c>
      <c r="AS53" s="750">
        <v>20</v>
      </c>
      <c r="AT53" s="2845">
        <v>20</v>
      </c>
      <c r="AU53" s="750"/>
      <c r="AV53" s="2846"/>
      <c r="AW53" s="750">
        <v>20</v>
      </c>
      <c r="AX53" s="750"/>
      <c r="AY53" s="2845">
        <v>20</v>
      </c>
      <c r="AZ53" s="2846"/>
      <c r="BA53" s="750">
        <v>20</v>
      </c>
      <c r="BB53" s="750">
        <v>20</v>
      </c>
      <c r="BC53" s="2845">
        <v>20</v>
      </c>
      <c r="BD53" s="2846"/>
      <c r="BE53" s="750">
        <v>30</v>
      </c>
      <c r="BF53" s="750">
        <v>10</v>
      </c>
      <c r="BG53" s="737">
        <v>20</v>
      </c>
      <c r="BH53" s="2845">
        <v>20</v>
      </c>
      <c r="BI53" s="2846">
        <v>30</v>
      </c>
      <c r="BJ53" s="750">
        <v>20</v>
      </c>
      <c r="BK53" s="750">
        <v>20</v>
      </c>
      <c r="BL53" s="737">
        <v>20</v>
      </c>
      <c r="BM53" s="750">
        <v>20</v>
      </c>
      <c r="BN53" s="750">
        <v>10</v>
      </c>
      <c r="BO53" s="2845">
        <v>20</v>
      </c>
      <c r="BP53" s="750"/>
      <c r="BQ53" s="2846">
        <v>20</v>
      </c>
      <c r="BR53" s="750">
        <v>20</v>
      </c>
      <c r="BS53" s="750">
        <v>20</v>
      </c>
      <c r="BT53" s="2845"/>
      <c r="BU53" s="750"/>
      <c r="BV53" s="750"/>
      <c r="BW53" s="2846"/>
      <c r="BX53" s="750">
        <v>20</v>
      </c>
      <c r="BY53" s="750">
        <v>20</v>
      </c>
      <c r="BZ53" s="750"/>
      <c r="CA53" s="2845"/>
      <c r="CB53" s="750"/>
      <c r="CC53" s="2846"/>
      <c r="CD53" s="750">
        <v>20</v>
      </c>
      <c r="CE53" s="750"/>
      <c r="CF53" s="2845">
        <v>20</v>
      </c>
      <c r="CG53" s="750">
        <v>20</v>
      </c>
      <c r="CH53" s="2846"/>
      <c r="CI53" s="750"/>
      <c r="CJ53" s="750"/>
      <c r="CK53" s="750"/>
      <c r="CL53" s="750"/>
      <c r="CM53" s="2845">
        <v>30</v>
      </c>
      <c r="CN53" s="2846"/>
      <c r="CO53" s="750">
        <v>20</v>
      </c>
      <c r="CP53" s="750">
        <v>20</v>
      </c>
      <c r="CQ53" s="2845">
        <v>20</v>
      </c>
      <c r="CR53" s="750">
        <v>20</v>
      </c>
      <c r="CS53" s="2846"/>
      <c r="CT53" s="750">
        <v>20</v>
      </c>
      <c r="CU53" s="750">
        <v>20</v>
      </c>
      <c r="CV53" s="2845">
        <v>20</v>
      </c>
      <c r="CW53" s="750">
        <v>20</v>
      </c>
      <c r="CX53" s="2846">
        <v>20</v>
      </c>
      <c r="CY53" s="750">
        <v>20</v>
      </c>
      <c r="CZ53" s="2845">
        <v>20</v>
      </c>
      <c r="DA53" s="750">
        <v>20</v>
      </c>
      <c r="DB53" s="2846"/>
      <c r="DC53" s="750">
        <v>20</v>
      </c>
      <c r="DD53" s="1885">
        <v>20</v>
      </c>
    </row>
    <row r="54" spans="1:108" ht="12.75" customHeight="1" x14ac:dyDescent="0.2">
      <c r="A54" s="2181">
        <v>54</v>
      </c>
      <c r="B54" s="1856" t="s">
        <v>8858</v>
      </c>
      <c r="C54" s="1857"/>
      <c r="E54" s="1861">
        <v>17</v>
      </c>
      <c r="F54" s="754" t="s">
        <v>2287</v>
      </c>
      <c r="G54" s="2845"/>
      <c r="H54" s="1971"/>
      <c r="I54" s="2846"/>
      <c r="J54" s="750"/>
      <c r="K54" s="750"/>
      <c r="L54" s="2845"/>
      <c r="M54" s="750"/>
      <c r="N54" s="2293"/>
      <c r="O54" s="750"/>
      <c r="P54" s="750"/>
      <c r="Q54" s="2845"/>
      <c r="R54" s="2846"/>
      <c r="S54" s="750"/>
      <c r="T54" s="2845"/>
      <c r="U54" s="2846"/>
      <c r="V54" s="750"/>
      <c r="W54" s="750"/>
      <c r="X54" s="2845"/>
      <c r="Y54" s="750"/>
      <c r="Z54" s="2846"/>
      <c r="AA54" s="750"/>
      <c r="AB54" s="750"/>
      <c r="AC54" s="2845"/>
      <c r="AD54" s="2846"/>
      <c r="AE54" s="750"/>
      <c r="AF54" s="750"/>
      <c r="AG54" s="750"/>
      <c r="AH54" s="2845"/>
      <c r="AI54" s="750"/>
      <c r="AJ54" s="2846"/>
      <c r="AK54" s="750"/>
      <c r="AL54" s="750"/>
      <c r="AM54" s="750"/>
      <c r="AN54" s="750"/>
      <c r="AO54" s="2845"/>
      <c r="AP54" s="750"/>
      <c r="AQ54" s="2846"/>
      <c r="AR54" s="750"/>
      <c r="AS54" s="750"/>
      <c r="AT54" s="2845"/>
      <c r="AU54" s="750"/>
      <c r="AV54" s="2846"/>
      <c r="AW54" s="750"/>
      <c r="AX54" s="750"/>
      <c r="AY54" s="2845"/>
      <c r="AZ54" s="2846"/>
      <c r="BA54" s="750"/>
      <c r="BB54" s="750"/>
      <c r="BC54" s="2845"/>
      <c r="BD54" s="2846"/>
      <c r="BE54" s="750"/>
      <c r="BF54" s="750"/>
      <c r="BG54" s="737">
        <v>20</v>
      </c>
      <c r="BH54" s="2845"/>
      <c r="BI54" s="2846"/>
      <c r="BJ54" s="750"/>
      <c r="BK54" s="750"/>
      <c r="BL54" s="737"/>
      <c r="BM54" s="750"/>
      <c r="BN54" s="750"/>
      <c r="BO54" s="2845"/>
      <c r="BP54" s="750"/>
      <c r="BQ54" s="2846"/>
      <c r="BR54" s="750"/>
      <c r="BS54" s="750"/>
      <c r="BT54" s="2845"/>
      <c r="BU54" s="750"/>
      <c r="BV54" s="750"/>
      <c r="BW54" s="2846"/>
      <c r="BX54" s="750"/>
      <c r="BY54" s="750"/>
      <c r="BZ54" s="750"/>
      <c r="CA54" s="2845"/>
      <c r="CB54" s="750"/>
      <c r="CC54" s="2846"/>
      <c r="CD54" s="750"/>
      <c r="CE54" s="750"/>
      <c r="CF54" s="2845"/>
      <c r="CG54" s="750"/>
      <c r="CH54" s="2846"/>
      <c r="CI54" s="750"/>
      <c r="CJ54" s="750"/>
      <c r="CK54" s="750"/>
      <c r="CL54" s="750"/>
      <c r="CM54" s="2845"/>
      <c r="CN54" s="2846"/>
      <c r="CO54" s="750"/>
      <c r="CP54" s="750"/>
      <c r="CQ54" s="2845"/>
      <c r="CR54" s="750"/>
      <c r="CS54" s="2846"/>
      <c r="CT54" s="750"/>
      <c r="CU54" s="750"/>
      <c r="CV54" s="2845"/>
      <c r="CW54" s="750"/>
      <c r="CX54" s="2846"/>
      <c r="CY54" s="750"/>
      <c r="CZ54" s="2845"/>
      <c r="DA54" s="750"/>
      <c r="DB54" s="2846"/>
      <c r="DC54" s="750"/>
      <c r="DD54" s="1885"/>
    </row>
    <row r="55" spans="1:108" ht="12.75" customHeight="1" x14ac:dyDescent="0.2">
      <c r="A55" s="2180">
        <v>55</v>
      </c>
      <c r="B55" s="1856" t="s">
        <v>8822</v>
      </c>
      <c r="C55" s="1857"/>
      <c r="E55" s="1861">
        <v>18</v>
      </c>
      <c r="F55" s="754" t="s">
        <v>2288</v>
      </c>
      <c r="G55" s="2845"/>
      <c r="H55" s="1971"/>
      <c r="I55" s="2846"/>
      <c r="J55" s="750"/>
      <c r="K55" s="750"/>
      <c r="L55" s="2845"/>
      <c r="M55" s="750">
        <v>20</v>
      </c>
      <c r="N55" s="2293"/>
      <c r="O55" s="750"/>
      <c r="P55" s="750"/>
      <c r="Q55" s="2845">
        <v>20</v>
      </c>
      <c r="R55" s="2846"/>
      <c r="S55" s="750">
        <v>20</v>
      </c>
      <c r="T55" s="2845"/>
      <c r="U55" s="2846"/>
      <c r="V55" s="750"/>
      <c r="W55" s="750"/>
      <c r="X55" s="2845"/>
      <c r="Y55" s="750"/>
      <c r="Z55" s="2846"/>
      <c r="AA55" s="750"/>
      <c r="AB55" s="750"/>
      <c r="AC55" s="2845"/>
      <c r="AD55" s="2846"/>
      <c r="AE55" s="750">
        <v>30</v>
      </c>
      <c r="AF55" s="750">
        <v>20</v>
      </c>
      <c r="AG55" s="750"/>
      <c r="AH55" s="2845">
        <v>20</v>
      </c>
      <c r="AI55" s="750"/>
      <c r="AJ55" s="2846"/>
      <c r="AK55" s="750">
        <v>20</v>
      </c>
      <c r="AL55" s="750">
        <v>20</v>
      </c>
      <c r="AM55" s="750">
        <v>20</v>
      </c>
      <c r="AN55" s="750"/>
      <c r="AO55" s="2845">
        <v>20</v>
      </c>
      <c r="AP55" s="750"/>
      <c r="AQ55" s="2846"/>
      <c r="AR55" s="750"/>
      <c r="AS55" s="750"/>
      <c r="AT55" s="2845"/>
      <c r="AU55" s="750"/>
      <c r="AV55" s="2846"/>
      <c r="AW55" s="750"/>
      <c r="AX55" s="750"/>
      <c r="AY55" s="2845"/>
      <c r="AZ55" s="2846"/>
      <c r="BA55" s="750">
        <v>10</v>
      </c>
      <c r="BB55" s="750"/>
      <c r="BC55" s="2845">
        <v>30</v>
      </c>
      <c r="BD55" s="2846"/>
      <c r="BE55" s="750">
        <v>20</v>
      </c>
      <c r="BF55" s="750"/>
      <c r="BG55" s="737">
        <v>30</v>
      </c>
      <c r="BH55" s="2845">
        <v>20</v>
      </c>
      <c r="BI55" s="2846">
        <v>30</v>
      </c>
      <c r="BJ55" s="750"/>
      <c r="BK55" s="750"/>
      <c r="BL55" s="737">
        <v>30</v>
      </c>
      <c r="BM55" s="750"/>
      <c r="BN55" s="750"/>
      <c r="BO55" s="2845"/>
      <c r="BP55" s="750"/>
      <c r="BQ55" s="2846"/>
      <c r="BR55" s="750"/>
      <c r="BS55" s="750"/>
      <c r="BT55" s="2845"/>
      <c r="BU55" s="750">
        <v>20</v>
      </c>
      <c r="BV55" s="750"/>
      <c r="BW55" s="2846"/>
      <c r="BX55" s="750"/>
      <c r="BY55" s="750"/>
      <c r="BZ55" s="750"/>
      <c r="CA55" s="2845"/>
      <c r="CB55" s="750"/>
      <c r="CC55" s="2846"/>
      <c r="CD55" s="750">
        <v>20</v>
      </c>
      <c r="CE55" s="750">
        <v>20</v>
      </c>
      <c r="CF55" s="2845"/>
      <c r="CG55" s="750"/>
      <c r="CH55" s="2846"/>
      <c r="CI55" s="750"/>
      <c r="CJ55" s="750"/>
      <c r="CK55" s="750"/>
      <c r="CL55" s="750"/>
      <c r="CM55" s="2845"/>
      <c r="CN55" s="2846"/>
      <c r="CO55" s="750">
        <v>20</v>
      </c>
      <c r="CP55" s="750">
        <v>20</v>
      </c>
      <c r="CQ55" s="2845"/>
      <c r="CR55" s="750"/>
      <c r="CS55" s="2846"/>
      <c r="CT55" s="750">
        <v>20</v>
      </c>
      <c r="CU55" s="750">
        <v>20</v>
      </c>
      <c r="CV55" s="2845">
        <v>20</v>
      </c>
      <c r="CW55" s="750"/>
      <c r="CX55" s="2846"/>
      <c r="CY55" s="750"/>
      <c r="CZ55" s="2845"/>
      <c r="DA55" s="750"/>
      <c r="DB55" s="2846"/>
      <c r="DC55" s="750"/>
      <c r="DD55" s="1885"/>
    </row>
    <row r="56" spans="1:108" ht="12.75" customHeight="1" x14ac:dyDescent="0.2">
      <c r="A56" s="2180">
        <v>56</v>
      </c>
      <c r="B56" s="1856" t="s">
        <v>8823</v>
      </c>
      <c r="C56" s="1857"/>
      <c r="E56" s="1861">
        <v>19</v>
      </c>
      <c r="F56" s="754" t="s">
        <v>2290</v>
      </c>
      <c r="G56" s="2845"/>
      <c r="H56" s="1971"/>
      <c r="I56" s="2846"/>
      <c r="J56" s="750"/>
      <c r="K56" s="750"/>
      <c r="L56" s="2845">
        <v>20</v>
      </c>
      <c r="M56" s="750">
        <v>20</v>
      </c>
      <c r="N56" s="2293">
        <v>20</v>
      </c>
      <c r="O56" s="750"/>
      <c r="P56" s="750"/>
      <c r="Q56" s="2845">
        <v>20</v>
      </c>
      <c r="R56" s="2846"/>
      <c r="S56" s="750">
        <v>20</v>
      </c>
      <c r="T56" s="2845"/>
      <c r="U56" s="2846"/>
      <c r="V56" s="750">
        <v>20</v>
      </c>
      <c r="W56" s="750"/>
      <c r="X56" s="2845"/>
      <c r="Y56" s="750"/>
      <c r="Z56" s="2846"/>
      <c r="AA56" s="750"/>
      <c r="AB56" s="750"/>
      <c r="AC56" s="2845"/>
      <c r="AD56" s="2846"/>
      <c r="AE56" s="750">
        <v>10</v>
      </c>
      <c r="AF56" s="750">
        <v>10</v>
      </c>
      <c r="AG56" s="750">
        <v>20</v>
      </c>
      <c r="AH56" s="2845"/>
      <c r="AI56" s="750"/>
      <c r="AJ56" s="2846"/>
      <c r="AK56" s="750">
        <v>30</v>
      </c>
      <c r="AL56" s="750">
        <v>20</v>
      </c>
      <c r="AM56" s="750"/>
      <c r="AN56" s="750"/>
      <c r="AO56" s="2845"/>
      <c r="AP56" s="750">
        <v>10</v>
      </c>
      <c r="AQ56" s="2846"/>
      <c r="AR56" s="750"/>
      <c r="AS56" s="750"/>
      <c r="AT56" s="2845"/>
      <c r="AU56" s="750"/>
      <c r="AV56" s="2846"/>
      <c r="AW56" s="750"/>
      <c r="AX56" s="750"/>
      <c r="AY56" s="2845"/>
      <c r="AZ56" s="2846"/>
      <c r="BA56" s="750"/>
      <c r="BB56" s="750"/>
      <c r="BC56" s="2845">
        <v>20</v>
      </c>
      <c r="BD56" s="2846"/>
      <c r="BE56" s="750"/>
      <c r="BF56" s="750"/>
      <c r="BG56" s="737">
        <v>10</v>
      </c>
      <c r="BH56" s="2845">
        <v>20</v>
      </c>
      <c r="BI56" s="2846">
        <v>30</v>
      </c>
      <c r="BJ56" s="750">
        <v>20</v>
      </c>
      <c r="BK56" s="750"/>
      <c r="BL56" s="737">
        <v>20</v>
      </c>
      <c r="BM56" s="750">
        <v>10</v>
      </c>
      <c r="BN56" s="750"/>
      <c r="BO56" s="2845">
        <v>10</v>
      </c>
      <c r="BP56" s="750"/>
      <c r="BQ56" s="2846"/>
      <c r="BR56" s="750">
        <v>20</v>
      </c>
      <c r="BS56" s="750"/>
      <c r="BT56" s="2845">
        <v>20</v>
      </c>
      <c r="BU56" s="750">
        <v>20</v>
      </c>
      <c r="BV56" s="750"/>
      <c r="BW56" s="2846"/>
      <c r="BX56" s="750">
        <v>20</v>
      </c>
      <c r="BY56" s="750">
        <v>30</v>
      </c>
      <c r="BZ56" s="750"/>
      <c r="CA56" s="2845"/>
      <c r="CB56" s="750"/>
      <c r="CC56" s="2846"/>
      <c r="CD56" s="750">
        <v>20</v>
      </c>
      <c r="CE56" s="750">
        <v>20</v>
      </c>
      <c r="CF56" s="2845">
        <v>20</v>
      </c>
      <c r="CG56" s="750"/>
      <c r="CH56" s="2846"/>
      <c r="CI56" s="750"/>
      <c r="CJ56" s="750"/>
      <c r="CK56" s="750"/>
      <c r="CL56" s="750"/>
      <c r="CM56" s="2845">
        <v>20</v>
      </c>
      <c r="CN56" s="2846"/>
      <c r="CO56" s="750">
        <v>20</v>
      </c>
      <c r="CP56" s="750">
        <v>20</v>
      </c>
      <c r="CQ56" s="2845"/>
      <c r="CR56" s="750"/>
      <c r="CS56" s="2846"/>
      <c r="CT56" s="750">
        <v>20</v>
      </c>
      <c r="CU56" s="750">
        <v>20</v>
      </c>
      <c r="CV56" s="2845">
        <v>20</v>
      </c>
      <c r="CW56" s="750">
        <v>20</v>
      </c>
      <c r="CX56" s="2846">
        <v>20</v>
      </c>
      <c r="CY56" s="750"/>
      <c r="CZ56" s="2845">
        <v>20</v>
      </c>
      <c r="DA56" s="750"/>
      <c r="DB56" s="2846"/>
      <c r="DC56" s="750"/>
      <c r="DD56" s="1885"/>
    </row>
    <row r="57" spans="1:108" ht="12.75" customHeight="1" x14ac:dyDescent="0.2">
      <c r="A57" s="2180">
        <v>57</v>
      </c>
      <c r="B57" s="1856" t="s">
        <v>8859</v>
      </c>
      <c r="C57" s="1857"/>
      <c r="E57" s="1861">
        <v>20</v>
      </c>
      <c r="F57" s="754" t="s">
        <v>2291</v>
      </c>
      <c r="G57" s="2845"/>
      <c r="H57" s="1971"/>
      <c r="I57" s="2846"/>
      <c r="J57" s="750">
        <v>20</v>
      </c>
      <c r="K57" s="750">
        <v>20</v>
      </c>
      <c r="L57" s="2845"/>
      <c r="M57" s="750"/>
      <c r="N57" s="2293"/>
      <c r="O57" s="750"/>
      <c r="P57" s="750"/>
      <c r="Q57" s="2845"/>
      <c r="R57" s="2846"/>
      <c r="S57" s="750"/>
      <c r="T57" s="2845"/>
      <c r="U57" s="2846"/>
      <c r="V57" s="750"/>
      <c r="W57" s="750"/>
      <c r="X57" s="2845"/>
      <c r="Y57" s="750"/>
      <c r="Z57" s="2846"/>
      <c r="AA57" s="750"/>
      <c r="AB57" s="750"/>
      <c r="AC57" s="2845"/>
      <c r="AD57" s="2846"/>
      <c r="AE57" s="750"/>
      <c r="AF57" s="750"/>
      <c r="AG57" s="750"/>
      <c r="AH57" s="2845"/>
      <c r="AI57" s="750"/>
      <c r="AJ57" s="2846"/>
      <c r="AK57" s="750"/>
      <c r="AL57" s="750"/>
      <c r="AM57" s="750"/>
      <c r="AN57" s="750"/>
      <c r="AO57" s="2845"/>
      <c r="AP57" s="750"/>
      <c r="AQ57" s="2846"/>
      <c r="AR57" s="750"/>
      <c r="AS57" s="750"/>
      <c r="AT57" s="2845"/>
      <c r="AU57" s="750"/>
      <c r="AV57" s="2846"/>
      <c r="AW57" s="750"/>
      <c r="AX57" s="750"/>
      <c r="AY57" s="2845"/>
      <c r="AZ57" s="2846"/>
      <c r="BA57" s="750"/>
      <c r="BB57" s="750"/>
      <c r="BC57" s="2845"/>
      <c r="BD57" s="2846"/>
      <c r="BE57" s="750"/>
      <c r="BF57" s="750"/>
      <c r="BG57" s="737"/>
      <c r="BH57" s="2845"/>
      <c r="BI57" s="2846"/>
      <c r="BJ57" s="750">
        <v>20</v>
      </c>
      <c r="BK57" s="750">
        <v>20</v>
      </c>
      <c r="BL57" s="737"/>
      <c r="BM57" s="750">
        <v>30</v>
      </c>
      <c r="BN57" s="750"/>
      <c r="BO57" s="2845"/>
      <c r="BP57" s="750"/>
      <c r="BQ57" s="2846"/>
      <c r="BR57" s="750"/>
      <c r="BS57" s="750"/>
      <c r="BT57" s="2845"/>
      <c r="BU57" s="750"/>
      <c r="BV57" s="750"/>
      <c r="BW57" s="2846"/>
      <c r="BX57" s="750"/>
      <c r="BY57" s="750"/>
      <c r="BZ57" s="750"/>
      <c r="CA57" s="2845"/>
      <c r="CB57" s="750"/>
      <c r="CC57" s="2846"/>
      <c r="CD57" s="750"/>
      <c r="CE57" s="750"/>
      <c r="CF57" s="2845"/>
      <c r="CG57" s="750"/>
      <c r="CH57" s="2846"/>
      <c r="CI57" s="750"/>
      <c r="CJ57" s="750"/>
      <c r="CK57" s="750"/>
      <c r="CL57" s="750"/>
      <c r="CM57" s="2845"/>
      <c r="CN57" s="2846"/>
      <c r="CO57" s="750"/>
      <c r="CP57" s="750"/>
      <c r="CQ57" s="2845"/>
      <c r="CR57" s="750"/>
      <c r="CS57" s="2846"/>
      <c r="CT57" s="750"/>
      <c r="CU57" s="750"/>
      <c r="CV57" s="2845"/>
      <c r="CW57" s="750"/>
      <c r="CX57" s="2846"/>
      <c r="CY57" s="750"/>
      <c r="CZ57" s="2845"/>
      <c r="DA57" s="750"/>
      <c r="DB57" s="2846"/>
      <c r="DC57" s="750"/>
      <c r="DD57" s="1885"/>
    </row>
    <row r="58" spans="1:108" ht="12.75" customHeight="1" x14ac:dyDescent="0.2">
      <c r="A58" s="2181">
        <v>58</v>
      </c>
      <c r="B58" s="1856" t="s">
        <v>8824</v>
      </c>
      <c r="C58" s="1857"/>
      <c r="E58" s="1861">
        <v>21</v>
      </c>
      <c r="F58" s="754" t="s">
        <v>3679</v>
      </c>
      <c r="G58" s="2845"/>
      <c r="H58" s="1971">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8" s="2846"/>
      <c r="J58" s="750"/>
      <c r="K58" s="750"/>
      <c r="L58" s="2845"/>
      <c r="M58" s="750"/>
      <c r="N58" s="2293"/>
      <c r="O58" s="750"/>
      <c r="P58" s="750"/>
      <c r="Q58" s="2845"/>
      <c r="R58" s="2846"/>
      <c r="S58" s="750"/>
      <c r="T58" s="2845"/>
      <c r="U58" s="2846"/>
      <c r="V58" s="750"/>
      <c r="W58" s="750"/>
      <c r="X58" s="2845"/>
      <c r="Y58" s="750"/>
      <c r="Z58" s="2846"/>
      <c r="AA58" s="750"/>
      <c r="AB58" s="750"/>
      <c r="AC58" s="2845"/>
      <c r="AD58" s="2846"/>
      <c r="AE58" s="750"/>
      <c r="AF58" s="750"/>
      <c r="AG58" s="750"/>
      <c r="AH58" s="2845"/>
      <c r="AI58" s="750"/>
      <c r="AJ58" s="2846"/>
      <c r="AK58" s="750"/>
      <c r="AL58" s="750"/>
      <c r="AM58" s="750"/>
      <c r="AN58" s="750"/>
      <c r="AO58" s="2845"/>
      <c r="AP58" s="750"/>
      <c r="AQ58" s="2846"/>
      <c r="AR58" s="750"/>
      <c r="AS58" s="750"/>
      <c r="AT58" s="2845"/>
      <c r="AU58" s="750"/>
      <c r="AV58" s="2846"/>
      <c r="AW58" s="750"/>
      <c r="AX58" s="750"/>
      <c r="AY58" s="2845"/>
      <c r="AZ58" s="2846"/>
      <c r="BA58" s="750"/>
      <c r="BB58" s="750"/>
      <c r="BC58" s="2845"/>
      <c r="BD58" s="2846"/>
      <c r="BE58" s="750"/>
      <c r="BF58" s="750"/>
      <c r="BG58" s="737"/>
      <c r="BH58" s="2845"/>
      <c r="BI58" s="2846"/>
      <c r="BJ58" s="750"/>
      <c r="BK58" s="750"/>
      <c r="BL58" s="737"/>
      <c r="BM58" s="750"/>
      <c r="BN58" s="750"/>
      <c r="BO58" s="2845"/>
      <c r="BP58" s="750"/>
      <c r="BQ58" s="2846"/>
      <c r="BR58" s="750"/>
      <c r="BS58" s="750"/>
      <c r="BT58" s="2845"/>
      <c r="BU58" s="750"/>
      <c r="BV58" s="750"/>
      <c r="BW58" s="2846"/>
      <c r="BX58" s="750"/>
      <c r="BY58" s="750"/>
      <c r="BZ58" s="750"/>
      <c r="CA58" s="2845"/>
      <c r="CB58" s="750"/>
      <c r="CC58" s="2846"/>
      <c r="CD58" s="750"/>
      <c r="CE58" s="750"/>
      <c r="CF58" s="2845"/>
      <c r="CG58" s="750"/>
      <c r="CH58" s="2846"/>
      <c r="CI58" s="750"/>
      <c r="CJ58" s="750"/>
      <c r="CK58" s="750"/>
      <c r="CL58" s="750"/>
      <c r="CM58" s="2845"/>
      <c r="CN58" s="2846"/>
      <c r="CO58" s="750"/>
      <c r="CP58" s="750"/>
      <c r="CQ58" s="2845"/>
      <c r="CR58" s="750"/>
      <c r="CS58" s="2846"/>
      <c r="CT58" s="750"/>
      <c r="CU58" s="750"/>
      <c r="CV58" s="2845"/>
      <c r="CW58" s="750"/>
      <c r="CX58" s="2846"/>
      <c r="CY58" s="750"/>
      <c r="CZ58" s="2845"/>
      <c r="DA58" s="750"/>
      <c r="DB58" s="2846"/>
      <c r="DC58" s="750"/>
      <c r="DD58" s="1885"/>
    </row>
    <row r="59" spans="1:108" ht="12.75" customHeight="1" x14ac:dyDescent="0.2">
      <c r="A59" s="2181">
        <v>59</v>
      </c>
      <c r="B59" s="1856" t="s">
        <v>8825</v>
      </c>
      <c r="C59" s="1857"/>
      <c r="E59" s="1861">
        <v>22</v>
      </c>
      <c r="F59" s="754" t="s">
        <v>2292</v>
      </c>
      <c r="G59" s="2845"/>
      <c r="H59" s="1971">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9" s="2846"/>
      <c r="J59" s="750">
        <v>20</v>
      </c>
      <c r="K59" s="750">
        <v>20</v>
      </c>
      <c r="L59" s="2845">
        <v>20</v>
      </c>
      <c r="M59" s="750">
        <v>40</v>
      </c>
      <c r="N59" s="2293"/>
      <c r="O59" s="750"/>
      <c r="P59" s="750"/>
      <c r="Q59" s="2845">
        <v>20</v>
      </c>
      <c r="R59" s="2846"/>
      <c r="S59" s="750">
        <v>20</v>
      </c>
      <c r="T59" s="2845"/>
      <c r="U59" s="2846"/>
      <c r="V59" s="750">
        <v>20</v>
      </c>
      <c r="W59" s="750"/>
      <c r="X59" s="2845"/>
      <c r="Y59" s="750"/>
      <c r="Z59" s="2846"/>
      <c r="AA59" s="750"/>
      <c r="AB59" s="750"/>
      <c r="AC59" s="2845"/>
      <c r="AD59" s="2846"/>
      <c r="AE59" s="750">
        <v>10</v>
      </c>
      <c r="AF59" s="750"/>
      <c r="AG59" s="750"/>
      <c r="AH59" s="2845"/>
      <c r="AI59" s="750"/>
      <c r="AJ59" s="2846"/>
      <c r="AK59" s="750">
        <v>30</v>
      </c>
      <c r="AL59" s="750"/>
      <c r="AM59" s="750"/>
      <c r="AN59" s="750"/>
      <c r="AO59" s="2845">
        <v>30</v>
      </c>
      <c r="AP59" s="750">
        <v>10</v>
      </c>
      <c r="AQ59" s="2846">
        <v>20</v>
      </c>
      <c r="AR59" s="750"/>
      <c r="AS59" s="750"/>
      <c r="AT59" s="2845"/>
      <c r="AU59" s="750"/>
      <c r="AV59" s="2846"/>
      <c r="AW59" s="750"/>
      <c r="AX59" s="750"/>
      <c r="AY59" s="2845"/>
      <c r="AZ59" s="2846"/>
      <c r="BA59" s="750"/>
      <c r="BB59" s="750"/>
      <c r="BC59" s="2845"/>
      <c r="BD59" s="2846"/>
      <c r="BE59" s="750"/>
      <c r="BF59" s="750"/>
      <c r="BG59" s="737"/>
      <c r="BH59" s="2845">
        <v>20</v>
      </c>
      <c r="BI59" s="2846"/>
      <c r="BJ59" s="750">
        <v>20</v>
      </c>
      <c r="BK59" s="750"/>
      <c r="BL59" s="737">
        <v>10</v>
      </c>
      <c r="BM59" s="750"/>
      <c r="BN59" s="750"/>
      <c r="BO59" s="2845">
        <v>20</v>
      </c>
      <c r="BP59" s="750"/>
      <c r="BQ59" s="2846"/>
      <c r="BR59" s="750">
        <v>20</v>
      </c>
      <c r="BS59" s="750"/>
      <c r="BT59" s="2845"/>
      <c r="BU59" s="750">
        <v>20</v>
      </c>
      <c r="BV59" s="750"/>
      <c r="BW59" s="2846"/>
      <c r="BX59" s="750"/>
      <c r="BY59" s="750">
        <v>30</v>
      </c>
      <c r="BZ59" s="750"/>
      <c r="CA59" s="2845"/>
      <c r="CB59" s="750"/>
      <c r="CC59" s="2846"/>
      <c r="CD59" s="750">
        <v>20</v>
      </c>
      <c r="CE59" s="750">
        <v>20</v>
      </c>
      <c r="CF59" s="2845">
        <v>30</v>
      </c>
      <c r="CG59" s="750"/>
      <c r="CH59" s="2846"/>
      <c r="CI59" s="750"/>
      <c r="CJ59" s="750"/>
      <c r="CK59" s="750"/>
      <c r="CL59" s="750"/>
      <c r="CM59" s="2845">
        <v>20</v>
      </c>
      <c r="CN59" s="2846"/>
      <c r="CO59" s="750">
        <v>20</v>
      </c>
      <c r="CP59" s="750"/>
      <c r="CQ59" s="2845"/>
      <c r="CR59" s="750"/>
      <c r="CS59" s="2846"/>
      <c r="CT59" s="750"/>
      <c r="CU59" s="750"/>
      <c r="CV59" s="2845"/>
      <c r="CW59" s="750"/>
      <c r="CX59" s="2846"/>
      <c r="CY59" s="750"/>
      <c r="CZ59" s="2845"/>
      <c r="DA59" s="750"/>
      <c r="DB59" s="2846"/>
      <c r="DC59" s="750"/>
      <c r="DD59" s="1885"/>
    </row>
    <row r="60" spans="1:108" ht="12.75" customHeight="1" x14ac:dyDescent="0.2">
      <c r="A60" s="2181">
        <v>60</v>
      </c>
      <c r="B60" s="1856" t="s">
        <v>8860</v>
      </c>
      <c r="C60" s="1857"/>
      <c r="E60" s="1861">
        <v>23</v>
      </c>
      <c r="F60" s="754" t="s">
        <v>2294</v>
      </c>
      <c r="G60" s="2845" t="s">
        <v>8893</v>
      </c>
      <c r="H60" s="1971">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60" s="2846" t="s">
        <v>8893</v>
      </c>
      <c r="J60" s="750">
        <v>20</v>
      </c>
      <c r="K60" s="750"/>
      <c r="L60" s="2845"/>
      <c r="M60" s="750"/>
      <c r="N60" s="2293"/>
      <c r="O60" s="750" t="s">
        <v>8893</v>
      </c>
      <c r="P60" s="750" t="s">
        <v>8893</v>
      </c>
      <c r="Q60" s="2845"/>
      <c r="R60" s="2846" t="s">
        <v>8893</v>
      </c>
      <c r="S60" s="750"/>
      <c r="T60" s="2845" t="s">
        <v>8893</v>
      </c>
      <c r="U60" s="2846" t="s">
        <v>8893</v>
      </c>
      <c r="V60" s="750"/>
      <c r="W60" s="750" t="s">
        <v>8893</v>
      </c>
      <c r="X60" s="2845" t="s">
        <v>8893</v>
      </c>
      <c r="Y60" s="750" t="s">
        <v>8893</v>
      </c>
      <c r="Z60" s="2846" t="s">
        <v>8893</v>
      </c>
      <c r="AA60" s="750"/>
      <c r="AB60" s="750" t="s">
        <v>8893</v>
      </c>
      <c r="AC60" s="2845" t="s">
        <v>8893</v>
      </c>
      <c r="AD60" s="2846" t="s">
        <v>8893</v>
      </c>
      <c r="AE60" s="750"/>
      <c r="AF60" s="750"/>
      <c r="AG60" s="750"/>
      <c r="AH60" s="2845"/>
      <c r="AI60" s="750"/>
      <c r="AJ60" s="2846" t="s">
        <v>8893</v>
      </c>
      <c r="AK60" s="750" t="s">
        <v>8893</v>
      </c>
      <c r="AL60" s="750" t="s">
        <v>8893</v>
      </c>
      <c r="AM60" s="750"/>
      <c r="AN60" s="750" t="s">
        <v>8893</v>
      </c>
      <c r="AO60" s="2845"/>
      <c r="AP60" s="750"/>
      <c r="AQ60" s="2846"/>
      <c r="AR60" s="750"/>
      <c r="AS60" s="750"/>
      <c r="AT60" s="2845" t="s">
        <v>8893</v>
      </c>
      <c r="AU60" s="750">
        <v>20</v>
      </c>
      <c r="AV60" s="2846">
        <v>20</v>
      </c>
      <c r="AW60" s="750" t="s">
        <v>8893</v>
      </c>
      <c r="AX60" s="750" t="s">
        <v>8893</v>
      </c>
      <c r="AY60" s="2845" t="s">
        <v>9593</v>
      </c>
      <c r="AZ60" s="2846" t="s">
        <v>9594</v>
      </c>
      <c r="BA60" s="750" t="s">
        <v>8893</v>
      </c>
      <c r="BB60" s="750" t="s">
        <v>8894</v>
      </c>
      <c r="BC60" s="2845"/>
      <c r="BD60" s="2846" t="s">
        <v>8893</v>
      </c>
      <c r="BE60" s="750" t="s">
        <v>8893</v>
      </c>
      <c r="BF60" s="750" t="s">
        <v>8894</v>
      </c>
      <c r="BG60" s="737"/>
      <c r="BH60" s="2845"/>
      <c r="BI60" s="2846"/>
      <c r="BJ60" s="750">
        <v>20</v>
      </c>
      <c r="BK60" s="750">
        <v>20</v>
      </c>
      <c r="BL60" s="737"/>
      <c r="BM60" s="750">
        <v>10</v>
      </c>
      <c r="BN60" s="750"/>
      <c r="BO60" s="2845"/>
      <c r="BP60" s="750" t="s">
        <v>8893</v>
      </c>
      <c r="BQ60" s="2846" t="s">
        <v>8893</v>
      </c>
      <c r="BR60" s="750"/>
      <c r="BS60" s="750">
        <v>20</v>
      </c>
      <c r="BT60" s="2845" t="s">
        <v>8893</v>
      </c>
      <c r="BU60" s="750"/>
      <c r="BV60" s="750" t="s">
        <v>8893</v>
      </c>
      <c r="BW60" s="2846" t="s">
        <v>8894</v>
      </c>
      <c r="BX60" s="750"/>
      <c r="BY60" s="750"/>
      <c r="BZ60" s="750"/>
      <c r="CA60" s="2845" t="s">
        <v>8893</v>
      </c>
      <c r="CB60" s="750" t="s">
        <v>8893</v>
      </c>
      <c r="CC60" s="2846" t="s">
        <v>8893</v>
      </c>
      <c r="CD60" s="750"/>
      <c r="CE60" s="750"/>
      <c r="CF60" s="2845"/>
      <c r="CG60" s="750"/>
      <c r="CH60" s="2846" t="s">
        <v>8893</v>
      </c>
      <c r="CI60" s="750" t="s">
        <v>8893</v>
      </c>
      <c r="CJ60" s="750" t="s">
        <v>8893</v>
      </c>
      <c r="CK60" s="750" t="s">
        <v>8893</v>
      </c>
      <c r="CL60" s="750" t="s">
        <v>8893</v>
      </c>
      <c r="CM60" s="2845" t="s">
        <v>8894</v>
      </c>
      <c r="CN60" s="2846" t="s">
        <v>8894</v>
      </c>
      <c r="CO60" s="750"/>
      <c r="CP60" s="750"/>
      <c r="CQ60" s="2845" t="s">
        <v>8893</v>
      </c>
      <c r="CR60" s="750" t="s">
        <v>8893</v>
      </c>
      <c r="CS60" s="2846" t="s">
        <v>8893</v>
      </c>
      <c r="CT60" s="750"/>
      <c r="CU60" s="750"/>
      <c r="CV60" s="2845"/>
      <c r="CW60" s="750"/>
      <c r="CX60" s="2846"/>
      <c r="CY60" s="750"/>
      <c r="CZ60" s="2845"/>
      <c r="DA60" s="750"/>
      <c r="DB60" s="2846"/>
      <c r="DC60" s="750"/>
      <c r="DD60" s="1885"/>
    </row>
    <row r="61" spans="1:108" ht="12.75" customHeight="1" x14ac:dyDescent="0.2">
      <c r="A61" s="2180">
        <v>61</v>
      </c>
      <c r="B61" s="1856" t="s">
        <v>8826</v>
      </c>
      <c r="C61" s="1857"/>
      <c r="E61" s="1861">
        <v>24</v>
      </c>
      <c r="F61" s="754" t="s">
        <v>1285</v>
      </c>
      <c r="G61" s="2845"/>
      <c r="H61" s="1971">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61" s="2846"/>
      <c r="J61" s="750"/>
      <c r="K61" s="750"/>
      <c r="L61" s="2845"/>
      <c r="M61" s="750"/>
      <c r="N61" s="2293"/>
      <c r="O61" s="750"/>
      <c r="P61" s="750"/>
      <c r="Q61" s="2845"/>
      <c r="R61" s="2846"/>
      <c r="S61" s="750"/>
      <c r="T61" s="2845"/>
      <c r="U61" s="2846"/>
      <c r="V61" s="750"/>
      <c r="W61" s="750"/>
      <c r="X61" s="2845"/>
      <c r="Y61" s="750"/>
      <c r="Z61" s="2846"/>
      <c r="AA61" s="750"/>
      <c r="AB61" s="750"/>
      <c r="AC61" s="2845"/>
      <c r="AD61" s="2846"/>
      <c r="AE61" s="750"/>
      <c r="AF61" s="750"/>
      <c r="AG61" s="750"/>
      <c r="AH61" s="2845"/>
      <c r="AI61" s="750"/>
      <c r="AJ61" s="2846"/>
      <c r="AK61" s="750"/>
      <c r="AL61" s="750"/>
      <c r="AM61" s="750"/>
      <c r="AN61" s="750"/>
      <c r="AO61" s="2845"/>
      <c r="AP61" s="750"/>
      <c r="AQ61" s="2846"/>
      <c r="AR61" s="750"/>
      <c r="AS61" s="750"/>
      <c r="AT61" s="2845"/>
      <c r="AU61" s="750"/>
      <c r="AV61" s="2846"/>
      <c r="AW61" s="750"/>
      <c r="AX61" s="750"/>
      <c r="AY61" s="2845"/>
      <c r="AZ61" s="2846"/>
      <c r="BA61" s="750"/>
      <c r="BB61" s="750"/>
      <c r="BC61" s="2845"/>
      <c r="BD61" s="2846"/>
      <c r="BE61" s="750"/>
      <c r="BF61" s="750"/>
      <c r="BG61" s="737"/>
      <c r="BH61" s="2845"/>
      <c r="BI61" s="2846"/>
      <c r="BJ61" s="750"/>
      <c r="BK61" s="750"/>
      <c r="BL61" s="737"/>
      <c r="BM61" s="750"/>
      <c r="BN61" s="750"/>
      <c r="BO61" s="2845"/>
      <c r="BP61" s="750"/>
      <c r="BQ61" s="2846"/>
      <c r="BR61" s="750"/>
      <c r="BS61" s="750"/>
      <c r="BT61" s="2845"/>
      <c r="BU61" s="750"/>
      <c r="BV61" s="750"/>
      <c r="BW61" s="2846"/>
      <c r="BX61" s="750"/>
      <c r="BY61" s="750"/>
      <c r="BZ61" s="750"/>
      <c r="CA61" s="2845"/>
      <c r="CB61" s="750"/>
      <c r="CC61" s="2846"/>
      <c r="CD61" s="750"/>
      <c r="CE61" s="750"/>
      <c r="CF61" s="2845"/>
      <c r="CG61" s="750"/>
      <c r="CH61" s="2846"/>
      <c r="CI61" s="750"/>
      <c r="CJ61" s="750"/>
      <c r="CK61" s="750"/>
      <c r="CL61" s="750"/>
      <c r="CM61" s="2845"/>
      <c r="CN61" s="2846"/>
      <c r="CO61" s="750"/>
      <c r="CP61" s="750"/>
      <c r="CQ61" s="2845"/>
      <c r="CR61" s="750"/>
      <c r="CS61" s="2846"/>
      <c r="CT61" s="750"/>
      <c r="CU61" s="750"/>
      <c r="CV61" s="2845"/>
      <c r="CW61" s="750"/>
      <c r="CX61" s="2846"/>
      <c r="CY61" s="750"/>
      <c r="CZ61" s="2845"/>
      <c r="DA61" s="750"/>
      <c r="DB61" s="2846"/>
      <c r="DC61" s="750"/>
      <c r="DD61" s="1885"/>
    </row>
    <row r="62" spans="1:108" ht="12.75" customHeight="1" x14ac:dyDescent="0.2">
      <c r="A62" s="2180">
        <v>62</v>
      </c>
      <c r="B62" s="1856" t="s">
        <v>8827</v>
      </c>
      <c r="C62" s="1857"/>
      <c r="E62" s="1861">
        <v>25</v>
      </c>
      <c r="F62" s="754" t="s">
        <v>2297</v>
      </c>
      <c r="G62" s="2845"/>
      <c r="H62" s="1971">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2" s="2846"/>
      <c r="J62" s="750">
        <v>20</v>
      </c>
      <c r="K62" s="750"/>
      <c r="L62" s="2845"/>
      <c r="M62" s="750"/>
      <c r="N62" s="2293"/>
      <c r="O62" s="750"/>
      <c r="P62" s="750"/>
      <c r="Q62" s="2845"/>
      <c r="R62" s="2846"/>
      <c r="S62" s="750"/>
      <c r="T62" s="2845"/>
      <c r="U62" s="2846"/>
      <c r="V62" s="750"/>
      <c r="W62" s="750"/>
      <c r="X62" s="2845"/>
      <c r="Y62" s="750"/>
      <c r="Z62" s="2846"/>
      <c r="AA62" s="750"/>
      <c r="AB62" s="750"/>
      <c r="AC62" s="2845"/>
      <c r="AD62" s="2846"/>
      <c r="AE62" s="750"/>
      <c r="AF62" s="750"/>
      <c r="AG62" s="750"/>
      <c r="AH62" s="2845"/>
      <c r="AI62" s="750"/>
      <c r="AJ62" s="2846"/>
      <c r="AK62" s="750"/>
      <c r="AL62" s="750"/>
      <c r="AM62" s="750"/>
      <c r="AN62" s="750"/>
      <c r="AO62" s="2845"/>
      <c r="AP62" s="750"/>
      <c r="AQ62" s="2846"/>
      <c r="AR62" s="750"/>
      <c r="AS62" s="750"/>
      <c r="AT62" s="2845"/>
      <c r="AU62" s="750"/>
      <c r="AV62" s="2846"/>
      <c r="AW62" s="750"/>
      <c r="AX62" s="750"/>
      <c r="AY62" s="2845"/>
      <c r="AZ62" s="2846"/>
      <c r="BA62" s="750"/>
      <c r="BB62" s="750"/>
      <c r="BC62" s="2845"/>
      <c r="BD62" s="2846"/>
      <c r="BE62" s="750"/>
      <c r="BF62" s="750"/>
      <c r="BG62" s="737"/>
      <c r="BH62" s="2845"/>
      <c r="BI62" s="2846"/>
      <c r="BJ62" s="750"/>
      <c r="BK62" s="750"/>
      <c r="BL62" s="737"/>
      <c r="BM62" s="750"/>
      <c r="BN62" s="750"/>
      <c r="BO62" s="2845"/>
      <c r="BP62" s="750"/>
      <c r="BQ62" s="2846"/>
      <c r="BR62" s="750"/>
      <c r="BS62" s="750"/>
      <c r="BT62" s="2845"/>
      <c r="BU62" s="750"/>
      <c r="BV62" s="750"/>
      <c r="BW62" s="2846"/>
      <c r="BX62" s="750"/>
      <c r="BY62" s="750"/>
      <c r="BZ62" s="750"/>
      <c r="CA62" s="2845"/>
      <c r="CB62" s="750"/>
      <c r="CC62" s="2846"/>
      <c r="CD62" s="750"/>
      <c r="CE62" s="750"/>
      <c r="CF62" s="2845"/>
      <c r="CG62" s="750"/>
      <c r="CH62" s="2846"/>
      <c r="CI62" s="750"/>
      <c r="CJ62" s="750"/>
      <c r="CK62" s="750"/>
      <c r="CL62" s="750"/>
      <c r="CM62" s="2845"/>
      <c r="CN62" s="2846"/>
      <c r="CO62" s="750"/>
      <c r="CP62" s="750"/>
      <c r="CQ62" s="2845"/>
      <c r="CR62" s="750"/>
      <c r="CS62" s="2846"/>
      <c r="CT62" s="750"/>
      <c r="CU62" s="750"/>
      <c r="CV62" s="2845"/>
      <c r="CW62" s="750"/>
      <c r="CX62" s="2846"/>
      <c r="CY62" s="750">
        <v>20</v>
      </c>
      <c r="CZ62" s="2845"/>
      <c r="DA62" s="750"/>
      <c r="DB62" s="2846"/>
      <c r="DC62" s="750"/>
      <c r="DD62" s="1885"/>
    </row>
    <row r="63" spans="1:108" ht="12.75" customHeight="1" x14ac:dyDescent="0.2">
      <c r="A63" s="2180">
        <v>63</v>
      </c>
      <c r="B63" s="1856" t="s">
        <v>8828</v>
      </c>
      <c r="C63" s="1857"/>
      <c r="E63" s="1861">
        <v>26</v>
      </c>
      <c r="F63" s="754" t="s">
        <v>2298</v>
      </c>
      <c r="G63" s="2845"/>
      <c r="H63" s="1971"/>
      <c r="I63" s="2846"/>
      <c r="J63" s="750">
        <v>20</v>
      </c>
      <c r="K63" s="750">
        <v>20</v>
      </c>
      <c r="L63" s="2845"/>
      <c r="M63" s="750"/>
      <c r="N63" s="2293"/>
      <c r="O63" s="750"/>
      <c r="P63" s="750"/>
      <c r="Q63" s="2845"/>
      <c r="R63" s="2846"/>
      <c r="S63" s="750"/>
      <c r="T63" s="2845"/>
      <c r="U63" s="2846"/>
      <c r="V63" s="750"/>
      <c r="W63" s="750"/>
      <c r="X63" s="2845"/>
      <c r="Y63" s="750"/>
      <c r="Z63" s="2846"/>
      <c r="AA63" s="750"/>
      <c r="AB63" s="750"/>
      <c r="AC63" s="2845"/>
      <c r="AD63" s="2846"/>
      <c r="AE63" s="750"/>
      <c r="AF63" s="750"/>
      <c r="AG63" s="750"/>
      <c r="AH63" s="2845"/>
      <c r="AI63" s="750"/>
      <c r="AJ63" s="2846"/>
      <c r="AK63" s="750"/>
      <c r="AL63" s="750"/>
      <c r="AM63" s="750">
        <v>20</v>
      </c>
      <c r="AN63" s="750"/>
      <c r="AO63" s="2845"/>
      <c r="AP63" s="750"/>
      <c r="AQ63" s="2846"/>
      <c r="AR63" s="750"/>
      <c r="AS63" s="750"/>
      <c r="AT63" s="2845"/>
      <c r="AU63" s="750"/>
      <c r="AV63" s="2846"/>
      <c r="AW63" s="750"/>
      <c r="AX63" s="750"/>
      <c r="AY63" s="2845"/>
      <c r="AZ63" s="2846"/>
      <c r="BA63" s="750"/>
      <c r="BB63" s="750"/>
      <c r="BC63" s="2845"/>
      <c r="BD63" s="2846"/>
      <c r="BE63" s="750"/>
      <c r="BF63" s="750"/>
      <c r="BG63" s="737"/>
      <c r="BH63" s="2845"/>
      <c r="BI63" s="2846"/>
      <c r="BJ63" s="750">
        <v>20</v>
      </c>
      <c r="BK63" s="750">
        <v>20</v>
      </c>
      <c r="BL63" s="737"/>
      <c r="BM63" s="750">
        <v>20</v>
      </c>
      <c r="BN63" s="750"/>
      <c r="BO63" s="2845"/>
      <c r="BP63" s="750"/>
      <c r="BQ63" s="2846"/>
      <c r="BR63" s="750"/>
      <c r="BS63" s="750"/>
      <c r="BT63" s="2845"/>
      <c r="BU63" s="750"/>
      <c r="BV63" s="750"/>
      <c r="BW63" s="2846"/>
      <c r="BX63" s="750"/>
      <c r="BY63" s="750"/>
      <c r="BZ63" s="750"/>
      <c r="CA63" s="2845"/>
      <c r="CB63" s="750"/>
      <c r="CC63" s="2846"/>
      <c r="CD63" s="750"/>
      <c r="CE63" s="750"/>
      <c r="CF63" s="2845"/>
      <c r="CG63" s="750"/>
      <c r="CH63" s="2846"/>
      <c r="CI63" s="750"/>
      <c r="CJ63" s="750"/>
      <c r="CK63" s="750"/>
      <c r="CL63" s="750"/>
      <c r="CM63" s="2845"/>
      <c r="CN63" s="2846"/>
      <c r="CO63" s="750"/>
      <c r="CP63" s="750"/>
      <c r="CQ63" s="2845"/>
      <c r="CR63" s="750"/>
      <c r="CS63" s="2846"/>
      <c r="CT63" s="750"/>
      <c r="CU63" s="750"/>
      <c r="CV63" s="2845"/>
      <c r="CW63" s="750"/>
      <c r="CX63" s="2846"/>
      <c r="CY63" s="750"/>
      <c r="CZ63" s="2845"/>
      <c r="DA63" s="750"/>
      <c r="DB63" s="2846"/>
      <c r="DC63" s="750"/>
      <c r="DD63" s="1885"/>
    </row>
    <row r="64" spans="1:108" ht="12.75" customHeight="1" x14ac:dyDescent="0.2">
      <c r="A64" s="2181">
        <v>64</v>
      </c>
      <c r="B64" s="1856" t="s">
        <v>8864</v>
      </c>
      <c r="C64" s="1857"/>
      <c r="E64" s="1861">
        <v>27</v>
      </c>
      <c r="F64" s="754" t="s">
        <v>2299</v>
      </c>
      <c r="G64" s="2845"/>
      <c r="H64" s="1971"/>
      <c r="I64" s="2846"/>
      <c r="J64" s="750"/>
      <c r="K64" s="750"/>
      <c r="L64" s="2845"/>
      <c r="M64" s="750"/>
      <c r="N64" s="2293"/>
      <c r="O64" s="750"/>
      <c r="P64" s="750"/>
      <c r="Q64" s="2845"/>
      <c r="R64" s="2846"/>
      <c r="S64" s="750"/>
      <c r="T64" s="2845">
        <v>30</v>
      </c>
      <c r="U64" s="2846">
        <v>10</v>
      </c>
      <c r="V64" s="750">
        <v>30</v>
      </c>
      <c r="W64" s="750">
        <v>40</v>
      </c>
      <c r="X64" s="2845"/>
      <c r="Y64" s="750"/>
      <c r="Z64" s="2846"/>
      <c r="AA64" s="750"/>
      <c r="AB64" s="750"/>
      <c r="AC64" s="2845"/>
      <c r="AD64" s="2846"/>
      <c r="AE64" s="750"/>
      <c r="AF64" s="750"/>
      <c r="AG64" s="750"/>
      <c r="AH64" s="2845"/>
      <c r="AI64" s="750">
        <v>20</v>
      </c>
      <c r="AJ64" s="2846"/>
      <c r="AK64" s="750"/>
      <c r="AL64" s="750"/>
      <c r="AM64" s="750"/>
      <c r="AN64" s="750"/>
      <c r="AO64" s="2845"/>
      <c r="AP64" s="750"/>
      <c r="AQ64" s="2846"/>
      <c r="AR64" s="750">
        <v>20</v>
      </c>
      <c r="AS64" s="750"/>
      <c r="AT64" s="2845"/>
      <c r="AU64" s="750"/>
      <c r="AV64" s="2846"/>
      <c r="AW64" s="750">
        <v>20</v>
      </c>
      <c r="AX64" s="750"/>
      <c r="AY64" s="2845"/>
      <c r="AZ64" s="2846"/>
      <c r="BA64" s="750"/>
      <c r="BB64" s="750"/>
      <c r="BC64" s="2845"/>
      <c r="BD64" s="2846"/>
      <c r="BE64" s="750"/>
      <c r="BF64" s="750"/>
      <c r="BG64" s="737"/>
      <c r="BH64" s="2845"/>
      <c r="BI64" s="2846"/>
      <c r="BJ64" s="750"/>
      <c r="BK64" s="750"/>
      <c r="BL64" s="737"/>
      <c r="BM64" s="750"/>
      <c r="BN64" s="750"/>
      <c r="BO64" s="2845"/>
      <c r="BP64" s="750"/>
      <c r="BQ64" s="2846"/>
      <c r="BR64" s="750"/>
      <c r="BS64" s="750"/>
      <c r="BT64" s="2845"/>
      <c r="BU64" s="750"/>
      <c r="BV64" s="750"/>
      <c r="BW64" s="2846"/>
      <c r="BX64" s="750"/>
      <c r="BY64" s="750"/>
      <c r="BZ64" s="750"/>
      <c r="CA64" s="2845">
        <v>30</v>
      </c>
      <c r="CB64" s="750">
        <v>30</v>
      </c>
      <c r="CC64" s="2846">
        <v>30</v>
      </c>
      <c r="CD64" s="750"/>
      <c r="CE64" s="750"/>
      <c r="CF64" s="2845"/>
      <c r="CG64" s="750"/>
      <c r="CH64" s="2846"/>
      <c r="CI64" s="750"/>
      <c r="CJ64" s="750"/>
      <c r="CK64" s="750"/>
      <c r="CL64" s="750"/>
      <c r="CM64" s="2845"/>
      <c r="CN64" s="2846"/>
      <c r="CO64" s="750"/>
      <c r="CP64" s="750"/>
      <c r="CQ64" s="2845"/>
      <c r="CR64" s="750"/>
      <c r="CS64" s="2846"/>
      <c r="CT64" s="750"/>
      <c r="CU64" s="750"/>
      <c r="CV64" s="2845"/>
      <c r="CW64" s="750"/>
      <c r="CX64" s="2846"/>
      <c r="CY64" s="750"/>
      <c r="CZ64" s="2845"/>
      <c r="DA64" s="750"/>
      <c r="DB64" s="2846"/>
      <c r="DC64" s="750"/>
      <c r="DD64" s="1885"/>
    </row>
    <row r="65" spans="1:108" ht="12.75" customHeight="1" x14ac:dyDescent="0.2">
      <c r="A65" s="2181">
        <v>65</v>
      </c>
      <c r="B65" s="1856" t="s">
        <v>8788</v>
      </c>
      <c r="C65" s="1857"/>
      <c r="E65" s="1861">
        <v>28</v>
      </c>
      <c r="F65" s="754" t="s">
        <v>2300</v>
      </c>
      <c r="G65" s="2845"/>
      <c r="H65" s="1971"/>
      <c r="I65" s="2846"/>
      <c r="J65" s="750"/>
      <c r="K65" s="750"/>
      <c r="L65" s="2845"/>
      <c r="M65" s="750"/>
      <c r="N65" s="2293"/>
      <c r="O65" s="750"/>
      <c r="P65" s="750"/>
      <c r="Q65" s="2845"/>
      <c r="R65" s="2846"/>
      <c r="S65" s="750"/>
      <c r="T65" s="2845"/>
      <c r="U65" s="2846"/>
      <c r="V65" s="750"/>
      <c r="W65" s="750"/>
      <c r="X65" s="2845"/>
      <c r="Y65" s="750"/>
      <c r="Z65" s="2846"/>
      <c r="AA65" s="750"/>
      <c r="AB65" s="750"/>
      <c r="AC65" s="2845" t="s">
        <v>8895</v>
      </c>
      <c r="AD65" s="2846" t="s">
        <v>8895</v>
      </c>
      <c r="AE65" s="750"/>
      <c r="AF65" s="750"/>
      <c r="AG65" s="750"/>
      <c r="AH65" s="2845"/>
      <c r="AI65" s="750"/>
      <c r="AJ65" s="2846"/>
      <c r="AK65" s="750"/>
      <c r="AL65" s="750"/>
      <c r="AM65" s="750"/>
      <c r="AN65" s="750"/>
      <c r="AO65" s="2845" t="s">
        <v>8900</v>
      </c>
      <c r="AP65" s="750" t="s">
        <v>8901</v>
      </c>
      <c r="AQ65" s="2846" t="s">
        <v>8902</v>
      </c>
      <c r="AR65" s="750"/>
      <c r="AS65" s="750"/>
      <c r="AT65" s="2845"/>
      <c r="AU65" s="750"/>
      <c r="AV65" s="2846"/>
      <c r="AW65" s="750"/>
      <c r="AX65" s="750"/>
      <c r="AY65" s="2845" t="s">
        <v>8896</v>
      </c>
      <c r="AZ65" s="2846" t="s">
        <v>8897</v>
      </c>
      <c r="BA65" s="750" t="s">
        <v>8898</v>
      </c>
      <c r="BB65" s="750" t="s">
        <v>8895</v>
      </c>
      <c r="BC65" s="2845" t="s">
        <v>8899</v>
      </c>
      <c r="BD65" s="2846" t="s">
        <v>8895</v>
      </c>
      <c r="BE65" s="750" t="s">
        <v>8895</v>
      </c>
      <c r="BF65" s="750" t="s">
        <v>8898</v>
      </c>
      <c r="BG65" s="737"/>
      <c r="BH65" s="2845"/>
      <c r="BI65" s="2846"/>
      <c r="BJ65" s="750"/>
      <c r="BK65" s="750"/>
      <c r="BL65" s="737"/>
      <c r="BM65" s="750"/>
      <c r="BN65" s="750"/>
      <c r="BO65" s="2845" t="s">
        <v>8895</v>
      </c>
      <c r="BP65" s="750"/>
      <c r="BQ65" s="2846"/>
      <c r="BR65" s="750"/>
      <c r="BS65" s="750">
        <v>10</v>
      </c>
      <c r="BT65" s="2845"/>
      <c r="BU65" s="750"/>
      <c r="BV65" s="750"/>
      <c r="BW65" s="2846"/>
      <c r="BX65" s="750"/>
      <c r="BY65" s="750"/>
      <c r="BZ65" s="750"/>
      <c r="CA65" s="2845"/>
      <c r="CB65" s="750"/>
      <c r="CC65" s="2846"/>
      <c r="CD65" s="750"/>
      <c r="CE65" s="750"/>
      <c r="CF65" s="2845"/>
      <c r="CG65" s="750"/>
      <c r="CH65" s="2846"/>
      <c r="CI65" s="750">
        <v>20</v>
      </c>
      <c r="CJ65" s="750">
        <v>20</v>
      </c>
      <c r="CK65" s="750">
        <v>20</v>
      </c>
      <c r="CL65" s="750">
        <v>20</v>
      </c>
      <c r="CM65" s="2845"/>
      <c r="CN65" s="2846"/>
      <c r="CO65" s="750"/>
      <c r="CP65" s="750">
        <v>20</v>
      </c>
      <c r="CQ65" s="2845"/>
      <c r="CR65" s="750"/>
      <c r="CS65" s="2846"/>
      <c r="CT65" s="750"/>
      <c r="CU65" s="750"/>
      <c r="CV65" s="2845">
        <v>20</v>
      </c>
      <c r="CW65" s="750">
        <v>20</v>
      </c>
      <c r="CX65" s="2846">
        <v>20</v>
      </c>
      <c r="CY65" s="750" t="s">
        <v>8903</v>
      </c>
      <c r="CZ65" s="2845"/>
      <c r="DA65" s="750"/>
      <c r="DB65" s="2846">
        <v>30</v>
      </c>
      <c r="DC65" s="750">
        <v>20</v>
      </c>
      <c r="DD65" s="1885">
        <v>20</v>
      </c>
    </row>
    <row r="66" spans="1:108" ht="12.75" customHeight="1" x14ac:dyDescent="0.2">
      <c r="A66" s="2181">
        <v>66</v>
      </c>
      <c r="B66" s="1856" t="s">
        <v>8789</v>
      </c>
      <c r="C66" s="1857"/>
      <c r="E66" s="1861">
        <v>29</v>
      </c>
      <c r="F66" s="754" t="s">
        <v>2301</v>
      </c>
      <c r="G66" s="2845"/>
      <c r="H66" s="1971">
        <v>30</v>
      </c>
      <c r="I66" s="2846"/>
      <c r="J66" s="750"/>
      <c r="K66" s="750"/>
      <c r="L66" s="2845"/>
      <c r="M66" s="750"/>
      <c r="N66" s="2293"/>
      <c r="O66" s="750"/>
      <c r="P66" s="750"/>
      <c r="Q66" s="2845"/>
      <c r="R66" s="2846"/>
      <c r="S66" s="750"/>
      <c r="T66" s="2845">
        <v>40</v>
      </c>
      <c r="U66" s="2846">
        <v>40</v>
      </c>
      <c r="V66" s="750"/>
      <c r="W66" s="750"/>
      <c r="X66" s="2845"/>
      <c r="Y66" s="750">
        <v>40</v>
      </c>
      <c r="Z66" s="2846"/>
      <c r="AA66" s="750"/>
      <c r="AB66" s="750">
        <v>20</v>
      </c>
      <c r="AC66" s="2845"/>
      <c r="AD66" s="2846"/>
      <c r="AE66" s="750"/>
      <c r="AF66" s="750"/>
      <c r="AG66" s="750"/>
      <c r="AH66" s="2845"/>
      <c r="AI66" s="750"/>
      <c r="AJ66" s="2846"/>
      <c r="AK66" s="750"/>
      <c r="AL66" s="750"/>
      <c r="AM66" s="750"/>
      <c r="AN66" s="750">
        <v>20</v>
      </c>
      <c r="AO66" s="2845"/>
      <c r="AP66" s="750">
        <v>20</v>
      </c>
      <c r="AQ66" s="2846"/>
      <c r="AR66" s="750"/>
      <c r="AS66" s="750">
        <v>30</v>
      </c>
      <c r="AT66" s="2845"/>
      <c r="AU66" s="750">
        <v>20</v>
      </c>
      <c r="AV66" s="2846"/>
      <c r="AW66" s="750"/>
      <c r="AX66" s="750">
        <v>20</v>
      </c>
      <c r="AY66" s="2845"/>
      <c r="AZ66" s="2846"/>
      <c r="BA66" s="750"/>
      <c r="BB66" s="750"/>
      <c r="BC66" s="2845"/>
      <c r="BD66" s="2846">
        <v>30</v>
      </c>
      <c r="BE66" s="750">
        <v>10</v>
      </c>
      <c r="BF66" s="750"/>
      <c r="BG66" s="737"/>
      <c r="BH66" s="2845"/>
      <c r="BI66" s="2846"/>
      <c r="BJ66" s="750"/>
      <c r="BK66" s="750"/>
      <c r="BL66" s="737"/>
      <c r="BM66" s="750"/>
      <c r="BN66" s="750"/>
      <c r="BO66" s="2845"/>
      <c r="BP66" s="750"/>
      <c r="BQ66" s="2846"/>
      <c r="BR66" s="750"/>
      <c r="BS66" s="750"/>
      <c r="BT66" s="2845"/>
      <c r="BU66" s="750"/>
      <c r="BV66" s="750">
        <v>30</v>
      </c>
      <c r="BW66" s="2846"/>
      <c r="BX66" s="750"/>
      <c r="BY66" s="750"/>
      <c r="BZ66" s="750">
        <v>20</v>
      </c>
      <c r="CA66" s="2845"/>
      <c r="CB66" s="750">
        <v>20</v>
      </c>
      <c r="CC66" s="2846"/>
      <c r="CD66" s="750"/>
      <c r="CE66" s="750">
        <v>20</v>
      </c>
      <c r="CF66" s="2845"/>
      <c r="CG66" s="750"/>
      <c r="CH66" s="2846"/>
      <c r="CI66" s="750"/>
      <c r="CJ66" s="750"/>
      <c r="CK66" s="750">
        <v>20</v>
      </c>
      <c r="CL66" s="750"/>
      <c r="CM66" s="2845"/>
      <c r="CN66" s="2846">
        <v>20</v>
      </c>
      <c r="CO66" s="750"/>
      <c r="CP66" s="750"/>
      <c r="CQ66" s="2845"/>
      <c r="CR66" s="750">
        <v>30</v>
      </c>
      <c r="CS66" s="2846"/>
      <c r="CT66" s="750"/>
      <c r="CU66" s="750"/>
      <c r="CV66" s="2845"/>
      <c r="CW66" s="750">
        <v>20</v>
      </c>
      <c r="CX66" s="2846"/>
      <c r="CY66" s="750"/>
      <c r="CZ66" s="2845"/>
      <c r="DA66" s="750">
        <v>30</v>
      </c>
      <c r="DB66" s="2846"/>
      <c r="DC66" s="750"/>
      <c r="DD66" s="1885">
        <v>20</v>
      </c>
    </row>
    <row r="67" spans="1:108" ht="12.75" customHeight="1" x14ac:dyDescent="0.2">
      <c r="A67" s="2181">
        <v>67</v>
      </c>
      <c r="B67" s="1856" t="s">
        <v>8789</v>
      </c>
      <c r="C67" s="1857"/>
      <c r="E67" s="1861">
        <v>30</v>
      </c>
      <c r="F67" s="754" t="s">
        <v>2302</v>
      </c>
      <c r="G67" s="2845"/>
      <c r="H67" s="1971"/>
      <c r="I67" s="2846"/>
      <c r="J67" s="750"/>
      <c r="K67" s="750"/>
      <c r="L67" s="2845"/>
      <c r="M67" s="750"/>
      <c r="N67" s="2293"/>
      <c r="O67" s="750"/>
      <c r="P67" s="750"/>
      <c r="Q67" s="2845"/>
      <c r="R67" s="2846"/>
      <c r="S67" s="750"/>
      <c r="T67" s="2845"/>
      <c r="U67" s="2846"/>
      <c r="V67" s="750"/>
      <c r="W67" s="750"/>
      <c r="X67" s="2845"/>
      <c r="Y67" s="750"/>
      <c r="Z67" s="2846"/>
      <c r="AA67" s="750"/>
      <c r="AB67" s="750"/>
      <c r="AC67" s="2845"/>
      <c r="AD67" s="2846"/>
      <c r="AE67" s="750"/>
      <c r="AF67" s="750"/>
      <c r="AG67" s="750"/>
      <c r="AH67" s="2845"/>
      <c r="AI67" s="750"/>
      <c r="AJ67" s="2846"/>
      <c r="AK67" s="750"/>
      <c r="AL67" s="750"/>
      <c r="AM67" s="750"/>
      <c r="AN67" s="750"/>
      <c r="AO67" s="2845"/>
      <c r="AP67" s="750"/>
      <c r="AQ67" s="2846"/>
      <c r="AR67" s="750"/>
      <c r="AS67" s="750"/>
      <c r="AT67" s="2845"/>
      <c r="AU67" s="750"/>
      <c r="AV67" s="2846"/>
      <c r="AW67" s="750"/>
      <c r="AX67" s="750"/>
      <c r="AY67" s="2845"/>
      <c r="AZ67" s="2846"/>
      <c r="BA67" s="750"/>
      <c r="BB67" s="750"/>
      <c r="BC67" s="2845"/>
      <c r="BD67" s="2846"/>
      <c r="BE67" s="750"/>
      <c r="BF67" s="750"/>
      <c r="BG67" s="737"/>
      <c r="BH67" s="2845"/>
      <c r="BI67" s="2846"/>
      <c r="BJ67" s="750"/>
      <c r="BK67" s="750"/>
      <c r="BL67" s="737"/>
      <c r="BM67" s="750"/>
      <c r="BN67" s="750"/>
      <c r="BO67" s="2845"/>
      <c r="BP67" s="750"/>
      <c r="BQ67" s="2846"/>
      <c r="BR67" s="750"/>
      <c r="BS67" s="750"/>
      <c r="BT67" s="2845"/>
      <c r="BU67" s="750"/>
      <c r="BV67" s="750"/>
      <c r="BW67" s="2846"/>
      <c r="BX67" s="750"/>
      <c r="BY67" s="750"/>
      <c r="BZ67" s="750"/>
      <c r="CA67" s="2845"/>
      <c r="CB67" s="750"/>
      <c r="CC67" s="2846"/>
      <c r="CD67" s="750"/>
      <c r="CE67" s="750"/>
      <c r="CF67" s="2845"/>
      <c r="CG67" s="750"/>
      <c r="CH67" s="2846"/>
      <c r="CI67" s="750"/>
      <c r="CJ67" s="750"/>
      <c r="CK67" s="750"/>
      <c r="CL67" s="750"/>
      <c r="CM67" s="2845"/>
      <c r="CN67" s="2846"/>
      <c r="CO67" s="750"/>
      <c r="CP67" s="750"/>
      <c r="CQ67" s="2845"/>
      <c r="CR67" s="750"/>
      <c r="CS67" s="2846"/>
      <c r="CT67" s="750"/>
      <c r="CU67" s="750"/>
      <c r="CV67" s="2845"/>
      <c r="CW67" s="750"/>
      <c r="CX67" s="2846"/>
      <c r="CY67" s="750"/>
      <c r="CZ67" s="2845"/>
      <c r="DA67" s="750"/>
      <c r="DB67" s="2846"/>
      <c r="DC67" s="750"/>
      <c r="DD67" s="1885"/>
    </row>
    <row r="68" spans="1:108" ht="12.75" customHeight="1" x14ac:dyDescent="0.2">
      <c r="A68" s="2181">
        <v>68</v>
      </c>
      <c r="B68" s="1856" t="s">
        <v>8790</v>
      </c>
      <c r="C68" s="1857"/>
      <c r="E68" s="1861">
        <v>31</v>
      </c>
      <c r="F68" s="754" t="s">
        <v>2304</v>
      </c>
      <c r="G68" s="2845"/>
      <c r="H68" s="1971"/>
      <c r="I68" s="2846"/>
      <c r="J68" s="750"/>
      <c r="K68" s="750"/>
      <c r="L68" s="2845"/>
      <c r="M68" s="750"/>
      <c r="N68" s="2293"/>
      <c r="O68" s="750">
        <v>20</v>
      </c>
      <c r="P68" s="750">
        <v>20</v>
      </c>
      <c r="Q68" s="2845"/>
      <c r="R68" s="2846"/>
      <c r="S68" s="750"/>
      <c r="T68" s="2845"/>
      <c r="U68" s="2846"/>
      <c r="V68" s="750"/>
      <c r="W68" s="750"/>
      <c r="X68" s="2845">
        <v>20</v>
      </c>
      <c r="Y68" s="750">
        <v>20</v>
      </c>
      <c r="Z68" s="2846">
        <v>20</v>
      </c>
      <c r="AA68" s="750"/>
      <c r="AB68" s="750">
        <v>20</v>
      </c>
      <c r="AC68" s="2845">
        <v>20</v>
      </c>
      <c r="AD68" s="2846">
        <v>20</v>
      </c>
      <c r="AE68" s="750"/>
      <c r="AF68" s="750"/>
      <c r="AG68" s="750"/>
      <c r="AH68" s="2845">
        <v>20</v>
      </c>
      <c r="AI68" s="750">
        <v>20</v>
      </c>
      <c r="AJ68" s="2846">
        <v>20</v>
      </c>
      <c r="AK68" s="750"/>
      <c r="AL68" s="750"/>
      <c r="AM68" s="750"/>
      <c r="AN68" s="750"/>
      <c r="AO68" s="2845">
        <v>20</v>
      </c>
      <c r="AP68" s="750"/>
      <c r="AQ68" s="2846">
        <v>20</v>
      </c>
      <c r="AR68" s="750"/>
      <c r="AS68" s="750"/>
      <c r="AT68" s="2845"/>
      <c r="AU68" s="750"/>
      <c r="AV68" s="2846"/>
      <c r="AW68" s="750"/>
      <c r="AX68" s="750"/>
      <c r="AY68" s="2845"/>
      <c r="AZ68" s="2846"/>
      <c r="BA68" s="750"/>
      <c r="BB68" s="750">
        <v>10</v>
      </c>
      <c r="BC68" s="2845"/>
      <c r="BD68" s="2846"/>
      <c r="BE68" s="750"/>
      <c r="BF68" s="750"/>
      <c r="BG68" s="737"/>
      <c r="BH68" s="2845"/>
      <c r="BI68" s="2846"/>
      <c r="BJ68" s="750"/>
      <c r="BK68" s="750"/>
      <c r="BL68" s="737"/>
      <c r="BM68" s="750"/>
      <c r="BN68" s="750">
        <v>20</v>
      </c>
      <c r="BO68" s="2845"/>
      <c r="BP68" s="750"/>
      <c r="BQ68" s="2846">
        <v>20</v>
      </c>
      <c r="BR68" s="750"/>
      <c r="BS68" s="750"/>
      <c r="BT68" s="2845"/>
      <c r="BU68" s="750"/>
      <c r="BV68" s="750"/>
      <c r="BW68" s="2846"/>
      <c r="BX68" s="750">
        <v>20</v>
      </c>
      <c r="BY68" s="750"/>
      <c r="BZ68" s="750">
        <v>20</v>
      </c>
      <c r="CA68" s="2845"/>
      <c r="CB68" s="750"/>
      <c r="CC68" s="2846"/>
      <c r="CD68" s="750"/>
      <c r="CE68" s="750"/>
      <c r="CF68" s="2845"/>
      <c r="CG68" s="750">
        <v>20</v>
      </c>
      <c r="CH68" s="2846"/>
      <c r="CI68" s="750">
        <v>30</v>
      </c>
      <c r="CJ68" s="750">
        <v>20</v>
      </c>
      <c r="CK68" s="750">
        <v>20</v>
      </c>
      <c r="CL68" s="750">
        <v>20</v>
      </c>
      <c r="CM68" s="2845"/>
      <c r="CN68" s="2846"/>
      <c r="CO68" s="750"/>
      <c r="CP68" s="750"/>
      <c r="CQ68" s="2845"/>
      <c r="CR68" s="750"/>
      <c r="CS68" s="2846"/>
      <c r="CT68" s="750"/>
      <c r="CU68" s="750"/>
      <c r="CV68" s="2845"/>
      <c r="CW68" s="750"/>
      <c r="CX68" s="2846">
        <v>30</v>
      </c>
      <c r="CY68" s="750">
        <v>20</v>
      </c>
      <c r="CZ68" s="2845"/>
      <c r="DA68" s="750"/>
      <c r="DB68" s="2846"/>
      <c r="DC68" s="750">
        <v>30</v>
      </c>
      <c r="DD68" s="1885">
        <v>30</v>
      </c>
    </row>
    <row r="69" spans="1:108" ht="12.75" customHeight="1" x14ac:dyDescent="0.2">
      <c r="A69" s="2181">
        <v>69</v>
      </c>
      <c r="B69" s="1856" t="s">
        <v>8791</v>
      </c>
      <c r="C69" s="1857"/>
      <c r="E69" s="1861">
        <v>32</v>
      </c>
      <c r="F69" s="754" t="s">
        <v>2305</v>
      </c>
      <c r="G69" s="2845"/>
      <c r="H69" s="1971"/>
      <c r="I69" s="2846"/>
      <c r="J69" s="750"/>
      <c r="K69" s="750"/>
      <c r="L69" s="2845"/>
      <c r="M69" s="750"/>
      <c r="N69" s="2293"/>
      <c r="O69" s="750">
        <v>20</v>
      </c>
      <c r="P69" s="750"/>
      <c r="Q69" s="2845"/>
      <c r="R69" s="2846"/>
      <c r="S69" s="750"/>
      <c r="T69" s="2845"/>
      <c r="U69" s="2846"/>
      <c r="V69" s="750"/>
      <c r="W69" s="750"/>
      <c r="X69" s="2845"/>
      <c r="Y69" s="750"/>
      <c r="Z69" s="2846"/>
      <c r="AA69" s="750"/>
      <c r="AB69" s="750"/>
      <c r="AC69" s="2845">
        <v>20</v>
      </c>
      <c r="AD69" s="2846"/>
      <c r="AE69" s="750"/>
      <c r="AF69" s="750">
        <v>30</v>
      </c>
      <c r="AG69" s="750"/>
      <c r="AH69" s="2845">
        <v>20</v>
      </c>
      <c r="AI69" s="750"/>
      <c r="AJ69" s="2846"/>
      <c r="AK69" s="750"/>
      <c r="AL69" s="750">
        <v>20</v>
      </c>
      <c r="AM69" s="750"/>
      <c r="AN69" s="750"/>
      <c r="AO69" s="2845"/>
      <c r="AP69" s="750"/>
      <c r="AQ69" s="2846"/>
      <c r="AR69" s="750"/>
      <c r="AS69" s="750"/>
      <c r="AT69" s="2845">
        <v>20</v>
      </c>
      <c r="AU69" s="750"/>
      <c r="AV69" s="2846"/>
      <c r="AW69" s="750">
        <v>10</v>
      </c>
      <c r="AX69" s="750"/>
      <c r="AY69" s="2845"/>
      <c r="AZ69" s="2846"/>
      <c r="BA69" s="750"/>
      <c r="BB69" s="750"/>
      <c r="BC69" s="2845"/>
      <c r="BD69" s="2846"/>
      <c r="BE69" s="750"/>
      <c r="BF69" s="750"/>
      <c r="BG69" s="737"/>
      <c r="BH69" s="2845"/>
      <c r="BI69" s="2846"/>
      <c r="BJ69" s="750"/>
      <c r="BK69" s="750"/>
      <c r="BL69" s="737"/>
      <c r="BM69" s="750"/>
      <c r="BN69" s="750">
        <v>20</v>
      </c>
      <c r="BO69" s="2845">
        <v>20</v>
      </c>
      <c r="BP69" s="750"/>
      <c r="BQ69" s="2846"/>
      <c r="BR69" s="750"/>
      <c r="BS69" s="750"/>
      <c r="BT69" s="2845"/>
      <c r="BU69" s="750"/>
      <c r="BV69" s="750"/>
      <c r="BW69" s="2846"/>
      <c r="BX69" s="750">
        <v>20</v>
      </c>
      <c r="BY69" s="750"/>
      <c r="BZ69" s="750"/>
      <c r="CA69" s="2845"/>
      <c r="CB69" s="750"/>
      <c r="CC69" s="2846"/>
      <c r="CD69" s="750"/>
      <c r="CE69" s="750"/>
      <c r="CF69" s="2845"/>
      <c r="CG69" s="750"/>
      <c r="CH69" s="2846"/>
      <c r="CI69" s="750"/>
      <c r="CJ69" s="750"/>
      <c r="CK69" s="750"/>
      <c r="CL69" s="750"/>
      <c r="CM69" s="2845"/>
      <c r="CN69" s="2846"/>
      <c r="CO69" s="750"/>
      <c r="CP69" s="750"/>
      <c r="CQ69" s="2845"/>
      <c r="CR69" s="750"/>
      <c r="CS69" s="2846"/>
      <c r="CT69" s="750"/>
      <c r="CU69" s="750"/>
      <c r="CV69" s="2845"/>
      <c r="CW69" s="750"/>
      <c r="CX69" s="2846"/>
      <c r="CY69" s="750"/>
      <c r="CZ69" s="2845"/>
      <c r="DA69" s="750"/>
      <c r="DB69" s="2846"/>
      <c r="DC69" s="750"/>
      <c r="DD69" s="1885"/>
    </row>
    <row r="70" spans="1:108" ht="12.75" customHeight="1" x14ac:dyDescent="0.2">
      <c r="A70" s="2180">
        <v>70</v>
      </c>
      <c r="B70" s="1856" t="s">
        <v>8865</v>
      </c>
      <c r="C70" s="1857"/>
      <c r="E70" s="1861">
        <v>33</v>
      </c>
      <c r="F70" s="754" t="s">
        <v>2308</v>
      </c>
      <c r="G70" s="2845"/>
      <c r="H70" s="1971"/>
      <c r="I70" s="2846"/>
      <c r="J70" s="750"/>
      <c r="K70" s="750"/>
      <c r="L70" s="2845"/>
      <c r="M70" s="750"/>
      <c r="N70" s="2293"/>
      <c r="O70" s="750"/>
      <c r="P70" s="750"/>
      <c r="Q70" s="2845"/>
      <c r="R70" s="2846"/>
      <c r="S70" s="750"/>
      <c r="T70" s="2845"/>
      <c r="U70" s="2846"/>
      <c r="V70" s="750"/>
      <c r="W70" s="750"/>
      <c r="X70" s="2845"/>
      <c r="Y70" s="750"/>
      <c r="Z70" s="2846"/>
      <c r="AA70" s="750"/>
      <c r="AB70" s="750"/>
      <c r="AC70" s="2845"/>
      <c r="AD70" s="2846"/>
      <c r="AE70" s="750"/>
      <c r="AF70" s="750"/>
      <c r="AG70" s="750"/>
      <c r="AH70" s="2845">
        <v>20</v>
      </c>
      <c r="AI70" s="750">
        <v>20</v>
      </c>
      <c r="AJ70" s="2846">
        <v>20</v>
      </c>
      <c r="AK70" s="750"/>
      <c r="AL70" s="750"/>
      <c r="AM70" s="750">
        <v>20</v>
      </c>
      <c r="AN70" s="750"/>
      <c r="AO70" s="2845"/>
      <c r="AP70" s="750"/>
      <c r="AQ70" s="2846"/>
      <c r="AR70" s="750"/>
      <c r="AS70" s="750"/>
      <c r="AT70" s="2845"/>
      <c r="AU70" s="750"/>
      <c r="AV70" s="2846"/>
      <c r="AW70" s="750"/>
      <c r="AX70" s="750"/>
      <c r="AY70" s="2845"/>
      <c r="AZ70" s="2846"/>
      <c r="BA70" s="750">
        <v>20</v>
      </c>
      <c r="BB70" s="750"/>
      <c r="BC70" s="2845"/>
      <c r="BD70" s="2846"/>
      <c r="BE70" s="750"/>
      <c r="BF70" s="750"/>
      <c r="BG70" s="737"/>
      <c r="BH70" s="2845"/>
      <c r="BI70" s="2846"/>
      <c r="BJ70" s="750"/>
      <c r="BK70" s="750"/>
      <c r="BL70" s="737"/>
      <c r="BM70" s="750"/>
      <c r="BN70" s="750">
        <v>20</v>
      </c>
      <c r="BO70" s="2845"/>
      <c r="BP70" s="750"/>
      <c r="BQ70" s="2846"/>
      <c r="BR70" s="750"/>
      <c r="BS70" s="750"/>
      <c r="BT70" s="2845"/>
      <c r="BU70" s="750"/>
      <c r="BV70" s="750"/>
      <c r="BW70" s="2846"/>
      <c r="BX70" s="750">
        <v>20</v>
      </c>
      <c r="BY70" s="750"/>
      <c r="BZ70" s="750"/>
      <c r="CA70" s="2845"/>
      <c r="CB70" s="750"/>
      <c r="CC70" s="2846"/>
      <c r="CD70" s="750"/>
      <c r="CE70" s="750"/>
      <c r="CF70" s="2845"/>
      <c r="CG70" s="750"/>
      <c r="CH70" s="2846"/>
      <c r="CI70" s="750"/>
      <c r="CJ70" s="750"/>
      <c r="CK70" s="750"/>
      <c r="CL70" s="750"/>
      <c r="CM70" s="2845"/>
      <c r="CN70" s="2846"/>
      <c r="CO70" s="750"/>
      <c r="CP70" s="750"/>
      <c r="CQ70" s="2845"/>
      <c r="CR70" s="750"/>
      <c r="CS70" s="2846"/>
      <c r="CT70" s="750"/>
      <c r="CU70" s="750"/>
      <c r="CV70" s="2845"/>
      <c r="CW70" s="750"/>
      <c r="CX70" s="2846"/>
      <c r="CY70" s="750"/>
      <c r="CZ70" s="2845"/>
      <c r="DA70" s="750"/>
      <c r="DB70" s="2846"/>
      <c r="DC70" s="750"/>
      <c r="DD70" s="1885"/>
    </row>
    <row r="71" spans="1:108" ht="12.75" customHeight="1" x14ac:dyDescent="0.2">
      <c r="A71" s="2180">
        <v>71</v>
      </c>
      <c r="B71" s="1856" t="s">
        <v>8829</v>
      </c>
      <c r="C71" s="1857"/>
      <c r="E71" s="1861">
        <v>34</v>
      </c>
      <c r="F71" s="754" t="s">
        <v>2312</v>
      </c>
      <c r="G71" s="2845"/>
      <c r="H71" s="1971"/>
      <c r="I71" s="2846"/>
      <c r="J71" s="750"/>
      <c r="K71" s="750"/>
      <c r="L71" s="2845"/>
      <c r="M71" s="750"/>
      <c r="N71" s="2293"/>
      <c r="O71" s="750"/>
      <c r="P71" s="750"/>
      <c r="Q71" s="2845"/>
      <c r="R71" s="2846"/>
      <c r="S71" s="750"/>
      <c r="T71" s="2845"/>
      <c r="U71" s="2846"/>
      <c r="V71" s="750"/>
      <c r="W71" s="750"/>
      <c r="X71" s="2845"/>
      <c r="Y71" s="750"/>
      <c r="Z71" s="2846"/>
      <c r="AA71" s="750"/>
      <c r="AB71" s="750"/>
      <c r="AC71" s="2845"/>
      <c r="AD71" s="2846"/>
      <c r="AE71" s="750"/>
      <c r="AF71" s="750"/>
      <c r="AG71" s="750"/>
      <c r="AH71" s="2845"/>
      <c r="AI71" s="750"/>
      <c r="AJ71" s="2846"/>
      <c r="AK71" s="750"/>
      <c r="AL71" s="750"/>
      <c r="AM71" s="750"/>
      <c r="AN71" s="750"/>
      <c r="AO71" s="2845"/>
      <c r="AP71" s="750"/>
      <c r="AQ71" s="2846"/>
      <c r="AR71" s="750"/>
      <c r="AS71" s="750"/>
      <c r="AT71" s="2845"/>
      <c r="AU71" s="750"/>
      <c r="AV71" s="2846"/>
      <c r="AW71" s="750"/>
      <c r="AX71" s="750"/>
      <c r="AY71" s="2845"/>
      <c r="AZ71" s="2846"/>
      <c r="BA71" s="750"/>
      <c r="BB71" s="750"/>
      <c r="BC71" s="2845"/>
      <c r="BD71" s="2846"/>
      <c r="BE71" s="750"/>
      <c r="BF71" s="750"/>
      <c r="BG71" s="737"/>
      <c r="BH71" s="2845"/>
      <c r="BI71" s="2846"/>
      <c r="BJ71" s="750"/>
      <c r="BK71" s="750"/>
      <c r="BL71" s="737"/>
      <c r="BM71" s="750"/>
      <c r="BN71" s="750"/>
      <c r="BO71" s="2845"/>
      <c r="BP71" s="750"/>
      <c r="BQ71" s="2846"/>
      <c r="BR71" s="750"/>
      <c r="BS71" s="750"/>
      <c r="BT71" s="2845"/>
      <c r="BU71" s="750"/>
      <c r="BV71" s="750"/>
      <c r="BW71" s="2846"/>
      <c r="BX71" s="750"/>
      <c r="BY71" s="750"/>
      <c r="BZ71" s="750"/>
      <c r="CA71" s="2845"/>
      <c r="CB71" s="750"/>
      <c r="CC71" s="2846"/>
      <c r="CD71" s="750"/>
      <c r="CE71" s="750"/>
      <c r="CF71" s="2845"/>
      <c r="CG71" s="750"/>
      <c r="CH71" s="2846"/>
      <c r="CI71" s="750"/>
      <c r="CJ71" s="750"/>
      <c r="CK71" s="750"/>
      <c r="CL71" s="750"/>
      <c r="CM71" s="2845"/>
      <c r="CN71" s="2846"/>
      <c r="CO71" s="750"/>
      <c r="CP71" s="750"/>
      <c r="CQ71" s="2845"/>
      <c r="CR71" s="750"/>
      <c r="CS71" s="2846"/>
      <c r="CT71" s="750"/>
      <c r="CU71" s="750"/>
      <c r="CV71" s="2845"/>
      <c r="CW71" s="750"/>
      <c r="CX71" s="2846"/>
      <c r="CY71" s="750"/>
      <c r="CZ71" s="2845"/>
      <c r="DA71" s="750"/>
      <c r="DB71" s="2846"/>
      <c r="DC71" s="750"/>
      <c r="DD71" s="1885"/>
    </row>
    <row r="72" spans="1:108" ht="12.75" customHeight="1" x14ac:dyDescent="0.2">
      <c r="A72" s="2180">
        <v>72</v>
      </c>
      <c r="B72" s="1856" t="s">
        <v>8830</v>
      </c>
      <c r="C72" s="1857"/>
      <c r="E72" s="1861">
        <v>35</v>
      </c>
      <c r="F72" s="754" t="s">
        <v>2314</v>
      </c>
      <c r="G72" s="2845"/>
      <c r="H72" s="1971"/>
      <c r="I72" s="2846"/>
      <c r="J72" s="750"/>
      <c r="K72" s="750"/>
      <c r="L72" s="2845"/>
      <c r="M72" s="750"/>
      <c r="N72" s="2293"/>
      <c r="O72" s="750"/>
      <c r="P72" s="750"/>
      <c r="Q72" s="2845"/>
      <c r="R72" s="2846"/>
      <c r="S72" s="750"/>
      <c r="T72" s="2845"/>
      <c r="U72" s="2846"/>
      <c r="V72" s="750"/>
      <c r="W72" s="750"/>
      <c r="X72" s="2845"/>
      <c r="Y72" s="750"/>
      <c r="Z72" s="2846"/>
      <c r="AA72" s="750"/>
      <c r="AB72" s="750"/>
      <c r="AC72" s="2845"/>
      <c r="AD72" s="2846"/>
      <c r="AE72" s="750"/>
      <c r="AF72" s="750"/>
      <c r="AG72" s="750"/>
      <c r="AH72" s="2845"/>
      <c r="AI72" s="750"/>
      <c r="AJ72" s="2846"/>
      <c r="AK72" s="750"/>
      <c r="AL72" s="750"/>
      <c r="AM72" s="750"/>
      <c r="AN72" s="750"/>
      <c r="AO72" s="2845"/>
      <c r="AP72" s="750"/>
      <c r="AQ72" s="2846"/>
      <c r="AR72" s="750"/>
      <c r="AS72" s="750"/>
      <c r="AT72" s="2845"/>
      <c r="AU72" s="750"/>
      <c r="AV72" s="2846"/>
      <c r="AW72" s="750"/>
      <c r="AX72" s="750"/>
      <c r="AY72" s="2845"/>
      <c r="AZ72" s="2846"/>
      <c r="BA72" s="750"/>
      <c r="BB72" s="750"/>
      <c r="BC72" s="2845"/>
      <c r="BD72" s="2846"/>
      <c r="BE72" s="750"/>
      <c r="BF72" s="750"/>
      <c r="BG72" s="737"/>
      <c r="BH72" s="2845"/>
      <c r="BI72" s="2846"/>
      <c r="BJ72" s="750"/>
      <c r="BK72" s="750"/>
      <c r="BL72" s="737"/>
      <c r="BM72" s="750"/>
      <c r="BN72" s="750"/>
      <c r="BO72" s="2845"/>
      <c r="BP72" s="750"/>
      <c r="BQ72" s="2846"/>
      <c r="BR72" s="750"/>
      <c r="BS72" s="750"/>
      <c r="BT72" s="2845"/>
      <c r="BU72" s="750"/>
      <c r="BV72" s="750"/>
      <c r="BW72" s="2846"/>
      <c r="BX72" s="750"/>
      <c r="BY72" s="750"/>
      <c r="BZ72" s="750"/>
      <c r="CA72" s="2845"/>
      <c r="CB72" s="750"/>
      <c r="CC72" s="2846"/>
      <c r="CD72" s="750"/>
      <c r="CE72" s="750"/>
      <c r="CF72" s="2845"/>
      <c r="CG72" s="750"/>
      <c r="CH72" s="2846"/>
      <c r="CI72" s="750"/>
      <c r="CJ72" s="750"/>
      <c r="CK72" s="750"/>
      <c r="CL72" s="750"/>
      <c r="CM72" s="2845"/>
      <c r="CN72" s="2846"/>
      <c r="CO72" s="750"/>
      <c r="CP72" s="750"/>
      <c r="CQ72" s="2845"/>
      <c r="CR72" s="750"/>
      <c r="CS72" s="2846"/>
      <c r="CT72" s="750"/>
      <c r="CU72" s="750"/>
      <c r="CV72" s="2845"/>
      <c r="CW72" s="750"/>
      <c r="CX72" s="2846"/>
      <c r="CY72" s="750"/>
      <c r="CZ72" s="2845"/>
      <c r="DA72" s="750"/>
      <c r="DB72" s="2846"/>
      <c r="DC72" s="750"/>
      <c r="DD72" s="1885"/>
    </row>
    <row r="73" spans="1:108" ht="12.75" customHeight="1" x14ac:dyDescent="0.2">
      <c r="A73" s="2181">
        <v>73</v>
      </c>
      <c r="B73" s="1860" t="s">
        <v>8866</v>
      </c>
      <c r="C73" s="1857"/>
      <c r="E73" s="1861">
        <v>36</v>
      </c>
      <c r="F73" s="754" t="s">
        <v>2316</v>
      </c>
      <c r="G73" s="2845"/>
      <c r="H73" s="1971"/>
      <c r="I73" s="2846"/>
      <c r="J73" s="750"/>
      <c r="K73" s="750"/>
      <c r="L73" s="2845"/>
      <c r="M73" s="750"/>
      <c r="N73" s="2293"/>
      <c r="O73" s="750"/>
      <c r="P73" s="750"/>
      <c r="Q73" s="2845"/>
      <c r="R73" s="2846"/>
      <c r="S73" s="750"/>
      <c r="T73" s="2845"/>
      <c r="U73" s="2846"/>
      <c r="V73" s="750"/>
      <c r="W73" s="750"/>
      <c r="X73" s="2845"/>
      <c r="Y73" s="750"/>
      <c r="Z73" s="2846"/>
      <c r="AA73" s="750">
        <v>20</v>
      </c>
      <c r="AB73" s="750"/>
      <c r="AC73" s="2845"/>
      <c r="AD73" s="2846"/>
      <c r="AE73" s="750">
        <v>20</v>
      </c>
      <c r="AF73" s="750"/>
      <c r="AG73" s="750"/>
      <c r="AH73" s="2845"/>
      <c r="AI73" s="750"/>
      <c r="AJ73" s="2846"/>
      <c r="AK73" s="750"/>
      <c r="AL73" s="750"/>
      <c r="AM73" s="750">
        <v>20</v>
      </c>
      <c r="AN73" s="750"/>
      <c r="AO73" s="2845"/>
      <c r="AP73" s="750"/>
      <c r="AQ73" s="2846"/>
      <c r="AR73" s="750">
        <v>20</v>
      </c>
      <c r="AS73" s="750"/>
      <c r="AT73" s="2845"/>
      <c r="AU73" s="750"/>
      <c r="AV73" s="2846"/>
      <c r="AW73" s="750"/>
      <c r="AX73" s="750"/>
      <c r="AY73" s="2845"/>
      <c r="AZ73" s="2846"/>
      <c r="BA73" s="750"/>
      <c r="BB73" s="750"/>
      <c r="BC73" s="2845"/>
      <c r="BD73" s="2846"/>
      <c r="BE73" s="750"/>
      <c r="BF73" s="750"/>
      <c r="BG73" s="737">
        <v>10</v>
      </c>
      <c r="BH73" s="2845">
        <v>20</v>
      </c>
      <c r="BI73" s="2846">
        <v>10</v>
      </c>
      <c r="BJ73" s="750"/>
      <c r="BK73" s="750"/>
      <c r="BL73" s="737">
        <v>10</v>
      </c>
      <c r="BM73" s="750"/>
      <c r="BN73" s="750"/>
      <c r="BO73" s="2845"/>
      <c r="BP73" s="750"/>
      <c r="BQ73" s="2846"/>
      <c r="BR73" s="750"/>
      <c r="BS73" s="750"/>
      <c r="BT73" s="2845"/>
      <c r="BU73" s="750"/>
      <c r="BV73" s="750"/>
      <c r="BW73" s="2846"/>
      <c r="BX73" s="750"/>
      <c r="BY73" s="750"/>
      <c r="BZ73" s="750"/>
      <c r="CA73" s="2845"/>
      <c r="CB73" s="750"/>
      <c r="CC73" s="2846"/>
      <c r="CD73" s="750"/>
      <c r="CE73" s="750"/>
      <c r="CF73" s="2845"/>
      <c r="CG73" s="750"/>
      <c r="CH73" s="2846"/>
      <c r="CI73" s="750"/>
      <c r="CJ73" s="750"/>
      <c r="CK73" s="750"/>
      <c r="CL73" s="750"/>
      <c r="CM73" s="2845"/>
      <c r="CN73" s="2846"/>
      <c r="CO73" s="750">
        <v>20</v>
      </c>
      <c r="CP73" s="750">
        <v>20</v>
      </c>
      <c r="CQ73" s="2845"/>
      <c r="CR73" s="750"/>
      <c r="CS73" s="2846"/>
      <c r="CT73" s="750">
        <v>20</v>
      </c>
      <c r="CU73" s="750">
        <v>20</v>
      </c>
      <c r="CV73" s="2845">
        <v>20</v>
      </c>
      <c r="CW73" s="750">
        <v>20</v>
      </c>
      <c r="CX73" s="2846"/>
      <c r="CY73" s="750">
        <v>20</v>
      </c>
      <c r="CZ73" s="2845"/>
      <c r="DA73" s="750"/>
      <c r="DB73" s="2846"/>
      <c r="DC73" s="750"/>
      <c r="DD73" s="1885"/>
    </row>
    <row r="74" spans="1:108" ht="12.75" customHeight="1" x14ac:dyDescent="0.2">
      <c r="A74" s="2181">
        <v>74</v>
      </c>
      <c r="B74" s="1856" t="s">
        <v>8792</v>
      </c>
      <c r="C74" s="1857"/>
      <c r="E74" s="1861">
        <v>37</v>
      </c>
      <c r="F74" s="754" t="s">
        <v>2318</v>
      </c>
      <c r="G74" s="2845"/>
      <c r="H74" s="1971"/>
      <c r="I74" s="2846"/>
      <c r="J74" s="750"/>
      <c r="K74" s="750"/>
      <c r="L74" s="2845"/>
      <c r="M74" s="750"/>
      <c r="N74" s="2293"/>
      <c r="O74" s="750"/>
      <c r="P74" s="750"/>
      <c r="Q74" s="2845"/>
      <c r="R74" s="2846"/>
      <c r="S74" s="750"/>
      <c r="T74" s="2845"/>
      <c r="U74" s="2846"/>
      <c r="V74" s="750"/>
      <c r="W74" s="750"/>
      <c r="X74" s="2845"/>
      <c r="Y74" s="750"/>
      <c r="Z74" s="2846"/>
      <c r="AA74" s="750">
        <v>20</v>
      </c>
      <c r="AB74" s="750"/>
      <c r="AC74" s="2845"/>
      <c r="AD74" s="2846"/>
      <c r="AE74" s="750"/>
      <c r="AF74" s="750"/>
      <c r="AG74" s="750"/>
      <c r="AH74" s="2845"/>
      <c r="AI74" s="750"/>
      <c r="AJ74" s="2846"/>
      <c r="AK74" s="750"/>
      <c r="AL74" s="750"/>
      <c r="AM74" s="750"/>
      <c r="AN74" s="750"/>
      <c r="AO74" s="2845"/>
      <c r="AP74" s="750"/>
      <c r="AQ74" s="2846"/>
      <c r="AR74" s="750">
        <v>20</v>
      </c>
      <c r="AS74" s="750">
        <v>10</v>
      </c>
      <c r="AT74" s="2845"/>
      <c r="AU74" s="750"/>
      <c r="AV74" s="2846"/>
      <c r="AW74" s="750"/>
      <c r="AX74" s="750"/>
      <c r="AY74" s="2845"/>
      <c r="AZ74" s="2846"/>
      <c r="BA74" s="750"/>
      <c r="BB74" s="750"/>
      <c r="BC74" s="2845"/>
      <c r="BD74" s="2846"/>
      <c r="BE74" s="750"/>
      <c r="BF74" s="750"/>
      <c r="BG74" s="737"/>
      <c r="BH74" s="2845"/>
      <c r="BI74" s="2846"/>
      <c r="BJ74" s="750"/>
      <c r="BK74" s="750"/>
      <c r="BL74" s="737"/>
      <c r="BM74" s="750"/>
      <c r="BN74" s="750"/>
      <c r="BO74" s="2845"/>
      <c r="BP74" s="750"/>
      <c r="BQ74" s="2846"/>
      <c r="BR74" s="750"/>
      <c r="BS74" s="750"/>
      <c r="BT74" s="2845"/>
      <c r="BU74" s="750"/>
      <c r="BV74" s="750"/>
      <c r="BW74" s="2846"/>
      <c r="BX74" s="750"/>
      <c r="BY74" s="750"/>
      <c r="BZ74" s="750"/>
      <c r="CA74" s="2845"/>
      <c r="CB74" s="750"/>
      <c r="CC74" s="2846"/>
      <c r="CD74" s="750"/>
      <c r="CE74" s="750"/>
      <c r="CF74" s="2845"/>
      <c r="CG74" s="750"/>
      <c r="CH74" s="2846"/>
      <c r="CI74" s="750"/>
      <c r="CJ74" s="750"/>
      <c r="CK74" s="750"/>
      <c r="CL74" s="750"/>
      <c r="CM74" s="2845"/>
      <c r="CN74" s="2846"/>
      <c r="CO74" s="750"/>
      <c r="CP74" s="750"/>
      <c r="CQ74" s="2845"/>
      <c r="CR74" s="750"/>
      <c r="CS74" s="2846"/>
      <c r="CT74" s="750"/>
      <c r="CU74" s="750"/>
      <c r="CV74" s="2845"/>
      <c r="CW74" s="750"/>
      <c r="CX74" s="2846"/>
      <c r="CY74" s="750"/>
      <c r="CZ74" s="2845"/>
      <c r="DA74" s="750"/>
      <c r="DB74" s="2846"/>
      <c r="DC74" s="750"/>
      <c r="DD74" s="1885"/>
    </row>
    <row r="75" spans="1:108" ht="12.75" customHeight="1" x14ac:dyDescent="0.2">
      <c r="A75" s="2181">
        <v>75</v>
      </c>
      <c r="B75" s="1856" t="s">
        <v>8793</v>
      </c>
      <c r="C75" s="1857"/>
      <c r="E75" s="1861">
        <v>38</v>
      </c>
      <c r="F75" s="754" t="s">
        <v>2320</v>
      </c>
      <c r="G75" s="2845"/>
      <c r="H75" s="1971"/>
      <c r="I75" s="2846"/>
      <c r="J75" s="750"/>
      <c r="K75" s="750"/>
      <c r="L75" s="2845"/>
      <c r="M75" s="750"/>
      <c r="N75" s="2293"/>
      <c r="O75" s="750"/>
      <c r="P75" s="750"/>
      <c r="Q75" s="2845">
        <v>20</v>
      </c>
      <c r="R75" s="2846"/>
      <c r="S75" s="750">
        <v>20</v>
      </c>
      <c r="T75" s="2845"/>
      <c r="U75" s="2846"/>
      <c r="V75" s="750"/>
      <c r="W75" s="750"/>
      <c r="X75" s="2845"/>
      <c r="Y75" s="750"/>
      <c r="Z75" s="2846"/>
      <c r="AA75" s="750">
        <v>20</v>
      </c>
      <c r="AB75" s="750"/>
      <c r="AC75" s="2845"/>
      <c r="AD75" s="2846"/>
      <c r="AE75" s="750"/>
      <c r="AF75" s="750"/>
      <c r="AG75" s="750"/>
      <c r="AH75" s="2845"/>
      <c r="AI75" s="750"/>
      <c r="AJ75" s="2846"/>
      <c r="AK75" s="750"/>
      <c r="AL75" s="750"/>
      <c r="AM75" s="750">
        <v>20</v>
      </c>
      <c r="AN75" s="750"/>
      <c r="AO75" s="2845"/>
      <c r="AP75" s="750"/>
      <c r="AQ75" s="2846"/>
      <c r="AR75" s="750">
        <v>10</v>
      </c>
      <c r="AS75" s="750"/>
      <c r="AT75" s="2845"/>
      <c r="AU75" s="750"/>
      <c r="AV75" s="2846"/>
      <c r="AW75" s="750"/>
      <c r="AX75" s="750"/>
      <c r="AY75" s="2845"/>
      <c r="AZ75" s="2846"/>
      <c r="BA75" s="750"/>
      <c r="BB75" s="750"/>
      <c r="BC75" s="2845">
        <v>20</v>
      </c>
      <c r="BD75" s="2846"/>
      <c r="BE75" s="750"/>
      <c r="BF75" s="750"/>
      <c r="BG75" s="737">
        <v>20</v>
      </c>
      <c r="BH75" s="2845">
        <v>20</v>
      </c>
      <c r="BI75" s="2846">
        <v>10</v>
      </c>
      <c r="BJ75" s="750"/>
      <c r="BK75" s="750"/>
      <c r="BL75" s="737">
        <v>20</v>
      </c>
      <c r="BM75" s="750"/>
      <c r="BN75" s="750"/>
      <c r="BO75" s="2845"/>
      <c r="BP75" s="750"/>
      <c r="BQ75" s="2846"/>
      <c r="BR75" s="750"/>
      <c r="BS75" s="750"/>
      <c r="BT75" s="2845"/>
      <c r="BU75" s="750"/>
      <c r="BV75" s="750"/>
      <c r="BW75" s="2846"/>
      <c r="BX75" s="750"/>
      <c r="BY75" s="750"/>
      <c r="BZ75" s="750"/>
      <c r="CA75" s="2845"/>
      <c r="CB75" s="750"/>
      <c r="CC75" s="2846"/>
      <c r="CD75" s="750">
        <v>20</v>
      </c>
      <c r="CE75" s="750"/>
      <c r="CF75" s="2845"/>
      <c r="CG75" s="750"/>
      <c r="CH75" s="2846"/>
      <c r="CI75" s="750">
        <v>20</v>
      </c>
      <c r="CJ75" s="750"/>
      <c r="CK75" s="750"/>
      <c r="CL75" s="750"/>
      <c r="CM75" s="2845"/>
      <c r="CN75" s="2846"/>
      <c r="CO75" s="750"/>
      <c r="CP75" s="750"/>
      <c r="CQ75" s="2845"/>
      <c r="CR75" s="750"/>
      <c r="CS75" s="2846"/>
      <c r="CT75" s="750">
        <v>20</v>
      </c>
      <c r="CU75" s="750"/>
      <c r="CV75" s="2845"/>
      <c r="CW75" s="750"/>
      <c r="CX75" s="2846"/>
      <c r="CY75" s="750">
        <v>20</v>
      </c>
      <c r="CZ75" s="2845"/>
      <c r="DA75" s="750"/>
      <c r="DB75" s="2846"/>
      <c r="DC75" s="750">
        <v>20</v>
      </c>
      <c r="DD75" s="1885">
        <v>20</v>
      </c>
    </row>
    <row r="76" spans="1:108" ht="12.75" customHeight="1" x14ac:dyDescent="0.2">
      <c r="A76" s="2180">
        <v>76</v>
      </c>
      <c r="B76" s="1856" t="s">
        <v>8794</v>
      </c>
      <c r="C76" s="1857"/>
      <c r="E76" s="1861">
        <v>39</v>
      </c>
      <c r="F76" s="754" t="s">
        <v>2322</v>
      </c>
      <c r="G76" s="2845"/>
      <c r="H76" s="1971"/>
      <c r="I76" s="2846"/>
      <c r="J76" s="750"/>
      <c r="K76" s="750"/>
      <c r="L76" s="2845"/>
      <c r="M76" s="750"/>
      <c r="N76" s="2293"/>
      <c r="O76" s="750"/>
      <c r="P76" s="750"/>
      <c r="Q76" s="2845">
        <v>20</v>
      </c>
      <c r="R76" s="2846"/>
      <c r="S76" s="750"/>
      <c r="T76" s="2845"/>
      <c r="U76" s="2846"/>
      <c r="V76" s="750"/>
      <c r="W76" s="750"/>
      <c r="X76" s="2845"/>
      <c r="Y76" s="750"/>
      <c r="Z76" s="2846"/>
      <c r="AA76" s="750"/>
      <c r="AB76" s="750"/>
      <c r="AC76" s="2845"/>
      <c r="AD76" s="2846"/>
      <c r="AE76" s="750"/>
      <c r="AF76" s="750"/>
      <c r="AG76" s="750"/>
      <c r="AH76" s="2845"/>
      <c r="AI76" s="750"/>
      <c r="AJ76" s="2846"/>
      <c r="AK76" s="750"/>
      <c r="AL76" s="750"/>
      <c r="AM76" s="750"/>
      <c r="AN76" s="750"/>
      <c r="AO76" s="2845"/>
      <c r="AP76" s="750"/>
      <c r="AQ76" s="2846"/>
      <c r="AR76" s="750"/>
      <c r="AS76" s="750"/>
      <c r="AT76" s="2845"/>
      <c r="AU76" s="750"/>
      <c r="AV76" s="2846"/>
      <c r="AW76" s="750"/>
      <c r="AX76" s="750"/>
      <c r="AY76" s="2845"/>
      <c r="AZ76" s="2846"/>
      <c r="BA76" s="750"/>
      <c r="BB76" s="750"/>
      <c r="BC76" s="2845"/>
      <c r="BD76" s="2846"/>
      <c r="BE76" s="750"/>
      <c r="BF76" s="750"/>
      <c r="BG76" s="737"/>
      <c r="BH76" s="2845"/>
      <c r="BI76" s="2846"/>
      <c r="BJ76" s="750"/>
      <c r="BK76" s="750"/>
      <c r="BL76" s="737"/>
      <c r="BM76" s="750"/>
      <c r="BN76" s="750"/>
      <c r="BO76" s="2845"/>
      <c r="BP76" s="750"/>
      <c r="BQ76" s="2846"/>
      <c r="BR76" s="750"/>
      <c r="BS76" s="750"/>
      <c r="BT76" s="2845"/>
      <c r="BU76" s="750">
        <v>20</v>
      </c>
      <c r="BV76" s="750"/>
      <c r="BW76" s="2846"/>
      <c r="BX76" s="750"/>
      <c r="BY76" s="750"/>
      <c r="BZ76" s="750"/>
      <c r="CA76" s="2845"/>
      <c r="CB76" s="750"/>
      <c r="CC76" s="2846"/>
      <c r="CD76" s="750">
        <v>20</v>
      </c>
      <c r="CE76" s="750">
        <v>20</v>
      </c>
      <c r="CF76" s="2845"/>
      <c r="CG76" s="750"/>
      <c r="CH76" s="2846"/>
      <c r="CI76" s="750"/>
      <c r="CJ76" s="750"/>
      <c r="CK76" s="750"/>
      <c r="CL76" s="750"/>
      <c r="CM76" s="2845"/>
      <c r="CN76" s="2846"/>
      <c r="CO76" s="750">
        <v>20</v>
      </c>
      <c r="CP76" s="750">
        <v>20</v>
      </c>
      <c r="CQ76" s="2845"/>
      <c r="CR76" s="750"/>
      <c r="CS76" s="2846"/>
      <c r="CT76" s="750">
        <v>20</v>
      </c>
      <c r="CU76" s="750">
        <v>20</v>
      </c>
      <c r="CV76" s="2845">
        <v>20</v>
      </c>
      <c r="CW76" s="750"/>
      <c r="CX76" s="2846"/>
      <c r="CY76" s="750"/>
      <c r="CZ76" s="2845"/>
      <c r="DA76" s="750"/>
      <c r="DB76" s="2846"/>
      <c r="DC76" s="750"/>
      <c r="DD76" s="1885"/>
    </row>
    <row r="77" spans="1:108" ht="12.75" customHeight="1" x14ac:dyDescent="0.2">
      <c r="A77" s="2180">
        <v>77</v>
      </c>
      <c r="B77" s="1856" t="s">
        <v>8795</v>
      </c>
      <c r="C77" s="1857"/>
      <c r="E77" s="1861">
        <v>40</v>
      </c>
      <c r="F77" s="754" t="s">
        <v>2323</v>
      </c>
      <c r="G77" s="2845"/>
      <c r="H77" s="1971"/>
      <c r="I77" s="2846"/>
      <c r="J77" s="750"/>
      <c r="K77" s="750"/>
      <c r="L77" s="2845"/>
      <c r="M77" s="750"/>
      <c r="N77" s="2293"/>
      <c r="O77" s="750"/>
      <c r="P77" s="750"/>
      <c r="Q77" s="2845"/>
      <c r="R77" s="2846"/>
      <c r="S77" s="750"/>
      <c r="T77" s="2845"/>
      <c r="U77" s="2846"/>
      <c r="V77" s="750"/>
      <c r="W77" s="750"/>
      <c r="X77" s="2845"/>
      <c r="Y77" s="750"/>
      <c r="Z77" s="2846"/>
      <c r="AA77" s="750"/>
      <c r="AB77" s="750"/>
      <c r="AC77" s="2845"/>
      <c r="AD77" s="2846"/>
      <c r="AE77" s="750"/>
      <c r="AF77" s="750"/>
      <c r="AG77" s="750"/>
      <c r="AH77" s="2845"/>
      <c r="AI77" s="750"/>
      <c r="AJ77" s="2846"/>
      <c r="AK77" s="750"/>
      <c r="AL77" s="750"/>
      <c r="AM77" s="750"/>
      <c r="AN77" s="750"/>
      <c r="AO77" s="2845"/>
      <c r="AP77" s="750"/>
      <c r="AQ77" s="2846"/>
      <c r="AR77" s="750"/>
      <c r="AS77" s="750"/>
      <c r="AT77" s="2845"/>
      <c r="AU77" s="750"/>
      <c r="AV77" s="2846"/>
      <c r="AW77" s="750"/>
      <c r="AX77" s="750"/>
      <c r="AY77" s="2845"/>
      <c r="AZ77" s="2846"/>
      <c r="BA77" s="750"/>
      <c r="BB77" s="750"/>
      <c r="BC77" s="2845"/>
      <c r="BD77" s="2846"/>
      <c r="BE77" s="750"/>
      <c r="BF77" s="750"/>
      <c r="BG77" s="737"/>
      <c r="BH77" s="2845"/>
      <c r="BI77" s="2846"/>
      <c r="BJ77" s="750"/>
      <c r="BK77" s="750"/>
      <c r="BL77" s="737"/>
      <c r="BM77" s="750"/>
      <c r="BN77" s="750"/>
      <c r="BO77" s="2845"/>
      <c r="BP77" s="750"/>
      <c r="BQ77" s="2846"/>
      <c r="BR77" s="750"/>
      <c r="BS77" s="750"/>
      <c r="BT77" s="2845"/>
      <c r="BU77" s="750"/>
      <c r="BV77" s="750"/>
      <c r="BW77" s="2846"/>
      <c r="BX77" s="750"/>
      <c r="BY77" s="750"/>
      <c r="BZ77" s="750"/>
      <c r="CA77" s="2845"/>
      <c r="CB77" s="750"/>
      <c r="CC77" s="2846"/>
      <c r="CD77" s="750"/>
      <c r="CE77" s="750"/>
      <c r="CF77" s="2845"/>
      <c r="CG77" s="750"/>
      <c r="CH77" s="2846"/>
      <c r="CI77" s="750"/>
      <c r="CJ77" s="750"/>
      <c r="CK77" s="750"/>
      <c r="CL77" s="750"/>
      <c r="CM77" s="2845"/>
      <c r="CN77" s="2846"/>
      <c r="CO77" s="750"/>
      <c r="CP77" s="750"/>
      <c r="CQ77" s="2845"/>
      <c r="CR77" s="750"/>
      <c r="CS77" s="2846"/>
      <c r="CT77" s="750"/>
      <c r="CU77" s="750"/>
      <c r="CV77" s="2845"/>
      <c r="CW77" s="750"/>
      <c r="CX77" s="2846"/>
      <c r="CY77" s="750"/>
      <c r="CZ77" s="2845"/>
      <c r="DA77" s="750"/>
      <c r="DB77" s="2846"/>
      <c r="DC77" s="750"/>
      <c r="DD77" s="1885"/>
    </row>
    <row r="78" spans="1:108" ht="12.75" customHeight="1" x14ac:dyDescent="0.2">
      <c r="A78" s="2180">
        <v>78</v>
      </c>
      <c r="B78" s="1856" t="s">
        <v>8796</v>
      </c>
      <c r="C78" s="1857"/>
      <c r="E78" s="1861">
        <v>41</v>
      </c>
      <c r="F78" s="754" t="s">
        <v>2325</v>
      </c>
      <c r="G78" s="2845"/>
      <c r="H78" s="1971"/>
      <c r="I78" s="2846"/>
      <c r="J78" s="750">
        <v>20</v>
      </c>
      <c r="K78" s="750"/>
      <c r="L78" s="2845"/>
      <c r="M78" s="750"/>
      <c r="N78" s="2293"/>
      <c r="O78" s="750"/>
      <c r="P78" s="750"/>
      <c r="Q78" s="2845"/>
      <c r="R78" s="2846"/>
      <c r="S78" s="750"/>
      <c r="T78" s="2845"/>
      <c r="U78" s="2846"/>
      <c r="V78" s="750"/>
      <c r="W78" s="750"/>
      <c r="X78" s="2845"/>
      <c r="Y78" s="750"/>
      <c r="Z78" s="2846"/>
      <c r="AA78" s="750"/>
      <c r="AB78" s="750"/>
      <c r="AC78" s="2845"/>
      <c r="AD78" s="2846"/>
      <c r="AE78" s="750"/>
      <c r="AF78" s="750"/>
      <c r="AG78" s="750"/>
      <c r="AH78" s="2845"/>
      <c r="AI78" s="750"/>
      <c r="AJ78" s="2846"/>
      <c r="AK78" s="750"/>
      <c r="AL78" s="750"/>
      <c r="AM78" s="750"/>
      <c r="AN78" s="750"/>
      <c r="AO78" s="2845"/>
      <c r="AP78" s="750"/>
      <c r="AQ78" s="2846"/>
      <c r="AR78" s="750"/>
      <c r="AS78" s="750"/>
      <c r="AT78" s="2845"/>
      <c r="AU78" s="750"/>
      <c r="AV78" s="2846"/>
      <c r="AW78" s="750"/>
      <c r="AX78" s="750"/>
      <c r="AY78" s="2845"/>
      <c r="AZ78" s="2846"/>
      <c r="BA78" s="750"/>
      <c r="BB78" s="750"/>
      <c r="BC78" s="2845"/>
      <c r="BD78" s="2846"/>
      <c r="BE78" s="750">
        <v>10</v>
      </c>
      <c r="BF78" s="750">
        <v>10</v>
      </c>
      <c r="BG78" s="737"/>
      <c r="BH78" s="2845"/>
      <c r="BI78" s="2846"/>
      <c r="BJ78" s="750"/>
      <c r="BK78" s="750"/>
      <c r="BL78" s="737"/>
      <c r="BM78" s="750">
        <v>30</v>
      </c>
      <c r="BN78" s="750"/>
      <c r="BO78" s="2845"/>
      <c r="BP78" s="750">
        <v>20</v>
      </c>
      <c r="BQ78" s="2846"/>
      <c r="BR78" s="750"/>
      <c r="BS78" s="750"/>
      <c r="BT78" s="2845"/>
      <c r="BU78" s="750"/>
      <c r="BV78" s="750"/>
      <c r="BW78" s="2846"/>
      <c r="BX78" s="750"/>
      <c r="BY78" s="750"/>
      <c r="BZ78" s="750"/>
      <c r="CA78" s="2845"/>
      <c r="CB78" s="750"/>
      <c r="CC78" s="2846"/>
      <c r="CD78" s="750"/>
      <c r="CE78" s="750"/>
      <c r="CF78" s="2845"/>
      <c r="CG78" s="750"/>
      <c r="CH78" s="2846"/>
      <c r="CI78" s="750"/>
      <c r="CJ78" s="750"/>
      <c r="CK78" s="750"/>
      <c r="CL78" s="750"/>
      <c r="CM78" s="2845"/>
      <c r="CN78" s="2846"/>
      <c r="CO78" s="750"/>
      <c r="CP78" s="750"/>
      <c r="CQ78" s="2845"/>
      <c r="CR78" s="750"/>
      <c r="CS78" s="2846"/>
      <c r="CT78" s="750"/>
      <c r="CU78" s="750"/>
      <c r="CV78" s="2845"/>
      <c r="CW78" s="750"/>
      <c r="CX78" s="2846"/>
      <c r="CY78" s="750"/>
      <c r="CZ78" s="2845"/>
      <c r="DA78" s="750"/>
      <c r="DB78" s="2846"/>
      <c r="DC78" s="750"/>
      <c r="DD78" s="1885"/>
    </row>
    <row r="79" spans="1:108" ht="12.75" customHeight="1" x14ac:dyDescent="0.2">
      <c r="A79" s="2181">
        <v>79</v>
      </c>
      <c r="B79" s="1856" t="s">
        <v>8797</v>
      </c>
      <c r="C79" s="1857"/>
      <c r="E79" s="1861">
        <v>42</v>
      </c>
      <c r="F79" s="754" t="s">
        <v>2326</v>
      </c>
      <c r="G79" s="2845"/>
      <c r="H79" s="1971">
        <v>20</v>
      </c>
      <c r="I79" s="2846">
        <v>20</v>
      </c>
      <c r="J79" s="750"/>
      <c r="K79" s="750">
        <v>20</v>
      </c>
      <c r="L79" s="2845"/>
      <c r="M79" s="750"/>
      <c r="N79" s="2293"/>
      <c r="O79" s="750"/>
      <c r="P79" s="750"/>
      <c r="Q79" s="2845"/>
      <c r="R79" s="2846"/>
      <c r="S79" s="750"/>
      <c r="T79" s="2845"/>
      <c r="U79" s="2846"/>
      <c r="V79" s="750"/>
      <c r="W79" s="750"/>
      <c r="X79" s="2845"/>
      <c r="Y79" s="750">
        <v>20</v>
      </c>
      <c r="Z79" s="2846">
        <v>20</v>
      </c>
      <c r="AA79" s="750"/>
      <c r="AB79" s="750"/>
      <c r="AC79" s="2845"/>
      <c r="AD79" s="2846"/>
      <c r="AE79" s="750"/>
      <c r="AF79" s="750"/>
      <c r="AG79" s="750"/>
      <c r="AH79" s="2845"/>
      <c r="AI79" s="750"/>
      <c r="AJ79" s="2846"/>
      <c r="AK79" s="750"/>
      <c r="AL79" s="750"/>
      <c r="AM79" s="750"/>
      <c r="AN79" s="750"/>
      <c r="AO79" s="2845"/>
      <c r="AP79" s="750"/>
      <c r="AQ79" s="2846"/>
      <c r="AR79" s="750"/>
      <c r="AS79" s="750"/>
      <c r="AT79" s="2845"/>
      <c r="AU79" s="750">
        <v>30</v>
      </c>
      <c r="AV79" s="2846">
        <v>20</v>
      </c>
      <c r="AW79" s="750"/>
      <c r="AX79" s="750">
        <v>20</v>
      </c>
      <c r="AY79" s="2845"/>
      <c r="AZ79" s="2846"/>
      <c r="BA79" s="750"/>
      <c r="BB79" s="750"/>
      <c r="BC79" s="2845"/>
      <c r="BD79" s="2846"/>
      <c r="BE79" s="750"/>
      <c r="BF79" s="750"/>
      <c r="BG79" s="737"/>
      <c r="BH79" s="2845"/>
      <c r="BI79" s="2846"/>
      <c r="BJ79" s="750"/>
      <c r="BK79" s="750"/>
      <c r="BL79" s="737"/>
      <c r="BM79" s="750"/>
      <c r="BN79" s="750"/>
      <c r="BO79" s="2845"/>
      <c r="BP79" s="750"/>
      <c r="BQ79" s="2846"/>
      <c r="BR79" s="750"/>
      <c r="BS79" s="750">
        <v>10</v>
      </c>
      <c r="BT79" s="2845">
        <v>20</v>
      </c>
      <c r="BU79" s="750"/>
      <c r="BV79" s="750">
        <v>20</v>
      </c>
      <c r="BW79" s="2846">
        <v>20</v>
      </c>
      <c r="BX79" s="750"/>
      <c r="BY79" s="750"/>
      <c r="BZ79" s="750"/>
      <c r="CA79" s="2845">
        <v>20</v>
      </c>
      <c r="CB79" s="750">
        <v>20</v>
      </c>
      <c r="CC79" s="2846">
        <v>20</v>
      </c>
      <c r="CD79" s="750"/>
      <c r="CE79" s="750"/>
      <c r="CF79" s="2845">
        <v>20</v>
      </c>
      <c r="CG79" s="750"/>
      <c r="CH79" s="2846">
        <v>20</v>
      </c>
      <c r="CI79" s="750">
        <v>20</v>
      </c>
      <c r="CJ79" s="750">
        <v>20</v>
      </c>
      <c r="CK79" s="750">
        <v>20</v>
      </c>
      <c r="CL79" s="750">
        <v>20</v>
      </c>
      <c r="CM79" s="2845">
        <v>20</v>
      </c>
      <c r="CN79" s="2846">
        <v>20</v>
      </c>
      <c r="CO79" s="750"/>
      <c r="CP79" s="750"/>
      <c r="CQ79" s="2845">
        <v>20</v>
      </c>
      <c r="CR79" s="750">
        <v>20</v>
      </c>
      <c r="CS79" s="2846">
        <v>20</v>
      </c>
      <c r="CT79" s="750"/>
      <c r="CU79" s="750"/>
      <c r="CV79" s="2845"/>
      <c r="CW79" s="750"/>
      <c r="CX79" s="2846"/>
      <c r="CY79" s="750"/>
      <c r="CZ79" s="2845">
        <v>20</v>
      </c>
      <c r="DA79" s="750">
        <v>20</v>
      </c>
      <c r="DB79" s="2846">
        <v>20</v>
      </c>
      <c r="DC79" s="750"/>
      <c r="DD79" s="1885"/>
    </row>
    <row r="80" spans="1:108" ht="12.75" customHeight="1" x14ac:dyDescent="0.2">
      <c r="A80" s="2181">
        <v>80</v>
      </c>
      <c r="B80" s="1856" t="s">
        <v>8798</v>
      </c>
      <c r="C80" s="1857"/>
      <c r="E80" s="1861">
        <v>43</v>
      </c>
      <c r="F80" s="754" t="s">
        <v>2327</v>
      </c>
      <c r="G80" s="2845"/>
      <c r="H80" s="1971"/>
      <c r="I80" s="2846"/>
      <c r="J80" s="750"/>
      <c r="K80" s="750"/>
      <c r="L80" s="2845"/>
      <c r="M80" s="750"/>
      <c r="N80" s="2293"/>
      <c r="O80" s="750">
        <v>20</v>
      </c>
      <c r="P80" s="750"/>
      <c r="Q80" s="2845"/>
      <c r="R80" s="2846"/>
      <c r="S80" s="750"/>
      <c r="T80" s="2845"/>
      <c r="U80" s="2846"/>
      <c r="V80" s="750"/>
      <c r="W80" s="750"/>
      <c r="X80" s="2845"/>
      <c r="Y80" s="750"/>
      <c r="Z80" s="2846"/>
      <c r="AA80" s="750"/>
      <c r="AB80" s="750"/>
      <c r="AC80" s="2845"/>
      <c r="AD80" s="2846"/>
      <c r="AE80" s="750"/>
      <c r="AF80" s="750"/>
      <c r="AG80" s="750"/>
      <c r="AH80" s="2845"/>
      <c r="AI80" s="750"/>
      <c r="AJ80" s="2846"/>
      <c r="AK80" s="750"/>
      <c r="AL80" s="750"/>
      <c r="AM80" s="750"/>
      <c r="AN80" s="750"/>
      <c r="AO80" s="2845"/>
      <c r="AP80" s="750"/>
      <c r="AQ80" s="2846"/>
      <c r="AR80" s="750"/>
      <c r="AS80" s="750"/>
      <c r="AT80" s="2845"/>
      <c r="AU80" s="750"/>
      <c r="AV80" s="2846"/>
      <c r="AW80" s="750"/>
      <c r="AX80" s="750"/>
      <c r="AY80" s="2845"/>
      <c r="AZ80" s="2846"/>
      <c r="BA80" s="750"/>
      <c r="BB80" s="750"/>
      <c r="BC80" s="2845"/>
      <c r="BD80" s="2846"/>
      <c r="BE80" s="750">
        <v>30</v>
      </c>
      <c r="BF80" s="750"/>
      <c r="BG80" s="737"/>
      <c r="BH80" s="2845"/>
      <c r="BI80" s="2846"/>
      <c r="BJ80" s="750"/>
      <c r="BK80" s="750"/>
      <c r="BL80" s="737"/>
      <c r="BM80" s="750"/>
      <c r="BN80" s="750"/>
      <c r="BO80" s="2845"/>
      <c r="BP80" s="750"/>
      <c r="BQ80" s="2846"/>
      <c r="BR80" s="750"/>
      <c r="BS80" s="750"/>
      <c r="BT80" s="2845"/>
      <c r="BU80" s="750"/>
      <c r="BV80" s="750"/>
      <c r="BW80" s="2846"/>
      <c r="BX80" s="750"/>
      <c r="BY80" s="750"/>
      <c r="BZ80" s="750"/>
      <c r="CA80" s="2845"/>
      <c r="CB80" s="750"/>
      <c r="CC80" s="2846"/>
      <c r="CD80" s="750"/>
      <c r="CE80" s="750"/>
      <c r="CF80" s="2845"/>
      <c r="CG80" s="750"/>
      <c r="CH80" s="2846"/>
      <c r="CI80" s="750"/>
      <c r="CJ80" s="750"/>
      <c r="CK80" s="750"/>
      <c r="CL80" s="750"/>
      <c r="CM80" s="2845"/>
      <c r="CN80" s="2846"/>
      <c r="CO80" s="750"/>
      <c r="CP80" s="750"/>
      <c r="CQ80" s="2845"/>
      <c r="CR80" s="750"/>
      <c r="CS80" s="2846"/>
      <c r="CT80" s="750"/>
      <c r="CU80" s="750"/>
      <c r="CV80" s="2845"/>
      <c r="CW80" s="750"/>
      <c r="CX80" s="2846"/>
      <c r="CY80" s="750"/>
      <c r="CZ80" s="2845"/>
      <c r="DA80" s="750"/>
      <c r="DB80" s="2846"/>
      <c r="DC80" s="750"/>
      <c r="DD80" s="1885"/>
    </row>
    <row r="81" spans="1:108" ht="12.75" customHeight="1" x14ac:dyDescent="0.2">
      <c r="A81" s="2181">
        <v>81</v>
      </c>
      <c r="B81" s="1856" t="s">
        <v>8799</v>
      </c>
      <c r="C81" s="1857"/>
      <c r="E81" s="1861">
        <v>44</v>
      </c>
      <c r="F81" s="754" t="s">
        <v>1279</v>
      </c>
      <c r="G81" s="2845"/>
      <c r="H81" s="1971"/>
      <c r="I81" s="2846"/>
      <c r="J81" s="750"/>
      <c r="K81" s="750"/>
      <c r="L81" s="2845"/>
      <c r="M81" s="750"/>
      <c r="N81" s="2293"/>
      <c r="O81" s="750"/>
      <c r="P81" s="750"/>
      <c r="Q81" s="2845"/>
      <c r="R81" s="2846"/>
      <c r="S81" s="750"/>
      <c r="T81" s="2845"/>
      <c r="U81" s="2846"/>
      <c r="V81" s="750"/>
      <c r="W81" s="750"/>
      <c r="X81" s="2845"/>
      <c r="Y81" s="750"/>
      <c r="Z81" s="2846"/>
      <c r="AA81" s="750"/>
      <c r="AB81" s="750"/>
      <c r="AC81" s="2845"/>
      <c r="AD81" s="2846"/>
      <c r="AE81" s="750"/>
      <c r="AF81" s="750"/>
      <c r="AG81" s="750"/>
      <c r="AH81" s="2845"/>
      <c r="AI81" s="750"/>
      <c r="AJ81" s="2846"/>
      <c r="AK81" s="750"/>
      <c r="AL81" s="750"/>
      <c r="AM81" s="750"/>
      <c r="AN81" s="750"/>
      <c r="AO81" s="2845"/>
      <c r="AP81" s="750"/>
      <c r="AQ81" s="2846"/>
      <c r="AR81" s="750"/>
      <c r="AS81" s="750"/>
      <c r="AT81" s="2845"/>
      <c r="AU81" s="750"/>
      <c r="AV81" s="2846"/>
      <c r="AW81" s="750"/>
      <c r="AX81" s="750"/>
      <c r="AY81" s="2845"/>
      <c r="AZ81" s="2846"/>
      <c r="BA81" s="750"/>
      <c r="BB81" s="750"/>
      <c r="BC81" s="2845"/>
      <c r="BD81" s="2846"/>
      <c r="BE81" s="750"/>
      <c r="BF81" s="750"/>
      <c r="BG81" s="737"/>
      <c r="BH81" s="2845"/>
      <c r="BI81" s="2846"/>
      <c r="BJ81" s="750"/>
      <c r="BK81" s="750"/>
      <c r="BL81" s="737"/>
      <c r="BM81" s="750"/>
      <c r="BN81" s="750"/>
      <c r="BO81" s="2845"/>
      <c r="BP81" s="750"/>
      <c r="BQ81" s="2846"/>
      <c r="BR81" s="750"/>
      <c r="BS81" s="750"/>
      <c r="BT81" s="2845"/>
      <c r="BU81" s="750"/>
      <c r="BV81" s="750"/>
      <c r="BW81" s="2846"/>
      <c r="BX81" s="750"/>
      <c r="BY81" s="750"/>
      <c r="BZ81" s="750"/>
      <c r="CA81" s="2845"/>
      <c r="CB81" s="750"/>
      <c r="CC81" s="2846"/>
      <c r="CD81" s="750"/>
      <c r="CE81" s="750"/>
      <c r="CF81" s="2845"/>
      <c r="CG81" s="750"/>
      <c r="CH81" s="2846"/>
      <c r="CI81" s="750"/>
      <c r="CJ81" s="750"/>
      <c r="CK81" s="750"/>
      <c r="CL81" s="750"/>
      <c r="CM81" s="2845"/>
      <c r="CN81" s="2846"/>
      <c r="CO81" s="750"/>
      <c r="CP81" s="750"/>
      <c r="CQ81" s="2845"/>
      <c r="CR81" s="750"/>
      <c r="CS81" s="2846"/>
      <c r="CT81" s="750"/>
      <c r="CU81" s="750"/>
      <c r="CV81" s="2845"/>
      <c r="CW81" s="750"/>
      <c r="CX81" s="2846"/>
      <c r="CY81" s="750"/>
      <c r="CZ81" s="2845"/>
      <c r="DA81" s="750"/>
      <c r="DB81" s="2846"/>
      <c r="DC81" s="750"/>
      <c r="DD81" s="1885"/>
    </row>
    <row r="82" spans="1:108" ht="12.75" customHeight="1" x14ac:dyDescent="0.2">
      <c r="A82" s="2181">
        <v>82</v>
      </c>
      <c r="B82" s="1856" t="s">
        <v>8800</v>
      </c>
      <c r="C82" s="1857"/>
      <c r="E82" s="1861">
        <v>45</v>
      </c>
      <c r="F82" s="754" t="s">
        <v>1280</v>
      </c>
      <c r="G82" s="2845"/>
      <c r="H82" s="1971"/>
      <c r="I82" s="2846"/>
      <c r="J82" s="750"/>
      <c r="K82" s="750"/>
      <c r="L82" s="2845"/>
      <c r="M82" s="750"/>
      <c r="N82" s="2293"/>
      <c r="O82" s="750"/>
      <c r="P82" s="750"/>
      <c r="Q82" s="2845"/>
      <c r="R82" s="2846"/>
      <c r="S82" s="750"/>
      <c r="T82" s="2845"/>
      <c r="U82" s="2846"/>
      <c r="V82" s="750"/>
      <c r="W82" s="750"/>
      <c r="X82" s="2845"/>
      <c r="Y82" s="750"/>
      <c r="Z82" s="2846"/>
      <c r="AA82" s="750"/>
      <c r="AB82" s="750"/>
      <c r="AC82" s="2845"/>
      <c r="AD82" s="2846"/>
      <c r="AE82" s="750"/>
      <c r="AF82" s="750"/>
      <c r="AG82" s="750"/>
      <c r="AH82" s="2845"/>
      <c r="AI82" s="750"/>
      <c r="AJ82" s="2846"/>
      <c r="AK82" s="750"/>
      <c r="AL82" s="750"/>
      <c r="AM82" s="750"/>
      <c r="AN82" s="750"/>
      <c r="AO82" s="2845"/>
      <c r="AP82" s="750"/>
      <c r="AQ82" s="2846"/>
      <c r="AR82" s="750"/>
      <c r="AS82" s="750"/>
      <c r="AT82" s="2845"/>
      <c r="AU82" s="750"/>
      <c r="AV82" s="2846"/>
      <c r="AW82" s="750"/>
      <c r="AX82" s="750"/>
      <c r="AY82" s="2845"/>
      <c r="AZ82" s="2846"/>
      <c r="BA82" s="750"/>
      <c r="BB82" s="750"/>
      <c r="BC82" s="2845"/>
      <c r="BD82" s="2846"/>
      <c r="BE82" s="750"/>
      <c r="BF82" s="750"/>
      <c r="BG82" s="737"/>
      <c r="BH82" s="2845"/>
      <c r="BI82" s="2846"/>
      <c r="BJ82" s="750"/>
      <c r="BK82" s="750"/>
      <c r="BL82" s="737"/>
      <c r="BM82" s="750"/>
      <c r="BN82" s="750"/>
      <c r="BO82" s="2845"/>
      <c r="BP82" s="750"/>
      <c r="BQ82" s="2846"/>
      <c r="BR82" s="750"/>
      <c r="BS82" s="750"/>
      <c r="BT82" s="2845"/>
      <c r="BU82" s="750"/>
      <c r="BV82" s="750"/>
      <c r="BW82" s="2846"/>
      <c r="BX82" s="750"/>
      <c r="BY82" s="750"/>
      <c r="BZ82" s="750"/>
      <c r="CA82" s="2845"/>
      <c r="CB82" s="750"/>
      <c r="CC82" s="2846"/>
      <c r="CD82" s="750"/>
      <c r="CE82" s="750"/>
      <c r="CF82" s="2845"/>
      <c r="CG82" s="750"/>
      <c r="CH82" s="2846"/>
      <c r="CI82" s="750"/>
      <c r="CJ82" s="750"/>
      <c r="CK82" s="750"/>
      <c r="CL82" s="750"/>
      <c r="CM82" s="2845"/>
      <c r="CN82" s="2846"/>
      <c r="CO82" s="750"/>
      <c r="CP82" s="750"/>
      <c r="CQ82" s="2845"/>
      <c r="CR82" s="750"/>
      <c r="CS82" s="2846"/>
      <c r="CT82" s="750"/>
      <c r="CU82" s="750"/>
      <c r="CV82" s="2845"/>
      <c r="CW82" s="750"/>
      <c r="CX82" s="2846"/>
      <c r="CY82" s="750"/>
      <c r="CZ82" s="2845"/>
      <c r="DA82" s="750"/>
      <c r="DB82" s="2846"/>
      <c r="DC82" s="750"/>
      <c r="DD82" s="1885"/>
    </row>
    <row r="83" spans="1:108" ht="12.75" customHeight="1" x14ac:dyDescent="0.2">
      <c r="A83" s="2181">
        <v>83</v>
      </c>
      <c r="B83" s="1856" t="s">
        <v>8801</v>
      </c>
      <c r="C83" s="1857"/>
      <c r="E83" s="1861">
        <v>46</v>
      </c>
      <c r="F83" s="754" t="s">
        <v>1281</v>
      </c>
      <c r="G83" s="2845"/>
      <c r="H83" s="1971"/>
      <c r="I83" s="2846"/>
      <c r="J83" s="750"/>
      <c r="K83" s="750"/>
      <c r="L83" s="2845"/>
      <c r="M83" s="750"/>
      <c r="N83" s="2293"/>
      <c r="O83" s="750"/>
      <c r="P83" s="750"/>
      <c r="Q83" s="2845"/>
      <c r="R83" s="2846"/>
      <c r="S83" s="750"/>
      <c r="T83" s="2845"/>
      <c r="U83" s="2846"/>
      <c r="V83" s="750"/>
      <c r="W83" s="750"/>
      <c r="X83" s="2845"/>
      <c r="Y83" s="750"/>
      <c r="Z83" s="2846"/>
      <c r="AA83" s="750"/>
      <c r="AB83" s="750"/>
      <c r="AC83" s="2845"/>
      <c r="AD83" s="2846"/>
      <c r="AE83" s="750"/>
      <c r="AF83" s="750"/>
      <c r="AG83" s="750"/>
      <c r="AH83" s="2845"/>
      <c r="AI83" s="750"/>
      <c r="AJ83" s="2846"/>
      <c r="AK83" s="750"/>
      <c r="AL83" s="750"/>
      <c r="AM83" s="750"/>
      <c r="AN83" s="750"/>
      <c r="AO83" s="2845"/>
      <c r="AP83" s="750"/>
      <c r="AQ83" s="2846"/>
      <c r="AR83" s="750"/>
      <c r="AS83" s="750"/>
      <c r="AT83" s="2845"/>
      <c r="AU83" s="750"/>
      <c r="AV83" s="2846"/>
      <c r="AW83" s="750"/>
      <c r="AX83" s="750"/>
      <c r="AY83" s="2845"/>
      <c r="AZ83" s="2846"/>
      <c r="BA83" s="750"/>
      <c r="BB83" s="750"/>
      <c r="BC83" s="2845"/>
      <c r="BD83" s="2846"/>
      <c r="BE83" s="750"/>
      <c r="BF83" s="750"/>
      <c r="BG83" s="737"/>
      <c r="BH83" s="2845"/>
      <c r="BI83" s="2846"/>
      <c r="BJ83" s="750"/>
      <c r="BK83" s="750"/>
      <c r="BL83" s="737"/>
      <c r="BM83" s="750"/>
      <c r="BN83" s="750"/>
      <c r="BO83" s="2845"/>
      <c r="BP83" s="750"/>
      <c r="BQ83" s="2846"/>
      <c r="BR83" s="750"/>
      <c r="BS83" s="750"/>
      <c r="BT83" s="2845"/>
      <c r="BU83" s="750"/>
      <c r="BV83" s="750"/>
      <c r="BW83" s="2846"/>
      <c r="BX83" s="750"/>
      <c r="BY83" s="750"/>
      <c r="BZ83" s="750"/>
      <c r="CA83" s="2845"/>
      <c r="CB83" s="750"/>
      <c r="CC83" s="2846"/>
      <c r="CD83" s="750"/>
      <c r="CE83" s="750"/>
      <c r="CF83" s="2845"/>
      <c r="CG83" s="750"/>
      <c r="CH83" s="2846"/>
      <c r="CI83" s="750"/>
      <c r="CJ83" s="750"/>
      <c r="CK83" s="750"/>
      <c r="CL83" s="750"/>
      <c r="CM83" s="2845"/>
      <c r="CN83" s="2846"/>
      <c r="CO83" s="750"/>
      <c r="CP83" s="750"/>
      <c r="CQ83" s="2845"/>
      <c r="CR83" s="750"/>
      <c r="CS83" s="2846"/>
      <c r="CT83" s="750"/>
      <c r="CU83" s="750"/>
      <c r="CV83" s="2845"/>
      <c r="CW83" s="750"/>
      <c r="CX83" s="2846"/>
      <c r="CY83" s="750"/>
      <c r="CZ83" s="2845"/>
      <c r="DA83" s="750"/>
      <c r="DB83" s="2846"/>
      <c r="DC83" s="750"/>
      <c r="DD83" s="1885"/>
    </row>
    <row r="84" spans="1:108" ht="12.75" customHeight="1" x14ac:dyDescent="0.2">
      <c r="A84" s="2181">
        <v>84</v>
      </c>
      <c r="B84" s="1856" t="s">
        <v>8867</v>
      </c>
      <c r="C84" s="1857"/>
      <c r="E84" s="1861">
        <v>47</v>
      </c>
      <c r="F84" s="754" t="s">
        <v>2328</v>
      </c>
      <c r="G84" s="2845"/>
      <c r="H84" s="1971"/>
      <c r="I84" s="2846"/>
      <c r="J84" s="750"/>
      <c r="K84" s="750"/>
      <c r="L84" s="2845"/>
      <c r="M84" s="750"/>
      <c r="N84" s="2293"/>
      <c r="O84" s="750"/>
      <c r="P84" s="750"/>
      <c r="Q84" s="2845"/>
      <c r="R84" s="2846">
        <v>30</v>
      </c>
      <c r="S84" s="750"/>
      <c r="T84" s="2845"/>
      <c r="U84" s="2846"/>
      <c r="V84" s="750"/>
      <c r="W84" s="750"/>
      <c r="X84" s="2845"/>
      <c r="Y84" s="750"/>
      <c r="Z84" s="2846"/>
      <c r="AA84" s="750"/>
      <c r="AB84" s="750"/>
      <c r="AC84" s="2845"/>
      <c r="AD84" s="2846"/>
      <c r="AE84" s="750"/>
      <c r="AF84" s="750"/>
      <c r="AG84" s="750"/>
      <c r="AH84" s="2845"/>
      <c r="AI84" s="750"/>
      <c r="AJ84" s="2846"/>
      <c r="AK84" s="750"/>
      <c r="AL84" s="750"/>
      <c r="AM84" s="750"/>
      <c r="AN84" s="750"/>
      <c r="AO84" s="2845"/>
      <c r="AP84" s="750"/>
      <c r="AQ84" s="2846"/>
      <c r="AR84" s="750"/>
      <c r="AS84" s="750"/>
      <c r="AT84" s="2845"/>
      <c r="AU84" s="750"/>
      <c r="AV84" s="2846"/>
      <c r="AW84" s="750"/>
      <c r="AX84" s="750"/>
      <c r="AY84" s="2845"/>
      <c r="AZ84" s="2846"/>
      <c r="BA84" s="750"/>
      <c r="BB84" s="750"/>
      <c r="BC84" s="2845"/>
      <c r="BD84" s="2846"/>
      <c r="BE84" s="750"/>
      <c r="BF84" s="750"/>
      <c r="BG84" s="737"/>
      <c r="BH84" s="2845"/>
      <c r="BI84" s="2846"/>
      <c r="BJ84" s="750"/>
      <c r="BK84" s="750"/>
      <c r="BL84" s="737"/>
      <c r="BM84" s="750"/>
      <c r="BN84" s="750"/>
      <c r="BO84" s="2845"/>
      <c r="BP84" s="750">
        <v>20</v>
      </c>
      <c r="BQ84" s="2846"/>
      <c r="BR84" s="750"/>
      <c r="BS84" s="750"/>
      <c r="BT84" s="2845"/>
      <c r="BU84" s="750"/>
      <c r="BV84" s="750"/>
      <c r="BW84" s="2846"/>
      <c r="BX84" s="750"/>
      <c r="BY84" s="750"/>
      <c r="BZ84" s="750"/>
      <c r="CA84" s="2845"/>
      <c r="CB84" s="750"/>
      <c r="CC84" s="2846"/>
      <c r="CD84" s="750"/>
      <c r="CE84" s="750"/>
      <c r="CF84" s="2845"/>
      <c r="CG84" s="750"/>
      <c r="CH84" s="2846"/>
      <c r="CI84" s="750"/>
      <c r="CJ84" s="750"/>
      <c r="CK84" s="750"/>
      <c r="CL84" s="750"/>
      <c r="CM84" s="2845"/>
      <c r="CN84" s="2846"/>
      <c r="CO84" s="750"/>
      <c r="CP84" s="750"/>
      <c r="CQ84" s="2845"/>
      <c r="CR84" s="750">
        <v>20</v>
      </c>
      <c r="CS84" s="2846">
        <v>20</v>
      </c>
      <c r="CT84" s="750"/>
      <c r="CU84" s="750"/>
      <c r="CV84" s="2845"/>
      <c r="CW84" s="750"/>
      <c r="CX84" s="2846"/>
      <c r="CY84" s="750"/>
      <c r="CZ84" s="2845"/>
      <c r="DA84" s="750"/>
      <c r="DB84" s="2846"/>
      <c r="DC84" s="750"/>
      <c r="DD84" s="1885"/>
    </row>
    <row r="85" spans="1:108" ht="12.75" customHeight="1" x14ac:dyDescent="0.2">
      <c r="A85" s="2180">
        <v>85</v>
      </c>
      <c r="B85" s="1856" t="s">
        <v>8802</v>
      </c>
      <c r="C85" s="1857"/>
      <c r="E85" s="1861">
        <v>48</v>
      </c>
      <c r="F85" s="754" t="s">
        <v>2331</v>
      </c>
      <c r="G85" s="2845">
        <v>20</v>
      </c>
      <c r="H85" s="1971"/>
      <c r="I85" s="2846"/>
      <c r="J85" s="750"/>
      <c r="K85" s="750"/>
      <c r="L85" s="2845"/>
      <c r="M85" s="750"/>
      <c r="N85" s="2293"/>
      <c r="O85" s="750"/>
      <c r="P85" s="750"/>
      <c r="Q85" s="2845"/>
      <c r="R85" s="2846"/>
      <c r="S85" s="750"/>
      <c r="T85" s="2845"/>
      <c r="U85" s="2846"/>
      <c r="V85" s="750"/>
      <c r="W85" s="750"/>
      <c r="X85" s="2845">
        <v>20</v>
      </c>
      <c r="Y85" s="750"/>
      <c r="Z85" s="2846"/>
      <c r="AA85" s="750"/>
      <c r="AB85" s="750"/>
      <c r="AC85" s="2845"/>
      <c r="AD85" s="2846"/>
      <c r="AE85" s="750"/>
      <c r="AF85" s="750"/>
      <c r="AG85" s="750"/>
      <c r="AH85" s="2845"/>
      <c r="AI85" s="750"/>
      <c r="AJ85" s="2846"/>
      <c r="AK85" s="750"/>
      <c r="AL85" s="750"/>
      <c r="AM85" s="750"/>
      <c r="AN85" s="750"/>
      <c r="AO85" s="2845"/>
      <c r="AP85" s="750"/>
      <c r="AQ85" s="2846"/>
      <c r="AR85" s="750"/>
      <c r="AS85" s="750"/>
      <c r="AT85" s="2845"/>
      <c r="AU85" s="750"/>
      <c r="AV85" s="2846"/>
      <c r="AW85" s="750"/>
      <c r="AX85" s="750"/>
      <c r="AY85" s="2845"/>
      <c r="AZ85" s="2846"/>
      <c r="BA85" s="750"/>
      <c r="BB85" s="750"/>
      <c r="BC85" s="2845"/>
      <c r="BD85" s="2846"/>
      <c r="BE85" s="750"/>
      <c r="BF85" s="750"/>
      <c r="BG85" s="737"/>
      <c r="BH85" s="2845"/>
      <c r="BI85" s="2846"/>
      <c r="BJ85" s="750"/>
      <c r="BK85" s="750"/>
      <c r="BL85" s="737"/>
      <c r="BM85" s="750"/>
      <c r="BN85" s="750"/>
      <c r="BO85" s="2845"/>
      <c r="BP85" s="750"/>
      <c r="BQ85" s="2846"/>
      <c r="BR85" s="750"/>
      <c r="BS85" s="750"/>
      <c r="BT85" s="2845"/>
      <c r="BU85" s="750"/>
      <c r="BV85" s="750"/>
      <c r="BW85" s="2846"/>
      <c r="BX85" s="750"/>
      <c r="BY85" s="750"/>
      <c r="BZ85" s="750"/>
      <c r="CA85" s="2845"/>
      <c r="CB85" s="750"/>
      <c r="CC85" s="2846"/>
      <c r="CD85" s="750"/>
      <c r="CE85" s="750"/>
      <c r="CF85" s="2845"/>
      <c r="CG85" s="750"/>
      <c r="CH85" s="2846"/>
      <c r="CI85" s="750"/>
      <c r="CJ85" s="750"/>
      <c r="CK85" s="750"/>
      <c r="CL85" s="750"/>
      <c r="CM85" s="2845"/>
      <c r="CN85" s="2846"/>
      <c r="CO85" s="750"/>
      <c r="CP85" s="750"/>
      <c r="CQ85" s="2845">
        <v>20</v>
      </c>
      <c r="CR85" s="750"/>
      <c r="CS85" s="2846"/>
      <c r="CT85" s="750"/>
      <c r="CU85" s="750"/>
      <c r="CV85" s="2845"/>
      <c r="CW85" s="750"/>
      <c r="CX85" s="2846"/>
      <c r="CY85" s="750"/>
      <c r="CZ85" s="2845"/>
      <c r="DA85" s="750"/>
      <c r="DB85" s="2846"/>
      <c r="DC85" s="750"/>
      <c r="DD85" s="1885"/>
    </row>
    <row r="86" spans="1:108" ht="12.75" customHeight="1" x14ac:dyDescent="0.2">
      <c r="A86" s="2180">
        <v>86</v>
      </c>
      <c r="B86" s="1856" t="s">
        <v>8803</v>
      </c>
      <c r="C86" s="1857"/>
      <c r="E86" s="1861">
        <v>49</v>
      </c>
      <c r="F86" s="754" t="s">
        <v>8783</v>
      </c>
      <c r="G86" s="2845"/>
      <c r="H86" s="1971"/>
      <c r="I86" s="2846"/>
      <c r="J86" s="750"/>
      <c r="K86" s="750"/>
      <c r="L86" s="2845"/>
      <c r="M86" s="750"/>
      <c r="N86" s="2293"/>
      <c r="O86" s="750"/>
      <c r="P86" s="750"/>
      <c r="Q86" s="2845"/>
      <c r="R86" s="2846"/>
      <c r="S86" s="750"/>
      <c r="T86" s="2845"/>
      <c r="U86" s="2846"/>
      <c r="V86" s="750"/>
      <c r="W86" s="750"/>
      <c r="X86" s="2845"/>
      <c r="Y86" s="750"/>
      <c r="Z86" s="2846"/>
      <c r="AA86" s="750"/>
      <c r="AB86" s="750"/>
      <c r="AC86" s="2845"/>
      <c r="AD86" s="2846"/>
      <c r="AE86" s="750"/>
      <c r="AF86" s="750"/>
      <c r="AG86" s="750"/>
      <c r="AH86" s="2845"/>
      <c r="AI86" s="750"/>
      <c r="AJ86" s="2846"/>
      <c r="AK86" s="750"/>
      <c r="AL86" s="750"/>
      <c r="AM86" s="750"/>
      <c r="AN86" s="750"/>
      <c r="AO86" s="2845"/>
      <c r="AP86" s="750"/>
      <c r="AQ86" s="2846"/>
      <c r="AR86" s="750"/>
      <c r="AS86" s="750"/>
      <c r="AT86" s="2845"/>
      <c r="AU86" s="750"/>
      <c r="AV86" s="2846"/>
      <c r="AW86" s="750"/>
      <c r="AX86" s="750"/>
      <c r="AY86" s="2845"/>
      <c r="AZ86" s="2846"/>
      <c r="BA86" s="750"/>
      <c r="BB86" s="750"/>
      <c r="BC86" s="2845"/>
      <c r="BD86" s="2846"/>
      <c r="BE86" s="750"/>
      <c r="BF86" s="750"/>
      <c r="BG86" s="737"/>
      <c r="BH86" s="2845"/>
      <c r="BI86" s="2846"/>
      <c r="BJ86" s="750"/>
      <c r="BK86" s="750"/>
      <c r="BL86" s="737"/>
      <c r="BM86" s="750"/>
      <c r="BN86" s="750"/>
      <c r="BO86" s="2845"/>
      <c r="BP86" s="750"/>
      <c r="BQ86" s="2846"/>
      <c r="BR86" s="750"/>
      <c r="BS86" s="750"/>
      <c r="BT86" s="2845"/>
      <c r="BU86" s="750"/>
      <c r="BV86" s="750"/>
      <c r="BW86" s="2846"/>
      <c r="BX86" s="750"/>
      <c r="BY86" s="750"/>
      <c r="BZ86" s="750"/>
      <c r="CA86" s="2845"/>
      <c r="CB86" s="750"/>
      <c r="CC86" s="2846"/>
      <c r="CD86" s="750"/>
      <c r="CE86" s="750"/>
      <c r="CF86" s="2845"/>
      <c r="CG86" s="750"/>
      <c r="CH86" s="2846"/>
      <c r="CI86" s="750"/>
      <c r="CJ86" s="750"/>
      <c r="CK86" s="750"/>
      <c r="CL86" s="750"/>
      <c r="CM86" s="2845"/>
      <c r="CN86" s="2846"/>
      <c r="CO86" s="750"/>
      <c r="CP86" s="750"/>
      <c r="CQ86" s="2845"/>
      <c r="CR86" s="750"/>
      <c r="CS86" s="2846"/>
      <c r="CT86" s="750"/>
      <c r="CU86" s="750"/>
      <c r="CV86" s="2845"/>
      <c r="CW86" s="750"/>
      <c r="CX86" s="2846"/>
      <c r="CY86" s="750"/>
      <c r="CZ86" s="2845"/>
      <c r="DA86" s="750"/>
      <c r="DB86" s="2846"/>
      <c r="DC86" s="750"/>
      <c r="DD86" s="1885"/>
    </row>
    <row r="87" spans="1:108" ht="12.75" customHeight="1" x14ac:dyDescent="0.2">
      <c r="A87" s="2180">
        <v>87</v>
      </c>
      <c r="B87" s="1856" t="s">
        <v>8804</v>
      </c>
      <c r="C87" s="1857"/>
      <c r="E87" s="1861">
        <v>50</v>
      </c>
      <c r="F87" s="754" t="s">
        <v>8784</v>
      </c>
      <c r="G87" s="2845"/>
      <c r="H87" s="1971"/>
      <c r="I87" s="2846"/>
      <c r="J87" s="750"/>
      <c r="K87" s="750"/>
      <c r="L87" s="2845"/>
      <c r="M87" s="750"/>
      <c r="N87" s="2293"/>
      <c r="O87" s="750"/>
      <c r="P87" s="750"/>
      <c r="Q87" s="2845"/>
      <c r="R87" s="2846"/>
      <c r="S87" s="750"/>
      <c r="T87" s="2845"/>
      <c r="U87" s="2846"/>
      <c r="V87" s="750"/>
      <c r="W87" s="750"/>
      <c r="X87" s="2845"/>
      <c r="Y87" s="750"/>
      <c r="Z87" s="2846"/>
      <c r="AA87" s="750"/>
      <c r="AB87" s="750"/>
      <c r="AC87" s="2845"/>
      <c r="AD87" s="2846"/>
      <c r="AE87" s="750"/>
      <c r="AF87" s="750"/>
      <c r="AG87" s="750"/>
      <c r="AH87" s="2845"/>
      <c r="AI87" s="750"/>
      <c r="AJ87" s="2846"/>
      <c r="AK87" s="750"/>
      <c r="AL87" s="750"/>
      <c r="AM87" s="750"/>
      <c r="AN87" s="750"/>
      <c r="AO87" s="2845"/>
      <c r="AP87" s="750"/>
      <c r="AQ87" s="2846"/>
      <c r="AR87" s="750"/>
      <c r="AS87" s="750"/>
      <c r="AT87" s="2845"/>
      <c r="AU87" s="750"/>
      <c r="AV87" s="2846"/>
      <c r="AW87" s="750"/>
      <c r="AX87" s="750"/>
      <c r="AY87" s="2845"/>
      <c r="AZ87" s="2846"/>
      <c r="BA87" s="750"/>
      <c r="BB87" s="750"/>
      <c r="BC87" s="2845"/>
      <c r="BD87" s="2846"/>
      <c r="BE87" s="750"/>
      <c r="BF87" s="750"/>
      <c r="BG87" s="737"/>
      <c r="BH87" s="2845"/>
      <c r="BI87" s="2846"/>
      <c r="BJ87" s="750"/>
      <c r="BK87" s="750"/>
      <c r="BL87" s="737"/>
      <c r="BM87" s="750"/>
      <c r="BN87" s="750"/>
      <c r="BO87" s="2845"/>
      <c r="BP87" s="750"/>
      <c r="BQ87" s="2846"/>
      <c r="BR87" s="750"/>
      <c r="BS87" s="750"/>
      <c r="BT87" s="2845"/>
      <c r="BU87" s="750"/>
      <c r="BV87" s="750"/>
      <c r="BW87" s="2846"/>
      <c r="BX87" s="750"/>
      <c r="BY87" s="750"/>
      <c r="BZ87" s="750"/>
      <c r="CA87" s="2845"/>
      <c r="CB87" s="750"/>
      <c r="CC87" s="2846"/>
      <c r="CD87" s="750"/>
      <c r="CE87" s="750"/>
      <c r="CF87" s="2845"/>
      <c r="CG87" s="750"/>
      <c r="CH87" s="2846"/>
      <c r="CI87" s="750"/>
      <c r="CJ87" s="750"/>
      <c r="CK87" s="750"/>
      <c r="CL87" s="750"/>
      <c r="CM87" s="2845"/>
      <c r="CN87" s="2846"/>
      <c r="CO87" s="750"/>
      <c r="CP87" s="750"/>
      <c r="CQ87" s="2845"/>
      <c r="CR87" s="750"/>
      <c r="CS87" s="2846"/>
      <c r="CT87" s="750"/>
      <c r="CU87" s="750"/>
      <c r="CV87" s="2845"/>
      <c r="CW87" s="750"/>
      <c r="CX87" s="2846"/>
      <c r="CY87" s="750"/>
      <c r="CZ87" s="2845"/>
      <c r="DA87" s="750"/>
      <c r="DB87" s="2846"/>
      <c r="DC87" s="750"/>
      <c r="DD87" s="1885"/>
    </row>
    <row r="88" spans="1:108" ht="12.75" customHeight="1" thickBot="1" x14ac:dyDescent="0.25">
      <c r="A88" s="2181">
        <v>88</v>
      </c>
      <c r="B88" s="1858" t="s">
        <v>8805</v>
      </c>
      <c r="C88" s="1859"/>
      <c r="E88" s="1861">
        <v>51</v>
      </c>
      <c r="F88" s="754" t="s">
        <v>8785</v>
      </c>
      <c r="G88" s="2845"/>
      <c r="H88" s="1971"/>
      <c r="I88" s="2846"/>
      <c r="J88" s="750"/>
      <c r="K88" s="750"/>
      <c r="L88" s="2845"/>
      <c r="M88" s="750"/>
      <c r="N88" s="2293"/>
      <c r="O88" s="750"/>
      <c r="P88" s="750"/>
      <c r="Q88" s="2845"/>
      <c r="R88" s="2846"/>
      <c r="S88" s="750"/>
      <c r="T88" s="2845"/>
      <c r="U88" s="2846"/>
      <c r="V88" s="750"/>
      <c r="W88" s="750"/>
      <c r="X88" s="2845"/>
      <c r="Y88" s="750"/>
      <c r="Z88" s="2846"/>
      <c r="AA88" s="750"/>
      <c r="AB88" s="750"/>
      <c r="AC88" s="2845"/>
      <c r="AD88" s="2846"/>
      <c r="AE88" s="750"/>
      <c r="AF88" s="750"/>
      <c r="AG88" s="750"/>
      <c r="AH88" s="2845"/>
      <c r="AI88" s="750"/>
      <c r="AJ88" s="2846"/>
      <c r="AK88" s="750"/>
      <c r="AL88" s="750"/>
      <c r="AM88" s="750"/>
      <c r="AN88" s="750"/>
      <c r="AO88" s="2845"/>
      <c r="AP88" s="750"/>
      <c r="AQ88" s="2846"/>
      <c r="AR88" s="750"/>
      <c r="AS88" s="750"/>
      <c r="AT88" s="2845"/>
      <c r="AU88" s="750"/>
      <c r="AV88" s="2846"/>
      <c r="AW88" s="750"/>
      <c r="AX88" s="750"/>
      <c r="AY88" s="2845"/>
      <c r="AZ88" s="2846"/>
      <c r="BA88" s="750"/>
      <c r="BB88" s="750"/>
      <c r="BC88" s="2845"/>
      <c r="BD88" s="2846"/>
      <c r="BE88" s="750"/>
      <c r="BF88" s="750"/>
      <c r="BG88" s="737"/>
      <c r="BH88" s="2845"/>
      <c r="BI88" s="2846"/>
      <c r="BJ88" s="750"/>
      <c r="BK88" s="750"/>
      <c r="BL88" s="737"/>
      <c r="BM88" s="750"/>
      <c r="BN88" s="750"/>
      <c r="BO88" s="2845"/>
      <c r="BP88" s="750"/>
      <c r="BQ88" s="2846"/>
      <c r="BR88" s="750"/>
      <c r="BS88" s="750"/>
      <c r="BT88" s="2845"/>
      <c r="BU88" s="750"/>
      <c r="BV88" s="750"/>
      <c r="BW88" s="2846"/>
      <c r="BX88" s="750"/>
      <c r="BY88" s="750"/>
      <c r="BZ88" s="750"/>
      <c r="CA88" s="2845"/>
      <c r="CB88" s="750"/>
      <c r="CC88" s="2846"/>
      <c r="CD88" s="750"/>
      <c r="CE88" s="750"/>
      <c r="CF88" s="2845"/>
      <c r="CG88" s="750"/>
      <c r="CH88" s="2846"/>
      <c r="CI88" s="750"/>
      <c r="CJ88" s="750"/>
      <c r="CK88" s="750"/>
      <c r="CL88" s="750"/>
      <c r="CM88" s="2845"/>
      <c r="CN88" s="2846"/>
      <c r="CO88" s="750"/>
      <c r="CP88" s="750"/>
      <c r="CQ88" s="2845"/>
      <c r="CR88" s="750"/>
      <c r="CS88" s="2846"/>
      <c r="CT88" s="750"/>
      <c r="CU88" s="750"/>
      <c r="CV88" s="2845"/>
      <c r="CW88" s="750"/>
      <c r="CX88" s="2846"/>
      <c r="CY88" s="750"/>
      <c r="CZ88" s="2845"/>
      <c r="DA88" s="750"/>
      <c r="DB88" s="2846"/>
      <c r="DC88" s="750"/>
      <c r="DD88" s="1885"/>
    </row>
    <row r="89" spans="1:108" ht="12.75" customHeight="1" x14ac:dyDescent="0.2">
      <c r="A89" s="2181">
        <v>89</v>
      </c>
      <c r="E89" s="1861">
        <v>52</v>
      </c>
      <c r="F89" s="754" t="s">
        <v>8786</v>
      </c>
      <c r="G89" s="2845"/>
      <c r="H89" s="1971"/>
      <c r="I89" s="2846"/>
      <c r="J89" s="750"/>
      <c r="K89" s="750"/>
      <c r="L89" s="2845"/>
      <c r="M89" s="750"/>
      <c r="N89" s="2293"/>
      <c r="O89" s="750"/>
      <c r="P89" s="750"/>
      <c r="Q89" s="2845"/>
      <c r="R89" s="2846"/>
      <c r="S89" s="750"/>
      <c r="T89" s="2845"/>
      <c r="U89" s="2846"/>
      <c r="V89" s="750"/>
      <c r="W89" s="750"/>
      <c r="X89" s="2845"/>
      <c r="Y89" s="750"/>
      <c r="Z89" s="2846"/>
      <c r="AA89" s="750"/>
      <c r="AB89" s="750"/>
      <c r="AC89" s="2845"/>
      <c r="AD89" s="2846"/>
      <c r="AE89" s="750"/>
      <c r="AF89" s="750"/>
      <c r="AG89" s="750"/>
      <c r="AH89" s="2845"/>
      <c r="AI89" s="750"/>
      <c r="AJ89" s="2846"/>
      <c r="AK89" s="750"/>
      <c r="AL89" s="750"/>
      <c r="AM89" s="750"/>
      <c r="AN89" s="750"/>
      <c r="AO89" s="2845"/>
      <c r="AP89" s="750"/>
      <c r="AQ89" s="2846"/>
      <c r="AR89" s="750"/>
      <c r="AS89" s="750"/>
      <c r="AT89" s="2845"/>
      <c r="AU89" s="750"/>
      <c r="AV89" s="2846"/>
      <c r="AW89" s="750"/>
      <c r="AX89" s="750"/>
      <c r="AY89" s="2845"/>
      <c r="AZ89" s="2846"/>
      <c r="BA89" s="750"/>
      <c r="BB89" s="750"/>
      <c r="BC89" s="2845"/>
      <c r="BD89" s="2846"/>
      <c r="BE89" s="750"/>
      <c r="BF89" s="750"/>
      <c r="BG89" s="737"/>
      <c r="BH89" s="2845"/>
      <c r="BI89" s="2846"/>
      <c r="BJ89" s="750"/>
      <c r="BK89" s="750"/>
      <c r="BL89" s="737"/>
      <c r="BM89" s="750"/>
      <c r="BN89" s="750"/>
      <c r="BO89" s="2845"/>
      <c r="BP89" s="750"/>
      <c r="BQ89" s="2846"/>
      <c r="BR89" s="750"/>
      <c r="BS89" s="750"/>
      <c r="BT89" s="2845"/>
      <c r="BU89" s="750"/>
      <c r="BV89" s="750"/>
      <c r="BW89" s="2846"/>
      <c r="BX89" s="750"/>
      <c r="BY89" s="750"/>
      <c r="BZ89" s="750"/>
      <c r="CA89" s="2845"/>
      <c r="CB89" s="750"/>
      <c r="CC89" s="2846"/>
      <c r="CD89" s="750"/>
      <c r="CE89" s="750"/>
      <c r="CF89" s="2845"/>
      <c r="CG89" s="750"/>
      <c r="CH89" s="2846"/>
      <c r="CI89" s="750"/>
      <c r="CJ89" s="750"/>
      <c r="CK89" s="750"/>
      <c r="CL89" s="750"/>
      <c r="CM89" s="2845"/>
      <c r="CN89" s="2846"/>
      <c r="CO89" s="750"/>
      <c r="CP89" s="750"/>
      <c r="CQ89" s="2845"/>
      <c r="CR89" s="750"/>
      <c r="CS89" s="2846"/>
      <c r="CT89" s="750"/>
      <c r="CU89" s="750"/>
      <c r="CV89" s="2845"/>
      <c r="CW89" s="750"/>
      <c r="CX89" s="2846"/>
      <c r="CY89" s="750"/>
      <c r="CZ89" s="2845"/>
      <c r="DA89" s="750"/>
      <c r="DB89" s="2846"/>
      <c r="DC89" s="750"/>
      <c r="DD89" s="1885"/>
    </row>
    <row r="90" spans="1:108" ht="12.75" customHeight="1" x14ac:dyDescent="0.2">
      <c r="A90" s="2181">
        <v>90</v>
      </c>
      <c r="E90" s="1861">
        <v>53</v>
      </c>
      <c r="F90" s="1895"/>
      <c r="G90" s="2845"/>
      <c r="H90" s="1971"/>
      <c r="I90" s="2846" t="s">
        <v>8885</v>
      </c>
      <c r="J90" s="750"/>
      <c r="K90" s="750" t="s">
        <v>8885</v>
      </c>
      <c r="L90" s="2845"/>
      <c r="M90" s="750"/>
      <c r="N90" s="2293"/>
      <c r="O90" s="750"/>
      <c r="P90" s="750"/>
      <c r="Q90" s="2845"/>
      <c r="R90" s="2846"/>
      <c r="S90" s="750"/>
      <c r="T90" s="2845"/>
      <c r="U90" s="2846"/>
      <c r="V90" s="750"/>
      <c r="W90" s="750"/>
      <c r="X90" s="2845"/>
      <c r="Y90" s="750"/>
      <c r="Z90" s="2846"/>
      <c r="AA90" s="750"/>
      <c r="AB90" s="750"/>
      <c r="AC90" s="2845"/>
      <c r="AD90" s="2846"/>
      <c r="AE90" s="750"/>
      <c r="AF90" s="750"/>
      <c r="AG90" s="750" t="s">
        <v>8887</v>
      </c>
      <c r="AH90" s="2845"/>
      <c r="AI90" s="750"/>
      <c r="AJ90" s="2846"/>
      <c r="AK90" s="750"/>
      <c r="AL90" s="750"/>
      <c r="AM90" s="750"/>
      <c r="AN90" s="750"/>
      <c r="AO90" s="2845"/>
      <c r="AP90" s="750"/>
      <c r="AQ90" s="2846"/>
      <c r="AR90" s="750"/>
      <c r="AS90" s="750"/>
      <c r="AT90" s="2845"/>
      <c r="AU90" s="750" t="s">
        <v>8889</v>
      </c>
      <c r="AV90" s="2846" t="s">
        <v>8889</v>
      </c>
      <c r="AW90" s="750"/>
      <c r="AX90" s="750" t="s">
        <v>8889</v>
      </c>
      <c r="AY90" s="2845"/>
      <c r="AZ90" s="2846"/>
      <c r="BA90" s="750"/>
      <c r="BB90" s="750"/>
      <c r="BC90" s="2845"/>
      <c r="BD90" s="2846"/>
      <c r="BE90" s="750"/>
      <c r="BF90" s="750"/>
      <c r="BG90" s="737"/>
      <c r="BH90" s="2845"/>
      <c r="BI90" s="2846"/>
      <c r="BJ90" s="750"/>
      <c r="BK90" s="750" t="s">
        <v>8885</v>
      </c>
      <c r="BL90" s="737"/>
      <c r="BM90" s="750"/>
      <c r="BN90" s="750"/>
      <c r="BO90" s="2845"/>
      <c r="BP90" s="750"/>
      <c r="BQ90" s="2846"/>
      <c r="BR90" s="750"/>
      <c r="BS90" s="750" t="s">
        <v>8889</v>
      </c>
      <c r="BT90" s="2845"/>
      <c r="BU90" s="750"/>
      <c r="BV90" s="750"/>
      <c r="BW90" s="2846" t="s">
        <v>8885</v>
      </c>
      <c r="BX90" s="750"/>
      <c r="BY90" s="750"/>
      <c r="BZ90" s="750"/>
      <c r="CA90" s="2845"/>
      <c r="CB90" s="750"/>
      <c r="CC90" s="2846"/>
      <c r="CD90" s="750"/>
      <c r="CE90" s="750"/>
      <c r="CF90" s="2845"/>
      <c r="CG90" s="750"/>
      <c r="CH90" s="2846"/>
      <c r="CI90" s="750"/>
      <c r="CJ90" s="750" t="s">
        <v>8853</v>
      </c>
      <c r="CK90" s="750"/>
      <c r="CL90" s="750" t="s">
        <v>8853</v>
      </c>
      <c r="CM90" s="2845"/>
      <c r="CN90" s="2846"/>
      <c r="CO90" s="750"/>
      <c r="CP90" s="750"/>
      <c r="CQ90" s="2845"/>
      <c r="CR90" s="750"/>
      <c r="CS90" s="2846"/>
      <c r="CT90" s="750"/>
      <c r="CU90" s="750"/>
      <c r="CV90" s="2845"/>
      <c r="CW90" s="750"/>
      <c r="CX90" s="2846"/>
      <c r="CY90" s="750"/>
      <c r="CZ90" s="2845"/>
      <c r="DA90" s="750"/>
      <c r="DB90" s="2846" t="s">
        <v>8885</v>
      </c>
      <c r="DC90" s="750"/>
      <c r="DD90" s="1885"/>
    </row>
    <row r="91" spans="1:108" ht="12.75" customHeight="1" x14ac:dyDescent="0.2">
      <c r="A91" s="2180">
        <v>91</v>
      </c>
      <c r="E91" s="1861">
        <v>54</v>
      </c>
      <c r="F91" s="754"/>
      <c r="G91" s="2845"/>
      <c r="H91" s="1971"/>
      <c r="I91" s="2846" t="s">
        <v>8886</v>
      </c>
      <c r="J91" s="750"/>
      <c r="K91" s="750" t="s">
        <v>8886</v>
      </c>
      <c r="L91" s="2845"/>
      <c r="M91" s="750"/>
      <c r="N91" s="2293"/>
      <c r="O91" s="750"/>
      <c r="P91" s="750"/>
      <c r="Q91" s="2845"/>
      <c r="R91" s="2846"/>
      <c r="S91" s="750"/>
      <c r="T91" s="2845"/>
      <c r="U91" s="2846"/>
      <c r="V91" s="750"/>
      <c r="W91" s="750"/>
      <c r="X91" s="2845"/>
      <c r="Y91" s="750"/>
      <c r="Z91" s="2846"/>
      <c r="AA91" s="750"/>
      <c r="AB91" s="750"/>
      <c r="AC91" s="2845"/>
      <c r="AD91" s="2846"/>
      <c r="AE91" s="750"/>
      <c r="AF91" s="750"/>
      <c r="AG91" s="750" t="s">
        <v>8885</v>
      </c>
      <c r="AH91" s="2845"/>
      <c r="AI91" s="750"/>
      <c r="AJ91" s="2846"/>
      <c r="AK91" s="750"/>
      <c r="AL91" s="750"/>
      <c r="AM91" s="750"/>
      <c r="AN91" s="750"/>
      <c r="AO91" s="2845"/>
      <c r="AP91" s="750"/>
      <c r="AQ91" s="2846"/>
      <c r="AR91" s="750"/>
      <c r="AS91" s="750"/>
      <c r="AT91" s="2845"/>
      <c r="AU91" s="750" t="s">
        <v>8888</v>
      </c>
      <c r="AV91" s="2846" t="s">
        <v>8888</v>
      </c>
      <c r="AW91" s="750"/>
      <c r="AX91" s="750" t="s">
        <v>8888</v>
      </c>
      <c r="AY91" s="2845"/>
      <c r="AZ91" s="2846"/>
      <c r="BA91" s="750"/>
      <c r="BB91" s="750"/>
      <c r="BC91" s="2845"/>
      <c r="BD91" s="2846"/>
      <c r="BE91" s="750"/>
      <c r="BF91" s="750"/>
      <c r="BG91" s="737"/>
      <c r="BH91" s="2845"/>
      <c r="BI91" s="2846"/>
      <c r="BJ91" s="750"/>
      <c r="BK91" s="750" t="s">
        <v>8886</v>
      </c>
      <c r="BL91" s="737"/>
      <c r="BM91" s="750"/>
      <c r="BN91" s="750"/>
      <c r="BO91" s="2845"/>
      <c r="BP91" s="750"/>
      <c r="BQ91" s="2846"/>
      <c r="BR91" s="750"/>
      <c r="BS91" s="750" t="s">
        <v>8888</v>
      </c>
      <c r="BT91" s="2845"/>
      <c r="BU91" s="750"/>
      <c r="BV91" s="750"/>
      <c r="BW91" s="2846" t="s">
        <v>8886</v>
      </c>
      <c r="BX91" s="750"/>
      <c r="BY91" s="750"/>
      <c r="BZ91" s="750"/>
      <c r="CA91" s="2845"/>
      <c r="CB91" s="750"/>
      <c r="CC91" s="2846"/>
      <c r="CD91" s="750"/>
      <c r="CE91" s="750"/>
      <c r="CF91" s="2845"/>
      <c r="CG91" s="750"/>
      <c r="CH91" s="2846"/>
      <c r="CI91" s="750"/>
      <c r="CJ91" s="750"/>
      <c r="CK91" s="750"/>
      <c r="CL91" s="750"/>
      <c r="CM91" s="2845"/>
      <c r="CN91" s="2846"/>
      <c r="CO91" s="750"/>
      <c r="CP91" s="750"/>
      <c r="CQ91" s="2845"/>
      <c r="CR91" s="750"/>
      <c r="CS91" s="2846"/>
      <c r="CT91" s="750"/>
      <c r="CU91" s="750"/>
      <c r="CV91" s="2845"/>
      <c r="CW91" s="750"/>
      <c r="CX91" s="2846"/>
      <c r="CY91" s="750"/>
      <c r="CZ91" s="2845"/>
      <c r="DA91" s="750"/>
      <c r="DB91" s="2846" t="s">
        <v>8886</v>
      </c>
      <c r="DC91" s="750"/>
      <c r="DD91" s="1885"/>
    </row>
    <row r="92" spans="1:108" ht="12.75" customHeight="1" x14ac:dyDescent="0.2">
      <c r="A92" s="2180">
        <v>92</v>
      </c>
      <c r="E92" s="1861">
        <v>55</v>
      </c>
      <c r="F92" s="1895"/>
      <c r="G92" s="2845"/>
      <c r="H92" s="1971"/>
      <c r="I92" s="2846"/>
      <c r="J92" s="750"/>
      <c r="K92" s="750"/>
      <c r="L92" s="2845"/>
      <c r="M92" s="750"/>
      <c r="N92" s="2293"/>
      <c r="O92" s="750"/>
      <c r="P92" s="750"/>
      <c r="Q92" s="2845"/>
      <c r="R92" s="2846"/>
      <c r="S92" s="750"/>
      <c r="T92" s="2845"/>
      <c r="U92" s="2846"/>
      <c r="V92" s="750"/>
      <c r="W92" s="750"/>
      <c r="X92" s="2845"/>
      <c r="Y92" s="750"/>
      <c r="Z92" s="2846"/>
      <c r="AA92" s="750"/>
      <c r="AB92" s="750"/>
      <c r="AC92" s="2845"/>
      <c r="AD92" s="2846"/>
      <c r="AE92" s="750"/>
      <c r="AF92" s="750"/>
      <c r="AG92" s="750" t="s">
        <v>9087</v>
      </c>
      <c r="AH92" s="2845"/>
      <c r="AI92" s="750"/>
      <c r="AJ92" s="2846"/>
      <c r="AK92" s="750"/>
      <c r="AL92" s="750"/>
      <c r="AM92" s="750"/>
      <c r="AN92" s="750"/>
      <c r="AO92" s="2845"/>
      <c r="AP92" s="750"/>
      <c r="AQ92" s="2846"/>
      <c r="AR92" s="750"/>
      <c r="AS92" s="750"/>
      <c r="AT92" s="2845"/>
      <c r="AU92" s="750"/>
      <c r="AV92" s="2846"/>
      <c r="AW92" s="750"/>
      <c r="AX92" s="750"/>
      <c r="AY92" s="2845"/>
      <c r="AZ92" s="2846"/>
      <c r="BA92" s="750"/>
      <c r="BB92" s="750"/>
      <c r="BC92" s="2845"/>
      <c r="BD92" s="2846"/>
      <c r="BE92" s="750"/>
      <c r="BF92" s="750"/>
      <c r="BG92" s="737"/>
      <c r="BH92" s="2845"/>
      <c r="BI92" s="2846"/>
      <c r="BJ92" s="750"/>
      <c r="BK92" s="750"/>
      <c r="BL92" s="737"/>
      <c r="BM92" s="750"/>
      <c r="BN92" s="750"/>
      <c r="BO92" s="2845"/>
      <c r="BP92" s="750"/>
      <c r="BQ92" s="2846"/>
      <c r="BR92" s="750"/>
      <c r="BS92" s="750"/>
      <c r="BT92" s="2845"/>
      <c r="BU92" s="750"/>
      <c r="BV92" s="750"/>
      <c r="BW92" s="2846"/>
      <c r="BX92" s="750"/>
      <c r="BY92" s="750"/>
      <c r="BZ92" s="750"/>
      <c r="CA92" s="2845"/>
      <c r="CB92" s="750"/>
      <c r="CC92" s="2846"/>
      <c r="CD92" s="750"/>
      <c r="CE92" s="750"/>
      <c r="CF92" s="2845"/>
      <c r="CG92" s="750"/>
      <c r="CH92" s="2846"/>
      <c r="CI92" s="750"/>
      <c r="CJ92" s="750"/>
      <c r="CK92" s="750"/>
      <c r="CL92" s="750"/>
      <c r="CM92" s="2845"/>
      <c r="CN92" s="2846"/>
      <c r="CO92" s="750"/>
      <c r="CP92" s="750"/>
      <c r="CQ92" s="2845"/>
      <c r="CR92" s="750"/>
      <c r="CS92" s="2846"/>
      <c r="CT92" s="750"/>
      <c r="CU92" s="750"/>
      <c r="CV92" s="2845"/>
      <c r="CW92" s="750"/>
      <c r="CX92" s="2846"/>
      <c r="CY92" s="750"/>
      <c r="CZ92" s="2845"/>
      <c r="DA92" s="750"/>
      <c r="DB92" s="2846"/>
      <c r="DC92" s="750"/>
      <c r="DD92" s="1885"/>
    </row>
    <row r="93" spans="1:108" ht="12.75" customHeight="1" thickBot="1" x14ac:dyDescent="0.25">
      <c r="A93" s="2180">
        <v>93</v>
      </c>
      <c r="E93" s="1861">
        <v>56</v>
      </c>
      <c r="F93" s="1886"/>
      <c r="G93" s="758"/>
      <c r="H93" s="1972"/>
      <c r="I93" s="758"/>
      <c r="J93" s="758"/>
      <c r="K93" s="758"/>
      <c r="L93" s="758"/>
      <c r="M93" s="758"/>
      <c r="N93" s="1972"/>
      <c r="O93" s="758"/>
      <c r="P93" s="758"/>
      <c r="Q93" s="758"/>
      <c r="R93" s="758"/>
      <c r="S93" s="758"/>
      <c r="T93" s="758"/>
      <c r="U93" s="758"/>
      <c r="V93" s="758"/>
      <c r="W93" s="758"/>
      <c r="X93" s="758"/>
      <c r="Y93" s="758"/>
      <c r="Z93" s="758"/>
      <c r="AA93" s="758"/>
      <c r="AB93" s="758"/>
      <c r="AC93" s="758"/>
      <c r="AD93" s="758"/>
      <c r="AE93" s="758"/>
      <c r="AF93" s="758"/>
      <c r="AG93" s="758" t="s">
        <v>8893</v>
      </c>
      <c r="AH93" s="758"/>
      <c r="AI93" s="758"/>
      <c r="AJ93" s="758"/>
      <c r="AK93" s="758"/>
      <c r="AL93" s="758"/>
      <c r="AM93" s="758"/>
      <c r="AN93" s="758"/>
      <c r="AO93" s="758"/>
      <c r="AP93" s="758"/>
      <c r="AQ93" s="758"/>
      <c r="AR93" s="758"/>
      <c r="AS93" s="758"/>
      <c r="AT93" s="758"/>
      <c r="AU93" s="758"/>
      <c r="AV93" s="758"/>
      <c r="AW93" s="758"/>
      <c r="AX93" s="758"/>
      <c r="AY93" s="758"/>
      <c r="AZ93" s="758"/>
      <c r="BA93" s="758"/>
      <c r="BB93" s="758"/>
      <c r="BC93" s="758"/>
      <c r="BD93" s="758"/>
      <c r="BE93" s="758"/>
      <c r="BF93" s="758"/>
      <c r="BG93" s="758"/>
      <c r="BH93" s="758"/>
      <c r="BI93" s="758"/>
      <c r="BJ93" s="758"/>
      <c r="BK93" s="758"/>
      <c r="BL93" s="758"/>
      <c r="BM93" s="758"/>
      <c r="BN93" s="758"/>
      <c r="BO93" s="758"/>
      <c r="BP93" s="758"/>
      <c r="BQ93" s="758"/>
      <c r="BR93" s="758"/>
      <c r="BS93" s="758"/>
      <c r="BT93" s="758"/>
      <c r="BU93" s="758"/>
      <c r="BV93" s="758"/>
      <c r="BW93" s="758"/>
      <c r="BX93" s="758"/>
      <c r="BY93" s="758"/>
      <c r="BZ93" s="758"/>
      <c r="CA93" s="758"/>
      <c r="CB93" s="758"/>
      <c r="CC93" s="758"/>
      <c r="CD93" s="758"/>
      <c r="CE93" s="758"/>
      <c r="CF93" s="758"/>
      <c r="CG93" s="758"/>
      <c r="CH93" s="758"/>
      <c r="CI93" s="758"/>
      <c r="CJ93" s="758"/>
      <c r="CK93" s="758"/>
      <c r="CL93" s="758"/>
      <c r="CM93" s="758"/>
      <c r="CN93" s="758"/>
      <c r="CO93" s="758"/>
      <c r="CP93" s="758"/>
      <c r="CQ93" s="758"/>
      <c r="CR93" s="758"/>
      <c r="CS93" s="758"/>
      <c r="CT93" s="758"/>
      <c r="CU93" s="758"/>
      <c r="CV93" s="758"/>
      <c r="CW93" s="758"/>
      <c r="CX93" s="758"/>
      <c r="CY93" s="758"/>
      <c r="CZ93" s="758"/>
      <c r="DA93" s="758"/>
      <c r="DB93" s="758"/>
      <c r="DC93" s="758"/>
      <c r="DD93" s="1887"/>
    </row>
    <row r="94" spans="1:108" ht="12.75" customHeight="1" thickBot="1" x14ac:dyDescent="0.25">
      <c r="A94" s="2181">
        <v>94</v>
      </c>
      <c r="B94" s="3082" t="s">
        <v>2909</v>
      </c>
      <c r="C94" s="3082"/>
      <c r="V94" s="1238"/>
      <c r="W94" s="1238"/>
      <c r="X94" s="1238"/>
      <c r="Y94" s="1238"/>
    </row>
    <row r="95" spans="1:108" ht="12.75" customHeight="1" thickBot="1" x14ac:dyDescent="0.25">
      <c r="A95" s="2181">
        <v>95</v>
      </c>
      <c r="B95" s="3082"/>
      <c r="C95" s="3082"/>
      <c r="E95" s="3082" t="s">
        <v>2935</v>
      </c>
      <c r="F95" s="3082"/>
      <c r="H95" s="4774" t="s">
        <v>2962</v>
      </c>
      <c r="I95" s="4774"/>
      <c r="J95" s="4774"/>
      <c r="L95" s="4792" t="s">
        <v>9107</v>
      </c>
      <c r="M95" s="4793"/>
      <c r="N95" s="4793"/>
      <c r="O95" s="4793"/>
      <c r="P95" s="4793"/>
      <c r="Q95" s="4794"/>
      <c r="V95" s="1238"/>
      <c r="W95" s="1238"/>
      <c r="X95" s="1238"/>
      <c r="Y95" s="1238"/>
    </row>
    <row r="96" spans="1:108" ht="12.75" customHeight="1" thickBot="1" x14ac:dyDescent="0.25">
      <c r="A96" s="2181">
        <v>96</v>
      </c>
      <c r="B96" s="466" t="s">
        <v>2910</v>
      </c>
      <c r="C96" s="75"/>
      <c r="E96" s="3082"/>
      <c r="F96" s="3082"/>
      <c r="H96" s="4774"/>
      <c r="I96" s="4774"/>
      <c r="J96" s="4774"/>
      <c r="L96" s="4795"/>
      <c r="M96" s="4796"/>
      <c r="N96" s="4796"/>
      <c r="O96" s="4796"/>
      <c r="P96" s="4796"/>
      <c r="Q96" s="4797"/>
      <c r="W96" s="1854"/>
    </row>
    <row r="97" spans="1:23" ht="12.75" customHeight="1" thickBot="1" x14ac:dyDescent="0.25">
      <c r="A97" s="2181">
        <v>97</v>
      </c>
      <c r="B97" s="467" t="s">
        <v>2912</v>
      </c>
      <c r="C97" s="223"/>
      <c r="E97" s="468" t="s">
        <v>2936</v>
      </c>
      <c r="F97" s="312">
        <f>IF(General!$N$23=Tablas!E97,1,0)</f>
        <v>0</v>
      </c>
      <c r="H97" s="1973" t="s">
        <v>2963</v>
      </c>
      <c r="I97" s="453" t="s">
        <v>2220</v>
      </c>
      <c r="J97" s="454" t="s">
        <v>2345</v>
      </c>
      <c r="L97" s="2152"/>
      <c r="M97" s="2806" t="s">
        <v>9117</v>
      </c>
      <c r="N97" s="2805" t="s">
        <v>9116</v>
      </c>
      <c r="O97" s="2805" t="s">
        <v>9111</v>
      </c>
      <c r="P97" s="2805" t="s">
        <v>9112</v>
      </c>
      <c r="Q97" s="2153" t="s">
        <v>1096</v>
      </c>
      <c r="W97" s="2847" t="s">
        <v>2552</v>
      </c>
    </row>
    <row r="98" spans="1:23" ht="12.75" customHeight="1" thickBot="1" x14ac:dyDescent="0.25">
      <c r="A98" s="2181">
        <v>98</v>
      </c>
      <c r="E98" s="467" t="s">
        <v>2937</v>
      </c>
      <c r="F98" s="223"/>
      <c r="H98" s="1974">
        <v>1</v>
      </c>
      <c r="I98" s="475">
        <v>-30</v>
      </c>
      <c r="J98" s="476">
        <v>1</v>
      </c>
      <c r="L98" s="2008" t="s">
        <v>9108</v>
      </c>
      <c r="M98" s="290">
        <f>VLOOKUP($L98&amp;$Q$104,$N$103:$P$111,2,FALSE)</f>
        <v>40</v>
      </c>
      <c r="N98" s="290">
        <f>VLOOKUP($L98&amp;$Q$104,$N$103:$P$111,3,FALSE)</f>
        <v>0.3</v>
      </c>
      <c r="O98" s="290">
        <f>1/4</f>
        <v>0.25</v>
      </c>
      <c r="P98" s="290"/>
      <c r="Q98" s="2123">
        <v>0</v>
      </c>
      <c r="W98" s="2848" t="s">
        <v>2553</v>
      </c>
    </row>
    <row r="99" spans="1:23" ht="12.75" customHeight="1" thickBot="1" x14ac:dyDescent="0.25">
      <c r="A99" s="2181">
        <v>99</v>
      </c>
      <c r="B99" s="3082" t="s">
        <v>2915</v>
      </c>
      <c r="C99" s="3082"/>
      <c r="H99" s="1975">
        <v>2</v>
      </c>
      <c r="I99" s="290">
        <v>-20</v>
      </c>
      <c r="J99" s="312">
        <v>2</v>
      </c>
      <c r="L99" s="2008" t="s">
        <v>2603</v>
      </c>
      <c r="M99" s="290">
        <f>VLOOKUP($L99&amp;$Q$104,$N$103:$P$111,2,FALSE)</f>
        <v>50</v>
      </c>
      <c r="N99" s="290">
        <f>VLOOKUP($L99&amp;$Q$104,$N$103:$P$111,3,FALSE)</f>
        <v>0.5</v>
      </c>
      <c r="O99" s="290">
        <v>0.5</v>
      </c>
      <c r="P99" s="290"/>
      <c r="Q99" s="2123">
        <v>1</v>
      </c>
      <c r="T99" s="4912" t="s">
        <v>9756</v>
      </c>
      <c r="U99" s="4913"/>
    </row>
    <row r="100" spans="1:23" ht="12.75" customHeight="1" thickBot="1" x14ac:dyDescent="0.25">
      <c r="A100" s="2180">
        <v>100</v>
      </c>
      <c r="B100" s="3082"/>
      <c r="C100" s="3082"/>
      <c r="H100" s="1975">
        <v>3</v>
      </c>
      <c r="I100" s="290">
        <v>-10</v>
      </c>
      <c r="J100" s="312">
        <v>3</v>
      </c>
      <c r="L100" s="2008" t="s">
        <v>9109</v>
      </c>
      <c r="M100" s="290">
        <f>VLOOKUP($L100&amp;$Q$104,$N$103:$P$111,2,FALSE)</f>
        <v>60</v>
      </c>
      <c r="N100" s="290">
        <f>VLOOKUP($L100&amp;$Q$104,$N$103:$P$111,3,FALSE)</f>
        <v>0.8</v>
      </c>
      <c r="O100" s="290">
        <v>1</v>
      </c>
      <c r="P100" s="290"/>
      <c r="Q100" s="2123">
        <v>1</v>
      </c>
      <c r="T100" s="2692">
        <v>0</v>
      </c>
      <c r="U100" s="2145">
        <v>0</v>
      </c>
    </row>
    <row r="101" spans="1:23" ht="12.75" customHeight="1" thickBot="1" x14ac:dyDescent="0.25">
      <c r="A101" s="2180">
        <v>101</v>
      </c>
      <c r="B101" s="468" t="s">
        <v>2918</v>
      </c>
      <c r="C101" s="75"/>
      <c r="H101" s="1975">
        <v>4</v>
      </c>
      <c r="I101" s="290">
        <v>-5</v>
      </c>
      <c r="J101" s="312">
        <v>4</v>
      </c>
      <c r="L101" s="2288" t="s">
        <v>9765</v>
      </c>
      <c r="M101" s="2009" t="s">
        <v>2310</v>
      </c>
      <c r="N101" s="2009" t="s">
        <v>2310</v>
      </c>
      <c r="O101" s="2009" t="s">
        <v>2310</v>
      </c>
      <c r="P101" s="2009" t="s">
        <v>2310</v>
      </c>
      <c r="Q101" s="2154" t="s">
        <v>2310</v>
      </c>
      <c r="T101" s="2692">
        <v>1</v>
      </c>
      <c r="U101" s="2145">
        <v>0</v>
      </c>
    </row>
    <row r="102" spans="1:23" ht="12.75" customHeight="1" thickBot="1" x14ac:dyDescent="0.25">
      <c r="A102" s="2180">
        <v>102</v>
      </c>
      <c r="B102" s="468" t="s">
        <v>2920</v>
      </c>
      <c r="C102" s="75"/>
      <c r="E102" s="3082" t="s">
        <v>2703</v>
      </c>
      <c r="F102" s="3082"/>
      <c r="G102" s="2691"/>
      <c r="H102" s="1975">
        <v>5</v>
      </c>
      <c r="I102" s="290">
        <v>0</v>
      </c>
      <c r="J102" s="312">
        <v>5</v>
      </c>
      <c r="L102" s="2158"/>
      <c r="M102" s="2161" t="s">
        <v>3049</v>
      </c>
      <c r="N102" s="2294" t="s">
        <v>9115</v>
      </c>
      <c r="O102" s="2162" t="s">
        <v>9110</v>
      </c>
      <c r="P102" s="2163" t="s">
        <v>3958</v>
      </c>
      <c r="Q102" s="2155" t="s">
        <v>9114</v>
      </c>
      <c r="T102" s="2692">
        <v>2</v>
      </c>
      <c r="U102" s="2145">
        <v>100</v>
      </c>
    </row>
    <row r="103" spans="1:23" ht="12.75" customHeight="1" thickBot="1" x14ac:dyDescent="0.25">
      <c r="A103" s="2181">
        <v>103</v>
      </c>
      <c r="B103" s="468" t="s">
        <v>2921</v>
      </c>
      <c r="C103" s="75"/>
      <c r="E103" s="3082"/>
      <c r="F103" s="3082"/>
      <c r="H103" s="1976">
        <v>6</v>
      </c>
      <c r="I103" s="290">
        <v>5</v>
      </c>
      <c r="J103" s="312">
        <v>6</v>
      </c>
      <c r="L103" s="2158" t="s">
        <v>9108</v>
      </c>
      <c r="M103" s="2164" t="s">
        <v>3066</v>
      </c>
      <c r="N103" s="2295" t="str">
        <f>L103&amp;M103</f>
        <v>BajoMístico</v>
      </c>
      <c r="O103" s="290">
        <v>40</v>
      </c>
      <c r="P103" s="2165">
        <f>0.3</f>
        <v>0.3</v>
      </c>
      <c r="Q103" s="2156" t="str">
        <f>IF(PDs!U5="","",VLOOKUP(PDs!U5,$C$189:$CG$210,83,FALSE))</f>
        <v>MísticoSin</v>
      </c>
      <c r="T103" s="2692">
        <v>3</v>
      </c>
      <c r="U103" s="2145">
        <v>225</v>
      </c>
    </row>
    <row r="104" spans="1:23" ht="12.75" customHeight="1" thickBot="1" x14ac:dyDescent="0.25">
      <c r="A104" s="2181">
        <v>104</v>
      </c>
      <c r="B104" s="468" t="s">
        <v>2922</v>
      </c>
      <c r="C104" s="75"/>
      <c r="E104" s="4798" t="s">
        <v>2911</v>
      </c>
      <c r="F104" s="4798"/>
      <c r="H104" s="1976">
        <v>7</v>
      </c>
      <c r="I104" s="290">
        <v>5</v>
      </c>
      <c r="J104" s="312">
        <v>7</v>
      </c>
      <c r="L104" s="2159" t="s">
        <v>9108</v>
      </c>
      <c r="M104" s="2164" t="s">
        <v>9113</v>
      </c>
      <c r="N104" s="2295" t="str">
        <f t="shared" ref="N104:N111" si="4">L104&amp;M104</f>
        <v>BajoMixto</v>
      </c>
      <c r="O104" s="290">
        <v>20</v>
      </c>
      <c r="P104" s="2165">
        <f>0.2</f>
        <v>0.2</v>
      </c>
      <c r="Q104" s="2157" t="str">
        <f>IF(Q103="MísticoSin","Místico",IF(ISNUMBER(SEARCH("Místico",Q103)),"Mixto","Otros"))</f>
        <v>Místico</v>
      </c>
      <c r="T104" s="2692">
        <v>4</v>
      </c>
      <c r="U104" s="2145">
        <v>375</v>
      </c>
    </row>
    <row r="105" spans="1:23" ht="12.75" customHeight="1" x14ac:dyDescent="0.2">
      <c r="A105" s="2181">
        <v>105</v>
      </c>
      <c r="B105" s="468" t="s">
        <v>2923</v>
      </c>
      <c r="C105" s="75"/>
      <c r="E105" s="4798" t="s">
        <v>2913</v>
      </c>
      <c r="F105" s="4798"/>
      <c r="H105" s="1976">
        <v>8</v>
      </c>
      <c r="I105" s="290">
        <v>10</v>
      </c>
      <c r="J105" s="312">
        <v>8</v>
      </c>
      <c r="L105" s="2159" t="s">
        <v>9108</v>
      </c>
      <c r="M105" s="2164" t="s">
        <v>8912</v>
      </c>
      <c r="N105" s="2295" t="str">
        <f t="shared" si="4"/>
        <v>BajoOtros</v>
      </c>
      <c r="O105" s="290">
        <v>0</v>
      </c>
      <c r="P105" s="2165">
        <v>0</v>
      </c>
      <c r="T105" s="2692">
        <v>5</v>
      </c>
      <c r="U105" s="2145">
        <v>550</v>
      </c>
    </row>
    <row r="106" spans="1:23" ht="12.75" customHeight="1" x14ac:dyDescent="0.2">
      <c r="A106" s="2180">
        <v>106</v>
      </c>
      <c r="B106" s="468" t="s">
        <v>2924</v>
      </c>
      <c r="C106" s="75"/>
      <c r="E106" s="4798" t="s">
        <v>2914</v>
      </c>
      <c r="F106" s="4798"/>
      <c r="H106" s="1976">
        <v>9</v>
      </c>
      <c r="I106" s="290">
        <v>10</v>
      </c>
      <c r="J106" s="312">
        <v>10</v>
      </c>
      <c r="L106" s="2158" t="s">
        <v>2603</v>
      </c>
      <c r="M106" s="2168" t="s">
        <v>3066</v>
      </c>
      <c r="N106" s="2296" t="str">
        <f t="shared" si="4"/>
        <v>MedioMístico</v>
      </c>
      <c r="O106" s="2169">
        <v>50</v>
      </c>
      <c r="P106" s="2170">
        <v>0.5</v>
      </c>
      <c r="T106" s="2692">
        <v>6</v>
      </c>
      <c r="U106" s="2145">
        <v>750</v>
      </c>
    </row>
    <row r="107" spans="1:23" ht="13.5" customHeight="1" thickBot="1" x14ac:dyDescent="0.25">
      <c r="A107" s="2180">
        <v>107</v>
      </c>
      <c r="B107" s="468" t="s">
        <v>2925</v>
      </c>
      <c r="C107" s="75"/>
      <c r="E107" s="4798" t="s">
        <v>2916</v>
      </c>
      <c r="F107" s="4798"/>
      <c r="H107" s="1975">
        <v>10</v>
      </c>
      <c r="I107" s="290">
        <v>15</v>
      </c>
      <c r="J107" s="312">
        <v>15</v>
      </c>
      <c r="L107" s="2159" t="s">
        <v>2603</v>
      </c>
      <c r="M107" s="2164" t="s">
        <v>9113</v>
      </c>
      <c r="N107" s="2295" t="str">
        <f t="shared" si="4"/>
        <v>MedioMixto</v>
      </c>
      <c r="O107" s="290">
        <v>40</v>
      </c>
      <c r="P107" s="2165">
        <v>0.4</v>
      </c>
      <c r="T107" s="2692">
        <v>7</v>
      </c>
      <c r="U107" s="2145">
        <v>975</v>
      </c>
    </row>
    <row r="108" spans="1:23" ht="12.75" customHeight="1" x14ac:dyDescent="0.2">
      <c r="A108" s="2180">
        <v>108</v>
      </c>
      <c r="B108" s="468" t="s">
        <v>2926</v>
      </c>
      <c r="C108" s="75"/>
      <c r="E108" s="4798" t="s">
        <v>2917</v>
      </c>
      <c r="F108" s="4798"/>
      <c r="H108" s="1976">
        <v>11</v>
      </c>
      <c r="I108" s="290">
        <v>20</v>
      </c>
      <c r="J108" s="312">
        <v>20</v>
      </c>
      <c r="L108" s="2160" t="s">
        <v>2603</v>
      </c>
      <c r="M108" s="2166" t="s">
        <v>8912</v>
      </c>
      <c r="N108" s="2297" t="str">
        <f t="shared" si="4"/>
        <v>MedioOtros</v>
      </c>
      <c r="O108" s="2167">
        <v>10</v>
      </c>
      <c r="P108" s="2167">
        <v>0.1</v>
      </c>
      <c r="Q108" s="4914" t="s">
        <v>9858</v>
      </c>
      <c r="T108" s="2692">
        <v>8</v>
      </c>
      <c r="U108" s="2145">
        <v>1225</v>
      </c>
    </row>
    <row r="109" spans="1:23" ht="12.75" customHeight="1" thickBot="1" x14ac:dyDescent="0.25">
      <c r="A109" s="2181">
        <v>109</v>
      </c>
      <c r="B109" s="468" t="s">
        <v>2927</v>
      </c>
      <c r="C109" s="75"/>
      <c r="E109" s="4782" t="s">
        <v>2919</v>
      </c>
      <c r="F109" s="4782"/>
      <c r="H109" s="1976">
        <v>12</v>
      </c>
      <c r="I109" s="290">
        <v>20</v>
      </c>
      <c r="J109" s="312">
        <v>30</v>
      </c>
      <c r="L109" s="2159" t="s">
        <v>9109</v>
      </c>
      <c r="M109" s="2164" t="s">
        <v>3066</v>
      </c>
      <c r="N109" s="2295" t="str">
        <f t="shared" si="4"/>
        <v>AltoMístico</v>
      </c>
      <c r="O109" s="290">
        <v>60</v>
      </c>
      <c r="P109" s="290">
        <v>0.8</v>
      </c>
      <c r="Q109" s="4915"/>
      <c r="T109" s="2692">
        <v>9</v>
      </c>
      <c r="U109" s="2145">
        <v>1500</v>
      </c>
    </row>
    <row r="110" spans="1:23" ht="12.75" customHeight="1" thickBot="1" x14ac:dyDescent="0.25">
      <c r="A110" s="2181">
        <v>110</v>
      </c>
      <c r="B110" s="468" t="s">
        <v>2928</v>
      </c>
      <c r="C110" s="75"/>
      <c r="H110" s="1976">
        <v>13</v>
      </c>
      <c r="I110" s="290">
        <v>25</v>
      </c>
      <c r="J110" s="312">
        <v>40</v>
      </c>
      <c r="L110" s="2159" t="s">
        <v>9109</v>
      </c>
      <c r="M110" s="2164" t="s">
        <v>9113</v>
      </c>
      <c r="N110" s="2295" t="str">
        <f t="shared" si="4"/>
        <v>AltoMixto</v>
      </c>
      <c r="O110" s="290">
        <v>50</v>
      </c>
      <c r="P110" s="290">
        <v>0.6</v>
      </c>
      <c r="Q110" s="4916" t="b">
        <f>AND(Nivel_Sobrenatural&lt;&gt;Tablas!L101,General!$V$12="")</f>
        <v>0</v>
      </c>
      <c r="T110" s="2692">
        <v>10</v>
      </c>
      <c r="U110" s="2145">
        <v>1800</v>
      </c>
    </row>
    <row r="111" spans="1:23" ht="12.75" customHeight="1" thickBot="1" x14ac:dyDescent="0.25">
      <c r="A111" s="2181">
        <v>111</v>
      </c>
      <c r="B111" s="468" t="s">
        <v>2929</v>
      </c>
      <c r="C111" s="75"/>
      <c r="E111" s="3082" t="s">
        <v>9584</v>
      </c>
      <c r="F111" s="3082"/>
      <c r="H111" s="1976">
        <v>14</v>
      </c>
      <c r="I111" s="290">
        <v>25</v>
      </c>
      <c r="J111" s="312">
        <v>50</v>
      </c>
      <c r="L111" s="2160" t="s">
        <v>9109</v>
      </c>
      <c r="M111" s="2166" t="s">
        <v>8912</v>
      </c>
      <c r="N111" s="2297" t="str">
        <f t="shared" si="4"/>
        <v>AltoOtros</v>
      </c>
      <c r="O111" s="2167">
        <v>20</v>
      </c>
      <c r="P111" s="2167">
        <v>0.25</v>
      </c>
      <c r="Q111" s="4917"/>
      <c r="T111" s="2692">
        <v>11</v>
      </c>
      <c r="U111" s="2145">
        <v>2125</v>
      </c>
    </row>
    <row r="112" spans="1:23" ht="12.75" customHeight="1" thickBot="1" x14ac:dyDescent="0.25">
      <c r="A112" s="2181">
        <v>112</v>
      </c>
      <c r="B112" s="468" t="s">
        <v>2930</v>
      </c>
      <c r="C112" s="75"/>
      <c r="E112" s="3082"/>
      <c r="F112" s="3082"/>
      <c r="H112" s="1975">
        <v>15</v>
      </c>
      <c r="I112" s="290">
        <v>30</v>
      </c>
      <c r="J112" s="312">
        <v>60</v>
      </c>
      <c r="T112" s="2692">
        <v>12</v>
      </c>
      <c r="U112" s="2145">
        <v>2475</v>
      </c>
    </row>
    <row r="113" spans="1:22" ht="12.75" customHeight="1" x14ac:dyDescent="0.2">
      <c r="A113" s="2181">
        <v>113</v>
      </c>
      <c r="B113" s="468" t="s">
        <v>2931</v>
      </c>
      <c r="C113" s="75"/>
      <c r="E113" s="466" t="s">
        <v>3090</v>
      </c>
      <c r="F113" s="75"/>
      <c r="H113" s="1975">
        <v>16</v>
      </c>
      <c r="I113" s="290">
        <v>35</v>
      </c>
      <c r="J113" s="312">
        <v>70</v>
      </c>
      <c r="P113" s="3945" t="s">
        <v>9754</v>
      </c>
      <c r="Q113" s="3941"/>
      <c r="T113" s="2692">
        <v>13</v>
      </c>
      <c r="U113" s="2145">
        <v>2850</v>
      </c>
    </row>
    <row r="114" spans="1:22" ht="12.75" customHeight="1" thickBot="1" x14ac:dyDescent="0.25">
      <c r="A114" s="2181">
        <v>114</v>
      </c>
      <c r="B114" s="468" t="s">
        <v>2932</v>
      </c>
      <c r="C114" s="75"/>
      <c r="E114" s="467" t="s">
        <v>2234</v>
      </c>
      <c r="F114" s="223"/>
      <c r="H114" s="1976">
        <v>17</v>
      </c>
      <c r="I114" s="290">
        <v>35</v>
      </c>
      <c r="J114" s="312">
        <v>80</v>
      </c>
      <c r="P114" s="4828"/>
      <c r="Q114" s="4829"/>
      <c r="T114" s="2692">
        <v>14</v>
      </c>
      <c r="U114" s="2145">
        <v>3250</v>
      </c>
    </row>
    <row r="115" spans="1:22" ht="12.75" customHeight="1" x14ac:dyDescent="0.2">
      <c r="A115" s="2180">
        <v>115</v>
      </c>
      <c r="B115" s="468" t="s">
        <v>2933</v>
      </c>
      <c r="C115" s="75"/>
      <c r="H115" s="1976">
        <v>18</v>
      </c>
      <c r="I115" s="290">
        <v>40</v>
      </c>
      <c r="J115" s="312">
        <v>90</v>
      </c>
      <c r="P115" s="2104" t="s">
        <v>2230</v>
      </c>
      <c r="Q115" s="2012"/>
      <c r="T115" s="2692">
        <v>15</v>
      </c>
      <c r="U115" s="2145">
        <v>3675</v>
      </c>
    </row>
    <row r="116" spans="1:22" ht="12.75" customHeight="1" thickBot="1" x14ac:dyDescent="0.25">
      <c r="A116" s="2180">
        <v>116</v>
      </c>
      <c r="B116" s="467" t="s">
        <v>2934</v>
      </c>
      <c r="C116" s="223"/>
      <c r="H116" s="1977">
        <v>19</v>
      </c>
      <c r="I116" s="290">
        <v>40</v>
      </c>
      <c r="J116" s="312">
        <v>100</v>
      </c>
      <c r="P116" s="2105" t="s">
        <v>1671</v>
      </c>
      <c r="Q116" s="2014"/>
      <c r="T116" s="2692">
        <v>16</v>
      </c>
      <c r="U116" s="2145">
        <f>U115+450+25*MAX(0,T116-16)</f>
        <v>4125</v>
      </c>
      <c r="V116" s="2804">
        <f>25*MAX(0,T116-16)</f>
        <v>0</v>
      </c>
    </row>
    <row r="117" spans="1:22" ht="12.75" customHeight="1" thickBot="1" x14ac:dyDescent="0.25">
      <c r="A117" s="2180">
        <v>117</v>
      </c>
      <c r="H117" s="1978">
        <v>20</v>
      </c>
      <c r="I117" s="473">
        <v>45</v>
      </c>
      <c r="J117" s="465">
        <v>150</v>
      </c>
      <c r="T117" s="2692">
        <v>17</v>
      </c>
      <c r="U117" s="2145">
        <f t="shared" ref="U117:U130" si="5">U116+450+25*MAX(0,T117-16)</f>
        <v>4600</v>
      </c>
      <c r="V117" s="2804">
        <f t="shared" ref="V117:V130" si="6">25*MAX(0,T117-16)</f>
        <v>25</v>
      </c>
    </row>
    <row r="118" spans="1:22" ht="12.75" customHeight="1" x14ac:dyDescent="0.2">
      <c r="A118" s="2181">
        <v>118</v>
      </c>
      <c r="T118" s="2692">
        <v>18</v>
      </c>
      <c r="U118" s="2145">
        <f t="shared" si="5"/>
        <v>5100</v>
      </c>
      <c r="V118" s="2804">
        <f t="shared" si="6"/>
        <v>50</v>
      </c>
    </row>
    <row r="119" spans="1:22" ht="12.75" customHeight="1" thickBot="1" x14ac:dyDescent="0.25">
      <c r="A119" s="2181">
        <v>119</v>
      </c>
      <c r="T119" s="2692">
        <v>19</v>
      </c>
      <c r="U119" s="2145">
        <f t="shared" si="5"/>
        <v>5625</v>
      </c>
      <c r="V119" s="2804">
        <f t="shared" si="6"/>
        <v>75</v>
      </c>
    </row>
    <row r="120" spans="1:22" ht="12.75" customHeight="1" thickBot="1" x14ac:dyDescent="0.25">
      <c r="A120" s="2181">
        <v>120</v>
      </c>
      <c r="B120" s="4774" t="s">
        <v>2938</v>
      </c>
      <c r="C120" s="4774"/>
      <c r="D120" s="4774"/>
      <c r="E120" s="4774"/>
      <c r="F120" s="4774"/>
      <c r="G120" s="4774"/>
      <c r="H120" s="4774"/>
      <c r="I120" s="4774"/>
      <c r="J120" s="4774"/>
      <c r="K120" s="4774"/>
      <c r="M120" s="3082" t="s">
        <v>2952</v>
      </c>
      <c r="N120" s="3082"/>
      <c r="T120" s="2692">
        <v>20</v>
      </c>
      <c r="U120" s="2145">
        <f t="shared" si="5"/>
        <v>6175</v>
      </c>
      <c r="V120" s="2804">
        <f t="shared" si="6"/>
        <v>100</v>
      </c>
    </row>
    <row r="121" spans="1:22" ht="12.75" customHeight="1" thickBot="1" x14ac:dyDescent="0.25">
      <c r="A121" s="2180">
        <v>121</v>
      </c>
      <c r="B121" s="4774"/>
      <c r="C121" s="4774"/>
      <c r="D121" s="4774"/>
      <c r="E121" s="4774"/>
      <c r="F121" s="4774"/>
      <c r="G121" s="4774"/>
      <c r="H121" s="4774"/>
      <c r="I121" s="4774"/>
      <c r="J121" s="4774"/>
      <c r="K121" s="4774"/>
      <c r="M121" s="3082"/>
      <c r="N121" s="3082"/>
      <c r="T121" s="2692">
        <v>21</v>
      </c>
      <c r="U121" s="2145">
        <f t="shared" si="5"/>
        <v>6750</v>
      </c>
      <c r="V121" s="2804">
        <f t="shared" si="6"/>
        <v>125</v>
      </c>
    </row>
    <row r="122" spans="1:22" ht="12.75" customHeight="1" thickBot="1" x14ac:dyDescent="0.25">
      <c r="A122" s="2180">
        <v>122</v>
      </c>
      <c r="B122" s="469" t="s">
        <v>2939</v>
      </c>
      <c r="C122" s="470" t="s">
        <v>2787</v>
      </c>
      <c r="D122" s="470" t="s">
        <v>2940</v>
      </c>
      <c r="E122" s="470" t="s">
        <v>2941</v>
      </c>
      <c r="F122" s="470" t="s">
        <v>2942</v>
      </c>
      <c r="G122" s="470" t="s">
        <v>2405</v>
      </c>
      <c r="H122" s="1979" t="s">
        <v>2943</v>
      </c>
      <c r="I122" s="2868" t="s">
        <v>2944</v>
      </c>
      <c r="J122" s="470" t="s">
        <v>2436</v>
      </c>
      <c r="K122" s="471" t="s">
        <v>2945</v>
      </c>
      <c r="M122" s="468" t="s">
        <v>2953</v>
      </c>
      <c r="N122" s="373"/>
      <c r="T122" s="2692">
        <v>22</v>
      </c>
      <c r="U122" s="2145">
        <f t="shared" si="5"/>
        <v>7350</v>
      </c>
      <c r="V122" s="2804">
        <f t="shared" si="6"/>
        <v>150</v>
      </c>
    </row>
    <row r="123" spans="1:22" ht="12.75" customHeight="1" x14ac:dyDescent="0.2">
      <c r="A123" s="2180">
        <v>123</v>
      </c>
      <c r="B123" s="293">
        <v>-5</v>
      </c>
      <c r="C123" s="290" t="s">
        <v>2946</v>
      </c>
      <c r="D123" s="290">
        <v>40</v>
      </c>
      <c r="E123" s="290">
        <v>-4</v>
      </c>
      <c r="F123" s="290">
        <v>1</v>
      </c>
      <c r="G123" s="290">
        <v>1</v>
      </c>
      <c r="H123" s="333">
        <f>5</f>
        <v>5</v>
      </c>
      <c r="I123" s="290">
        <f>20-IF(Raza="Daimah",10,0)</f>
        <v>20</v>
      </c>
      <c r="J123" s="290">
        <v>-4</v>
      </c>
      <c r="K123" s="312">
        <v>4</v>
      </c>
      <c r="M123" s="468" t="s">
        <v>2954</v>
      </c>
      <c r="N123" s="373"/>
      <c r="T123" s="2692">
        <v>23</v>
      </c>
      <c r="U123" s="2145">
        <f t="shared" si="5"/>
        <v>7975</v>
      </c>
      <c r="V123" s="2804">
        <f t="shared" si="6"/>
        <v>175</v>
      </c>
    </row>
    <row r="124" spans="1:22" ht="12.75" customHeight="1" x14ac:dyDescent="0.2">
      <c r="A124" s="2181">
        <v>124</v>
      </c>
      <c r="B124" s="293">
        <v>1</v>
      </c>
      <c r="C124" s="290" t="s">
        <v>2946</v>
      </c>
      <c r="D124" s="290">
        <v>40</v>
      </c>
      <c r="E124" s="290">
        <v>-4</v>
      </c>
      <c r="F124" s="290">
        <v>1</v>
      </c>
      <c r="G124" s="290">
        <v>1</v>
      </c>
      <c r="H124" s="333">
        <f>5</f>
        <v>5</v>
      </c>
      <c r="I124" s="290">
        <f>20-IF(Raza="Daimah",10,0)</f>
        <v>20</v>
      </c>
      <c r="J124" s="290">
        <v>-4</v>
      </c>
      <c r="K124" s="312">
        <v>4</v>
      </c>
      <c r="M124" s="468" t="s">
        <v>2955</v>
      </c>
      <c r="N124" s="373"/>
      <c r="T124" s="2692">
        <v>24</v>
      </c>
      <c r="U124" s="2145">
        <f t="shared" si="5"/>
        <v>8625</v>
      </c>
      <c r="V124" s="2804">
        <f t="shared" si="6"/>
        <v>200</v>
      </c>
    </row>
    <row r="125" spans="1:22" ht="12.75" customHeight="1" x14ac:dyDescent="0.2">
      <c r="A125" s="2181">
        <v>125</v>
      </c>
      <c r="B125" s="293">
        <v>4</v>
      </c>
      <c r="C125" s="290" t="s">
        <v>2947</v>
      </c>
      <c r="D125" s="290">
        <v>30</v>
      </c>
      <c r="E125" s="290">
        <v>-2</v>
      </c>
      <c r="F125" s="290">
        <v>2</v>
      </c>
      <c r="G125" s="290">
        <v>2</v>
      </c>
      <c r="H125" s="333">
        <f>10</f>
        <v>10</v>
      </c>
      <c r="I125" s="290">
        <f>30-IF(Raza="Daimah",10,0)</f>
        <v>30</v>
      </c>
      <c r="J125" s="290">
        <v>-2</v>
      </c>
      <c r="K125" s="312">
        <v>8</v>
      </c>
      <c r="M125" s="468" t="s">
        <v>2956</v>
      </c>
      <c r="N125" s="373"/>
      <c r="T125" s="2692">
        <v>25</v>
      </c>
      <c r="U125" s="2145">
        <f t="shared" si="5"/>
        <v>9300</v>
      </c>
      <c r="V125" s="2804">
        <f t="shared" si="6"/>
        <v>225</v>
      </c>
    </row>
    <row r="126" spans="1:22" ht="12.75" customHeight="1" x14ac:dyDescent="0.2">
      <c r="A126" s="2181">
        <v>126</v>
      </c>
      <c r="B126" s="293">
        <v>9</v>
      </c>
      <c r="C126" s="290" t="s">
        <v>2603</v>
      </c>
      <c r="D126" s="290">
        <v>20</v>
      </c>
      <c r="E126" s="290">
        <v>0</v>
      </c>
      <c r="F126" s="290">
        <v>5</v>
      </c>
      <c r="G126" s="290">
        <v>3</v>
      </c>
      <c r="H126" s="333">
        <f>15</f>
        <v>15</v>
      </c>
      <c r="I126" s="290">
        <f>40-IF(Raza="Daimah",10,0)</f>
        <v>40</v>
      </c>
      <c r="J126" s="290">
        <v>0</v>
      </c>
      <c r="K126" s="312">
        <v>12</v>
      </c>
      <c r="M126" s="468" t="s">
        <v>2957</v>
      </c>
      <c r="N126" s="373"/>
      <c r="T126" s="2692">
        <v>26</v>
      </c>
      <c r="U126" s="2145">
        <f t="shared" si="5"/>
        <v>10000</v>
      </c>
      <c r="V126" s="2804">
        <f t="shared" si="6"/>
        <v>250</v>
      </c>
    </row>
    <row r="127" spans="1:22" ht="12.75" customHeight="1" x14ac:dyDescent="0.2">
      <c r="A127" s="2181">
        <v>127</v>
      </c>
      <c r="B127" s="293">
        <v>23</v>
      </c>
      <c r="C127" s="290" t="s">
        <v>2948</v>
      </c>
      <c r="D127" s="290">
        <v>10</v>
      </c>
      <c r="E127" s="290">
        <v>0</v>
      </c>
      <c r="F127" s="290">
        <v>5</v>
      </c>
      <c r="G127" s="290">
        <v>4</v>
      </c>
      <c r="H127" s="333">
        <f>20</f>
        <v>20</v>
      </c>
      <c r="I127" s="290">
        <f>60-IF(Raza="Daimah",10,0)</f>
        <v>60</v>
      </c>
      <c r="J127" s="290">
        <v>4</v>
      </c>
      <c r="K127" s="312">
        <v>16</v>
      </c>
      <c r="M127" s="468" t="s">
        <v>2958</v>
      </c>
      <c r="N127" s="373"/>
      <c r="T127" s="2692">
        <v>27</v>
      </c>
      <c r="U127" s="2145">
        <f t="shared" si="5"/>
        <v>10725</v>
      </c>
      <c r="V127" s="2804">
        <f t="shared" si="6"/>
        <v>275</v>
      </c>
    </row>
    <row r="128" spans="1:22" ht="12.75" customHeight="1" x14ac:dyDescent="0.2">
      <c r="A128" s="2181">
        <v>128</v>
      </c>
      <c r="B128" s="293">
        <v>25</v>
      </c>
      <c r="C128" s="290" t="s">
        <v>2949</v>
      </c>
      <c r="D128" s="290">
        <v>0</v>
      </c>
      <c r="E128" s="290">
        <v>1</v>
      </c>
      <c r="F128" s="290">
        <v>10</v>
      </c>
      <c r="G128" s="290">
        <v>6</v>
      </c>
      <c r="H128" s="333">
        <f>30</f>
        <v>30</v>
      </c>
      <c r="I128" s="290">
        <f>100-IF(Raza="Daimah",10,0)</f>
        <v>100</v>
      </c>
      <c r="J128" s="290">
        <v>8</v>
      </c>
      <c r="K128" s="312">
        <v>20</v>
      </c>
      <c r="M128" s="468" t="s">
        <v>2959</v>
      </c>
      <c r="N128" s="373"/>
      <c r="T128" s="2692">
        <v>28</v>
      </c>
      <c r="U128" s="2145">
        <f t="shared" si="5"/>
        <v>11475</v>
      </c>
      <c r="V128" s="2804">
        <f t="shared" si="6"/>
        <v>300</v>
      </c>
    </row>
    <row r="129" spans="1:22" ht="12.75" customHeight="1" x14ac:dyDescent="0.2">
      <c r="A129" s="2181">
        <v>129</v>
      </c>
      <c r="B129" s="293">
        <v>29</v>
      </c>
      <c r="C129" s="290" t="s">
        <v>2950</v>
      </c>
      <c r="D129" s="290">
        <v>-10</v>
      </c>
      <c r="E129" s="290">
        <v>2</v>
      </c>
      <c r="F129" s="290">
        <v>15</v>
      </c>
      <c r="G129" s="290">
        <v>8</v>
      </c>
      <c r="H129" s="333">
        <f>40</f>
        <v>40</v>
      </c>
      <c r="I129" s="290">
        <f>120-IF(Raza="Daimah",10,0)</f>
        <v>120</v>
      </c>
      <c r="J129" s="290">
        <v>12</v>
      </c>
      <c r="K129" s="312">
        <v>28</v>
      </c>
      <c r="M129" s="468" t="s">
        <v>2960</v>
      </c>
      <c r="N129" s="373"/>
      <c r="T129" s="2692">
        <v>29</v>
      </c>
      <c r="U129" s="2145">
        <f t="shared" si="5"/>
        <v>12250</v>
      </c>
      <c r="V129" s="2804">
        <f t="shared" si="6"/>
        <v>325</v>
      </c>
    </row>
    <row r="130" spans="1:22" ht="12.75" customHeight="1" thickBot="1" x14ac:dyDescent="0.25">
      <c r="A130" s="2180">
        <v>130</v>
      </c>
      <c r="B130" s="472">
        <v>34</v>
      </c>
      <c r="C130" s="473" t="s">
        <v>2951</v>
      </c>
      <c r="D130" s="473">
        <v>-20</v>
      </c>
      <c r="E130" s="473">
        <v>3</v>
      </c>
      <c r="F130" s="473">
        <v>20</v>
      </c>
      <c r="G130" s="473">
        <v>10</v>
      </c>
      <c r="H130" s="1980">
        <f>60</f>
        <v>60</v>
      </c>
      <c r="I130" s="473">
        <f>140-IF(Raza="Daimah",10,0)</f>
        <v>140</v>
      </c>
      <c r="J130" s="473">
        <v>16</v>
      </c>
      <c r="K130" s="465">
        <v>34</v>
      </c>
      <c r="M130" s="467" t="s">
        <v>2961</v>
      </c>
      <c r="N130" s="1986"/>
      <c r="T130" s="2693">
        <v>30</v>
      </c>
      <c r="U130" s="2694">
        <f t="shared" si="5"/>
        <v>13050</v>
      </c>
      <c r="V130" s="2804">
        <f t="shared" si="6"/>
        <v>350</v>
      </c>
    </row>
    <row r="131" spans="1:22" ht="12.75" customHeight="1" x14ac:dyDescent="0.2">
      <c r="A131" s="2180">
        <v>131</v>
      </c>
      <c r="T131" s="2657"/>
    </row>
    <row r="132" spans="1:22" ht="12.75" customHeight="1" x14ac:dyDescent="0.2">
      <c r="A132" s="2180">
        <v>132</v>
      </c>
    </row>
    <row r="133" spans="1:22" ht="12.75" customHeight="1" x14ac:dyDescent="0.2">
      <c r="A133" s="2181">
        <v>133</v>
      </c>
    </row>
    <row r="134" spans="1:22" ht="12.75" customHeight="1" x14ac:dyDescent="0.2">
      <c r="A134" s="2181">
        <v>134</v>
      </c>
    </row>
    <row r="135" spans="1:22" ht="12.75" customHeight="1" x14ac:dyDescent="0.2">
      <c r="A135" s="2181">
        <v>135</v>
      </c>
    </row>
    <row r="136" spans="1:22" ht="12.75" customHeight="1" thickBot="1" x14ac:dyDescent="0.25">
      <c r="A136" s="2180">
        <v>136</v>
      </c>
    </row>
    <row r="137" spans="1:22" ht="12.75" customHeight="1" thickBot="1" x14ac:dyDescent="0.25">
      <c r="A137" s="2180">
        <v>137</v>
      </c>
      <c r="B137" s="4799" t="s">
        <v>3004</v>
      </c>
      <c r="C137" s="4799"/>
      <c r="D137" s="4799"/>
      <c r="E137" s="4799"/>
      <c r="G137" s="3067" t="s">
        <v>2964</v>
      </c>
      <c r="H137" s="3067"/>
      <c r="I137" s="3067"/>
      <c r="J137" s="3067"/>
      <c r="K137" s="3067"/>
      <c r="M137" s="4783" t="s">
        <v>9881</v>
      </c>
      <c r="N137" s="4784"/>
    </row>
    <row r="138" spans="1:22" ht="12.75" customHeight="1" x14ac:dyDescent="0.2">
      <c r="A138" s="2180">
        <v>138</v>
      </c>
      <c r="B138" s="4799"/>
      <c r="C138" s="4799"/>
      <c r="D138" s="4799"/>
      <c r="E138" s="4799"/>
      <c r="G138" s="3067"/>
      <c r="H138" s="3067"/>
      <c r="I138" s="3067"/>
      <c r="J138" s="3067"/>
      <c r="K138" s="3067"/>
      <c r="M138" s="4785"/>
      <c r="N138" s="4786"/>
    </row>
    <row r="139" spans="1:22" ht="12.75" customHeight="1" thickBot="1" x14ac:dyDescent="0.25">
      <c r="A139" s="2181">
        <v>139</v>
      </c>
      <c r="B139" s="452" t="s">
        <v>2236</v>
      </c>
      <c r="C139" s="453" t="s">
        <v>3005</v>
      </c>
      <c r="D139" s="453" t="s">
        <v>3006</v>
      </c>
      <c r="E139" s="454" t="s">
        <v>3007</v>
      </c>
      <c r="G139" s="452" t="s">
        <v>2354</v>
      </c>
      <c r="H139" s="1979" t="s">
        <v>2221</v>
      </c>
      <c r="I139" s="4789" t="s">
        <v>2965</v>
      </c>
      <c r="J139" s="4789"/>
      <c r="K139" s="471" t="s">
        <v>2966</v>
      </c>
      <c r="M139" s="2225">
        <v>0</v>
      </c>
      <c r="N139" s="2123" t="s">
        <v>2310</v>
      </c>
      <c r="O139" s="2180">
        <v>1</v>
      </c>
    </row>
    <row r="140" spans="1:22" ht="12.75" customHeight="1" x14ac:dyDescent="0.2">
      <c r="A140" s="2181">
        <v>140</v>
      </c>
      <c r="B140" s="477">
        <v>1</v>
      </c>
      <c r="C140" s="290">
        <v>0</v>
      </c>
      <c r="D140" s="290">
        <v>0.5</v>
      </c>
      <c r="E140" s="312">
        <v>1</v>
      </c>
      <c r="G140" s="293">
        <v>1</v>
      </c>
      <c r="H140" s="333">
        <v>0</v>
      </c>
      <c r="I140" s="4775" t="s">
        <v>2967</v>
      </c>
      <c r="J140" s="4775"/>
      <c r="K140" s="481" t="s">
        <v>2967</v>
      </c>
      <c r="M140" s="2225">
        <v>20</v>
      </c>
      <c r="N140" s="2123" t="s">
        <v>9882</v>
      </c>
      <c r="O140" s="2180">
        <v>2</v>
      </c>
      <c r="P140" s="2757"/>
    </row>
    <row r="141" spans="1:22" ht="12.75" customHeight="1" x14ac:dyDescent="0.2">
      <c r="A141" s="2181">
        <v>141</v>
      </c>
      <c r="B141" s="477">
        <v>2</v>
      </c>
      <c r="C141" s="290">
        <v>0</v>
      </c>
      <c r="D141" s="290">
        <v>5</v>
      </c>
      <c r="E141" s="312">
        <v>10</v>
      </c>
      <c r="G141" s="293">
        <v>2</v>
      </c>
      <c r="H141" s="333">
        <v>0</v>
      </c>
      <c r="I141" s="4775" t="s">
        <v>2967</v>
      </c>
      <c r="J141" s="4775"/>
      <c r="K141" s="481" t="s">
        <v>2967</v>
      </c>
      <c r="M141" s="2225">
        <v>40</v>
      </c>
      <c r="N141" s="2123" t="s">
        <v>9883</v>
      </c>
      <c r="O141" s="2180">
        <v>3</v>
      </c>
    </row>
    <row r="142" spans="1:22" ht="12.75" customHeight="1" x14ac:dyDescent="0.2">
      <c r="A142" s="2181">
        <v>142</v>
      </c>
      <c r="B142" s="477">
        <v>3</v>
      </c>
      <c r="C142" s="290">
        <v>0</v>
      </c>
      <c r="D142" s="290">
        <v>10</v>
      </c>
      <c r="E142" s="312">
        <v>20</v>
      </c>
      <c r="G142" s="293">
        <v>3</v>
      </c>
      <c r="H142" s="333">
        <v>1</v>
      </c>
      <c r="I142" s="4775" t="s">
        <v>2968</v>
      </c>
      <c r="J142" s="4775"/>
      <c r="K142" s="482" t="s">
        <v>2969</v>
      </c>
      <c r="M142" s="2755">
        <v>80</v>
      </c>
      <c r="N142" s="2123" t="s">
        <v>9884</v>
      </c>
      <c r="O142" s="2180">
        <v>4</v>
      </c>
      <c r="P142" s="2758"/>
      <c r="Q142" s="2759"/>
    </row>
    <row r="143" spans="1:22" ht="12.75" customHeight="1" x14ac:dyDescent="0.2">
      <c r="A143" s="2181">
        <v>143</v>
      </c>
      <c r="B143" s="477">
        <v>4</v>
      </c>
      <c r="C143" s="290">
        <v>0</v>
      </c>
      <c r="D143" s="290">
        <v>15</v>
      </c>
      <c r="E143" s="312">
        <v>40</v>
      </c>
      <c r="G143" s="293">
        <v>4</v>
      </c>
      <c r="H143" s="333">
        <v>1</v>
      </c>
      <c r="I143" s="4775" t="s">
        <v>2968</v>
      </c>
      <c r="J143" s="4775"/>
      <c r="K143" s="482" t="s">
        <v>2969</v>
      </c>
      <c r="M143" s="2755">
        <v>120</v>
      </c>
      <c r="N143" s="2123" t="s">
        <v>9893</v>
      </c>
      <c r="O143" s="2180">
        <v>5</v>
      </c>
    </row>
    <row r="144" spans="1:22" ht="12.75" customHeight="1" x14ac:dyDescent="0.2">
      <c r="A144" s="2181">
        <v>144</v>
      </c>
      <c r="B144" s="477">
        <v>5</v>
      </c>
      <c r="C144" s="290">
        <v>0</v>
      </c>
      <c r="D144" s="290">
        <v>25</v>
      </c>
      <c r="E144" s="312">
        <v>60</v>
      </c>
      <c r="G144" s="293">
        <v>5</v>
      </c>
      <c r="H144" s="333">
        <v>1</v>
      </c>
      <c r="I144" s="4775" t="s">
        <v>2968</v>
      </c>
      <c r="J144" s="4775"/>
      <c r="K144" s="482" t="s">
        <v>2969</v>
      </c>
      <c r="M144" s="2755">
        <v>140</v>
      </c>
      <c r="N144" s="2123" t="s">
        <v>9885</v>
      </c>
      <c r="O144" s="2180">
        <v>6</v>
      </c>
    </row>
    <row r="145" spans="1:15" ht="12.75" customHeight="1" x14ac:dyDescent="0.2">
      <c r="A145" s="2180">
        <v>145</v>
      </c>
      <c r="B145" s="478">
        <v>6</v>
      </c>
      <c r="C145" s="290">
        <v>0</v>
      </c>
      <c r="D145" s="290">
        <v>40</v>
      </c>
      <c r="E145" s="312">
        <v>120</v>
      </c>
      <c r="G145" s="293">
        <v>6</v>
      </c>
      <c r="H145" s="333">
        <v>1</v>
      </c>
      <c r="I145" s="4775" t="s">
        <v>2968</v>
      </c>
      <c r="J145" s="4775"/>
      <c r="K145" s="482" t="s">
        <v>2969</v>
      </c>
      <c r="M145" s="2755">
        <v>180</v>
      </c>
      <c r="N145" s="2123" t="s">
        <v>9886</v>
      </c>
      <c r="O145" s="2180">
        <v>7</v>
      </c>
    </row>
    <row r="146" spans="1:15" ht="12.75" customHeight="1" x14ac:dyDescent="0.2">
      <c r="A146" s="2180">
        <v>146</v>
      </c>
      <c r="B146" s="478">
        <v>7</v>
      </c>
      <c r="C146" s="290">
        <v>0</v>
      </c>
      <c r="D146" s="290">
        <v>60</v>
      </c>
      <c r="E146" s="312">
        <v>180</v>
      </c>
      <c r="G146" s="293">
        <v>7</v>
      </c>
      <c r="H146" s="333">
        <v>1</v>
      </c>
      <c r="I146" s="4775" t="s">
        <v>2968</v>
      </c>
      <c r="J146" s="4775"/>
      <c r="K146" s="482" t="s">
        <v>2969</v>
      </c>
      <c r="M146" s="2755">
        <v>240</v>
      </c>
      <c r="N146" s="2123" t="s">
        <v>9887</v>
      </c>
      <c r="O146" s="2180">
        <v>8</v>
      </c>
    </row>
    <row r="147" spans="1:15" ht="12.75" customHeight="1" x14ac:dyDescent="0.2">
      <c r="A147" s="2180">
        <v>147</v>
      </c>
      <c r="B147" s="478">
        <v>8</v>
      </c>
      <c r="C147" s="290">
        <v>1</v>
      </c>
      <c r="D147" s="290">
        <v>80</v>
      </c>
      <c r="E147" s="312">
        <v>260</v>
      </c>
      <c r="G147" s="293">
        <v>8</v>
      </c>
      <c r="H147" s="333">
        <v>2</v>
      </c>
      <c r="I147" s="4775" t="s">
        <v>2970</v>
      </c>
      <c r="J147" s="4775"/>
      <c r="K147" s="482" t="s">
        <v>2969</v>
      </c>
      <c r="M147" s="2755">
        <v>280</v>
      </c>
      <c r="N147" s="2123" t="s">
        <v>9888</v>
      </c>
      <c r="O147" s="2180">
        <v>9</v>
      </c>
    </row>
    <row r="148" spans="1:15" ht="12.75" customHeight="1" x14ac:dyDescent="0.2">
      <c r="A148" s="2181">
        <v>148</v>
      </c>
      <c r="B148" s="478">
        <v>9</v>
      </c>
      <c r="C148" s="290">
        <v>1</v>
      </c>
      <c r="D148" s="290">
        <v>100</v>
      </c>
      <c r="E148" s="312">
        <v>350</v>
      </c>
      <c r="G148" s="293">
        <v>9</v>
      </c>
      <c r="H148" s="333">
        <v>2</v>
      </c>
      <c r="I148" s="4775" t="s">
        <v>2970</v>
      </c>
      <c r="J148" s="4775"/>
      <c r="K148" s="482" t="s">
        <v>2969</v>
      </c>
      <c r="M148" s="2755">
        <v>320</v>
      </c>
      <c r="N148" s="2123" t="s">
        <v>9889</v>
      </c>
      <c r="O148" s="2180">
        <v>10</v>
      </c>
    </row>
    <row r="149" spans="1:15" ht="12.75" customHeight="1" x14ac:dyDescent="0.2">
      <c r="A149" s="2181">
        <v>149</v>
      </c>
      <c r="B149" s="477">
        <v>10</v>
      </c>
      <c r="C149" s="290">
        <v>2</v>
      </c>
      <c r="D149" s="290">
        <v>150</v>
      </c>
      <c r="E149" s="312">
        <v>420</v>
      </c>
      <c r="G149" s="293">
        <v>10</v>
      </c>
      <c r="H149" s="333">
        <v>3</v>
      </c>
      <c r="I149" s="4775" t="s">
        <v>2971</v>
      </c>
      <c r="J149" s="4775"/>
      <c r="K149" s="482" t="s">
        <v>2969</v>
      </c>
      <c r="M149" s="2755">
        <v>440</v>
      </c>
      <c r="N149" s="2123" t="s">
        <v>9890</v>
      </c>
      <c r="O149" s="2180">
        <v>11</v>
      </c>
    </row>
    <row r="150" spans="1:15" ht="12.75" customHeight="1" x14ac:dyDescent="0.2">
      <c r="A150" s="2181">
        <v>150</v>
      </c>
      <c r="B150" s="478">
        <v>11</v>
      </c>
      <c r="C150" s="290">
        <v>3</v>
      </c>
      <c r="D150" s="290">
        <v>200</v>
      </c>
      <c r="E150" s="312">
        <v>600</v>
      </c>
      <c r="G150" s="293">
        <v>11</v>
      </c>
      <c r="H150" s="333">
        <v>4</v>
      </c>
      <c r="I150" s="4775" t="s">
        <v>2972</v>
      </c>
      <c r="J150" s="4775"/>
      <c r="K150" s="482" t="s">
        <v>2973</v>
      </c>
      <c r="M150" s="2755" t="s">
        <v>9891</v>
      </c>
      <c r="N150" s="2123" t="s">
        <v>9890</v>
      </c>
      <c r="O150" s="2180">
        <v>12</v>
      </c>
    </row>
    <row r="151" spans="1:15" ht="12.75" customHeight="1" thickBot="1" x14ac:dyDescent="0.25">
      <c r="A151" s="2180">
        <v>151</v>
      </c>
      <c r="B151" s="478">
        <v>12</v>
      </c>
      <c r="C151" s="290">
        <v>3</v>
      </c>
      <c r="D151" s="290">
        <v>350</v>
      </c>
      <c r="E151" s="312">
        <v>1000</v>
      </c>
      <c r="G151" s="293">
        <v>12</v>
      </c>
      <c r="H151" s="333">
        <v>5</v>
      </c>
      <c r="I151" s="4775" t="s">
        <v>2974</v>
      </c>
      <c r="J151" s="4775"/>
      <c r="K151" s="482" t="s">
        <v>2973</v>
      </c>
      <c r="M151" s="2756" t="s">
        <v>9892</v>
      </c>
      <c r="N151" s="2154" t="s">
        <v>9890</v>
      </c>
      <c r="O151" s="2180">
        <v>13</v>
      </c>
    </row>
    <row r="152" spans="1:15" ht="12.75" customHeight="1" x14ac:dyDescent="0.2">
      <c r="A152" s="2180">
        <v>152</v>
      </c>
      <c r="B152" s="478">
        <v>13</v>
      </c>
      <c r="C152" s="290">
        <v>4</v>
      </c>
      <c r="D152" s="290">
        <v>1000</v>
      </c>
      <c r="E152" s="312">
        <v>3000</v>
      </c>
      <c r="G152" s="293">
        <v>13</v>
      </c>
      <c r="H152" s="333">
        <v>6</v>
      </c>
      <c r="I152" s="4775" t="s">
        <v>2975</v>
      </c>
      <c r="J152" s="4775"/>
      <c r="K152" s="482" t="s">
        <v>2973</v>
      </c>
    </row>
    <row r="153" spans="1:15" ht="12.75" customHeight="1" x14ac:dyDescent="0.2">
      <c r="A153" s="2180">
        <v>153</v>
      </c>
      <c r="B153" s="478">
        <v>14</v>
      </c>
      <c r="C153" s="290">
        <v>4</v>
      </c>
      <c r="D153" s="290">
        <v>5000</v>
      </c>
      <c r="E153" s="312">
        <v>25000</v>
      </c>
      <c r="G153" s="293">
        <v>14</v>
      </c>
      <c r="H153" s="333">
        <v>7</v>
      </c>
      <c r="I153" s="4775" t="s">
        <v>2976</v>
      </c>
      <c r="J153" s="4775"/>
      <c r="K153" s="482" t="s">
        <v>2977</v>
      </c>
    </row>
    <row r="154" spans="1:15" ht="12.75" customHeight="1" x14ac:dyDescent="0.2">
      <c r="A154" s="2181">
        <v>154</v>
      </c>
      <c r="B154" s="477">
        <v>15</v>
      </c>
      <c r="C154" s="290">
        <v>5</v>
      </c>
      <c r="D154" s="290">
        <v>15000</v>
      </c>
      <c r="E154" s="312">
        <v>100000</v>
      </c>
      <c r="G154" s="293">
        <v>15</v>
      </c>
      <c r="H154" s="333">
        <v>8</v>
      </c>
      <c r="I154" s="4775" t="s">
        <v>2978</v>
      </c>
      <c r="J154" s="4775"/>
      <c r="K154" s="482" t="s">
        <v>2979</v>
      </c>
    </row>
    <row r="155" spans="1:15" ht="12.75" customHeight="1" x14ac:dyDescent="0.2">
      <c r="A155" s="2181">
        <v>155</v>
      </c>
      <c r="B155" s="477">
        <v>16</v>
      </c>
      <c r="C155" s="290">
        <v>5</v>
      </c>
      <c r="D155" s="290">
        <v>100000</v>
      </c>
      <c r="E155" s="312">
        <v>500000</v>
      </c>
      <c r="G155" s="293">
        <v>16</v>
      </c>
      <c r="H155" s="333">
        <v>9</v>
      </c>
      <c r="I155" s="4775" t="s">
        <v>2980</v>
      </c>
      <c r="J155" s="4775"/>
      <c r="K155" s="482" t="s">
        <v>2981</v>
      </c>
    </row>
    <row r="156" spans="1:15" ht="12.75" customHeight="1" x14ac:dyDescent="0.2">
      <c r="A156" s="2181">
        <v>156</v>
      </c>
      <c r="B156" s="478">
        <v>17</v>
      </c>
      <c r="C156" s="290">
        <v>5</v>
      </c>
      <c r="D156" s="290">
        <v>500000</v>
      </c>
      <c r="E156" s="312">
        <v>2500000</v>
      </c>
      <c r="G156" s="293">
        <v>17</v>
      </c>
      <c r="H156" s="333">
        <v>10</v>
      </c>
      <c r="I156" s="4775" t="s">
        <v>2982</v>
      </c>
      <c r="J156" s="4775"/>
      <c r="K156" s="482" t="s">
        <v>2983</v>
      </c>
    </row>
    <row r="157" spans="1:15" ht="12.75" customHeight="1" x14ac:dyDescent="0.2">
      <c r="A157" s="2181">
        <v>157</v>
      </c>
      <c r="B157" s="478">
        <v>18</v>
      </c>
      <c r="C157" s="290">
        <v>5</v>
      </c>
      <c r="D157" s="290">
        <v>1000000</v>
      </c>
      <c r="E157" s="312">
        <v>10000000</v>
      </c>
      <c r="G157" s="293">
        <v>18</v>
      </c>
      <c r="H157" s="333">
        <v>11</v>
      </c>
      <c r="I157" s="4775" t="s">
        <v>2984</v>
      </c>
      <c r="J157" s="4775"/>
      <c r="K157" s="482" t="s">
        <v>2985</v>
      </c>
    </row>
    <row r="158" spans="1:15" ht="12.75" customHeight="1" x14ac:dyDescent="0.2">
      <c r="A158" s="2181">
        <v>158</v>
      </c>
      <c r="B158" s="479">
        <v>19</v>
      </c>
      <c r="C158" s="290">
        <v>5</v>
      </c>
      <c r="D158" s="290">
        <v>10000000</v>
      </c>
      <c r="E158" s="312">
        <v>150000000</v>
      </c>
      <c r="G158" s="293">
        <v>19</v>
      </c>
      <c r="H158" s="333">
        <v>12</v>
      </c>
      <c r="I158" s="4775" t="s">
        <v>2986</v>
      </c>
      <c r="J158" s="4775"/>
      <c r="K158" s="482" t="s">
        <v>2987</v>
      </c>
    </row>
    <row r="159" spans="1:15" ht="12.75" customHeight="1" thickBot="1" x14ac:dyDescent="0.25">
      <c r="A159" s="2181">
        <v>159</v>
      </c>
      <c r="B159" s="480">
        <v>20</v>
      </c>
      <c r="C159" s="473">
        <v>5</v>
      </c>
      <c r="D159" s="485">
        <v>1E+100</v>
      </c>
      <c r="E159" s="486">
        <v>1E+100</v>
      </c>
      <c r="G159" s="293">
        <v>20</v>
      </c>
      <c r="H159" s="333">
        <v>12</v>
      </c>
      <c r="I159" s="4775" t="s">
        <v>2986</v>
      </c>
      <c r="J159" s="4775"/>
      <c r="K159" s="482" t="s">
        <v>2988</v>
      </c>
    </row>
    <row r="160" spans="1:15" ht="12.75" customHeight="1" thickBot="1" x14ac:dyDescent="0.25">
      <c r="A160" s="2180">
        <v>160</v>
      </c>
      <c r="G160" s="70"/>
      <c r="H160" s="333">
        <v>13</v>
      </c>
      <c r="I160" s="4775" t="s">
        <v>2989</v>
      </c>
      <c r="J160" s="4775"/>
      <c r="K160" s="482" t="s">
        <v>2990</v>
      </c>
    </row>
    <row r="161" spans="1:11" ht="12.75" customHeight="1" thickBot="1" x14ac:dyDescent="0.25">
      <c r="A161" s="2180">
        <v>161</v>
      </c>
      <c r="B161" s="4774" t="s">
        <v>3008</v>
      </c>
      <c r="C161" s="4774"/>
      <c r="G161" s="70"/>
      <c r="H161" s="333">
        <v>14</v>
      </c>
      <c r="I161" s="4775" t="s">
        <v>2991</v>
      </c>
      <c r="J161" s="4775"/>
      <c r="K161" s="482" t="s">
        <v>2992</v>
      </c>
    </row>
    <row r="162" spans="1:11" ht="12.75" customHeight="1" x14ac:dyDescent="0.2">
      <c r="A162" s="2180">
        <v>162</v>
      </c>
      <c r="B162" s="4774"/>
      <c r="C162" s="4774"/>
      <c r="G162" s="70"/>
      <c r="H162" s="333">
        <v>15</v>
      </c>
      <c r="I162" s="4775" t="s">
        <v>2993</v>
      </c>
      <c r="J162" s="4775"/>
      <c r="K162" s="482" t="s">
        <v>2994</v>
      </c>
    </row>
    <row r="163" spans="1:11" ht="12.75" customHeight="1" thickBot="1" x14ac:dyDescent="0.25">
      <c r="A163" s="2181">
        <v>163</v>
      </c>
      <c r="B163" s="452" t="s">
        <v>3009</v>
      </c>
      <c r="C163" s="471" t="s">
        <v>2240</v>
      </c>
      <c r="G163" s="70"/>
      <c r="H163" s="333">
        <v>16</v>
      </c>
      <c r="I163" s="4775" t="s">
        <v>2995</v>
      </c>
      <c r="J163" s="4775"/>
      <c r="K163" s="482" t="s">
        <v>2996</v>
      </c>
    </row>
    <row r="164" spans="1:11" ht="12.75" customHeight="1" x14ac:dyDescent="0.2">
      <c r="A164" s="2181">
        <v>164</v>
      </c>
      <c r="B164" s="293">
        <v>1</v>
      </c>
      <c r="C164" s="481" t="s">
        <v>3010</v>
      </c>
      <c r="G164" s="70"/>
      <c r="H164" s="333">
        <v>17</v>
      </c>
      <c r="I164" s="4775" t="s">
        <v>2997</v>
      </c>
      <c r="J164" s="4775"/>
      <c r="K164" s="482" t="s">
        <v>2998</v>
      </c>
    </row>
    <row r="165" spans="1:11" ht="12.75" customHeight="1" x14ac:dyDescent="0.2">
      <c r="A165" s="2181">
        <v>165</v>
      </c>
      <c r="B165" s="293">
        <v>2</v>
      </c>
      <c r="C165" s="481" t="s">
        <v>3011</v>
      </c>
      <c r="G165" s="70"/>
      <c r="H165" s="333">
        <v>18</v>
      </c>
      <c r="I165" s="4775" t="s">
        <v>2999</v>
      </c>
      <c r="J165" s="4775"/>
      <c r="K165" s="482" t="s">
        <v>3000</v>
      </c>
    </row>
    <row r="166" spans="1:11" ht="12.75" customHeight="1" x14ac:dyDescent="0.2">
      <c r="A166" s="2180">
        <v>166</v>
      </c>
      <c r="B166" s="293">
        <v>3</v>
      </c>
      <c r="C166" s="481" t="s">
        <v>3012</v>
      </c>
      <c r="G166" s="70"/>
      <c r="H166" s="333">
        <v>19</v>
      </c>
      <c r="I166" s="4775" t="s">
        <v>3001</v>
      </c>
      <c r="J166" s="4775"/>
      <c r="K166" s="482" t="s">
        <v>3002</v>
      </c>
    </row>
    <row r="167" spans="1:11" ht="12.75" customHeight="1" thickBot="1" x14ac:dyDescent="0.25">
      <c r="A167" s="2180">
        <v>167</v>
      </c>
      <c r="B167" s="293">
        <v>4</v>
      </c>
      <c r="C167" s="481" t="s">
        <v>3013</v>
      </c>
      <c r="G167" s="221"/>
      <c r="H167" s="1980">
        <v>20</v>
      </c>
      <c r="I167" s="4776" t="s">
        <v>3003</v>
      </c>
      <c r="J167" s="4776"/>
      <c r="K167" s="484" t="s">
        <v>3002</v>
      </c>
    </row>
    <row r="168" spans="1:11" ht="12.75" customHeight="1" thickBot="1" x14ac:dyDescent="0.25">
      <c r="A168" s="2180">
        <v>168</v>
      </c>
      <c r="B168" s="293">
        <v>5</v>
      </c>
      <c r="C168" s="481" t="s">
        <v>3014</v>
      </c>
    </row>
    <row r="169" spans="1:11" ht="12.75" customHeight="1" thickBot="1" x14ac:dyDescent="0.25">
      <c r="A169" s="2181">
        <v>169</v>
      </c>
      <c r="B169" s="293">
        <v>6</v>
      </c>
      <c r="C169" s="481" t="s">
        <v>3015</v>
      </c>
      <c r="E169" s="4774" t="s">
        <v>3075</v>
      </c>
      <c r="F169" s="4774"/>
      <c r="G169" s="4774"/>
    </row>
    <row r="170" spans="1:11" ht="12.75" customHeight="1" x14ac:dyDescent="0.2">
      <c r="A170" s="2181">
        <v>170</v>
      </c>
      <c r="B170" s="293">
        <v>7</v>
      </c>
      <c r="C170" s="481" t="s">
        <v>3016</v>
      </c>
      <c r="E170" s="4774"/>
      <c r="F170" s="4774"/>
      <c r="G170" s="4774"/>
    </row>
    <row r="171" spans="1:11" ht="12.75" customHeight="1" thickBot="1" x14ac:dyDescent="0.25">
      <c r="A171" s="2181">
        <v>171</v>
      </c>
      <c r="B171" s="293">
        <v>8</v>
      </c>
      <c r="C171" s="481" t="s">
        <v>3017</v>
      </c>
      <c r="E171" s="509" t="s">
        <v>3076</v>
      </c>
      <c r="F171" s="510" t="s">
        <v>2211</v>
      </c>
      <c r="G171" s="511" t="s">
        <v>3077</v>
      </c>
    </row>
    <row r="172" spans="1:11" ht="12.75" customHeight="1" x14ac:dyDescent="0.2">
      <c r="A172" s="2181">
        <v>172</v>
      </c>
      <c r="B172" s="293">
        <v>9</v>
      </c>
      <c r="C172" s="481" t="s">
        <v>3018</v>
      </c>
      <c r="E172" s="512">
        <v>0</v>
      </c>
      <c r="F172" s="475" t="s">
        <v>2310</v>
      </c>
      <c r="G172" s="513" t="s">
        <v>2310</v>
      </c>
    </row>
    <row r="173" spans="1:11" ht="12.75" customHeight="1" x14ac:dyDescent="0.2">
      <c r="A173" s="2181">
        <v>173</v>
      </c>
      <c r="B173" s="293">
        <v>10</v>
      </c>
      <c r="C173" s="481" t="s">
        <v>3019</v>
      </c>
      <c r="E173" s="293">
        <v>9</v>
      </c>
      <c r="F173" s="290">
        <v>20</v>
      </c>
      <c r="G173" s="312">
        <v>5</v>
      </c>
    </row>
    <row r="174" spans="1:11" ht="12.75" customHeight="1" x14ac:dyDescent="0.2">
      <c r="A174" s="2181">
        <v>174</v>
      </c>
      <c r="B174" s="293">
        <v>11</v>
      </c>
      <c r="C174" s="481" t="s">
        <v>3020</v>
      </c>
      <c r="E174" s="293">
        <v>13</v>
      </c>
      <c r="F174" s="290">
        <v>30</v>
      </c>
      <c r="G174" s="312">
        <v>10</v>
      </c>
    </row>
    <row r="175" spans="1:11" ht="12.75" customHeight="1" x14ac:dyDescent="0.2">
      <c r="A175" s="2180">
        <v>175</v>
      </c>
      <c r="B175" s="293">
        <v>12</v>
      </c>
      <c r="C175" s="481" t="s">
        <v>3021</v>
      </c>
      <c r="E175" s="293">
        <v>16</v>
      </c>
      <c r="F175" s="290">
        <v>50</v>
      </c>
      <c r="G175" s="312">
        <v>15</v>
      </c>
    </row>
    <row r="176" spans="1:11" ht="12.75" customHeight="1" x14ac:dyDescent="0.2">
      <c r="A176" s="2180">
        <v>176</v>
      </c>
      <c r="B176" s="293">
        <v>13</v>
      </c>
      <c r="C176" s="481" t="s">
        <v>3022</v>
      </c>
      <c r="E176" s="293">
        <v>19</v>
      </c>
      <c r="F176" s="290">
        <v>80</v>
      </c>
      <c r="G176" s="312">
        <v>20</v>
      </c>
    </row>
    <row r="177" spans="1:86" ht="12.75" customHeight="1" x14ac:dyDescent="0.2">
      <c r="A177" s="2180">
        <v>177</v>
      </c>
      <c r="B177" s="293">
        <v>14</v>
      </c>
      <c r="C177" s="481" t="s">
        <v>3023</v>
      </c>
      <c r="E177" s="293">
        <v>22</v>
      </c>
      <c r="F177" s="290">
        <v>120</v>
      </c>
      <c r="G177" s="312">
        <v>25</v>
      </c>
    </row>
    <row r="178" spans="1:86" ht="12.75" customHeight="1" x14ac:dyDescent="0.2">
      <c r="A178" s="2181">
        <v>178</v>
      </c>
      <c r="B178" s="293">
        <v>15</v>
      </c>
      <c r="C178" s="481" t="s">
        <v>3024</v>
      </c>
      <c r="E178" s="293">
        <v>25</v>
      </c>
      <c r="F178" s="290">
        <v>150</v>
      </c>
      <c r="G178" s="312">
        <v>30</v>
      </c>
    </row>
    <row r="179" spans="1:86" ht="12.75" customHeight="1" x14ac:dyDescent="0.2">
      <c r="A179" s="2181">
        <v>179</v>
      </c>
      <c r="B179" s="293">
        <v>16</v>
      </c>
      <c r="C179" s="481" t="s">
        <v>3025</v>
      </c>
      <c r="E179" s="293">
        <v>29</v>
      </c>
      <c r="F179" s="290">
        <v>200</v>
      </c>
      <c r="G179" s="312">
        <v>40</v>
      </c>
    </row>
    <row r="180" spans="1:86" ht="12.75" customHeight="1" x14ac:dyDescent="0.2">
      <c r="A180" s="2181">
        <v>180</v>
      </c>
      <c r="B180" s="293">
        <v>17</v>
      </c>
      <c r="C180" s="481" t="s">
        <v>3026</v>
      </c>
      <c r="E180" s="293">
        <v>32</v>
      </c>
      <c r="F180" s="290">
        <v>350</v>
      </c>
      <c r="G180" s="312">
        <v>50</v>
      </c>
    </row>
    <row r="181" spans="1:86" ht="12.75" customHeight="1" thickBot="1" x14ac:dyDescent="0.25">
      <c r="A181" s="2180">
        <v>181</v>
      </c>
      <c r="B181" s="293">
        <v>18</v>
      </c>
      <c r="C181" s="481" t="s">
        <v>3027</v>
      </c>
      <c r="E181" s="472">
        <v>35</v>
      </c>
      <c r="F181" s="473">
        <v>500</v>
      </c>
      <c r="G181" s="465">
        <v>60</v>
      </c>
    </row>
    <row r="182" spans="1:86" ht="12.75" customHeight="1" x14ac:dyDescent="0.2">
      <c r="A182" s="2180">
        <v>182</v>
      </c>
      <c r="B182" s="293">
        <v>19</v>
      </c>
      <c r="C182" s="481" t="s">
        <v>3028</v>
      </c>
    </row>
    <row r="183" spans="1:86" ht="12.75" customHeight="1" thickBot="1" x14ac:dyDescent="0.25">
      <c r="A183" s="2180">
        <v>183</v>
      </c>
      <c r="B183" s="472">
        <v>20</v>
      </c>
      <c r="C183" s="487" t="s">
        <v>3029</v>
      </c>
    </row>
    <row r="184" spans="1:86" ht="12.75" customHeight="1" x14ac:dyDescent="0.2">
      <c r="A184" s="2181">
        <v>184</v>
      </c>
    </row>
    <row r="185" spans="1:86" ht="12.75" customHeight="1" thickBot="1" x14ac:dyDescent="0.25">
      <c r="A185" s="2181">
        <v>185</v>
      </c>
      <c r="B185" s="4752" t="s">
        <v>3030</v>
      </c>
      <c r="C185" s="4752"/>
      <c r="D185" s="4752"/>
      <c r="E185" s="4752"/>
      <c r="F185" s="4752"/>
      <c r="G185" s="4752"/>
      <c r="H185" s="4752"/>
      <c r="I185" s="4752"/>
      <c r="J185" s="4752"/>
      <c r="K185" s="4752"/>
      <c r="L185" s="4752"/>
      <c r="M185" s="4752"/>
      <c r="N185" s="4752"/>
      <c r="O185" s="4752"/>
      <c r="P185" s="4752"/>
      <c r="Q185" s="4752"/>
      <c r="R185" s="4752"/>
      <c r="S185" s="4752"/>
      <c r="T185" s="4752"/>
      <c r="U185" s="4752"/>
      <c r="V185" s="4752"/>
      <c r="W185" s="4752"/>
      <c r="X185" s="4752"/>
      <c r="Y185" s="4752"/>
      <c r="Z185" s="4752"/>
      <c r="AA185" s="4752"/>
      <c r="AB185" s="4752"/>
      <c r="AC185" s="4752"/>
      <c r="AD185" s="4752"/>
      <c r="AE185" s="4752"/>
      <c r="AF185" s="4752"/>
      <c r="AG185" s="4752"/>
      <c r="AH185" s="4752"/>
      <c r="AI185" s="4752"/>
      <c r="AJ185" s="4752"/>
      <c r="AK185" s="4752"/>
      <c r="AL185" s="4752"/>
      <c r="AM185" s="4752"/>
      <c r="AN185" s="4752"/>
      <c r="AO185" s="4752"/>
      <c r="AP185" s="4752"/>
      <c r="AQ185" s="4752"/>
      <c r="AR185" s="4752"/>
      <c r="AS185" s="4752"/>
      <c r="AT185" s="4752"/>
      <c r="AU185" s="4752"/>
      <c r="AV185" s="4752"/>
      <c r="AW185" s="4752"/>
      <c r="AX185" s="4752"/>
      <c r="AY185" s="4752"/>
      <c r="AZ185" s="4752"/>
      <c r="BA185" s="4752"/>
      <c r="BB185" s="4752"/>
      <c r="BC185" s="4752"/>
      <c r="BD185" s="4752"/>
      <c r="BE185" s="4752"/>
      <c r="BF185" s="4752"/>
      <c r="BG185" s="4752"/>
      <c r="BH185" s="4752"/>
      <c r="BI185" s="4752"/>
      <c r="BJ185" s="4752"/>
      <c r="BK185" s="4752"/>
      <c r="BL185" s="4752"/>
      <c r="BM185" s="4752"/>
      <c r="BN185" s="4752"/>
      <c r="BO185" s="4752"/>
      <c r="BP185" s="4752"/>
      <c r="BQ185" s="4752"/>
      <c r="BR185" s="4752"/>
      <c r="BS185" s="4752"/>
      <c r="BT185" s="4752"/>
      <c r="BU185" s="4752"/>
      <c r="BV185" s="4752"/>
      <c r="BW185" s="4752"/>
      <c r="BX185" s="4752"/>
      <c r="BY185" s="4752"/>
      <c r="BZ185" s="4752"/>
      <c r="CA185" s="4752"/>
      <c r="CB185" s="4752"/>
      <c r="CC185" s="4752"/>
      <c r="CD185" s="4752"/>
      <c r="CE185" s="4752"/>
      <c r="CF185" s="4752"/>
      <c r="CG185" s="4752"/>
      <c r="CH185" s="4752"/>
    </row>
    <row r="186" spans="1:86" ht="12.75" customHeight="1" x14ac:dyDescent="0.2">
      <c r="A186" s="2181">
        <v>186</v>
      </c>
      <c r="B186" s="4752"/>
      <c r="C186" s="4752"/>
      <c r="D186" s="4752"/>
      <c r="E186" s="4752"/>
      <c r="F186" s="4752"/>
      <c r="G186" s="4752"/>
      <c r="H186" s="4752"/>
      <c r="I186" s="4752"/>
      <c r="J186" s="4752"/>
      <c r="K186" s="4752"/>
      <c r="L186" s="4752"/>
      <c r="M186" s="4752"/>
      <c r="N186" s="4752"/>
      <c r="O186" s="4752"/>
      <c r="P186" s="4752"/>
      <c r="Q186" s="4752"/>
      <c r="R186" s="4752"/>
      <c r="S186" s="4752"/>
      <c r="T186" s="4752"/>
      <c r="U186" s="4752"/>
      <c r="V186" s="4752"/>
      <c r="W186" s="4752"/>
      <c r="X186" s="4752"/>
      <c r="Y186" s="4752"/>
      <c r="Z186" s="4752"/>
      <c r="AA186" s="4752"/>
      <c r="AB186" s="4752"/>
      <c r="AC186" s="4752"/>
      <c r="AD186" s="4752"/>
      <c r="AE186" s="4752"/>
      <c r="AF186" s="4752"/>
      <c r="AG186" s="4752"/>
      <c r="AH186" s="4752"/>
      <c r="AI186" s="4752"/>
      <c r="AJ186" s="4752"/>
      <c r="AK186" s="4752"/>
      <c r="AL186" s="4752"/>
      <c r="AM186" s="4752"/>
      <c r="AN186" s="4752"/>
      <c r="AO186" s="4752"/>
      <c r="AP186" s="4752"/>
      <c r="AQ186" s="4752"/>
      <c r="AR186" s="4752"/>
      <c r="AS186" s="4752"/>
      <c r="AT186" s="4752"/>
      <c r="AU186" s="4752"/>
      <c r="AV186" s="4752"/>
      <c r="AW186" s="4752"/>
      <c r="AX186" s="4752"/>
      <c r="AY186" s="4752"/>
      <c r="AZ186" s="4752"/>
      <c r="BA186" s="4752"/>
      <c r="BB186" s="4752"/>
      <c r="BC186" s="4752"/>
      <c r="BD186" s="4752"/>
      <c r="BE186" s="4752"/>
      <c r="BF186" s="4752"/>
      <c r="BG186" s="4752"/>
      <c r="BH186" s="4752"/>
      <c r="BI186" s="4752"/>
      <c r="BJ186" s="4752"/>
      <c r="BK186" s="4752"/>
      <c r="BL186" s="4752"/>
      <c r="BM186" s="4752"/>
      <c r="BN186" s="4752"/>
      <c r="BO186" s="4752"/>
      <c r="BP186" s="4752"/>
      <c r="BQ186" s="4752"/>
      <c r="BR186" s="4752"/>
      <c r="BS186" s="4752"/>
      <c r="BT186" s="4752"/>
      <c r="BU186" s="4752"/>
      <c r="BV186" s="4752"/>
      <c r="BW186" s="4752"/>
      <c r="BX186" s="4752"/>
      <c r="BY186" s="4752"/>
      <c r="BZ186" s="4752"/>
      <c r="CA186" s="4752"/>
      <c r="CB186" s="4752"/>
      <c r="CC186" s="4752"/>
      <c r="CD186" s="4752"/>
      <c r="CE186" s="4752"/>
      <c r="CF186" s="4752"/>
      <c r="CG186" s="4752"/>
      <c r="CH186" s="4752"/>
    </row>
    <row r="187" spans="1:86" ht="12.75" customHeight="1" x14ac:dyDescent="0.2">
      <c r="A187" s="2181">
        <v>187</v>
      </c>
      <c r="B187" s="448"/>
      <c r="C187" s="449">
        <v>1</v>
      </c>
      <c r="D187" s="449">
        <v>2</v>
      </c>
      <c r="E187" s="449">
        <v>3</v>
      </c>
      <c r="F187" s="449">
        <v>4</v>
      </c>
      <c r="G187" s="449">
        <v>5</v>
      </c>
      <c r="H187" s="1967">
        <v>6</v>
      </c>
      <c r="I187" s="449">
        <v>7</v>
      </c>
      <c r="J187" s="449">
        <v>8</v>
      </c>
      <c r="K187" s="449">
        <v>9</v>
      </c>
      <c r="L187" s="449">
        <v>10</v>
      </c>
      <c r="M187" s="449">
        <v>11</v>
      </c>
      <c r="N187" s="1967">
        <v>12</v>
      </c>
      <c r="O187" s="449">
        <v>13</v>
      </c>
      <c r="P187" s="449">
        <v>14</v>
      </c>
      <c r="Q187" s="449">
        <v>15</v>
      </c>
      <c r="R187" s="449">
        <v>16</v>
      </c>
      <c r="S187" s="449">
        <v>17</v>
      </c>
      <c r="T187" s="449">
        <v>18</v>
      </c>
      <c r="U187" s="449">
        <v>19</v>
      </c>
      <c r="V187" s="449">
        <v>20</v>
      </c>
      <c r="W187" s="449">
        <v>21</v>
      </c>
      <c r="X187" s="449">
        <v>22</v>
      </c>
      <c r="Y187" s="449">
        <v>23</v>
      </c>
      <c r="Z187" s="449">
        <v>24</v>
      </c>
      <c r="AA187" s="449">
        <v>25</v>
      </c>
      <c r="AB187" s="449">
        <v>26</v>
      </c>
      <c r="AC187" s="449">
        <v>27</v>
      </c>
      <c r="AD187" s="449">
        <v>28</v>
      </c>
      <c r="AE187" s="449">
        <v>29</v>
      </c>
      <c r="AF187" s="449">
        <v>30</v>
      </c>
      <c r="AG187" s="449">
        <v>31</v>
      </c>
      <c r="AH187" s="449">
        <v>32</v>
      </c>
      <c r="AI187" s="449">
        <v>33</v>
      </c>
      <c r="AJ187" s="449">
        <v>34</v>
      </c>
      <c r="AK187" s="449">
        <v>35</v>
      </c>
      <c r="AL187" s="449">
        <v>36</v>
      </c>
      <c r="AM187" s="449">
        <v>37</v>
      </c>
      <c r="AN187" s="449">
        <v>38</v>
      </c>
      <c r="AO187" s="449">
        <v>39</v>
      </c>
      <c r="AP187" s="449">
        <v>40</v>
      </c>
      <c r="AQ187" s="449">
        <v>41</v>
      </c>
      <c r="AR187" s="449">
        <v>42</v>
      </c>
      <c r="AS187" s="449">
        <v>43</v>
      </c>
      <c r="AT187" s="449">
        <v>44</v>
      </c>
      <c r="AU187" s="449">
        <v>45</v>
      </c>
      <c r="AV187" s="449">
        <v>46</v>
      </c>
      <c r="AW187" s="449">
        <v>47</v>
      </c>
      <c r="AX187" s="449">
        <v>48</v>
      </c>
      <c r="AY187" s="449">
        <v>49</v>
      </c>
      <c r="AZ187" s="449">
        <v>50</v>
      </c>
      <c r="BA187" s="449">
        <v>51</v>
      </c>
      <c r="BB187" s="449">
        <v>52</v>
      </c>
      <c r="BC187" s="449">
        <v>53</v>
      </c>
      <c r="BD187" s="449">
        <v>54</v>
      </c>
      <c r="BE187" s="449">
        <v>55</v>
      </c>
      <c r="BF187" s="449">
        <v>56</v>
      </c>
      <c r="BG187" s="449">
        <v>57</v>
      </c>
      <c r="BH187" s="449">
        <v>58</v>
      </c>
      <c r="BI187" s="449">
        <v>59</v>
      </c>
      <c r="BJ187" s="449">
        <v>60</v>
      </c>
      <c r="BK187" s="449">
        <v>61</v>
      </c>
      <c r="BL187" s="449">
        <v>62</v>
      </c>
      <c r="BM187" s="449">
        <v>63</v>
      </c>
      <c r="BN187" s="449">
        <v>64</v>
      </c>
      <c r="BO187" s="449">
        <v>65</v>
      </c>
      <c r="BP187" s="449">
        <v>66</v>
      </c>
      <c r="BQ187" s="449">
        <v>67</v>
      </c>
      <c r="BR187" s="449">
        <v>68</v>
      </c>
      <c r="BS187" s="449">
        <v>69</v>
      </c>
      <c r="BT187" s="449">
        <v>70</v>
      </c>
      <c r="BU187" s="449">
        <v>71</v>
      </c>
      <c r="BV187" s="449">
        <v>72</v>
      </c>
      <c r="BW187" s="449">
        <v>73</v>
      </c>
      <c r="BX187" s="449">
        <v>74</v>
      </c>
      <c r="BY187" s="449">
        <v>75</v>
      </c>
      <c r="BZ187" s="449">
        <v>76</v>
      </c>
      <c r="CA187" s="449">
        <v>77</v>
      </c>
      <c r="CB187" s="449">
        <v>78</v>
      </c>
      <c r="CC187" s="449">
        <v>79</v>
      </c>
      <c r="CD187" s="449">
        <v>80</v>
      </c>
      <c r="CE187" s="449">
        <v>81</v>
      </c>
      <c r="CF187" s="449">
        <v>82</v>
      </c>
      <c r="CG187" s="449">
        <v>83</v>
      </c>
      <c r="CH187" s="488"/>
    </row>
    <row r="188" spans="1:86" ht="12.75" customHeight="1" thickBot="1" x14ac:dyDescent="0.25">
      <c r="A188" s="2181">
        <v>188</v>
      </c>
      <c r="B188" s="489" t="s">
        <v>2256</v>
      </c>
      <c r="C188" s="490" t="s">
        <v>2344</v>
      </c>
      <c r="D188" s="490" t="s">
        <v>2246</v>
      </c>
      <c r="E188" s="490" t="s">
        <v>9589</v>
      </c>
      <c r="F188" s="490" t="s">
        <v>3031</v>
      </c>
      <c r="G188" s="490" t="s">
        <v>2357</v>
      </c>
      <c r="H188" s="1952" t="s">
        <v>3032</v>
      </c>
      <c r="I188" s="490" t="s">
        <v>3033</v>
      </c>
      <c r="J188" s="490" t="s">
        <v>3034</v>
      </c>
      <c r="K188" s="490" t="s">
        <v>2378</v>
      </c>
      <c r="L188" s="490" t="str">
        <f>PDs!E22</f>
        <v>H. Ataque</v>
      </c>
      <c r="M188" s="490" t="s">
        <v>2350</v>
      </c>
      <c r="N188" s="2285" t="s">
        <v>2351</v>
      </c>
      <c r="O188" s="490" t="s">
        <v>2352</v>
      </c>
      <c r="P188" s="490" t="s">
        <v>2365</v>
      </c>
      <c r="Q188" s="5185" t="str">
        <f>"Coste"&amp;PDs!$E$22</f>
        <v>CosteH. Ataque</v>
      </c>
      <c r="R188" s="5185" t="str">
        <f>"Coste"&amp;PDs!$E$23</f>
        <v>CosteH. Parada</v>
      </c>
      <c r="S188" s="5185" t="str">
        <f>"Coste"&amp;PDs!$E$24</f>
        <v>CosteH. Esquiva</v>
      </c>
      <c r="T188" s="5185" t="str">
        <f>"Coste"&amp;PDs!$E$25</f>
        <v>CosteLlevar Armadura</v>
      </c>
      <c r="U188" s="5185" t="s">
        <v>3035</v>
      </c>
      <c r="V188" s="5185" t="s">
        <v>9940</v>
      </c>
      <c r="W188" s="5185" t="str">
        <f>"Coste"&amp;PDs!$E$90</f>
        <v>CosteZeón</v>
      </c>
      <c r="X188" s="5185" t="s">
        <v>9590</v>
      </c>
      <c r="Y188" s="5185" t="str">
        <f>"Coste"&amp;PDs!$E$93</f>
        <v>CosteProyección Mágica</v>
      </c>
      <c r="Z188" s="5185" t="s">
        <v>3036</v>
      </c>
      <c r="AA188" s="5185" t="str">
        <f>"Coste"&amp;PDs!$E$96</f>
        <v>CosteControlar</v>
      </c>
      <c r="AB188" s="5185" t="s">
        <v>3037</v>
      </c>
      <c r="AC188" s="5185" t="s">
        <v>9941</v>
      </c>
      <c r="AD188" s="5185" t="s">
        <v>3038</v>
      </c>
      <c r="AE188" s="5185" t="str">
        <f>"Coste"&amp;PDs!$E$109</f>
        <v>CosteProyección psíquica</v>
      </c>
      <c r="AF188" s="5185" t="str">
        <f>"Coste"&amp;PDs!D126</f>
        <v>CosteAtléticas</v>
      </c>
      <c r="AG188" s="5185" t="s">
        <v>3039</v>
      </c>
      <c r="AH188" s="5185" t="str">
        <f>"Coste"&amp;PDs!$D$140</f>
        <v>CostePerc</v>
      </c>
      <c r="AI188" s="5185" t="str">
        <f>"Coste"&amp;PDs!$D$143</f>
        <v>CosteIntelectuales</v>
      </c>
      <c r="AJ188" s="5185" t="s">
        <v>3040</v>
      </c>
      <c r="AK188" s="5185" t="s">
        <v>9942</v>
      </c>
      <c r="AL188" s="5185" t="s">
        <v>9943</v>
      </c>
      <c r="AM188" s="5185" t="str">
        <f>"Coste"&amp;PDs!E156</f>
        <v>CosteP. Fuerza</v>
      </c>
      <c r="AN188" s="5185" t="str">
        <f>"Coste"&amp;PDs!E157</f>
        <v>CosteRes. Dolor</v>
      </c>
      <c r="AO188" s="5185" t="s">
        <v>3041</v>
      </c>
      <c r="AP188" s="5185" t="str">
        <f>"Coste"&amp;PDs!E163</f>
        <v>CosteTrampería</v>
      </c>
      <c r="AQ188" s="5185" t="str">
        <f>"Coste"&amp;PDs!E146</f>
        <v>CosteHerbolaria</v>
      </c>
      <c r="AR188" s="5185" t="s">
        <v>3042</v>
      </c>
      <c r="AS188" s="5185" t="s">
        <v>3043</v>
      </c>
      <c r="AT188" s="5185" t="str">
        <f>"Coste"&amp;PDs!E153</f>
        <v>CosteTasación</v>
      </c>
      <c r="AU188" s="5185" t="s">
        <v>3044</v>
      </c>
      <c r="AV188" s="5185" t="s">
        <v>3045</v>
      </c>
      <c r="AW188" s="5185" t="str">
        <f>"Coste"&amp;PDs!E154</f>
        <v>CosteV. Mágica</v>
      </c>
      <c r="AX188" s="5185" t="str">
        <f>"Coste"&amp;PDs!E172</f>
        <v>CosteT. Manos</v>
      </c>
      <c r="AY188" s="5185" t="str">
        <f>"Coste"&amp;PDs!E136</f>
        <v>CostePersuasión</v>
      </c>
      <c r="AZ188" s="5185" t="s">
        <v>3046</v>
      </c>
      <c r="BA188" s="490" t="str">
        <f>PDs!E156</f>
        <v>P. Fuerza</v>
      </c>
      <c r="BB188" s="490" t="str">
        <f>PDs!E126</f>
        <v>Acrobacias</v>
      </c>
      <c r="BC188" s="490" t="s">
        <v>2273</v>
      </c>
      <c r="BD188" s="490" t="s">
        <v>2260</v>
      </c>
      <c r="BE188" s="490" t="str">
        <f>PDs!E172</f>
        <v>T. Manos</v>
      </c>
      <c r="BF188" s="490" t="s">
        <v>2277</v>
      </c>
      <c r="BG188" s="490" t="s">
        <v>2282</v>
      </c>
      <c r="BH188" s="2404" t="str">
        <f>PDs!E157</f>
        <v>Res. Dolor</v>
      </c>
      <c r="BI188" s="490" t="s">
        <v>2279</v>
      </c>
      <c r="BJ188" s="490" t="s">
        <v>2304</v>
      </c>
      <c r="BK188" s="490" t="s">
        <v>2284</v>
      </c>
      <c r="BL188" s="490" t="s">
        <v>2374</v>
      </c>
      <c r="BM188" s="490" t="s">
        <v>9588</v>
      </c>
      <c r="BN188" s="490" t="s">
        <v>2286</v>
      </c>
      <c r="BO188" s="490" t="s">
        <v>2287</v>
      </c>
      <c r="BP188" s="490" t="s">
        <v>2288</v>
      </c>
      <c r="BQ188" s="490" t="s">
        <v>2322</v>
      </c>
      <c r="BR188" s="490" t="s">
        <v>2290</v>
      </c>
      <c r="BS188" s="490" t="s">
        <v>2292</v>
      </c>
      <c r="BT188" s="490" t="s">
        <v>2316</v>
      </c>
      <c r="BU188" s="490" t="s">
        <v>2320</v>
      </c>
      <c r="BV188" s="490" t="s">
        <v>2318</v>
      </c>
      <c r="BW188" s="490" t="s">
        <v>2323</v>
      </c>
      <c r="BX188" s="490" t="s">
        <v>2300</v>
      </c>
      <c r="BY188" s="490" t="s">
        <v>2302</v>
      </c>
      <c r="BZ188" s="490" t="s">
        <v>2314</v>
      </c>
      <c r="CA188" s="490" t="s">
        <v>2371</v>
      </c>
      <c r="CB188" s="490" t="s">
        <v>831</v>
      </c>
      <c r="CC188" s="490" t="str">
        <f>Ki!C35</f>
        <v>Detección Ki</v>
      </c>
      <c r="CD188" s="490" t="str">
        <f>Ki!C36</f>
        <v>Ocultación Ki</v>
      </c>
      <c r="CE188" s="490" t="s">
        <v>3047</v>
      </c>
      <c r="CF188" s="490" t="s">
        <v>3048</v>
      </c>
      <c r="CG188" s="490" t="s">
        <v>3049</v>
      </c>
      <c r="CH188" s="491"/>
    </row>
    <row r="189" spans="1:86" ht="12.75" customHeight="1" x14ac:dyDescent="0.2">
      <c r="A189" s="2181">
        <v>189</v>
      </c>
      <c r="B189" s="2877">
        <f>IF(ISNA(VLOOKUP(Tablas!$C189,PDs!$U$5:$X$14,4,FALSE)),0,VLOOKUP(Tablas!$C189,PDs!$U$5:$X$14,4,FALSE))</f>
        <v>0</v>
      </c>
      <c r="C189" s="2880" t="s">
        <v>3050</v>
      </c>
      <c r="D189" s="492">
        <v>5</v>
      </c>
      <c r="E189" s="492">
        <v>15</v>
      </c>
      <c r="F189" s="492">
        <v>15</v>
      </c>
      <c r="G189" s="492">
        <v>25</v>
      </c>
      <c r="H189" s="1981">
        <v>0.60000000000000009</v>
      </c>
      <c r="I189" s="493">
        <v>0.5</v>
      </c>
      <c r="J189" s="493">
        <v>0.5</v>
      </c>
      <c r="K189" s="494">
        <f t="shared" ref="K189:K204" si="7">1/3</f>
        <v>0.33333333333333331</v>
      </c>
      <c r="L189" s="495">
        <v>5</v>
      </c>
      <c r="M189" s="495">
        <v>5</v>
      </c>
      <c r="N189" s="2298"/>
      <c r="O189" s="495">
        <v>5</v>
      </c>
      <c r="P189" s="495"/>
      <c r="Q189" s="495">
        <v>2</v>
      </c>
      <c r="R189" s="495">
        <v>2</v>
      </c>
      <c r="S189" s="495">
        <v>2</v>
      </c>
      <c r="T189" s="495">
        <v>2</v>
      </c>
      <c r="U189" s="495">
        <v>2</v>
      </c>
      <c r="V189" s="495">
        <v>20</v>
      </c>
      <c r="W189" s="495">
        <v>3</v>
      </c>
      <c r="X189" s="495">
        <v>70</v>
      </c>
      <c r="Y189" s="495">
        <v>3</v>
      </c>
      <c r="Z189" s="495">
        <v>3</v>
      </c>
      <c r="AA189" s="495">
        <v>3</v>
      </c>
      <c r="AB189" s="495">
        <v>3</v>
      </c>
      <c r="AC189" s="495">
        <v>3</v>
      </c>
      <c r="AD189" s="495">
        <v>20</v>
      </c>
      <c r="AE189" s="495">
        <v>3</v>
      </c>
      <c r="AF189" s="495">
        <v>2</v>
      </c>
      <c r="AG189" s="495">
        <v>2</v>
      </c>
      <c r="AH189" s="495">
        <v>2</v>
      </c>
      <c r="AI189" s="495">
        <v>3</v>
      </c>
      <c r="AJ189" s="495">
        <v>2</v>
      </c>
      <c r="AK189" s="495">
        <v>2</v>
      </c>
      <c r="AL189" s="495">
        <v>2</v>
      </c>
      <c r="AM189" s="495">
        <v>1</v>
      </c>
      <c r="AN189" s="496">
        <v>3</v>
      </c>
      <c r="AO189" s="496">
        <v>3</v>
      </c>
      <c r="AP189" s="496">
        <v>3</v>
      </c>
      <c r="AQ189" s="496">
        <v>3</v>
      </c>
      <c r="AR189" s="496">
        <v>3</v>
      </c>
      <c r="AS189" s="496">
        <v>3</v>
      </c>
      <c r="AT189" s="496">
        <v>3</v>
      </c>
      <c r="AU189" s="496">
        <v>3</v>
      </c>
      <c r="AV189" s="496">
        <v>3</v>
      </c>
      <c r="AW189" s="496">
        <v>3</v>
      </c>
      <c r="AX189" s="496">
        <v>3</v>
      </c>
      <c r="AY189" s="496">
        <v>3</v>
      </c>
      <c r="AZ189" s="496">
        <v>3</v>
      </c>
      <c r="BA189" s="495">
        <v>5</v>
      </c>
      <c r="BB189" s="496"/>
      <c r="BC189" s="496"/>
      <c r="BD189" s="496"/>
      <c r="BE189" s="496"/>
      <c r="BF189" s="496"/>
      <c r="BG189" s="496"/>
      <c r="BH189" s="496"/>
      <c r="BI189" s="496"/>
      <c r="BJ189" s="496"/>
      <c r="BK189" s="496"/>
      <c r="BL189" s="496"/>
      <c r="BM189" s="496"/>
      <c r="BN189" s="496"/>
      <c r="BO189" s="496"/>
      <c r="BP189" s="496"/>
      <c r="BQ189" s="496"/>
      <c r="BR189" s="496"/>
      <c r="BS189" s="496"/>
      <c r="BT189" s="492"/>
      <c r="BU189" s="492"/>
      <c r="BV189" s="492"/>
      <c r="BW189" s="492"/>
      <c r="BX189" s="492"/>
      <c r="BY189" s="492"/>
      <c r="BZ189" s="492"/>
      <c r="CA189" s="492"/>
      <c r="CB189" s="492"/>
      <c r="CC189" s="492"/>
      <c r="CD189" s="492"/>
      <c r="CE189" s="497" t="s">
        <v>3051</v>
      </c>
      <c r="CF189" s="497" t="s">
        <v>3052</v>
      </c>
      <c r="CG189" s="145" t="str">
        <f t="shared" ref="CG189:CG210" si="8">CONCATENATE(CE189,CF189)</f>
        <v>LuchadorSin</v>
      </c>
      <c r="CH189" s="286"/>
    </row>
    <row r="190" spans="1:86" ht="12.75" customHeight="1" x14ac:dyDescent="0.2">
      <c r="A190" s="2180">
        <v>190</v>
      </c>
      <c r="B190" s="2878">
        <f>IF(ISNA(VLOOKUP(Tablas!$C190,PDs!$U$5:$X$14,4,FALSE)),0,VLOOKUP(Tablas!$C190,PDs!$U$5:$X$14,4,FALSE))</f>
        <v>0</v>
      </c>
      <c r="C190" s="2881" t="s">
        <v>3053</v>
      </c>
      <c r="D190" s="240">
        <v>10</v>
      </c>
      <c r="E190" s="240">
        <v>10</v>
      </c>
      <c r="F190" s="240">
        <v>20</v>
      </c>
      <c r="G190" s="240">
        <v>25</v>
      </c>
      <c r="H190" s="1982">
        <v>0.60000000000000009</v>
      </c>
      <c r="I190" s="498">
        <v>0.5</v>
      </c>
      <c r="J190" s="498">
        <v>0.5</v>
      </c>
      <c r="K190" s="499">
        <f t="shared" si="7"/>
        <v>0.33333333333333331</v>
      </c>
      <c r="L190" s="500">
        <v>5</v>
      </c>
      <c r="M190" s="500"/>
      <c r="N190" s="2299">
        <v>5</v>
      </c>
      <c r="O190" s="501"/>
      <c r="P190" s="501"/>
      <c r="Q190" s="500">
        <v>2</v>
      </c>
      <c r="R190" s="500">
        <v>3</v>
      </c>
      <c r="S190" s="500">
        <v>2</v>
      </c>
      <c r="T190" s="500">
        <v>2</v>
      </c>
      <c r="U190" s="500">
        <v>2</v>
      </c>
      <c r="V190" s="500">
        <v>20</v>
      </c>
      <c r="W190" s="500">
        <v>3</v>
      </c>
      <c r="X190" s="500">
        <v>70</v>
      </c>
      <c r="Y190" s="500">
        <v>3</v>
      </c>
      <c r="Z190" s="500">
        <v>3</v>
      </c>
      <c r="AA190" s="500">
        <v>3</v>
      </c>
      <c r="AB190" s="500">
        <v>3</v>
      </c>
      <c r="AC190" s="500">
        <v>3</v>
      </c>
      <c r="AD190" s="500">
        <v>20</v>
      </c>
      <c r="AE190" s="500">
        <v>3</v>
      </c>
      <c r="AF190" s="500">
        <v>2</v>
      </c>
      <c r="AG190" s="500">
        <v>2</v>
      </c>
      <c r="AH190" s="500">
        <v>2</v>
      </c>
      <c r="AI190" s="500">
        <v>3</v>
      </c>
      <c r="AJ190" s="500">
        <v>2</v>
      </c>
      <c r="AK190" s="500">
        <v>2</v>
      </c>
      <c r="AL190" s="500">
        <v>2</v>
      </c>
      <c r="AM190" s="501">
        <v>3</v>
      </c>
      <c r="AN190" s="501">
        <v>3</v>
      </c>
      <c r="AO190" s="501">
        <v>3</v>
      </c>
      <c r="AP190" s="501">
        <v>3</v>
      </c>
      <c r="AQ190" s="501">
        <v>3</v>
      </c>
      <c r="AR190" s="501">
        <v>3</v>
      </c>
      <c r="AS190" s="501">
        <v>3</v>
      </c>
      <c r="AT190" s="501">
        <v>3</v>
      </c>
      <c r="AU190" s="501">
        <v>3</v>
      </c>
      <c r="AV190" s="501">
        <v>3</v>
      </c>
      <c r="AW190" s="501">
        <v>3</v>
      </c>
      <c r="AX190" s="501">
        <v>3</v>
      </c>
      <c r="AY190" s="501">
        <v>3</v>
      </c>
      <c r="AZ190" s="501">
        <v>3</v>
      </c>
      <c r="BA190" s="501"/>
      <c r="BB190" s="500">
        <v>10</v>
      </c>
      <c r="BC190" s="500">
        <v>10</v>
      </c>
      <c r="BD190" s="500">
        <v>10</v>
      </c>
      <c r="BE190" s="500">
        <v>10</v>
      </c>
      <c r="BF190" s="500">
        <v>10</v>
      </c>
      <c r="BG190" s="501"/>
      <c r="BH190" s="501"/>
      <c r="BI190" s="501"/>
      <c r="BJ190" s="501"/>
      <c r="BK190" s="501"/>
      <c r="BL190" s="501"/>
      <c r="BM190" s="501"/>
      <c r="BN190" s="501"/>
      <c r="BO190" s="501"/>
      <c r="BP190" s="501"/>
      <c r="BQ190" s="501"/>
      <c r="BR190" s="501"/>
      <c r="BS190" s="501"/>
      <c r="BT190" s="240"/>
      <c r="BU190" s="240"/>
      <c r="BV190" s="240"/>
      <c r="BW190" s="240"/>
      <c r="BX190" s="240"/>
      <c r="BY190" s="240"/>
      <c r="BZ190" s="240"/>
      <c r="CA190" s="240"/>
      <c r="CB190" s="240"/>
      <c r="CC190" s="240"/>
      <c r="CD190" s="240"/>
      <c r="CE190" s="383" t="s">
        <v>3051</v>
      </c>
      <c r="CF190" s="383" t="s">
        <v>3052</v>
      </c>
      <c r="CG190" s="111" t="str">
        <f t="shared" si="8"/>
        <v>LuchadorSin</v>
      </c>
      <c r="CH190" s="75"/>
    </row>
    <row r="191" spans="1:86" ht="12.75" customHeight="1" x14ac:dyDescent="0.2">
      <c r="A191" s="2180">
        <v>191</v>
      </c>
      <c r="B191" s="2878">
        <f>IF(ISNA(VLOOKUP(Tablas!$C191,PDs!$U$5:$X$14,4,FALSE)),0,VLOOKUP(Tablas!$C191,PDs!$U$5:$X$14,4,FALSE))</f>
        <v>0</v>
      </c>
      <c r="C191" s="2881" t="s">
        <v>3054</v>
      </c>
      <c r="D191" s="240">
        <v>5</v>
      </c>
      <c r="E191" s="240">
        <v>15</v>
      </c>
      <c r="F191" s="240">
        <v>15</v>
      </c>
      <c r="G191" s="240">
        <v>20</v>
      </c>
      <c r="H191" s="1982">
        <v>0.60000000000000009</v>
      </c>
      <c r="I191" s="498">
        <v>0.5</v>
      </c>
      <c r="J191" s="498">
        <v>0.5</v>
      </c>
      <c r="K191" s="499">
        <f t="shared" si="7"/>
        <v>0.33333333333333331</v>
      </c>
      <c r="L191" s="500"/>
      <c r="M191" s="500">
        <v>5</v>
      </c>
      <c r="N191" s="2299"/>
      <c r="O191" s="500">
        <v>10</v>
      </c>
      <c r="P191" s="500">
        <v>20</v>
      </c>
      <c r="Q191" s="500">
        <v>2</v>
      </c>
      <c r="R191" s="500">
        <v>2</v>
      </c>
      <c r="S191" s="500">
        <v>2</v>
      </c>
      <c r="T191" s="500">
        <v>2</v>
      </c>
      <c r="U191" s="500">
        <v>2</v>
      </c>
      <c r="V191" s="500">
        <v>20</v>
      </c>
      <c r="W191" s="500">
        <v>2</v>
      </c>
      <c r="X191" s="500">
        <v>60</v>
      </c>
      <c r="Y191" s="500">
        <v>3</v>
      </c>
      <c r="Z191" s="500">
        <v>3</v>
      </c>
      <c r="AA191" s="500">
        <v>3</v>
      </c>
      <c r="AB191" s="500">
        <v>3</v>
      </c>
      <c r="AC191" s="500">
        <v>1</v>
      </c>
      <c r="AD191" s="500">
        <v>20</v>
      </c>
      <c r="AE191" s="500">
        <v>3</v>
      </c>
      <c r="AF191" s="500">
        <v>2</v>
      </c>
      <c r="AG191" s="500">
        <v>1</v>
      </c>
      <c r="AH191" s="500">
        <v>2</v>
      </c>
      <c r="AI191" s="500">
        <v>2</v>
      </c>
      <c r="AJ191" s="500">
        <v>2</v>
      </c>
      <c r="AK191" s="500">
        <v>3</v>
      </c>
      <c r="AL191" s="500">
        <v>2</v>
      </c>
      <c r="AM191" s="501">
        <v>3</v>
      </c>
      <c r="AN191" s="500">
        <v>1</v>
      </c>
      <c r="AO191" s="501">
        <v>3</v>
      </c>
      <c r="AP191" s="501">
        <v>3</v>
      </c>
      <c r="AQ191" s="501">
        <v>3</v>
      </c>
      <c r="AR191" s="501">
        <v>3</v>
      </c>
      <c r="AS191" s="501">
        <v>3</v>
      </c>
      <c r="AT191" s="501">
        <v>3</v>
      </c>
      <c r="AU191" s="501">
        <v>3</v>
      </c>
      <c r="AV191" s="501">
        <v>3</v>
      </c>
      <c r="AW191" s="501">
        <v>3</v>
      </c>
      <c r="AX191" s="501">
        <v>3</v>
      </c>
      <c r="AY191" s="501">
        <v>3</v>
      </c>
      <c r="AZ191" s="501">
        <v>3</v>
      </c>
      <c r="BA191" s="501"/>
      <c r="BB191" s="501"/>
      <c r="BC191" s="501"/>
      <c r="BD191" s="501"/>
      <c r="BE191" s="501"/>
      <c r="BF191" s="501">
        <v>5</v>
      </c>
      <c r="BG191" s="501">
        <v>10</v>
      </c>
      <c r="BH191" s="501">
        <v>10</v>
      </c>
      <c r="BI191" s="501"/>
      <c r="BJ191" s="501"/>
      <c r="BK191" s="501"/>
      <c r="BL191" s="501">
        <v>10</v>
      </c>
      <c r="BM191" s="501"/>
      <c r="BN191" s="501"/>
      <c r="BO191" s="501"/>
      <c r="BP191" s="501"/>
      <c r="BQ191" s="501"/>
      <c r="BR191" s="501"/>
      <c r="BS191" s="501"/>
      <c r="BT191" s="240"/>
      <c r="BU191" s="240"/>
      <c r="BV191" s="240"/>
      <c r="BW191" s="240"/>
      <c r="BX191" s="240"/>
      <c r="BY191" s="240"/>
      <c r="BZ191" s="240"/>
      <c r="CA191" s="240"/>
      <c r="CB191" s="240"/>
      <c r="CC191" s="240"/>
      <c r="CD191" s="240"/>
      <c r="CE191" s="383" t="s">
        <v>3051</v>
      </c>
      <c r="CF191" s="383" t="s">
        <v>3052</v>
      </c>
      <c r="CG191" s="111" t="str">
        <f t="shared" si="8"/>
        <v>LuchadorSin</v>
      </c>
      <c r="CH191" s="75"/>
    </row>
    <row r="192" spans="1:86" ht="12.75" customHeight="1" x14ac:dyDescent="0.2">
      <c r="A192" s="2180">
        <v>192</v>
      </c>
      <c r="B192" s="2878">
        <f>IF(ISNA(VLOOKUP(Tablas!$C192,PDs!$U$5:$X$14,4,FALSE)),0,VLOOKUP(Tablas!$C192,PDs!$U$5:$X$14,4,FALSE))</f>
        <v>0</v>
      </c>
      <c r="C192" s="2881" t="s">
        <v>3681</v>
      </c>
      <c r="D192" s="240">
        <v>5</v>
      </c>
      <c r="E192" s="240">
        <v>15</v>
      </c>
      <c r="F192" s="240">
        <v>15</v>
      </c>
      <c r="G192" s="240">
        <v>20</v>
      </c>
      <c r="H192" s="1982">
        <v>0.60000000000000009</v>
      </c>
      <c r="I192" s="498">
        <v>0.5</v>
      </c>
      <c r="J192" s="498">
        <v>0.5</v>
      </c>
      <c r="K192" s="499">
        <f t="shared" si="7"/>
        <v>0.33333333333333331</v>
      </c>
      <c r="L192" s="500"/>
      <c r="M192" s="500">
        <v>5</v>
      </c>
      <c r="N192" s="2299"/>
      <c r="O192" s="500">
        <v>10</v>
      </c>
      <c r="P192" s="500"/>
      <c r="Q192" s="500">
        <v>2</v>
      </c>
      <c r="R192" s="500">
        <v>2</v>
      </c>
      <c r="S192" s="500">
        <v>2</v>
      </c>
      <c r="T192" s="500">
        <v>2</v>
      </c>
      <c r="U192" s="500">
        <v>2</v>
      </c>
      <c r="V192" s="500">
        <v>20</v>
      </c>
      <c r="W192" s="500">
        <v>2</v>
      </c>
      <c r="X192" s="500">
        <v>60</v>
      </c>
      <c r="Y192" s="500">
        <v>3</v>
      </c>
      <c r="Z192" s="500">
        <v>3</v>
      </c>
      <c r="AA192" s="500">
        <v>3</v>
      </c>
      <c r="AB192" s="500">
        <v>3</v>
      </c>
      <c r="AC192" s="500">
        <v>1</v>
      </c>
      <c r="AD192" s="500">
        <v>20</v>
      </c>
      <c r="AE192" s="500">
        <v>3</v>
      </c>
      <c r="AF192" s="500">
        <v>2</v>
      </c>
      <c r="AG192" s="500">
        <v>1</v>
      </c>
      <c r="AH192" s="500">
        <v>2</v>
      </c>
      <c r="AI192" s="500">
        <v>2</v>
      </c>
      <c r="AJ192" s="500">
        <v>2</v>
      </c>
      <c r="AK192" s="500">
        <v>3</v>
      </c>
      <c r="AL192" s="500">
        <v>2</v>
      </c>
      <c r="AM192" s="501">
        <v>3</v>
      </c>
      <c r="AN192" s="500">
        <v>1</v>
      </c>
      <c r="AO192" s="501">
        <v>3</v>
      </c>
      <c r="AP192" s="501">
        <v>3</v>
      </c>
      <c r="AQ192" s="501">
        <v>3</v>
      </c>
      <c r="AR192" s="501">
        <v>3</v>
      </c>
      <c r="AS192" s="501">
        <v>3</v>
      </c>
      <c r="AT192" s="501">
        <v>3</v>
      </c>
      <c r="AU192" s="501">
        <v>3</v>
      </c>
      <c r="AV192" s="501">
        <v>3</v>
      </c>
      <c r="AW192" s="501">
        <v>3</v>
      </c>
      <c r="AX192" s="501">
        <v>3</v>
      </c>
      <c r="AY192" s="501">
        <v>3</v>
      </c>
      <c r="AZ192" s="501">
        <v>3</v>
      </c>
      <c r="BA192" s="501"/>
      <c r="BB192" s="501"/>
      <c r="BC192" s="501"/>
      <c r="BD192" s="501"/>
      <c r="BE192" s="501"/>
      <c r="BF192" s="501">
        <v>5</v>
      </c>
      <c r="BG192" s="501">
        <v>10</v>
      </c>
      <c r="BH192" s="501">
        <v>10</v>
      </c>
      <c r="BI192" s="501"/>
      <c r="BJ192" s="501">
        <v>10</v>
      </c>
      <c r="BK192" s="501"/>
      <c r="BL192" s="501"/>
      <c r="BM192" s="501"/>
      <c r="BN192" s="501"/>
      <c r="BO192" s="501"/>
      <c r="BP192" s="501"/>
      <c r="BQ192" s="501"/>
      <c r="BR192" s="501"/>
      <c r="BS192" s="501"/>
      <c r="BT192" s="240"/>
      <c r="BU192" s="240"/>
      <c r="BV192" s="240"/>
      <c r="BW192" s="240"/>
      <c r="BX192" s="240"/>
      <c r="BY192" s="240"/>
      <c r="BZ192" s="240"/>
      <c r="CA192" s="240"/>
      <c r="CB192" s="240"/>
      <c r="CC192" s="240"/>
      <c r="CD192" s="240"/>
      <c r="CE192" s="383" t="s">
        <v>3051</v>
      </c>
      <c r="CF192" s="383" t="s">
        <v>3052</v>
      </c>
      <c r="CG192" s="111" t="str">
        <f>CONCATENATE(CE192,CF192)</f>
        <v>LuchadorSin</v>
      </c>
      <c r="CH192" s="75"/>
    </row>
    <row r="193" spans="1:86" ht="12.75" customHeight="1" x14ac:dyDescent="0.2">
      <c r="A193" s="2181">
        <v>193</v>
      </c>
      <c r="B193" s="2878">
        <f>IF(ISNA(VLOOKUP(Tablas!$C193,PDs!$U$5:$X$14,4,FALSE)),0,VLOOKUP(Tablas!$C193,PDs!$U$5:$X$14,4,FALSE))</f>
        <v>0</v>
      </c>
      <c r="C193" s="2881" t="s">
        <v>3055</v>
      </c>
      <c r="D193" s="240">
        <v>5</v>
      </c>
      <c r="E193" s="240">
        <v>15</v>
      </c>
      <c r="F193" s="240">
        <v>15</v>
      </c>
      <c r="G193" s="240">
        <v>20</v>
      </c>
      <c r="H193" s="1982">
        <v>0.60000000000000009</v>
      </c>
      <c r="I193" s="498">
        <v>0.5</v>
      </c>
      <c r="J193" s="498">
        <v>0.5</v>
      </c>
      <c r="K193" s="499">
        <f t="shared" si="7"/>
        <v>0.33333333333333331</v>
      </c>
      <c r="L193" s="500">
        <v>5</v>
      </c>
      <c r="M193" s="500"/>
      <c r="N193" s="2299"/>
      <c r="O193" s="500">
        <v>5</v>
      </c>
      <c r="P193" s="500">
        <v>20</v>
      </c>
      <c r="Q193" s="500">
        <v>2</v>
      </c>
      <c r="R193" s="500">
        <v>2</v>
      </c>
      <c r="S193" s="500">
        <v>2</v>
      </c>
      <c r="T193" s="500">
        <v>2</v>
      </c>
      <c r="U193" s="500">
        <v>2</v>
      </c>
      <c r="V193" s="500">
        <v>20</v>
      </c>
      <c r="W193" s="500">
        <v>2</v>
      </c>
      <c r="X193" s="500">
        <v>60</v>
      </c>
      <c r="Y193" s="500">
        <v>3</v>
      </c>
      <c r="Z193" s="500">
        <v>3</v>
      </c>
      <c r="AA193" s="500">
        <v>1</v>
      </c>
      <c r="AB193" s="500">
        <v>3</v>
      </c>
      <c r="AC193" s="500">
        <v>3</v>
      </c>
      <c r="AD193" s="500">
        <v>20</v>
      </c>
      <c r="AE193" s="500">
        <v>3</v>
      </c>
      <c r="AF193" s="500">
        <v>2</v>
      </c>
      <c r="AG193" s="500">
        <v>1</v>
      </c>
      <c r="AH193" s="500">
        <v>2</v>
      </c>
      <c r="AI193" s="500">
        <v>2</v>
      </c>
      <c r="AJ193" s="500">
        <v>2</v>
      </c>
      <c r="AK193" s="500">
        <v>2</v>
      </c>
      <c r="AL193" s="500">
        <v>2</v>
      </c>
      <c r="AM193" s="501">
        <v>3</v>
      </c>
      <c r="AN193" s="501">
        <v>3</v>
      </c>
      <c r="AO193" s="500">
        <v>1</v>
      </c>
      <c r="AP193" s="501">
        <v>3</v>
      </c>
      <c r="AQ193" s="501">
        <v>3</v>
      </c>
      <c r="AR193" s="501">
        <v>3</v>
      </c>
      <c r="AS193" s="501">
        <v>3</v>
      </c>
      <c r="AT193" s="501">
        <v>3</v>
      </c>
      <c r="AU193" s="501">
        <v>3</v>
      </c>
      <c r="AV193" s="501">
        <v>3</v>
      </c>
      <c r="AW193" s="501">
        <v>3</v>
      </c>
      <c r="AX193" s="501">
        <v>3</v>
      </c>
      <c r="AY193" s="501">
        <v>3</v>
      </c>
      <c r="AZ193" s="501">
        <v>3</v>
      </c>
      <c r="BA193" s="501"/>
      <c r="BB193" s="501"/>
      <c r="BC193" s="501"/>
      <c r="BD193" s="501"/>
      <c r="BE193" s="501"/>
      <c r="BF193" s="501">
        <v>5</v>
      </c>
      <c r="BG193" s="501"/>
      <c r="BH193" s="501"/>
      <c r="BI193" s="501">
        <v>10</v>
      </c>
      <c r="BJ193" s="501">
        <v>10</v>
      </c>
      <c r="BK193" s="501">
        <v>5</v>
      </c>
      <c r="BL193" s="501"/>
      <c r="BM193" s="501">
        <v>10</v>
      </c>
      <c r="BN193" s="501"/>
      <c r="BO193" s="501"/>
      <c r="BP193" s="501"/>
      <c r="BQ193" s="501"/>
      <c r="BR193" s="501"/>
      <c r="BS193" s="501"/>
      <c r="BT193" s="240"/>
      <c r="BU193" s="240"/>
      <c r="BV193" s="240"/>
      <c r="BW193" s="240"/>
      <c r="BX193" s="240"/>
      <c r="BY193" s="240"/>
      <c r="BZ193" s="240"/>
      <c r="CA193" s="240"/>
      <c r="CB193" s="240"/>
      <c r="CC193" s="240"/>
      <c r="CD193" s="240"/>
      <c r="CE193" s="383" t="s">
        <v>3051</v>
      </c>
      <c r="CF193" s="383" t="s">
        <v>3052</v>
      </c>
      <c r="CG193" s="111" t="str">
        <f>CONCATENATE(CE193,CF193)</f>
        <v>LuchadorSin</v>
      </c>
      <c r="CH193" s="75"/>
    </row>
    <row r="194" spans="1:86" ht="12.75" customHeight="1" x14ac:dyDescent="0.2">
      <c r="A194" s="2181">
        <v>194</v>
      </c>
      <c r="B194" s="2878">
        <f>IF(ISNA(VLOOKUP(Tablas!$C194,PDs!$U$5:$X$14,4,FALSE)),0,VLOOKUP(Tablas!$C194,PDs!$U$5:$X$14,4,FALSE))</f>
        <v>0</v>
      </c>
      <c r="C194" s="2881" t="s">
        <v>3680</v>
      </c>
      <c r="D194" s="240">
        <v>5</v>
      </c>
      <c r="E194" s="240">
        <v>15</v>
      </c>
      <c r="F194" s="240">
        <v>15</v>
      </c>
      <c r="G194" s="240">
        <v>20</v>
      </c>
      <c r="H194" s="1982">
        <v>0.60000000000000009</v>
      </c>
      <c r="I194" s="498">
        <v>0.5</v>
      </c>
      <c r="J194" s="498">
        <v>0.5</v>
      </c>
      <c r="K194" s="499">
        <f t="shared" si="7"/>
        <v>0.33333333333333331</v>
      </c>
      <c r="L194" s="500">
        <v>5</v>
      </c>
      <c r="M194" s="500"/>
      <c r="N194" s="2299"/>
      <c r="O194" s="500">
        <v>5</v>
      </c>
      <c r="P194" s="500"/>
      <c r="Q194" s="500">
        <v>2</v>
      </c>
      <c r="R194" s="500">
        <v>2</v>
      </c>
      <c r="S194" s="500">
        <v>2</v>
      </c>
      <c r="T194" s="500">
        <v>2</v>
      </c>
      <c r="U194" s="500">
        <v>2</v>
      </c>
      <c r="V194" s="500">
        <v>20</v>
      </c>
      <c r="W194" s="500">
        <v>2</v>
      </c>
      <c r="X194" s="500">
        <v>60</v>
      </c>
      <c r="Y194" s="500">
        <v>3</v>
      </c>
      <c r="Z194" s="500">
        <v>3</v>
      </c>
      <c r="AA194" s="500">
        <v>1</v>
      </c>
      <c r="AB194" s="500">
        <v>3</v>
      </c>
      <c r="AC194" s="500">
        <v>3</v>
      </c>
      <c r="AD194" s="500">
        <v>20</v>
      </c>
      <c r="AE194" s="500">
        <v>3</v>
      </c>
      <c r="AF194" s="500">
        <v>2</v>
      </c>
      <c r="AG194" s="500">
        <v>1</v>
      </c>
      <c r="AH194" s="500">
        <v>2</v>
      </c>
      <c r="AI194" s="500">
        <v>2</v>
      </c>
      <c r="AJ194" s="500">
        <v>2</v>
      </c>
      <c r="AK194" s="500">
        <v>2</v>
      </c>
      <c r="AL194" s="500">
        <v>2</v>
      </c>
      <c r="AM194" s="501">
        <v>3</v>
      </c>
      <c r="AN194" s="501">
        <v>3</v>
      </c>
      <c r="AO194" s="500">
        <v>1</v>
      </c>
      <c r="AP194" s="501">
        <v>3</v>
      </c>
      <c r="AQ194" s="501">
        <v>3</v>
      </c>
      <c r="AR194" s="501">
        <v>3</v>
      </c>
      <c r="AS194" s="501">
        <v>3</v>
      </c>
      <c r="AT194" s="501">
        <v>3</v>
      </c>
      <c r="AU194" s="501">
        <v>3</v>
      </c>
      <c r="AV194" s="501">
        <v>3</v>
      </c>
      <c r="AW194" s="501">
        <v>3</v>
      </c>
      <c r="AX194" s="501">
        <v>3</v>
      </c>
      <c r="AY194" s="501">
        <v>3</v>
      </c>
      <c r="AZ194" s="501">
        <v>3</v>
      </c>
      <c r="BA194" s="501"/>
      <c r="BB194" s="501"/>
      <c r="BC194" s="501"/>
      <c r="BD194" s="501"/>
      <c r="BE194" s="501"/>
      <c r="BF194" s="501">
        <v>5</v>
      </c>
      <c r="BG194" s="501"/>
      <c r="BH194" s="501">
        <v>10</v>
      </c>
      <c r="BI194" s="501">
        <v>10</v>
      </c>
      <c r="BJ194" s="501">
        <v>10</v>
      </c>
      <c r="BK194" s="501">
        <v>5</v>
      </c>
      <c r="BL194" s="501"/>
      <c r="BM194" s="501"/>
      <c r="BN194" s="501"/>
      <c r="BO194" s="501"/>
      <c r="BP194" s="501"/>
      <c r="BQ194" s="501"/>
      <c r="BR194" s="501"/>
      <c r="BS194" s="501"/>
      <c r="BT194" s="240"/>
      <c r="BU194" s="240"/>
      <c r="BV194" s="240"/>
      <c r="BW194" s="240"/>
      <c r="BX194" s="240"/>
      <c r="BY194" s="240"/>
      <c r="BZ194" s="240"/>
      <c r="CA194" s="240"/>
      <c r="CB194" s="240"/>
      <c r="CC194" s="240"/>
      <c r="CD194" s="240"/>
      <c r="CE194" s="383" t="s">
        <v>3051</v>
      </c>
      <c r="CF194" s="383" t="s">
        <v>3052</v>
      </c>
      <c r="CG194" s="111" t="str">
        <f>CONCATENATE(CE194,CF194)</f>
        <v>LuchadorSin</v>
      </c>
      <c r="CH194" s="75"/>
    </row>
    <row r="195" spans="1:86" ht="12.75" customHeight="1" x14ac:dyDescent="0.2">
      <c r="A195" s="2181">
        <v>195</v>
      </c>
      <c r="B195" s="2878">
        <f>IF(ISNA(VLOOKUP(Tablas!$C195,PDs!$U$5:$X$14,4,FALSE)),0,VLOOKUP(Tablas!$C195,PDs!$U$5:$X$14,4,FALSE))</f>
        <v>0</v>
      </c>
      <c r="C195" s="2881" t="s">
        <v>3056</v>
      </c>
      <c r="D195" s="240">
        <v>5</v>
      </c>
      <c r="E195" s="240">
        <v>20</v>
      </c>
      <c r="F195" s="240">
        <v>10</v>
      </c>
      <c r="G195" s="240">
        <v>10</v>
      </c>
      <c r="H195" s="1982">
        <v>0.60000000000000009</v>
      </c>
      <c r="I195" s="498">
        <v>0.5</v>
      </c>
      <c r="J195" s="498">
        <v>0.5</v>
      </c>
      <c r="K195" s="499">
        <f t="shared" si="7"/>
        <v>0.33333333333333331</v>
      </c>
      <c r="L195" s="500">
        <v>5</v>
      </c>
      <c r="M195" s="500">
        <v>5</v>
      </c>
      <c r="N195" s="2299"/>
      <c r="O195" s="500">
        <v>10</v>
      </c>
      <c r="P195" s="500"/>
      <c r="Q195" s="500">
        <v>2</v>
      </c>
      <c r="R195" s="500">
        <v>2</v>
      </c>
      <c r="S195" s="500">
        <v>2</v>
      </c>
      <c r="T195" s="500">
        <v>1</v>
      </c>
      <c r="U195" s="500">
        <v>3</v>
      </c>
      <c r="V195" s="500">
        <v>30</v>
      </c>
      <c r="W195" s="500">
        <v>3</v>
      </c>
      <c r="X195" s="500">
        <v>70</v>
      </c>
      <c r="Y195" s="500">
        <v>3</v>
      </c>
      <c r="Z195" s="500">
        <v>3</v>
      </c>
      <c r="AA195" s="500">
        <v>3</v>
      </c>
      <c r="AB195" s="500">
        <v>3</v>
      </c>
      <c r="AC195" s="500">
        <v>3</v>
      </c>
      <c r="AD195" s="500">
        <v>20</v>
      </c>
      <c r="AE195" s="500">
        <v>3</v>
      </c>
      <c r="AF195" s="500">
        <v>2</v>
      </c>
      <c r="AG195" s="500">
        <v>2</v>
      </c>
      <c r="AH195" s="500">
        <v>2</v>
      </c>
      <c r="AI195" s="500">
        <v>3</v>
      </c>
      <c r="AJ195" s="500">
        <v>1</v>
      </c>
      <c r="AK195" s="500">
        <v>3</v>
      </c>
      <c r="AL195" s="500">
        <v>2</v>
      </c>
      <c r="AM195" s="501">
        <v>3</v>
      </c>
      <c r="AN195" s="501">
        <v>3</v>
      </c>
      <c r="AO195" s="501">
        <v>3</v>
      </c>
      <c r="AP195" s="501">
        <v>3</v>
      </c>
      <c r="AQ195" s="501">
        <v>3</v>
      </c>
      <c r="AR195" s="501">
        <v>3</v>
      </c>
      <c r="AS195" s="501">
        <v>3</v>
      </c>
      <c r="AT195" s="501">
        <v>3</v>
      </c>
      <c r="AU195" s="501">
        <v>3</v>
      </c>
      <c r="AV195" s="501">
        <v>3</v>
      </c>
      <c r="AW195" s="501">
        <v>3</v>
      </c>
      <c r="AX195" s="501">
        <v>3</v>
      </c>
      <c r="AY195" s="501">
        <v>3</v>
      </c>
      <c r="AZ195" s="501">
        <v>3</v>
      </c>
      <c r="BA195" s="501">
        <v>5</v>
      </c>
      <c r="BB195" s="501"/>
      <c r="BC195" s="501"/>
      <c r="BD195" s="501"/>
      <c r="BE195" s="501"/>
      <c r="BF195" s="501"/>
      <c r="BG195" s="501"/>
      <c r="BH195" s="501"/>
      <c r="BI195" s="501"/>
      <c r="BJ195" s="501"/>
      <c r="BK195" s="501"/>
      <c r="BL195" s="501"/>
      <c r="BM195" s="501"/>
      <c r="BN195" s="501"/>
      <c r="BO195" s="501"/>
      <c r="BP195" s="501"/>
      <c r="BQ195" s="501"/>
      <c r="BR195" s="501"/>
      <c r="BS195" s="501"/>
      <c r="BT195" s="240"/>
      <c r="BU195" s="240"/>
      <c r="BV195" s="240"/>
      <c r="BW195" s="240"/>
      <c r="BX195" s="240"/>
      <c r="BY195" s="240"/>
      <c r="BZ195" s="240"/>
      <c r="CA195" s="240"/>
      <c r="CB195" s="240"/>
      <c r="CC195" s="240"/>
      <c r="CD195" s="240"/>
      <c r="CE195" s="383" t="s">
        <v>3051</v>
      </c>
      <c r="CF195" s="383" t="s">
        <v>3052</v>
      </c>
      <c r="CG195" s="111" t="str">
        <f t="shared" si="8"/>
        <v>LuchadorSin</v>
      </c>
      <c r="CH195" s="75"/>
    </row>
    <row r="196" spans="1:86" ht="12.75" customHeight="1" x14ac:dyDescent="0.2">
      <c r="A196" s="2180">
        <v>196</v>
      </c>
      <c r="B196" s="2878">
        <f>IF(ISNA(VLOOKUP(Tablas!$C196,PDs!$U$5:$X$14,4,FALSE)),0,VLOOKUP(Tablas!$C196,PDs!$U$5:$X$14,4,FALSE))</f>
        <v>0</v>
      </c>
      <c r="C196" s="2881" t="s">
        <v>3057</v>
      </c>
      <c r="D196" s="240">
        <v>5</v>
      </c>
      <c r="E196" s="240">
        <v>5</v>
      </c>
      <c r="F196" s="240">
        <v>20</v>
      </c>
      <c r="G196" s="240">
        <v>50</v>
      </c>
      <c r="H196" s="1982">
        <v>0.60000000000000009</v>
      </c>
      <c r="I196" s="498">
        <v>0.5</v>
      </c>
      <c r="J196" s="498">
        <v>0.5</v>
      </c>
      <c r="K196" s="499">
        <f t="shared" si="7"/>
        <v>0.33333333333333331</v>
      </c>
      <c r="L196" s="500">
        <v>5</v>
      </c>
      <c r="M196" s="500"/>
      <c r="N196" s="2299"/>
      <c r="O196" s="500"/>
      <c r="P196" s="500"/>
      <c r="Q196" s="500">
        <v>2</v>
      </c>
      <c r="R196" s="500">
        <v>2</v>
      </c>
      <c r="S196" s="500">
        <v>2</v>
      </c>
      <c r="T196" s="500">
        <v>2</v>
      </c>
      <c r="U196" s="501">
        <v>1</v>
      </c>
      <c r="V196" s="501">
        <v>10</v>
      </c>
      <c r="W196" s="501">
        <v>3</v>
      </c>
      <c r="X196" s="501">
        <v>70</v>
      </c>
      <c r="Y196" s="501">
        <v>3</v>
      </c>
      <c r="Z196" s="501">
        <v>3</v>
      </c>
      <c r="AA196" s="501">
        <v>3</v>
      </c>
      <c r="AB196" s="501">
        <v>3</v>
      </c>
      <c r="AC196" s="501">
        <v>3</v>
      </c>
      <c r="AD196" s="501">
        <v>20</v>
      </c>
      <c r="AE196" s="501">
        <v>3</v>
      </c>
      <c r="AF196" s="501">
        <v>2</v>
      </c>
      <c r="AG196" s="501">
        <v>2</v>
      </c>
      <c r="AH196" s="501">
        <v>2</v>
      </c>
      <c r="AI196" s="501">
        <v>3</v>
      </c>
      <c r="AJ196" s="501">
        <v>2</v>
      </c>
      <c r="AK196" s="501">
        <v>2</v>
      </c>
      <c r="AL196" s="501">
        <v>2</v>
      </c>
      <c r="AM196" s="501">
        <v>3</v>
      </c>
      <c r="AN196" s="501">
        <v>3</v>
      </c>
      <c r="AO196" s="501">
        <v>3</v>
      </c>
      <c r="AP196" s="501">
        <v>3</v>
      </c>
      <c r="AQ196" s="501">
        <v>3</v>
      </c>
      <c r="AR196" s="501">
        <v>3</v>
      </c>
      <c r="AS196" s="501">
        <v>3</v>
      </c>
      <c r="AT196" s="501">
        <v>3</v>
      </c>
      <c r="AU196" s="501">
        <v>3</v>
      </c>
      <c r="AV196" s="501">
        <v>3</v>
      </c>
      <c r="AW196" s="501">
        <v>3</v>
      </c>
      <c r="AX196" s="501">
        <v>3</v>
      </c>
      <c r="AY196" s="501">
        <v>3</v>
      </c>
      <c r="AZ196" s="501">
        <v>3</v>
      </c>
      <c r="BA196" s="501"/>
      <c r="BB196" s="501"/>
      <c r="BC196" s="501"/>
      <c r="BD196" s="501"/>
      <c r="BE196" s="501"/>
      <c r="BF196" s="501"/>
      <c r="BG196" s="501"/>
      <c r="BH196" s="501"/>
      <c r="BI196" s="501"/>
      <c r="BJ196" s="501"/>
      <c r="BK196" s="501"/>
      <c r="BL196" s="501"/>
      <c r="BM196" s="501"/>
      <c r="BN196" s="501"/>
      <c r="BO196" s="501"/>
      <c r="BP196" s="501"/>
      <c r="BQ196" s="501"/>
      <c r="BR196" s="501"/>
      <c r="BS196" s="501"/>
      <c r="BT196" s="240"/>
      <c r="BU196" s="240"/>
      <c r="BV196" s="240"/>
      <c r="BW196" s="240"/>
      <c r="BX196" s="240"/>
      <c r="BY196" s="240"/>
      <c r="BZ196" s="240"/>
      <c r="CA196" s="240"/>
      <c r="CB196" s="240"/>
      <c r="CC196" s="240"/>
      <c r="CD196" s="240"/>
      <c r="CE196" s="383" t="s">
        <v>3058</v>
      </c>
      <c r="CF196" s="383" t="s">
        <v>3052</v>
      </c>
      <c r="CG196" s="111" t="str">
        <f t="shared" si="8"/>
        <v>DomineSin</v>
      </c>
      <c r="CH196" s="75"/>
    </row>
    <row r="197" spans="1:86" ht="12.75" customHeight="1" x14ac:dyDescent="0.2">
      <c r="A197" s="2180">
        <v>197</v>
      </c>
      <c r="B197" s="2878">
        <f>IF(ISNA(VLOOKUP(Tablas!$C197,PDs!$U$5:$X$14,4,FALSE)),0,VLOOKUP(Tablas!$C197,PDs!$U$5:$X$14,4,FALSE))</f>
        <v>0</v>
      </c>
      <c r="C197" s="2881" t="s">
        <v>3059</v>
      </c>
      <c r="D197" s="240">
        <v>5</v>
      </c>
      <c r="E197" s="240">
        <v>10</v>
      </c>
      <c r="F197" s="240">
        <v>20</v>
      </c>
      <c r="G197" s="240">
        <v>30</v>
      </c>
      <c r="H197" s="1982">
        <v>0.60000000000000009</v>
      </c>
      <c r="I197" s="498">
        <v>0.5</v>
      </c>
      <c r="J197" s="498">
        <v>0.5</v>
      </c>
      <c r="K197" s="499">
        <f t="shared" si="7"/>
        <v>0.33333333333333331</v>
      </c>
      <c r="L197" s="500"/>
      <c r="M197" s="500"/>
      <c r="N197" s="2299"/>
      <c r="O197" s="500"/>
      <c r="P197" s="500"/>
      <c r="Q197" s="500">
        <v>2</v>
      </c>
      <c r="R197" s="500">
        <v>2</v>
      </c>
      <c r="S197" s="500">
        <v>2</v>
      </c>
      <c r="T197" s="500">
        <v>2</v>
      </c>
      <c r="U197" s="500">
        <v>2</v>
      </c>
      <c r="V197" s="500">
        <v>15</v>
      </c>
      <c r="W197" s="500">
        <v>3</v>
      </c>
      <c r="X197" s="500">
        <v>70</v>
      </c>
      <c r="Y197" s="500">
        <v>3</v>
      </c>
      <c r="Z197" s="500">
        <v>3</v>
      </c>
      <c r="AA197" s="500">
        <v>3</v>
      </c>
      <c r="AB197" s="500">
        <v>3</v>
      </c>
      <c r="AC197" s="500">
        <v>3</v>
      </c>
      <c r="AD197" s="500">
        <v>20</v>
      </c>
      <c r="AE197" s="500">
        <v>3</v>
      </c>
      <c r="AF197" s="500">
        <v>2</v>
      </c>
      <c r="AG197" s="500">
        <v>2</v>
      </c>
      <c r="AH197" s="500">
        <v>2</v>
      </c>
      <c r="AI197" s="500">
        <v>3</v>
      </c>
      <c r="AJ197" s="500">
        <v>2</v>
      </c>
      <c r="AK197" s="500">
        <v>2</v>
      </c>
      <c r="AL197" s="500">
        <v>2</v>
      </c>
      <c r="AM197" s="501">
        <v>3</v>
      </c>
      <c r="AN197" s="501">
        <v>3</v>
      </c>
      <c r="AO197" s="501">
        <v>3</v>
      </c>
      <c r="AP197" s="501">
        <v>3</v>
      </c>
      <c r="AQ197" s="501">
        <v>3</v>
      </c>
      <c r="AR197" s="501">
        <v>3</v>
      </c>
      <c r="AS197" s="501">
        <v>3</v>
      </c>
      <c r="AT197" s="501">
        <v>3</v>
      </c>
      <c r="AU197" s="501">
        <v>3</v>
      </c>
      <c r="AV197" s="501">
        <v>3</v>
      </c>
      <c r="AW197" s="501">
        <v>3</v>
      </c>
      <c r="AX197" s="501">
        <v>3</v>
      </c>
      <c r="AY197" s="501">
        <v>3</v>
      </c>
      <c r="AZ197" s="501">
        <v>3</v>
      </c>
      <c r="BA197" s="501"/>
      <c r="BB197" s="501"/>
      <c r="BC197" s="501"/>
      <c r="BD197" s="501"/>
      <c r="BE197" s="501"/>
      <c r="BF197" s="501">
        <v>5</v>
      </c>
      <c r="BG197" s="501"/>
      <c r="BH197" s="501"/>
      <c r="BI197" s="501"/>
      <c r="BJ197" s="501"/>
      <c r="BK197" s="501"/>
      <c r="BL197" s="501"/>
      <c r="BM197" s="501"/>
      <c r="BN197" s="501"/>
      <c r="BO197" s="501"/>
      <c r="BP197" s="501"/>
      <c r="BQ197" s="501"/>
      <c r="BR197" s="501"/>
      <c r="BS197" s="501"/>
      <c r="BT197" s="240"/>
      <c r="BU197" s="240"/>
      <c r="BV197" s="240"/>
      <c r="BW197" s="240"/>
      <c r="BX197" s="240"/>
      <c r="BY197" s="240"/>
      <c r="BZ197" s="240"/>
      <c r="CA197" s="240"/>
      <c r="CB197" s="240"/>
      <c r="CC197" s="240"/>
      <c r="CD197" s="240"/>
      <c r="CE197" s="383" t="s">
        <v>3058</v>
      </c>
      <c r="CF197" s="383" t="s">
        <v>3051</v>
      </c>
      <c r="CG197" s="111" t="str">
        <f t="shared" si="8"/>
        <v>DomineLuchador</v>
      </c>
      <c r="CH197" s="75"/>
    </row>
    <row r="198" spans="1:86" ht="12.75" customHeight="1" x14ac:dyDescent="0.2">
      <c r="A198" s="2180">
        <v>198</v>
      </c>
      <c r="B198" s="2878">
        <f>IF(ISNA(VLOOKUP(Tablas!$C198,PDs!$U$5:$X$14,4,FALSE)),0,VLOOKUP(Tablas!$C198,PDs!$U$5:$X$14,4,FALSE))</f>
        <v>0</v>
      </c>
      <c r="C198" s="2881" t="s">
        <v>3060</v>
      </c>
      <c r="D198" s="240">
        <v>5</v>
      </c>
      <c r="E198" s="240">
        <v>10</v>
      </c>
      <c r="F198" s="240">
        <v>20</v>
      </c>
      <c r="G198" s="240">
        <v>20</v>
      </c>
      <c r="H198" s="1982">
        <v>0.60000000000000009</v>
      </c>
      <c r="I198" s="498">
        <v>0.5</v>
      </c>
      <c r="J198" s="498">
        <v>0.5</v>
      </c>
      <c r="K198" s="499">
        <f t="shared" si="7"/>
        <v>0.33333333333333331</v>
      </c>
      <c r="L198" s="500">
        <v>5</v>
      </c>
      <c r="M198" s="500"/>
      <c r="N198" s="2299"/>
      <c r="O198" s="500"/>
      <c r="P198" s="500"/>
      <c r="Q198" s="500">
        <v>2</v>
      </c>
      <c r="R198" s="500">
        <v>2</v>
      </c>
      <c r="S198" s="500">
        <v>2</v>
      </c>
      <c r="T198" s="500">
        <v>2</v>
      </c>
      <c r="U198" s="501">
        <v>2</v>
      </c>
      <c r="V198" s="501">
        <v>25</v>
      </c>
      <c r="W198" s="501">
        <v>3</v>
      </c>
      <c r="X198" s="501">
        <v>70</v>
      </c>
      <c r="Y198" s="501">
        <v>3</v>
      </c>
      <c r="Z198" s="501">
        <v>3</v>
      </c>
      <c r="AA198" s="501">
        <v>3</v>
      </c>
      <c r="AB198" s="501">
        <v>3</v>
      </c>
      <c r="AC198" s="501">
        <v>3</v>
      </c>
      <c r="AD198" s="501">
        <v>20</v>
      </c>
      <c r="AE198" s="501">
        <v>3</v>
      </c>
      <c r="AF198" s="501">
        <v>2</v>
      </c>
      <c r="AG198" s="501">
        <v>2</v>
      </c>
      <c r="AH198" s="501">
        <v>1</v>
      </c>
      <c r="AI198" s="501">
        <v>3</v>
      </c>
      <c r="AJ198" s="501">
        <v>3</v>
      </c>
      <c r="AK198" s="501">
        <v>2</v>
      </c>
      <c r="AL198" s="501">
        <v>2</v>
      </c>
      <c r="AM198" s="501">
        <v>3</v>
      </c>
      <c r="AN198" s="501">
        <v>3</v>
      </c>
      <c r="AO198" s="501">
        <v>3</v>
      </c>
      <c r="AP198" s="501">
        <v>1</v>
      </c>
      <c r="AQ198" s="501">
        <v>2</v>
      </c>
      <c r="AR198" s="501">
        <v>1</v>
      </c>
      <c r="AS198" s="501">
        <v>2</v>
      </c>
      <c r="AT198" s="501">
        <v>3</v>
      </c>
      <c r="AU198" s="501">
        <v>3</v>
      </c>
      <c r="AV198" s="501">
        <v>3</v>
      </c>
      <c r="AW198" s="501">
        <v>3</v>
      </c>
      <c r="AX198" s="501">
        <v>3</v>
      </c>
      <c r="AY198" s="501">
        <v>3</v>
      </c>
      <c r="AZ198" s="501">
        <v>3</v>
      </c>
      <c r="BA198" s="501"/>
      <c r="BB198" s="501"/>
      <c r="BC198" s="501"/>
      <c r="BD198" s="501"/>
      <c r="BE198" s="501"/>
      <c r="BF198" s="501"/>
      <c r="BG198" s="501"/>
      <c r="BH198" s="501"/>
      <c r="BI198" s="501"/>
      <c r="BJ198" s="501"/>
      <c r="BK198" s="501"/>
      <c r="BL198" s="501"/>
      <c r="BM198" s="501"/>
      <c r="BN198" s="501">
        <v>10</v>
      </c>
      <c r="BO198" s="501">
        <v>10</v>
      </c>
      <c r="BP198" s="501">
        <v>10</v>
      </c>
      <c r="BQ198" s="501">
        <v>5</v>
      </c>
      <c r="BR198" s="501">
        <v>5</v>
      </c>
      <c r="BS198" s="501">
        <v>5</v>
      </c>
      <c r="BT198" s="240"/>
      <c r="BU198" s="240"/>
      <c r="BV198" s="240"/>
      <c r="BW198" s="240"/>
      <c r="BX198" s="240"/>
      <c r="BY198" s="240"/>
      <c r="BZ198" s="240"/>
      <c r="CA198" s="240"/>
      <c r="CB198" s="240"/>
      <c r="CC198" s="240">
        <v>10</v>
      </c>
      <c r="CD198" s="240"/>
      <c r="CE198" s="383" t="s">
        <v>3061</v>
      </c>
      <c r="CF198" s="383" t="s">
        <v>3051</v>
      </c>
      <c r="CG198" s="111" t="str">
        <f t="shared" si="8"/>
        <v>AcechadorLuchador</v>
      </c>
      <c r="CH198" s="75"/>
    </row>
    <row r="199" spans="1:86" ht="12.75" customHeight="1" x14ac:dyDescent="0.2">
      <c r="A199" s="2181">
        <v>199</v>
      </c>
      <c r="B199" s="2878">
        <f>IF(ISNA(VLOOKUP(Tablas!$C199,PDs!$U$5:$X$14,4,FALSE)),0,VLOOKUP(Tablas!$C199,PDs!$U$5:$X$14,4,FALSE))</f>
        <v>0</v>
      </c>
      <c r="C199" s="2881" t="s">
        <v>3062</v>
      </c>
      <c r="D199" s="240">
        <v>10</v>
      </c>
      <c r="E199" s="240">
        <v>5</v>
      </c>
      <c r="F199" s="240">
        <v>20</v>
      </c>
      <c r="G199" s="240">
        <v>25</v>
      </c>
      <c r="H199" s="1982">
        <v>0.60000000000000009</v>
      </c>
      <c r="I199" s="498">
        <v>0.5</v>
      </c>
      <c r="J199" s="498">
        <v>0.5</v>
      </c>
      <c r="K199" s="499">
        <f t="shared" si="7"/>
        <v>0.33333333333333331</v>
      </c>
      <c r="L199" s="500">
        <v>5</v>
      </c>
      <c r="M199" s="500"/>
      <c r="N199" s="2299">
        <v>5</v>
      </c>
      <c r="O199" s="500"/>
      <c r="P199" s="500"/>
      <c r="Q199" s="500">
        <v>2</v>
      </c>
      <c r="R199" s="500">
        <v>3</v>
      </c>
      <c r="S199" s="500">
        <v>2</v>
      </c>
      <c r="T199" s="500">
        <v>2</v>
      </c>
      <c r="U199" s="501">
        <v>2</v>
      </c>
      <c r="V199" s="501">
        <v>20</v>
      </c>
      <c r="W199" s="501">
        <v>3</v>
      </c>
      <c r="X199" s="501">
        <v>70</v>
      </c>
      <c r="Y199" s="501">
        <v>3</v>
      </c>
      <c r="Z199" s="501">
        <v>3</v>
      </c>
      <c r="AA199" s="501">
        <v>3</v>
      </c>
      <c r="AB199" s="501">
        <v>3</v>
      </c>
      <c r="AC199" s="501">
        <v>3</v>
      </c>
      <c r="AD199" s="501">
        <v>20</v>
      </c>
      <c r="AE199" s="501">
        <v>3</v>
      </c>
      <c r="AF199" s="501">
        <v>2</v>
      </c>
      <c r="AG199" s="501">
        <v>2</v>
      </c>
      <c r="AH199" s="501">
        <v>2</v>
      </c>
      <c r="AI199" s="501">
        <v>3</v>
      </c>
      <c r="AJ199" s="501">
        <v>2</v>
      </c>
      <c r="AK199" s="501">
        <v>2</v>
      </c>
      <c r="AL199" s="501">
        <v>2</v>
      </c>
      <c r="AM199" s="501">
        <v>3</v>
      </c>
      <c r="AN199" s="501">
        <v>3</v>
      </c>
      <c r="AO199" s="501">
        <v>3</v>
      </c>
      <c r="AP199" s="501">
        <v>3</v>
      </c>
      <c r="AQ199" s="501">
        <v>3</v>
      </c>
      <c r="AR199" s="501">
        <v>3</v>
      </c>
      <c r="AS199" s="501">
        <v>3</v>
      </c>
      <c r="AT199" s="501">
        <v>3</v>
      </c>
      <c r="AU199" s="501">
        <v>3</v>
      </c>
      <c r="AV199" s="501">
        <v>3</v>
      </c>
      <c r="AW199" s="501">
        <v>3</v>
      </c>
      <c r="AX199" s="501">
        <v>3</v>
      </c>
      <c r="AY199" s="501">
        <v>3</v>
      </c>
      <c r="AZ199" s="501">
        <v>3</v>
      </c>
      <c r="BA199" s="501"/>
      <c r="BB199" s="501"/>
      <c r="BC199" s="501"/>
      <c r="BD199" s="501"/>
      <c r="BE199" s="501"/>
      <c r="BF199" s="501"/>
      <c r="BG199" s="501"/>
      <c r="BH199" s="501"/>
      <c r="BI199" s="501"/>
      <c r="BJ199" s="501"/>
      <c r="BK199" s="501"/>
      <c r="BL199" s="501"/>
      <c r="BM199" s="501"/>
      <c r="BN199" s="501">
        <v>10</v>
      </c>
      <c r="BO199" s="501">
        <v>10</v>
      </c>
      <c r="BP199" s="501"/>
      <c r="BQ199" s="501"/>
      <c r="BR199" s="501"/>
      <c r="BS199" s="501"/>
      <c r="BT199" s="240">
        <v>10</v>
      </c>
      <c r="BU199" s="240">
        <v>10</v>
      </c>
      <c r="BV199" s="240"/>
      <c r="BW199" s="240"/>
      <c r="BX199" s="240"/>
      <c r="BY199" s="240"/>
      <c r="BZ199" s="240"/>
      <c r="CA199" s="240"/>
      <c r="CB199" s="240"/>
      <c r="CC199" s="240"/>
      <c r="CD199" s="240">
        <v>5</v>
      </c>
      <c r="CE199" s="383" t="s">
        <v>3061</v>
      </c>
      <c r="CF199" s="383" t="s">
        <v>3051</v>
      </c>
      <c r="CG199" s="111" t="str">
        <f t="shared" si="8"/>
        <v>AcechadorLuchador</v>
      </c>
      <c r="CH199" s="75"/>
    </row>
    <row r="200" spans="1:86" ht="12.75" customHeight="1" x14ac:dyDescent="0.2">
      <c r="A200" s="2181">
        <v>200</v>
      </c>
      <c r="B200" s="2878">
        <f>IF(ISNA(VLOOKUP(Tablas!$C200,PDs!$U$5:$X$14,4,FALSE)),0,VLOOKUP(Tablas!$C200,PDs!$U$5:$X$14,4,FALSE))</f>
        <v>0</v>
      </c>
      <c r="C200" s="2881" t="s">
        <v>3063</v>
      </c>
      <c r="D200" s="240">
        <v>10</v>
      </c>
      <c r="E200" s="240">
        <v>5</v>
      </c>
      <c r="F200" s="240">
        <v>20</v>
      </c>
      <c r="G200" s="240">
        <v>20</v>
      </c>
      <c r="H200" s="1982">
        <v>0.5</v>
      </c>
      <c r="I200" s="498">
        <v>0.5</v>
      </c>
      <c r="J200" s="498">
        <v>0.5</v>
      </c>
      <c r="K200" s="499">
        <f t="shared" si="7"/>
        <v>0.33333333333333331</v>
      </c>
      <c r="L200" s="500"/>
      <c r="M200" s="500"/>
      <c r="N200" s="2299">
        <v>5</v>
      </c>
      <c r="O200" s="500"/>
      <c r="P200" s="500"/>
      <c r="Q200" s="500">
        <v>2</v>
      </c>
      <c r="R200" s="500">
        <v>3</v>
      </c>
      <c r="S200" s="500">
        <v>2</v>
      </c>
      <c r="T200" s="500">
        <v>3</v>
      </c>
      <c r="U200" s="501">
        <v>2</v>
      </c>
      <c r="V200" s="501">
        <v>25</v>
      </c>
      <c r="W200" s="501">
        <v>3</v>
      </c>
      <c r="X200" s="501">
        <v>70</v>
      </c>
      <c r="Y200" s="501">
        <v>3</v>
      </c>
      <c r="Z200" s="501">
        <v>3</v>
      </c>
      <c r="AA200" s="501">
        <v>3</v>
      </c>
      <c r="AB200" s="501">
        <v>3</v>
      </c>
      <c r="AC200" s="501">
        <v>3</v>
      </c>
      <c r="AD200" s="501">
        <v>20</v>
      </c>
      <c r="AE200" s="501">
        <v>3</v>
      </c>
      <c r="AF200" s="501">
        <v>1</v>
      </c>
      <c r="AG200" s="501">
        <v>2</v>
      </c>
      <c r="AH200" s="501">
        <v>2</v>
      </c>
      <c r="AI200" s="501">
        <v>3</v>
      </c>
      <c r="AJ200" s="501">
        <v>3</v>
      </c>
      <c r="AK200" s="501">
        <v>1</v>
      </c>
      <c r="AL200" s="501">
        <v>2</v>
      </c>
      <c r="AM200" s="501">
        <v>3</v>
      </c>
      <c r="AN200" s="501">
        <v>3</v>
      </c>
      <c r="AO200" s="501">
        <v>3</v>
      </c>
      <c r="AP200" s="501">
        <v>3</v>
      </c>
      <c r="AQ200" s="501">
        <v>3</v>
      </c>
      <c r="AR200" s="501">
        <v>3</v>
      </c>
      <c r="AS200" s="501">
        <v>3</v>
      </c>
      <c r="AT200" s="501">
        <v>1</v>
      </c>
      <c r="AU200" s="501">
        <v>3</v>
      </c>
      <c r="AV200" s="501">
        <v>3</v>
      </c>
      <c r="AW200" s="501">
        <v>3</v>
      </c>
      <c r="AX200" s="501">
        <v>3</v>
      </c>
      <c r="AY200" s="501">
        <v>3</v>
      </c>
      <c r="AZ200" s="501">
        <v>3</v>
      </c>
      <c r="BA200" s="501"/>
      <c r="BB200" s="501"/>
      <c r="BC200" s="501"/>
      <c r="BD200" s="501"/>
      <c r="BE200" s="501">
        <v>5</v>
      </c>
      <c r="BF200" s="501"/>
      <c r="BG200" s="501"/>
      <c r="BH200" s="501"/>
      <c r="BI200" s="501"/>
      <c r="BJ200" s="501"/>
      <c r="BK200" s="501"/>
      <c r="BL200" s="501"/>
      <c r="BM200" s="501"/>
      <c r="BN200" s="501">
        <v>5</v>
      </c>
      <c r="BO200" s="501">
        <v>5</v>
      </c>
      <c r="BP200" s="501"/>
      <c r="BQ200" s="501">
        <v>5</v>
      </c>
      <c r="BR200" s="501"/>
      <c r="BS200" s="501"/>
      <c r="BT200" s="240">
        <v>5</v>
      </c>
      <c r="BU200" s="240">
        <v>5</v>
      </c>
      <c r="BV200" s="240">
        <v>10</v>
      </c>
      <c r="BW200" s="240"/>
      <c r="BX200" s="240"/>
      <c r="BY200" s="240"/>
      <c r="BZ200" s="240"/>
      <c r="CA200" s="240"/>
      <c r="CB200" s="240"/>
      <c r="CC200" s="240"/>
      <c r="CD200" s="240">
        <v>5</v>
      </c>
      <c r="CE200" s="383" t="s">
        <v>3061</v>
      </c>
      <c r="CF200" s="383" t="s">
        <v>3052</v>
      </c>
      <c r="CG200" s="111" t="str">
        <f t="shared" si="8"/>
        <v>AcechadorSin</v>
      </c>
      <c r="CH200" s="75"/>
    </row>
    <row r="201" spans="1:86" ht="12.75" customHeight="1" x14ac:dyDescent="0.2">
      <c r="A201" s="2181">
        <v>201</v>
      </c>
      <c r="B201" s="2878">
        <f>IF(ISNA(VLOOKUP(Tablas!$C201,PDs!$U$5:$X$14,4,FALSE)),0,VLOOKUP(Tablas!$C201,PDs!$U$5:$X$14,4,FALSE))</f>
        <v>0</v>
      </c>
      <c r="C201" s="147" t="s">
        <v>3064</v>
      </c>
      <c r="D201" s="240">
        <v>10</v>
      </c>
      <c r="E201" s="240">
        <v>5</v>
      </c>
      <c r="F201" s="240">
        <v>20</v>
      </c>
      <c r="G201" s="240">
        <v>20</v>
      </c>
      <c r="H201" s="1982">
        <v>0.5</v>
      </c>
      <c r="I201" s="498">
        <v>0.5</v>
      </c>
      <c r="J201" s="498">
        <v>0.5</v>
      </c>
      <c r="K201" s="499">
        <f t="shared" si="7"/>
        <v>0.33333333333333331</v>
      </c>
      <c r="L201" s="500">
        <v>5</v>
      </c>
      <c r="M201" s="500"/>
      <c r="N201" s="2299"/>
      <c r="O201" s="500"/>
      <c r="P201" s="500"/>
      <c r="Q201" s="501">
        <v>2</v>
      </c>
      <c r="R201" s="501">
        <v>3</v>
      </c>
      <c r="S201" s="501">
        <v>2</v>
      </c>
      <c r="T201" s="501">
        <v>3</v>
      </c>
      <c r="U201" s="501">
        <v>2</v>
      </c>
      <c r="V201" s="501">
        <v>25</v>
      </c>
      <c r="W201" s="501">
        <v>3</v>
      </c>
      <c r="X201" s="501">
        <v>70</v>
      </c>
      <c r="Y201" s="501">
        <v>3</v>
      </c>
      <c r="Z201" s="501">
        <v>3</v>
      </c>
      <c r="AA201" s="501">
        <v>3</v>
      </c>
      <c r="AB201" s="501">
        <v>3</v>
      </c>
      <c r="AC201" s="501">
        <v>3</v>
      </c>
      <c r="AD201" s="501">
        <v>20</v>
      </c>
      <c r="AE201" s="501">
        <v>3</v>
      </c>
      <c r="AF201" s="501">
        <v>2</v>
      </c>
      <c r="AG201" s="501">
        <v>2</v>
      </c>
      <c r="AH201" s="501">
        <v>1</v>
      </c>
      <c r="AI201" s="501">
        <v>3</v>
      </c>
      <c r="AJ201" s="501">
        <v>3</v>
      </c>
      <c r="AK201" s="501">
        <v>2</v>
      </c>
      <c r="AL201" s="501">
        <v>2</v>
      </c>
      <c r="AM201" s="501">
        <v>3</v>
      </c>
      <c r="AN201" s="501">
        <v>3</v>
      </c>
      <c r="AO201" s="501">
        <v>2</v>
      </c>
      <c r="AP201" s="501">
        <v>3</v>
      </c>
      <c r="AQ201" s="501">
        <v>3</v>
      </c>
      <c r="AR201" s="501">
        <v>3</v>
      </c>
      <c r="AS201" s="501">
        <v>3</v>
      </c>
      <c r="AT201" s="501">
        <v>3</v>
      </c>
      <c r="AU201" s="501">
        <v>1</v>
      </c>
      <c r="AV201" s="501">
        <v>2</v>
      </c>
      <c r="AW201" s="501">
        <v>3</v>
      </c>
      <c r="AX201" s="501">
        <v>3</v>
      </c>
      <c r="AY201" s="501">
        <v>3</v>
      </c>
      <c r="AZ201" s="501">
        <v>3</v>
      </c>
      <c r="BA201" s="501"/>
      <c r="BB201" s="501"/>
      <c r="BC201" s="501"/>
      <c r="BD201" s="501"/>
      <c r="BE201" s="501"/>
      <c r="BF201" s="501"/>
      <c r="BG201" s="501"/>
      <c r="BH201" s="501"/>
      <c r="BI201" s="501"/>
      <c r="BJ201" s="501">
        <v>10</v>
      </c>
      <c r="BK201" s="501"/>
      <c r="BL201" s="501"/>
      <c r="BM201" s="501"/>
      <c r="BN201" s="501">
        <v>10</v>
      </c>
      <c r="BO201" s="501">
        <v>10</v>
      </c>
      <c r="BP201" s="501"/>
      <c r="BQ201" s="501">
        <v>10</v>
      </c>
      <c r="BR201" s="501"/>
      <c r="BS201" s="501"/>
      <c r="BT201" s="240">
        <v>10</v>
      </c>
      <c r="BU201" s="240">
        <v>10</v>
      </c>
      <c r="BV201" s="240"/>
      <c r="BW201" s="240">
        <v>10</v>
      </c>
      <c r="BX201" s="240"/>
      <c r="BY201" s="240"/>
      <c r="BZ201" s="240"/>
      <c r="CA201" s="240"/>
      <c r="CB201" s="240"/>
      <c r="CC201" s="240"/>
      <c r="CD201" s="240"/>
      <c r="CE201" s="383" t="s">
        <v>3061</v>
      </c>
      <c r="CF201" s="383" t="s">
        <v>3052</v>
      </c>
      <c r="CG201" s="111" t="str">
        <f t="shared" si="8"/>
        <v>AcechadorSin</v>
      </c>
      <c r="CH201" s="75"/>
    </row>
    <row r="202" spans="1:86" ht="12.75" customHeight="1" x14ac:dyDescent="0.2">
      <c r="A202" s="2181">
        <v>202</v>
      </c>
      <c r="B202" s="2878">
        <f>IF(ISNA(VLOOKUP(Tablas!$C202,PDs!$U$5:$X$14,4,FALSE)),0,VLOOKUP(Tablas!$C202,PDs!$U$5:$X$14,4,FALSE))</f>
        <v>1</v>
      </c>
      <c r="C202" s="2881" t="s">
        <v>3065</v>
      </c>
      <c r="D202" s="240">
        <v>5</v>
      </c>
      <c r="E202" s="240">
        <v>5</v>
      </c>
      <c r="F202" s="240">
        <v>20</v>
      </c>
      <c r="G202" s="240">
        <v>10</v>
      </c>
      <c r="H202" s="1982">
        <v>0.5</v>
      </c>
      <c r="I202" s="498">
        <v>0.60000000000000009</v>
      </c>
      <c r="J202" s="498">
        <v>0.5</v>
      </c>
      <c r="K202" s="499">
        <f t="shared" si="7"/>
        <v>0.33333333333333331</v>
      </c>
      <c r="L202" s="500"/>
      <c r="M202" s="500"/>
      <c r="N202" s="2299"/>
      <c r="O202" s="500"/>
      <c r="P202" s="500">
        <v>100</v>
      </c>
      <c r="Q202" s="500">
        <v>3</v>
      </c>
      <c r="R202" s="500">
        <v>3</v>
      </c>
      <c r="S202" s="500">
        <v>2</v>
      </c>
      <c r="T202" s="500">
        <v>3</v>
      </c>
      <c r="U202" s="501">
        <v>3</v>
      </c>
      <c r="V202" s="501">
        <v>30</v>
      </c>
      <c r="W202" s="501">
        <v>1</v>
      </c>
      <c r="X202" s="501">
        <v>50</v>
      </c>
      <c r="Y202" s="501">
        <v>2</v>
      </c>
      <c r="Z202" s="501">
        <v>2</v>
      </c>
      <c r="AA202" s="501">
        <v>2</v>
      </c>
      <c r="AB202" s="501">
        <v>2</v>
      </c>
      <c r="AC202" s="501">
        <v>2</v>
      </c>
      <c r="AD202" s="501">
        <v>20</v>
      </c>
      <c r="AE202" s="501">
        <v>3</v>
      </c>
      <c r="AF202" s="501">
        <v>2</v>
      </c>
      <c r="AG202" s="501">
        <v>2</v>
      </c>
      <c r="AH202" s="501">
        <v>2</v>
      </c>
      <c r="AI202" s="501">
        <v>2</v>
      </c>
      <c r="AJ202" s="501">
        <v>3</v>
      </c>
      <c r="AK202" s="501">
        <v>2</v>
      </c>
      <c r="AL202" s="501">
        <v>2</v>
      </c>
      <c r="AM202" s="501">
        <v>3</v>
      </c>
      <c r="AN202" s="501">
        <v>3</v>
      </c>
      <c r="AO202" s="501">
        <v>3</v>
      </c>
      <c r="AP202" s="501">
        <v>3</v>
      </c>
      <c r="AQ202" s="501">
        <v>3</v>
      </c>
      <c r="AR202" s="501">
        <v>3</v>
      </c>
      <c r="AS202" s="501">
        <v>3</v>
      </c>
      <c r="AT202" s="501">
        <v>3</v>
      </c>
      <c r="AU202" s="501">
        <v>3</v>
      </c>
      <c r="AV202" s="501">
        <v>3</v>
      </c>
      <c r="AW202" s="501">
        <v>1</v>
      </c>
      <c r="AX202" s="501">
        <v>3</v>
      </c>
      <c r="AY202" s="501">
        <v>3</v>
      </c>
      <c r="AZ202" s="501">
        <v>3</v>
      </c>
      <c r="BA202" s="501"/>
      <c r="BB202" s="501"/>
      <c r="BC202" s="501"/>
      <c r="BD202" s="501"/>
      <c r="BE202" s="501"/>
      <c r="BF202" s="501"/>
      <c r="BG202" s="501"/>
      <c r="BH202" s="501"/>
      <c r="BI202" s="501"/>
      <c r="BJ202" s="501"/>
      <c r="BK202" s="501"/>
      <c r="BL202" s="501"/>
      <c r="BM202" s="501"/>
      <c r="BN202" s="501"/>
      <c r="BO202" s="501"/>
      <c r="BP202" s="501"/>
      <c r="BQ202" s="501"/>
      <c r="BR202" s="501"/>
      <c r="BS202" s="501"/>
      <c r="BT202" s="240"/>
      <c r="BU202" s="240"/>
      <c r="BV202" s="240"/>
      <c r="BW202" s="240"/>
      <c r="BX202" s="240">
        <v>5</v>
      </c>
      <c r="BY202" s="240">
        <v>10</v>
      </c>
      <c r="BZ202" s="240"/>
      <c r="CA202" s="240"/>
      <c r="CB202" s="240"/>
      <c r="CC202" s="240"/>
      <c r="CD202" s="240"/>
      <c r="CE202" s="383" t="s">
        <v>3066</v>
      </c>
      <c r="CF202" s="383" t="s">
        <v>3052</v>
      </c>
      <c r="CG202" s="111" t="str">
        <f t="shared" si="8"/>
        <v>MísticoSin</v>
      </c>
      <c r="CH202" s="75"/>
    </row>
    <row r="203" spans="1:86" ht="12.75" customHeight="1" x14ac:dyDescent="0.2">
      <c r="A203" s="2181">
        <v>203</v>
      </c>
      <c r="B203" s="2878">
        <f>IF(ISNA(VLOOKUP(Tablas!$C203,PDs!$U$5:$X$14,4,FALSE)),0,VLOOKUP(Tablas!$C203,PDs!$U$5:$X$14,4,FALSE))</f>
        <v>0</v>
      </c>
      <c r="C203" s="2881" t="s">
        <v>3067</v>
      </c>
      <c r="D203" s="240">
        <v>5</v>
      </c>
      <c r="E203" s="240">
        <v>10</v>
      </c>
      <c r="F203" s="240">
        <v>20</v>
      </c>
      <c r="G203" s="240">
        <v>20</v>
      </c>
      <c r="H203" s="1982">
        <v>0.5</v>
      </c>
      <c r="I203" s="498">
        <v>0.5</v>
      </c>
      <c r="J203" s="498">
        <v>0.5</v>
      </c>
      <c r="K203" s="499">
        <f t="shared" si="7"/>
        <v>0.33333333333333331</v>
      </c>
      <c r="L203" s="500">
        <v>5</v>
      </c>
      <c r="M203" s="500">
        <v>5</v>
      </c>
      <c r="N203" s="2299">
        <v>5</v>
      </c>
      <c r="O203" s="501"/>
      <c r="P203" s="501">
        <v>20</v>
      </c>
      <c r="Q203" s="501">
        <v>2</v>
      </c>
      <c r="R203" s="501">
        <v>2</v>
      </c>
      <c r="S203" s="501">
        <v>2</v>
      </c>
      <c r="T203" s="501">
        <v>2</v>
      </c>
      <c r="U203" s="501">
        <v>2</v>
      </c>
      <c r="V203" s="501">
        <v>25</v>
      </c>
      <c r="W203" s="501">
        <v>1</v>
      </c>
      <c r="X203" s="501">
        <v>50</v>
      </c>
      <c r="Y203" s="501">
        <v>2</v>
      </c>
      <c r="Z203" s="501">
        <v>2</v>
      </c>
      <c r="AA203" s="501">
        <v>2</v>
      </c>
      <c r="AB203" s="501">
        <v>2</v>
      </c>
      <c r="AC203" s="501">
        <v>2</v>
      </c>
      <c r="AD203" s="501">
        <v>20</v>
      </c>
      <c r="AE203" s="501">
        <v>3</v>
      </c>
      <c r="AF203" s="501">
        <v>2</v>
      </c>
      <c r="AG203" s="501">
        <v>2</v>
      </c>
      <c r="AH203" s="501">
        <v>2</v>
      </c>
      <c r="AI203" s="501">
        <v>2</v>
      </c>
      <c r="AJ203" s="501">
        <v>2</v>
      </c>
      <c r="AK203" s="501">
        <v>2</v>
      </c>
      <c r="AL203" s="501">
        <v>2</v>
      </c>
      <c r="AM203" s="501">
        <v>3</v>
      </c>
      <c r="AN203" s="501">
        <v>3</v>
      </c>
      <c r="AO203" s="501">
        <v>3</v>
      </c>
      <c r="AP203" s="501">
        <v>3</v>
      </c>
      <c r="AQ203" s="501">
        <v>3</v>
      </c>
      <c r="AR203" s="501">
        <v>3</v>
      </c>
      <c r="AS203" s="501">
        <v>3</v>
      </c>
      <c r="AT203" s="501">
        <v>3</v>
      </c>
      <c r="AU203" s="501">
        <v>3</v>
      </c>
      <c r="AV203" s="501">
        <v>3</v>
      </c>
      <c r="AW203" s="501">
        <v>3</v>
      </c>
      <c r="AX203" s="501">
        <v>3</v>
      </c>
      <c r="AY203" s="501">
        <v>3</v>
      </c>
      <c r="AZ203" s="501">
        <v>3</v>
      </c>
      <c r="BA203" s="501"/>
      <c r="BB203" s="501"/>
      <c r="BC203" s="501"/>
      <c r="BD203" s="501"/>
      <c r="BE203" s="501"/>
      <c r="BF203" s="501"/>
      <c r="BG203" s="501"/>
      <c r="BH203" s="501"/>
      <c r="BI203" s="501"/>
      <c r="BJ203" s="501"/>
      <c r="BK203" s="501"/>
      <c r="BL203" s="501"/>
      <c r="BM203" s="501"/>
      <c r="BN203" s="501"/>
      <c r="BO203" s="501"/>
      <c r="BP203" s="501"/>
      <c r="BQ203" s="501"/>
      <c r="BR203" s="501"/>
      <c r="BS203" s="501"/>
      <c r="BT203" s="240"/>
      <c r="BU203" s="240"/>
      <c r="BV203" s="240"/>
      <c r="BW203" s="240"/>
      <c r="BX203" s="240"/>
      <c r="BY203" s="240">
        <v>5</v>
      </c>
      <c r="BZ203" s="240"/>
      <c r="CA203" s="240"/>
      <c r="CB203" s="240"/>
      <c r="CC203" s="240"/>
      <c r="CD203" s="240"/>
      <c r="CE203" s="383" t="s">
        <v>3051</v>
      </c>
      <c r="CF203" s="383" t="s">
        <v>3066</v>
      </c>
      <c r="CG203" s="111" t="str">
        <f t="shared" si="8"/>
        <v>LuchadorMístico</v>
      </c>
      <c r="CH203" s="75"/>
    </row>
    <row r="204" spans="1:86" ht="12.75" customHeight="1" x14ac:dyDescent="0.2">
      <c r="A204" s="2181">
        <v>204</v>
      </c>
      <c r="B204" s="2878">
        <f>IF(ISNA(VLOOKUP(Tablas!$C204,PDs!$U$5:$X$14,4,FALSE)),0,VLOOKUP(Tablas!$C204,PDs!$U$5:$X$14,4,FALSE))</f>
        <v>0</v>
      </c>
      <c r="C204" s="2881" t="s">
        <v>3068</v>
      </c>
      <c r="D204" s="240">
        <v>5</v>
      </c>
      <c r="E204" s="240">
        <v>5</v>
      </c>
      <c r="F204" s="240">
        <v>20</v>
      </c>
      <c r="G204" s="240">
        <v>20</v>
      </c>
      <c r="H204" s="1982">
        <v>0.5</v>
      </c>
      <c r="I204" s="498">
        <v>0.60000000000000009</v>
      </c>
      <c r="J204" s="498">
        <v>0.5</v>
      </c>
      <c r="K204" s="499">
        <f t="shared" si="7"/>
        <v>0.33333333333333331</v>
      </c>
      <c r="L204" s="500"/>
      <c r="M204" s="500"/>
      <c r="N204" s="2299"/>
      <c r="O204" s="500"/>
      <c r="P204" s="500">
        <v>75</v>
      </c>
      <c r="Q204" s="500">
        <v>3</v>
      </c>
      <c r="R204" s="500">
        <v>3</v>
      </c>
      <c r="S204" s="500">
        <v>2</v>
      </c>
      <c r="T204" s="500">
        <v>3</v>
      </c>
      <c r="U204" s="501">
        <v>2</v>
      </c>
      <c r="V204" s="501">
        <v>25</v>
      </c>
      <c r="W204" s="501">
        <v>1</v>
      </c>
      <c r="X204" s="501">
        <v>60</v>
      </c>
      <c r="Y204" s="501">
        <v>2</v>
      </c>
      <c r="Z204" s="501">
        <v>3</v>
      </c>
      <c r="AA204" s="501">
        <v>3</v>
      </c>
      <c r="AB204" s="501">
        <v>3</v>
      </c>
      <c r="AC204" s="501">
        <v>3</v>
      </c>
      <c r="AD204" s="501">
        <v>20</v>
      </c>
      <c r="AE204" s="501">
        <v>3</v>
      </c>
      <c r="AF204" s="501">
        <v>2</v>
      </c>
      <c r="AG204" s="501">
        <v>2</v>
      </c>
      <c r="AH204" s="501">
        <v>2</v>
      </c>
      <c r="AI204" s="501">
        <v>2</v>
      </c>
      <c r="AJ204" s="501">
        <v>3</v>
      </c>
      <c r="AK204" s="501">
        <v>2</v>
      </c>
      <c r="AL204" s="501">
        <v>2</v>
      </c>
      <c r="AM204" s="501">
        <v>3</v>
      </c>
      <c r="AN204" s="501">
        <v>3</v>
      </c>
      <c r="AO204" s="501">
        <v>3</v>
      </c>
      <c r="AP204" s="501">
        <v>3</v>
      </c>
      <c r="AQ204" s="501">
        <v>3</v>
      </c>
      <c r="AR204" s="501">
        <v>3</v>
      </c>
      <c r="AS204" s="501">
        <v>3</v>
      </c>
      <c r="AT204" s="501">
        <v>3</v>
      </c>
      <c r="AU204" s="501">
        <v>3</v>
      </c>
      <c r="AV204" s="501">
        <v>3</v>
      </c>
      <c r="AW204" s="501">
        <v>3</v>
      </c>
      <c r="AX204" s="501">
        <v>1</v>
      </c>
      <c r="AY204" s="501">
        <v>1</v>
      </c>
      <c r="AZ204" s="501">
        <v>3</v>
      </c>
      <c r="BA204" s="501"/>
      <c r="BB204" s="501"/>
      <c r="BC204" s="501"/>
      <c r="BD204" s="501"/>
      <c r="BE204" s="501">
        <v>10</v>
      </c>
      <c r="BF204" s="501"/>
      <c r="BG204" s="501"/>
      <c r="BH204" s="501"/>
      <c r="BI204" s="501"/>
      <c r="BJ204" s="501"/>
      <c r="BK204" s="501">
        <v>5</v>
      </c>
      <c r="BL204" s="501"/>
      <c r="BM204" s="501"/>
      <c r="BN204" s="501"/>
      <c r="BO204" s="501"/>
      <c r="BP204" s="501"/>
      <c r="BQ204" s="501"/>
      <c r="BR204" s="501"/>
      <c r="BS204" s="501"/>
      <c r="BT204" s="240">
        <v>10</v>
      </c>
      <c r="BU204" s="240">
        <v>10</v>
      </c>
      <c r="BV204" s="240">
        <v>5</v>
      </c>
      <c r="BW204" s="240"/>
      <c r="BX204" s="240"/>
      <c r="BY204" s="240">
        <v>5</v>
      </c>
      <c r="BZ204" s="240">
        <v>5</v>
      </c>
      <c r="CA204" s="240"/>
      <c r="CB204" s="240"/>
      <c r="CC204" s="240"/>
      <c r="CD204" s="240"/>
      <c r="CE204" s="383" t="s">
        <v>3061</v>
      </c>
      <c r="CF204" s="383" t="s">
        <v>3066</v>
      </c>
      <c r="CG204" s="111" t="str">
        <f t="shared" si="8"/>
        <v>AcechadorMístico</v>
      </c>
      <c r="CH204" s="75"/>
    </row>
    <row r="205" spans="1:86" ht="12.75" customHeight="1" x14ac:dyDescent="0.2">
      <c r="A205" s="2180">
        <v>205</v>
      </c>
      <c r="B205" s="2878">
        <f>IF(ISNA(VLOOKUP(Tablas!$C205,PDs!$U$5:$X$14,4,FALSE)),0,VLOOKUP(Tablas!$C205,PDs!$U$5:$X$14,4,FALSE))</f>
        <v>0</v>
      </c>
      <c r="C205" s="2881" t="s">
        <v>3069</v>
      </c>
      <c r="D205" s="240">
        <v>5</v>
      </c>
      <c r="E205" s="240">
        <v>5</v>
      </c>
      <c r="F205" s="240">
        <v>20</v>
      </c>
      <c r="G205" s="240">
        <v>10</v>
      </c>
      <c r="H205" s="1982">
        <v>0.5</v>
      </c>
      <c r="I205" s="498">
        <v>0.5</v>
      </c>
      <c r="J205" s="498">
        <v>0.5</v>
      </c>
      <c r="K205" s="503">
        <v>1</v>
      </c>
      <c r="L205" s="500"/>
      <c r="M205" s="500"/>
      <c r="N205" s="2299"/>
      <c r="O205" s="500"/>
      <c r="P205" s="500">
        <v>100</v>
      </c>
      <c r="Q205" s="500">
        <v>3</v>
      </c>
      <c r="R205" s="500">
        <v>3</v>
      </c>
      <c r="S205" s="500">
        <v>2</v>
      </c>
      <c r="T205" s="500">
        <v>3</v>
      </c>
      <c r="U205" s="501">
        <v>3</v>
      </c>
      <c r="V205" s="501">
        <v>30</v>
      </c>
      <c r="W205" s="501">
        <v>1</v>
      </c>
      <c r="X205" s="501">
        <v>50</v>
      </c>
      <c r="Y205" s="501">
        <v>2</v>
      </c>
      <c r="Z205" s="501">
        <v>2</v>
      </c>
      <c r="AA205" s="501">
        <v>2</v>
      </c>
      <c r="AB205" s="501">
        <v>2</v>
      </c>
      <c r="AC205" s="501">
        <v>2</v>
      </c>
      <c r="AD205" s="501">
        <v>10</v>
      </c>
      <c r="AE205" s="501">
        <v>2</v>
      </c>
      <c r="AF205" s="501">
        <v>2</v>
      </c>
      <c r="AG205" s="501">
        <v>2</v>
      </c>
      <c r="AH205" s="501">
        <v>2</v>
      </c>
      <c r="AI205" s="501">
        <v>2</v>
      </c>
      <c r="AJ205" s="501">
        <v>3</v>
      </c>
      <c r="AK205" s="501">
        <v>2</v>
      </c>
      <c r="AL205" s="501">
        <v>2</v>
      </c>
      <c r="AM205" s="501">
        <v>3</v>
      </c>
      <c r="AN205" s="501">
        <v>3</v>
      </c>
      <c r="AO205" s="501">
        <v>3</v>
      </c>
      <c r="AP205" s="501">
        <v>3</v>
      </c>
      <c r="AQ205" s="501">
        <v>3</v>
      </c>
      <c r="AR205" s="501">
        <v>3</v>
      </c>
      <c r="AS205" s="501">
        <v>3</v>
      </c>
      <c r="AT205" s="501">
        <v>3</v>
      </c>
      <c r="AU205" s="501">
        <v>3</v>
      </c>
      <c r="AV205" s="501">
        <v>3</v>
      </c>
      <c r="AW205" s="501">
        <v>3</v>
      </c>
      <c r="AX205" s="501">
        <v>3</v>
      </c>
      <c r="AY205" s="501">
        <v>3</v>
      </c>
      <c r="AZ205" s="501">
        <v>3</v>
      </c>
      <c r="BA205" s="501"/>
      <c r="BB205" s="501"/>
      <c r="BC205" s="501"/>
      <c r="BD205" s="501"/>
      <c r="BE205" s="501"/>
      <c r="BF205" s="501"/>
      <c r="BG205" s="501"/>
      <c r="BH205" s="501"/>
      <c r="BI205" s="501"/>
      <c r="BJ205" s="501"/>
      <c r="BK205" s="501"/>
      <c r="BL205" s="501"/>
      <c r="BM205" s="501"/>
      <c r="BN205" s="501"/>
      <c r="BO205" s="501"/>
      <c r="BP205" s="501"/>
      <c r="BQ205" s="501"/>
      <c r="BR205" s="501"/>
      <c r="BS205" s="501"/>
      <c r="BT205" s="240"/>
      <c r="BU205" s="240"/>
      <c r="BV205" s="240"/>
      <c r="BW205" s="240"/>
      <c r="BX205" s="240">
        <v>5</v>
      </c>
      <c r="BY205" s="240">
        <v>10</v>
      </c>
      <c r="BZ205" s="240"/>
      <c r="CA205" s="240"/>
      <c r="CB205" s="240"/>
      <c r="CC205" s="240"/>
      <c r="CD205" s="240"/>
      <c r="CE205" s="383" t="s">
        <v>3066</v>
      </c>
      <c r="CF205" s="383" t="s">
        <v>3070</v>
      </c>
      <c r="CG205" s="111" t="str">
        <f t="shared" si="8"/>
        <v>MísticoPsíquico</v>
      </c>
      <c r="CH205" s="75"/>
    </row>
    <row r="206" spans="1:86" ht="12.75" customHeight="1" x14ac:dyDescent="0.2">
      <c r="A206" s="2180">
        <v>206</v>
      </c>
      <c r="B206" s="2878">
        <f>IF(ISNA(VLOOKUP(Tablas!$C206,PDs!$U$5:$X$14,4,FALSE)),0,VLOOKUP(Tablas!$C206,PDs!$U$5:$X$14,4,FALSE))</f>
        <v>0</v>
      </c>
      <c r="C206" s="147" t="s">
        <v>3071</v>
      </c>
      <c r="D206" s="240">
        <v>5</v>
      </c>
      <c r="E206" s="240">
        <v>5</v>
      </c>
      <c r="F206" s="240">
        <v>20</v>
      </c>
      <c r="G206" s="240">
        <v>10</v>
      </c>
      <c r="H206" s="1982">
        <v>0.5</v>
      </c>
      <c r="I206" s="498">
        <v>0.60000000000000009</v>
      </c>
      <c r="J206" s="498">
        <v>0.5</v>
      </c>
      <c r="K206" s="499">
        <f>1/3</f>
        <v>0.33333333333333331</v>
      </c>
      <c r="L206" s="500"/>
      <c r="M206" s="500"/>
      <c r="N206" s="2299"/>
      <c r="O206" s="500"/>
      <c r="P206" s="500">
        <v>50</v>
      </c>
      <c r="Q206" s="501">
        <v>3</v>
      </c>
      <c r="R206" s="501">
        <v>3</v>
      </c>
      <c r="S206" s="501">
        <v>2</v>
      </c>
      <c r="T206" s="501">
        <v>3</v>
      </c>
      <c r="U206" s="501">
        <v>3</v>
      </c>
      <c r="V206" s="501">
        <v>30</v>
      </c>
      <c r="W206" s="501">
        <v>1</v>
      </c>
      <c r="X206" s="501">
        <v>60</v>
      </c>
      <c r="Y206" s="501">
        <v>3</v>
      </c>
      <c r="Z206" s="501">
        <v>1</v>
      </c>
      <c r="AA206" s="501">
        <v>1</v>
      </c>
      <c r="AB206" s="501">
        <v>1</v>
      </c>
      <c r="AC206" s="501">
        <v>1</v>
      </c>
      <c r="AD206" s="501">
        <v>20</v>
      </c>
      <c r="AE206" s="501">
        <v>3</v>
      </c>
      <c r="AF206" s="501">
        <v>2</v>
      </c>
      <c r="AG206" s="501">
        <v>2</v>
      </c>
      <c r="AH206" s="501">
        <v>2</v>
      </c>
      <c r="AI206" s="501">
        <v>2</v>
      </c>
      <c r="AJ206" s="501">
        <v>3</v>
      </c>
      <c r="AK206" s="501">
        <v>2</v>
      </c>
      <c r="AL206" s="501">
        <v>2</v>
      </c>
      <c r="AM206" s="501">
        <v>3</v>
      </c>
      <c r="AN206" s="501">
        <v>3</v>
      </c>
      <c r="AO206" s="501">
        <v>3</v>
      </c>
      <c r="AP206" s="501">
        <v>3</v>
      </c>
      <c r="AQ206" s="501">
        <v>3</v>
      </c>
      <c r="AR206" s="501">
        <v>3</v>
      </c>
      <c r="AS206" s="501">
        <v>3</v>
      </c>
      <c r="AT206" s="501">
        <v>3</v>
      </c>
      <c r="AU206" s="501">
        <v>3</v>
      </c>
      <c r="AV206" s="501">
        <v>3</v>
      </c>
      <c r="AW206" s="501">
        <v>3</v>
      </c>
      <c r="AX206" s="501">
        <v>3</v>
      </c>
      <c r="AY206" s="501">
        <v>3</v>
      </c>
      <c r="AZ206" s="501">
        <v>1</v>
      </c>
      <c r="BA206" s="501"/>
      <c r="BB206" s="501">
        <v>0</v>
      </c>
      <c r="BC206" s="501"/>
      <c r="BD206" s="501"/>
      <c r="BE206" s="501"/>
      <c r="BF206" s="501"/>
      <c r="BG206" s="501"/>
      <c r="BH206" s="501"/>
      <c r="BI206" s="501"/>
      <c r="BJ206" s="501"/>
      <c r="BK206" s="501"/>
      <c r="BL206" s="240">
        <v>10</v>
      </c>
      <c r="BM206" s="501">
        <v>10</v>
      </c>
      <c r="BN206" s="501"/>
      <c r="BO206" s="501"/>
      <c r="BP206" s="501"/>
      <c r="BQ206" s="501"/>
      <c r="BR206" s="501"/>
      <c r="BS206" s="501"/>
      <c r="BT206" s="240"/>
      <c r="BU206" s="240"/>
      <c r="BV206" s="240"/>
      <c r="BW206" s="240"/>
      <c r="BX206" s="240">
        <v>10</v>
      </c>
      <c r="BY206" s="240">
        <v>5</v>
      </c>
      <c r="BZ206" s="240"/>
      <c r="CA206" s="240">
        <v>10</v>
      </c>
      <c r="CB206" s="240">
        <v>10</v>
      </c>
      <c r="CC206" s="240"/>
      <c r="CD206" s="240"/>
      <c r="CE206" s="383" t="s">
        <v>3066</v>
      </c>
      <c r="CF206" s="383" t="s">
        <v>3052</v>
      </c>
      <c r="CG206" s="111" t="str">
        <f t="shared" si="8"/>
        <v>MísticoSin</v>
      </c>
      <c r="CH206" s="75"/>
    </row>
    <row r="207" spans="1:86" ht="12.75" customHeight="1" x14ac:dyDescent="0.2">
      <c r="A207" s="2180">
        <v>207</v>
      </c>
      <c r="B207" s="2878">
        <f>IF(ISNA(VLOOKUP(Tablas!$C207,PDs!$U$5:$X$14,4,FALSE)),0,VLOOKUP(Tablas!$C207,PDs!$U$5:$X$14,4,FALSE))</f>
        <v>0</v>
      </c>
      <c r="C207" s="2881" t="s">
        <v>3072</v>
      </c>
      <c r="D207" s="240">
        <v>5</v>
      </c>
      <c r="E207" s="240">
        <v>10</v>
      </c>
      <c r="F207" s="240">
        <v>20</v>
      </c>
      <c r="G207" s="240">
        <v>20</v>
      </c>
      <c r="H207" s="1982">
        <v>0.5</v>
      </c>
      <c r="I207" s="498">
        <v>0.5</v>
      </c>
      <c r="J207" s="498">
        <v>0.5</v>
      </c>
      <c r="K207" s="499">
        <f>1/3</f>
        <v>0.33333333333333331</v>
      </c>
      <c r="L207" s="500">
        <v>5</v>
      </c>
      <c r="M207" s="500">
        <v>5</v>
      </c>
      <c r="N207" s="2299">
        <v>5</v>
      </c>
      <c r="O207" s="500"/>
      <c r="P207" s="500">
        <v>20</v>
      </c>
      <c r="Q207" s="500">
        <v>2</v>
      </c>
      <c r="R207" s="500">
        <v>2</v>
      </c>
      <c r="S207" s="500">
        <v>2</v>
      </c>
      <c r="T207" s="500">
        <v>2</v>
      </c>
      <c r="U207" s="501">
        <v>2</v>
      </c>
      <c r="V207" s="501">
        <v>20</v>
      </c>
      <c r="W207" s="501">
        <v>1</v>
      </c>
      <c r="X207" s="501">
        <v>60</v>
      </c>
      <c r="Y207" s="501">
        <v>3</v>
      </c>
      <c r="Z207" s="501">
        <v>1</v>
      </c>
      <c r="AA207" s="501">
        <v>1</v>
      </c>
      <c r="AB207" s="501">
        <v>1</v>
      </c>
      <c r="AC207" s="501">
        <v>1</v>
      </c>
      <c r="AD207" s="501">
        <v>20</v>
      </c>
      <c r="AE207" s="501">
        <v>3</v>
      </c>
      <c r="AF207" s="501">
        <v>2</v>
      </c>
      <c r="AG207" s="501">
        <v>2</v>
      </c>
      <c r="AH207" s="501">
        <v>2</v>
      </c>
      <c r="AI207" s="501">
        <v>2</v>
      </c>
      <c r="AJ207" s="501">
        <v>2</v>
      </c>
      <c r="AK207" s="501">
        <v>2</v>
      </c>
      <c r="AL207" s="501">
        <v>2</v>
      </c>
      <c r="AM207" s="501">
        <v>3</v>
      </c>
      <c r="AN207" s="501">
        <v>3</v>
      </c>
      <c r="AO207" s="501">
        <v>3</v>
      </c>
      <c r="AP207" s="501">
        <v>3</v>
      </c>
      <c r="AQ207" s="501">
        <v>3</v>
      </c>
      <c r="AR207" s="501">
        <v>3</v>
      </c>
      <c r="AS207" s="501">
        <v>3</v>
      </c>
      <c r="AT207" s="501">
        <v>3</v>
      </c>
      <c r="AU207" s="501">
        <v>3</v>
      </c>
      <c r="AV207" s="501">
        <v>3</v>
      </c>
      <c r="AW207" s="501">
        <v>3</v>
      </c>
      <c r="AX207" s="501">
        <v>3</v>
      </c>
      <c r="AY207" s="501">
        <v>3</v>
      </c>
      <c r="AZ207" s="501">
        <v>3</v>
      </c>
      <c r="BA207" s="501"/>
      <c r="BB207" s="501"/>
      <c r="BC207" s="501"/>
      <c r="BD207" s="501"/>
      <c r="BE207" s="501"/>
      <c r="BF207" s="501"/>
      <c r="BG207" s="501"/>
      <c r="BH207" s="501"/>
      <c r="BI207" s="501"/>
      <c r="BJ207" s="501"/>
      <c r="BK207" s="501"/>
      <c r="BL207" s="240">
        <v>5</v>
      </c>
      <c r="BM207" s="501">
        <v>5</v>
      </c>
      <c r="BN207" s="501"/>
      <c r="BO207" s="501"/>
      <c r="BP207" s="501"/>
      <c r="BQ207" s="501"/>
      <c r="BR207" s="501"/>
      <c r="BS207" s="501"/>
      <c r="BT207" s="240"/>
      <c r="BU207" s="240"/>
      <c r="BV207" s="240"/>
      <c r="BW207" s="240"/>
      <c r="BX207" s="240">
        <v>5</v>
      </c>
      <c r="BY207" s="240"/>
      <c r="BZ207" s="240"/>
      <c r="CA207" s="240">
        <v>5</v>
      </c>
      <c r="CB207" s="240">
        <v>5</v>
      </c>
      <c r="CC207" s="240"/>
      <c r="CD207" s="240"/>
      <c r="CE207" s="383" t="s">
        <v>3051</v>
      </c>
      <c r="CF207" s="383" t="s">
        <v>3066</v>
      </c>
      <c r="CG207" s="111" t="str">
        <f t="shared" si="8"/>
        <v>LuchadorMístico</v>
      </c>
      <c r="CH207" s="75"/>
    </row>
    <row r="208" spans="1:86" ht="12.75" customHeight="1" x14ac:dyDescent="0.2">
      <c r="A208" s="2181">
        <v>208</v>
      </c>
      <c r="B208" s="2878">
        <f>IF(ISNA(VLOOKUP(Tablas!$C208,PDs!$U$5:$X$14,4,FALSE)),0,VLOOKUP(Tablas!$C208,PDs!$U$5:$X$14,4,FALSE))</f>
        <v>0</v>
      </c>
      <c r="C208" s="2881" t="s">
        <v>3073</v>
      </c>
      <c r="D208" s="240">
        <v>5</v>
      </c>
      <c r="E208" s="240">
        <v>5</v>
      </c>
      <c r="F208" s="240">
        <v>20</v>
      </c>
      <c r="G208" s="240">
        <v>10</v>
      </c>
      <c r="H208" s="1982">
        <v>0.5</v>
      </c>
      <c r="I208" s="498">
        <v>0.5</v>
      </c>
      <c r="J208" s="498">
        <v>0.60000000000000009</v>
      </c>
      <c r="K208" s="503">
        <v>1</v>
      </c>
      <c r="L208" s="500"/>
      <c r="M208" s="500"/>
      <c r="N208" s="2299"/>
      <c r="O208" s="500"/>
      <c r="P208" s="500"/>
      <c r="Q208" s="500">
        <v>3</v>
      </c>
      <c r="R208" s="500">
        <v>3</v>
      </c>
      <c r="S208" s="500">
        <v>2</v>
      </c>
      <c r="T208" s="500">
        <v>3</v>
      </c>
      <c r="U208" s="501">
        <v>3</v>
      </c>
      <c r="V208" s="501">
        <v>30</v>
      </c>
      <c r="W208" s="501">
        <v>3</v>
      </c>
      <c r="X208" s="501">
        <v>70</v>
      </c>
      <c r="Y208" s="501">
        <v>3</v>
      </c>
      <c r="Z208" s="501">
        <v>3</v>
      </c>
      <c r="AA208" s="501">
        <v>3</v>
      </c>
      <c r="AB208" s="501">
        <v>3</v>
      </c>
      <c r="AC208" s="501">
        <v>3</v>
      </c>
      <c r="AD208" s="501">
        <v>10</v>
      </c>
      <c r="AE208" s="501">
        <v>2</v>
      </c>
      <c r="AF208" s="501">
        <v>2</v>
      </c>
      <c r="AG208" s="501">
        <v>2</v>
      </c>
      <c r="AH208" s="501">
        <v>2</v>
      </c>
      <c r="AI208" s="501">
        <v>2</v>
      </c>
      <c r="AJ208" s="501">
        <v>3</v>
      </c>
      <c r="AK208" s="501">
        <v>2</v>
      </c>
      <c r="AL208" s="501">
        <v>2</v>
      </c>
      <c r="AM208" s="501">
        <v>3</v>
      </c>
      <c r="AN208" s="501">
        <v>3</v>
      </c>
      <c r="AO208" s="501">
        <v>3</v>
      </c>
      <c r="AP208" s="501">
        <v>3</v>
      </c>
      <c r="AQ208" s="501">
        <v>3</v>
      </c>
      <c r="AR208" s="501">
        <v>3</v>
      </c>
      <c r="AS208" s="501">
        <v>3</v>
      </c>
      <c r="AT208" s="501">
        <v>3</v>
      </c>
      <c r="AU208" s="501">
        <v>3</v>
      </c>
      <c r="AV208" s="501">
        <v>3</v>
      </c>
      <c r="AW208" s="501">
        <v>3</v>
      </c>
      <c r="AX208" s="501">
        <v>3</v>
      </c>
      <c r="AY208" s="501">
        <v>3</v>
      </c>
      <c r="AZ208" s="501">
        <v>3</v>
      </c>
      <c r="BA208" s="501"/>
      <c r="BB208" s="501"/>
      <c r="BC208" s="501"/>
      <c r="BD208" s="501"/>
      <c r="BE208" s="501"/>
      <c r="BF208" s="501"/>
      <c r="BG208" s="501"/>
      <c r="BH208" s="501"/>
      <c r="BI208" s="501"/>
      <c r="BJ208" s="501"/>
      <c r="BK208" s="501"/>
      <c r="BL208" s="501"/>
      <c r="BM208" s="501"/>
      <c r="BN208" s="501"/>
      <c r="BO208" s="501"/>
      <c r="BP208" s="501"/>
      <c r="BQ208" s="501"/>
      <c r="BR208" s="501"/>
      <c r="BS208" s="501"/>
      <c r="BT208" s="240"/>
      <c r="BU208" s="240"/>
      <c r="BV208" s="240"/>
      <c r="BW208" s="240"/>
      <c r="BX208" s="240"/>
      <c r="BY208" s="240"/>
      <c r="BZ208" s="240"/>
      <c r="CA208" s="240"/>
      <c r="CB208" s="240"/>
      <c r="CC208" s="240"/>
      <c r="CD208" s="240"/>
      <c r="CE208" s="383" t="s">
        <v>3070</v>
      </c>
      <c r="CF208" s="383" t="s">
        <v>3052</v>
      </c>
      <c r="CG208" s="111" t="str">
        <f t="shared" si="8"/>
        <v>PsíquicoSin</v>
      </c>
      <c r="CH208" s="75"/>
    </row>
    <row r="209" spans="1:86" ht="12.75" customHeight="1" x14ac:dyDescent="0.2">
      <c r="A209" s="2181">
        <v>209</v>
      </c>
      <c r="B209" s="2878">
        <f>IF(ISNA(VLOOKUP(Tablas!$C209,PDs!$U$5:$X$14,4,FALSE)),0,VLOOKUP(Tablas!$C209,PDs!$U$5:$X$14,4,FALSE))</f>
        <v>0</v>
      </c>
      <c r="C209" s="2881" t="s">
        <v>3074</v>
      </c>
      <c r="D209" s="240">
        <v>5</v>
      </c>
      <c r="E209" s="240">
        <v>10</v>
      </c>
      <c r="F209" s="240">
        <v>20</v>
      </c>
      <c r="G209" s="240">
        <v>20</v>
      </c>
      <c r="H209" s="1982">
        <v>0.5</v>
      </c>
      <c r="I209" s="498">
        <v>0.5</v>
      </c>
      <c r="J209" s="498">
        <v>0.5</v>
      </c>
      <c r="K209" s="503">
        <v>1</v>
      </c>
      <c r="L209" s="500">
        <v>5</v>
      </c>
      <c r="M209" s="500">
        <v>5</v>
      </c>
      <c r="N209" s="2299">
        <v>5</v>
      </c>
      <c r="O209" s="500"/>
      <c r="P209" s="500"/>
      <c r="Q209" s="501">
        <v>2</v>
      </c>
      <c r="R209" s="501">
        <v>2</v>
      </c>
      <c r="S209" s="501">
        <v>2</v>
      </c>
      <c r="T209" s="501">
        <v>2</v>
      </c>
      <c r="U209" s="501">
        <v>2</v>
      </c>
      <c r="V209" s="501">
        <v>25</v>
      </c>
      <c r="W209" s="501">
        <v>3</v>
      </c>
      <c r="X209" s="501">
        <v>70</v>
      </c>
      <c r="Y209" s="501">
        <v>3</v>
      </c>
      <c r="Z209" s="501">
        <v>3</v>
      </c>
      <c r="AA209" s="501">
        <v>3</v>
      </c>
      <c r="AB209" s="501">
        <v>3</v>
      </c>
      <c r="AC209" s="501">
        <v>3</v>
      </c>
      <c r="AD209" s="501">
        <v>15</v>
      </c>
      <c r="AE209" s="501">
        <v>2</v>
      </c>
      <c r="AF209" s="501">
        <v>2</v>
      </c>
      <c r="AG209" s="501">
        <v>2</v>
      </c>
      <c r="AH209" s="501">
        <v>2</v>
      </c>
      <c r="AI209" s="501">
        <v>3</v>
      </c>
      <c r="AJ209" s="501">
        <v>2</v>
      </c>
      <c r="AK209" s="501">
        <v>2</v>
      </c>
      <c r="AL209" s="501">
        <v>2</v>
      </c>
      <c r="AM209" s="501">
        <v>3</v>
      </c>
      <c r="AN209" s="501">
        <v>3</v>
      </c>
      <c r="AO209" s="501">
        <v>3</v>
      </c>
      <c r="AP209" s="501">
        <v>3</v>
      </c>
      <c r="AQ209" s="501">
        <v>3</v>
      </c>
      <c r="AR209" s="501">
        <v>3</v>
      </c>
      <c r="AS209" s="501">
        <v>3</v>
      </c>
      <c r="AT209" s="501">
        <v>3</v>
      </c>
      <c r="AU209" s="501">
        <v>3</v>
      </c>
      <c r="AV209" s="501">
        <v>3</v>
      </c>
      <c r="AW209" s="501">
        <v>3</v>
      </c>
      <c r="AX209" s="501">
        <v>3</v>
      </c>
      <c r="AY209" s="501">
        <v>3</v>
      </c>
      <c r="AZ209" s="501">
        <v>3</v>
      </c>
      <c r="BA209" s="501"/>
      <c r="BB209" s="501"/>
      <c r="BC209" s="501"/>
      <c r="BD209" s="501"/>
      <c r="BE209" s="501"/>
      <c r="BF209" s="501"/>
      <c r="BG209" s="501"/>
      <c r="BH209" s="501"/>
      <c r="BI209" s="501"/>
      <c r="BJ209" s="501"/>
      <c r="BK209" s="501"/>
      <c r="BL209" s="501"/>
      <c r="BM209" s="501"/>
      <c r="BN209" s="501"/>
      <c r="BO209" s="501"/>
      <c r="BP209" s="501"/>
      <c r="BQ209" s="501"/>
      <c r="BR209" s="501"/>
      <c r="BS209" s="501"/>
      <c r="BT209" s="240"/>
      <c r="BU209" s="240"/>
      <c r="BV209" s="240"/>
      <c r="BW209" s="240"/>
      <c r="BX209" s="240"/>
      <c r="BY209" s="240"/>
      <c r="BZ209" s="240"/>
      <c r="CA209" s="240"/>
      <c r="CB209" s="240"/>
      <c r="CC209" s="240"/>
      <c r="CD209" s="240"/>
      <c r="CE209" s="383" t="s">
        <v>3051</v>
      </c>
      <c r="CF209" s="383" t="s">
        <v>3070</v>
      </c>
      <c r="CG209" s="111" t="str">
        <f t="shared" si="8"/>
        <v>LuchadorPsíquico</v>
      </c>
      <c r="CH209" s="75"/>
    </row>
    <row r="210" spans="1:86" ht="13.5" customHeight="1" thickBot="1" x14ac:dyDescent="0.25">
      <c r="A210" s="2181">
        <v>210</v>
      </c>
      <c r="B210" s="2879">
        <f>IF(ISNA(VLOOKUP(Tablas!$C210,PDs!$U$5:$X$14,4,FALSE)),0,VLOOKUP(Tablas!$C210,PDs!$U$5:$X$14,4,FALSE))</f>
        <v>0</v>
      </c>
      <c r="C210" s="2882" t="s">
        <v>2396</v>
      </c>
      <c r="D210" s="483">
        <v>5</v>
      </c>
      <c r="E210" s="483">
        <v>5</v>
      </c>
      <c r="F210" s="483">
        <v>20</v>
      </c>
      <c r="G210" s="483">
        <v>20</v>
      </c>
      <c r="H210" s="1983">
        <v>0.60000000000000009</v>
      </c>
      <c r="I210" s="504">
        <v>0.60000000000000009</v>
      </c>
      <c r="J210" s="504">
        <v>0.60000000000000009</v>
      </c>
      <c r="K210" s="505">
        <v>0.5</v>
      </c>
      <c r="L210" s="506"/>
      <c r="M210" s="506"/>
      <c r="N210" s="2300"/>
      <c r="O210" s="506"/>
      <c r="P210" s="506">
        <v>10</v>
      </c>
      <c r="Q210" s="506">
        <v>2</v>
      </c>
      <c r="R210" s="506">
        <v>2</v>
      </c>
      <c r="S210" s="506">
        <v>2</v>
      </c>
      <c r="T210" s="506">
        <v>2</v>
      </c>
      <c r="U210" s="507">
        <v>2</v>
      </c>
      <c r="V210" s="507">
        <v>20</v>
      </c>
      <c r="W210" s="507">
        <v>2</v>
      </c>
      <c r="X210" s="507">
        <v>60</v>
      </c>
      <c r="Y210" s="507">
        <v>2</v>
      </c>
      <c r="Z210" s="507">
        <v>2</v>
      </c>
      <c r="AA210" s="507">
        <v>2</v>
      </c>
      <c r="AB210" s="507">
        <v>2</v>
      </c>
      <c r="AC210" s="507">
        <v>2</v>
      </c>
      <c r="AD210" s="507">
        <v>20</v>
      </c>
      <c r="AE210" s="507">
        <v>2</v>
      </c>
      <c r="AF210" s="507">
        <v>2</v>
      </c>
      <c r="AG210" s="507">
        <v>2</v>
      </c>
      <c r="AH210" s="507">
        <v>2</v>
      </c>
      <c r="AI210" s="507">
        <v>2</v>
      </c>
      <c r="AJ210" s="507">
        <v>2</v>
      </c>
      <c r="AK210" s="507">
        <v>2</v>
      </c>
      <c r="AL210" s="507">
        <v>2</v>
      </c>
      <c r="AM210" s="507">
        <v>3</v>
      </c>
      <c r="AN210" s="507">
        <v>3</v>
      </c>
      <c r="AO210" s="507">
        <v>3</v>
      </c>
      <c r="AP210" s="507">
        <v>3</v>
      </c>
      <c r="AQ210" s="507">
        <v>3</v>
      </c>
      <c r="AR210" s="507">
        <v>3</v>
      </c>
      <c r="AS210" s="507">
        <v>3</v>
      </c>
      <c r="AT210" s="507">
        <v>3</v>
      </c>
      <c r="AU210" s="507">
        <v>3</v>
      </c>
      <c r="AV210" s="507">
        <v>3</v>
      </c>
      <c r="AW210" s="507">
        <v>3</v>
      </c>
      <c r="AX210" s="507">
        <v>3</v>
      </c>
      <c r="AY210" s="507">
        <v>3</v>
      </c>
      <c r="AZ210" s="507">
        <v>3</v>
      </c>
      <c r="BA210" s="507"/>
      <c r="BB210" s="507"/>
      <c r="BC210" s="507"/>
      <c r="BD210" s="507"/>
      <c r="BE210" s="507"/>
      <c r="BF210" s="507"/>
      <c r="BG210" s="507"/>
      <c r="BH210" s="507"/>
      <c r="BI210" s="507"/>
      <c r="BJ210" s="507"/>
      <c r="BK210" s="507"/>
      <c r="BL210" s="507"/>
      <c r="BM210" s="507"/>
      <c r="BN210" s="507"/>
      <c r="BO210" s="507"/>
      <c r="BP210" s="507"/>
      <c r="BQ210" s="507"/>
      <c r="BR210" s="507"/>
      <c r="BS210" s="507"/>
      <c r="BT210" s="483"/>
      <c r="BU210" s="483"/>
      <c r="BV210" s="483"/>
      <c r="BW210" s="483"/>
      <c r="BX210" s="483"/>
      <c r="BY210" s="483"/>
      <c r="BZ210" s="483"/>
      <c r="CA210" s="483"/>
      <c r="CB210" s="483"/>
      <c r="CC210" s="483"/>
      <c r="CD210" s="483"/>
      <c r="CE210" s="473" t="s">
        <v>3052</v>
      </c>
      <c r="CF210" s="473" t="s">
        <v>3052</v>
      </c>
      <c r="CG210" s="508" t="str">
        <f t="shared" si="8"/>
        <v>SinSin</v>
      </c>
      <c r="CH210" s="223"/>
    </row>
    <row r="211" spans="1:86" s="2876" customFormat="1" ht="12.75" customHeight="1" thickBot="1" x14ac:dyDescent="0.25">
      <c r="A211" s="2180">
        <v>211</v>
      </c>
      <c r="C211" s="2902" t="s">
        <v>2202</v>
      </c>
      <c r="D211" s="2404" t="str">
        <f t="shared" ref="D211" si="9">D188</f>
        <v>Turno</v>
      </c>
      <c r="E211" s="2404" t="str">
        <f t="shared" ref="E211" si="10">E188</f>
        <v>PV</v>
      </c>
      <c r="F211" s="2404" t="s">
        <v>2310</v>
      </c>
      <c r="G211" s="2404" t="str">
        <f t="shared" ref="G211" si="11">G188</f>
        <v>Conocimiento Marcial</v>
      </c>
      <c r="H211" s="2874" t="s">
        <v>2310</v>
      </c>
      <c r="I211" s="2404" t="s">
        <v>2310</v>
      </c>
      <c r="J211" s="2404" t="s">
        <v>2310</v>
      </c>
      <c r="K211" s="2404" t="str">
        <f t="shared" ref="K211:L211" si="12">K188</f>
        <v>CV</v>
      </c>
      <c r="L211" s="2404" t="str">
        <f t="shared" si="12"/>
        <v>H. Ataque</v>
      </c>
      <c r="M211" s="2404" t="str">
        <f t="shared" ref="M211" si="13">M188</f>
        <v>H. Parada</v>
      </c>
      <c r="N211" s="2404" t="str">
        <f t="shared" ref="N211" si="14">N188</f>
        <v>H. Esquiva</v>
      </c>
      <c r="O211" s="2404" t="str">
        <f t="shared" ref="O211" si="15">O188</f>
        <v>Llevar Armadura</v>
      </c>
      <c r="P211" s="2404" t="str">
        <f t="shared" ref="P211" si="16">P188</f>
        <v>Zeón</v>
      </c>
      <c r="Q211" s="2404" t="s">
        <v>2310</v>
      </c>
      <c r="R211" s="2404" t="s">
        <v>2310</v>
      </c>
      <c r="S211" s="2404" t="s">
        <v>2310</v>
      </c>
      <c r="T211" s="2404" t="s">
        <v>2310</v>
      </c>
      <c r="U211" s="2404" t="s">
        <v>2310</v>
      </c>
      <c r="V211" s="2404" t="s">
        <v>2310</v>
      </c>
      <c r="W211" s="2404" t="s">
        <v>2310</v>
      </c>
      <c r="X211" s="2404" t="s">
        <v>2310</v>
      </c>
      <c r="Y211" s="2404" t="s">
        <v>2310</v>
      </c>
      <c r="Z211" s="2404" t="s">
        <v>2310</v>
      </c>
      <c r="AA211" s="2404" t="s">
        <v>2310</v>
      </c>
      <c r="AB211" s="2404" t="s">
        <v>2310</v>
      </c>
      <c r="AC211" s="2404" t="s">
        <v>2310</v>
      </c>
      <c r="AD211" s="2404" t="s">
        <v>2310</v>
      </c>
      <c r="AE211" s="2404" t="s">
        <v>2310</v>
      </c>
      <c r="AF211" s="2404" t="s">
        <v>2310</v>
      </c>
      <c r="AG211" s="2404" t="s">
        <v>2310</v>
      </c>
      <c r="AH211" s="2404" t="s">
        <v>2310</v>
      </c>
      <c r="AI211" s="2404" t="s">
        <v>2310</v>
      </c>
      <c r="AJ211" s="2404" t="s">
        <v>2310</v>
      </c>
      <c r="AK211" s="2404" t="s">
        <v>2310</v>
      </c>
      <c r="AL211" s="2404" t="s">
        <v>2310</v>
      </c>
      <c r="AM211" s="2404" t="s">
        <v>2310</v>
      </c>
      <c r="AN211" s="2404" t="s">
        <v>2310</v>
      </c>
      <c r="AO211" s="2404" t="s">
        <v>2310</v>
      </c>
      <c r="AP211" s="2404" t="s">
        <v>2310</v>
      </c>
      <c r="AQ211" s="2404" t="s">
        <v>2310</v>
      </c>
      <c r="AR211" s="2404" t="s">
        <v>2310</v>
      </c>
      <c r="AS211" s="2404" t="s">
        <v>2310</v>
      </c>
      <c r="AT211" s="2404" t="s">
        <v>2310</v>
      </c>
      <c r="AU211" s="2404" t="s">
        <v>2310</v>
      </c>
      <c r="AV211" s="2404" t="s">
        <v>2310</v>
      </c>
      <c r="AW211" s="2404" t="s">
        <v>2310</v>
      </c>
      <c r="AX211" s="2404" t="s">
        <v>2310</v>
      </c>
      <c r="AY211" s="2404" t="s">
        <v>2310</v>
      </c>
      <c r="AZ211" s="2404" t="s">
        <v>2310</v>
      </c>
      <c r="BA211" s="2404" t="str">
        <f t="shared" ref="BA211:CC211" si="17">BA188</f>
        <v>P. Fuerza</v>
      </c>
      <c r="BB211" s="2404" t="str">
        <f t="shared" si="17"/>
        <v>Acrobacias</v>
      </c>
      <c r="BC211" s="2404" t="str">
        <f t="shared" si="17"/>
        <v>Saltar</v>
      </c>
      <c r="BD211" s="2404" t="str">
        <f t="shared" si="17"/>
        <v>Atletismo</v>
      </c>
      <c r="BE211" s="2404" t="str">
        <f t="shared" si="17"/>
        <v>T. Manos</v>
      </c>
      <c r="BF211" s="2404" t="str">
        <f t="shared" si="17"/>
        <v>Estilo</v>
      </c>
      <c r="BG211" s="2404" t="str">
        <f t="shared" si="17"/>
        <v>Liderazgo</v>
      </c>
      <c r="BH211" s="2404" t="str">
        <f t="shared" si="17"/>
        <v>Res. Dolor</v>
      </c>
      <c r="BI211" s="2404" t="str">
        <f t="shared" si="17"/>
        <v>Intimidar</v>
      </c>
      <c r="BJ211" s="2404" t="str">
        <f t="shared" si="17"/>
        <v>Frialdad</v>
      </c>
      <c r="BK211" s="2404" t="str">
        <f t="shared" si="17"/>
        <v>Persuasión</v>
      </c>
      <c r="BL211" s="2404" t="str">
        <f t="shared" si="17"/>
        <v>Desconvocar</v>
      </c>
      <c r="BM211" s="2404" t="str">
        <f t="shared" si="17"/>
        <v>Controlar</v>
      </c>
      <c r="BN211" s="2404" t="str">
        <f t="shared" si="17"/>
        <v>Advertir</v>
      </c>
      <c r="BO211" s="2404" t="str">
        <f t="shared" si="17"/>
        <v>Buscar</v>
      </c>
      <c r="BP211" s="2404" t="str">
        <f t="shared" si="17"/>
        <v>Rastrear</v>
      </c>
      <c r="BQ211" s="2404" t="str">
        <f t="shared" si="17"/>
        <v>Trampería</v>
      </c>
      <c r="BR211" s="2404" t="str">
        <f t="shared" si="17"/>
        <v>Animales</v>
      </c>
      <c r="BS211" s="2404" t="str">
        <f t="shared" si="17"/>
        <v>Herbolaria</v>
      </c>
      <c r="BT211" s="2404" t="str">
        <f t="shared" si="17"/>
        <v>Ocultarse</v>
      </c>
      <c r="BU211" s="2404" t="str">
        <f t="shared" si="17"/>
        <v>Sigilo</v>
      </c>
      <c r="BV211" s="2404" t="str">
        <f t="shared" si="17"/>
        <v>Robo</v>
      </c>
      <c r="BW211" s="2404" t="str">
        <f t="shared" si="17"/>
        <v>Venenos</v>
      </c>
      <c r="BX211" s="2404" t="str">
        <f t="shared" si="17"/>
        <v>Ocultismo</v>
      </c>
      <c r="BY211" s="2404" t="str">
        <f t="shared" si="17"/>
        <v>V. Mágica</v>
      </c>
      <c r="BZ211" s="2404" t="str">
        <f t="shared" si="17"/>
        <v>Disfraz</v>
      </c>
      <c r="CA211" s="2404" t="str">
        <f t="shared" si="17"/>
        <v>Convocar</v>
      </c>
      <c r="CB211" s="2404" t="str">
        <f t="shared" si="17"/>
        <v>Atar</v>
      </c>
      <c r="CC211" s="2404" t="str">
        <f t="shared" si="17"/>
        <v>Detección Ki</v>
      </c>
      <c r="CD211" s="2404" t="str">
        <f>CD188</f>
        <v>Ocultación Ki</v>
      </c>
    </row>
    <row r="212" spans="1:86" ht="12.75" customHeight="1" x14ac:dyDescent="0.2">
      <c r="A212" s="2180">
        <v>212</v>
      </c>
      <c r="C212" s="2903"/>
      <c r="D212" s="2883">
        <f>SUMPRODUCT($B$189:$B$210,D$189:D$210)</f>
        <v>5</v>
      </c>
      <c r="E212" s="2883">
        <f t="shared" ref="E212:BP212" si="18">SUMPRODUCT($B$189:$B$210,E$189:E$210)</f>
        <v>5</v>
      </c>
      <c r="F212" s="2883" t="s">
        <v>2310</v>
      </c>
      <c r="G212" s="2883">
        <f t="shared" si="18"/>
        <v>10</v>
      </c>
      <c r="H212" s="2883" t="s">
        <v>2310</v>
      </c>
      <c r="I212" s="2883" t="s">
        <v>2310</v>
      </c>
      <c r="J212" s="2883" t="s">
        <v>2310</v>
      </c>
      <c r="K212" s="2884">
        <f>MIN(50,SUMPRODUCT($B$189:$B$210,K$189:K$210))</f>
        <v>0.33333333333333331</v>
      </c>
      <c r="L212" s="2884">
        <f>MIN(50,SUMPRODUCT($B$189:$B$210,L$189:L$210))</f>
        <v>0</v>
      </c>
      <c r="M212" s="2884">
        <f t="shared" ref="M212:N212" si="19">MIN(50,SUMPRODUCT($B$189:$B$210,M$189:M$210))</f>
        <v>0</v>
      </c>
      <c r="N212" s="2884">
        <f t="shared" si="19"/>
        <v>0</v>
      </c>
      <c r="O212" s="2883">
        <f t="shared" si="18"/>
        <v>0</v>
      </c>
      <c r="P212" s="2883">
        <f t="shared" si="18"/>
        <v>100</v>
      </c>
      <c r="Q212" s="2883" t="s">
        <v>2310</v>
      </c>
      <c r="R212" s="2883" t="s">
        <v>2310</v>
      </c>
      <c r="S212" s="2883" t="s">
        <v>2310</v>
      </c>
      <c r="T212" s="2883" t="s">
        <v>2310</v>
      </c>
      <c r="U212" s="2883" t="s">
        <v>2310</v>
      </c>
      <c r="V212" s="2883" t="s">
        <v>2310</v>
      </c>
      <c r="W212" s="2883" t="s">
        <v>2310</v>
      </c>
      <c r="X212" s="2883" t="s">
        <v>2310</v>
      </c>
      <c r="Y212" s="2883" t="s">
        <v>2310</v>
      </c>
      <c r="Z212" s="2883" t="s">
        <v>2310</v>
      </c>
      <c r="AA212" s="2883" t="s">
        <v>2310</v>
      </c>
      <c r="AB212" s="2883" t="s">
        <v>2310</v>
      </c>
      <c r="AC212" s="2883" t="s">
        <v>2310</v>
      </c>
      <c r="AD212" s="2883" t="s">
        <v>2310</v>
      </c>
      <c r="AE212" s="2883" t="s">
        <v>2310</v>
      </c>
      <c r="AF212" s="2883" t="s">
        <v>2310</v>
      </c>
      <c r="AG212" s="2883" t="s">
        <v>2310</v>
      </c>
      <c r="AH212" s="2883" t="s">
        <v>2310</v>
      </c>
      <c r="AI212" s="2883" t="s">
        <v>2310</v>
      </c>
      <c r="AJ212" s="2883" t="s">
        <v>2310</v>
      </c>
      <c r="AK212" s="2883" t="s">
        <v>2310</v>
      </c>
      <c r="AL212" s="2883" t="s">
        <v>2310</v>
      </c>
      <c r="AM212" s="2883" t="s">
        <v>2310</v>
      </c>
      <c r="AN212" s="2883" t="s">
        <v>2310</v>
      </c>
      <c r="AO212" s="2883" t="s">
        <v>2310</v>
      </c>
      <c r="AP212" s="2883" t="s">
        <v>2310</v>
      </c>
      <c r="AQ212" s="2883" t="s">
        <v>2310</v>
      </c>
      <c r="AR212" s="2883" t="s">
        <v>2310</v>
      </c>
      <c r="AS212" s="2883" t="s">
        <v>2310</v>
      </c>
      <c r="AT212" s="2883" t="s">
        <v>2310</v>
      </c>
      <c r="AU212" s="2883" t="s">
        <v>2310</v>
      </c>
      <c r="AV212" s="2883" t="s">
        <v>2310</v>
      </c>
      <c r="AW212" s="2883" t="s">
        <v>2310</v>
      </c>
      <c r="AX212" s="2883" t="s">
        <v>2310</v>
      </c>
      <c r="AY212" s="2883" t="s">
        <v>2310</v>
      </c>
      <c r="AZ212" s="2883" t="s">
        <v>2310</v>
      </c>
      <c r="BA212" s="2883">
        <f t="shared" si="18"/>
        <v>0</v>
      </c>
      <c r="BB212" s="2883">
        <f t="shared" si="18"/>
        <v>0</v>
      </c>
      <c r="BC212" s="2883">
        <f t="shared" si="18"/>
        <v>0</v>
      </c>
      <c r="BD212" s="2883">
        <f t="shared" si="18"/>
        <v>0</v>
      </c>
      <c r="BE212" s="2883">
        <f t="shared" si="18"/>
        <v>0</v>
      </c>
      <c r="BF212" s="2883">
        <f t="shared" si="18"/>
        <v>0</v>
      </c>
      <c r="BG212" s="2883">
        <f t="shared" si="18"/>
        <v>0</v>
      </c>
      <c r="BH212" s="2883">
        <f t="shared" si="18"/>
        <v>0</v>
      </c>
      <c r="BI212" s="2883">
        <f t="shared" si="18"/>
        <v>0</v>
      </c>
      <c r="BJ212" s="2883">
        <f t="shared" si="18"/>
        <v>0</v>
      </c>
      <c r="BK212" s="2883">
        <f t="shared" si="18"/>
        <v>0</v>
      </c>
      <c r="BL212" s="2883">
        <f t="shared" si="18"/>
        <v>0</v>
      </c>
      <c r="BM212" s="2883">
        <f t="shared" si="18"/>
        <v>0</v>
      </c>
      <c r="BN212" s="2883">
        <f t="shared" si="18"/>
        <v>0</v>
      </c>
      <c r="BO212" s="2883">
        <f t="shared" si="18"/>
        <v>0</v>
      </c>
      <c r="BP212" s="2883">
        <f t="shared" si="18"/>
        <v>0</v>
      </c>
      <c r="BQ212" s="2883">
        <f t="shared" ref="BQ212:CD212" si="20">SUMPRODUCT($B$189:$B$210,BQ$189:BQ$210)</f>
        <v>0</v>
      </c>
      <c r="BR212" s="2883">
        <f t="shared" si="20"/>
        <v>0</v>
      </c>
      <c r="BS212" s="2883">
        <f t="shared" si="20"/>
        <v>0</v>
      </c>
      <c r="BT212" s="2883">
        <f t="shared" si="20"/>
        <v>0</v>
      </c>
      <c r="BU212" s="2883">
        <f t="shared" si="20"/>
        <v>0</v>
      </c>
      <c r="BV212" s="2883">
        <f t="shared" si="20"/>
        <v>0</v>
      </c>
      <c r="BW212" s="2883">
        <f t="shared" si="20"/>
        <v>0</v>
      </c>
      <c r="BX212" s="2883">
        <f t="shared" si="20"/>
        <v>5</v>
      </c>
      <c r="BY212" s="2883">
        <f t="shared" si="20"/>
        <v>10</v>
      </c>
      <c r="BZ212" s="2883">
        <f t="shared" si="20"/>
        <v>0</v>
      </c>
      <c r="CA212" s="2883">
        <f t="shared" si="20"/>
        <v>0</v>
      </c>
      <c r="CB212" s="2883">
        <f t="shared" si="20"/>
        <v>0</v>
      </c>
      <c r="CC212" s="2883">
        <f t="shared" si="20"/>
        <v>0</v>
      </c>
      <c r="CD212" s="2901">
        <f t="shared" si="20"/>
        <v>0</v>
      </c>
    </row>
    <row r="213" spans="1:86" ht="12.75" customHeight="1" x14ac:dyDescent="0.2">
      <c r="A213" s="2180">
        <v>213</v>
      </c>
    </row>
    <row r="214" spans="1:86" ht="12.75" customHeight="1" x14ac:dyDescent="0.2">
      <c r="A214" s="2181">
        <v>214</v>
      </c>
    </row>
    <row r="215" spans="1:86" ht="12.75" customHeight="1" x14ac:dyDescent="0.2">
      <c r="A215" s="2181">
        <v>215</v>
      </c>
    </row>
    <row r="216" spans="1:86" ht="12.75" customHeight="1" x14ac:dyDescent="0.2">
      <c r="A216" s="2181">
        <v>216</v>
      </c>
    </row>
    <row r="217" spans="1:86" ht="12.75" customHeight="1" x14ac:dyDescent="0.2">
      <c r="A217" s="2181">
        <v>217</v>
      </c>
    </row>
    <row r="218" spans="1:86" ht="12.75" customHeight="1" x14ac:dyDescent="0.2">
      <c r="A218" s="2181">
        <v>218</v>
      </c>
    </row>
    <row r="219" spans="1:86" ht="12.75" customHeight="1" x14ac:dyDescent="0.2">
      <c r="A219" s="2181">
        <v>219</v>
      </c>
    </row>
    <row r="220" spans="1:86" ht="12.75" customHeight="1" x14ac:dyDescent="0.2">
      <c r="A220" s="2180">
        <v>220</v>
      </c>
    </row>
    <row r="221" spans="1:86" ht="12.75" customHeight="1" x14ac:dyDescent="0.2">
      <c r="A221" s="2180">
        <v>221</v>
      </c>
    </row>
    <row r="222" spans="1:86" ht="12.75" customHeight="1" x14ac:dyDescent="0.2">
      <c r="A222" s="2180">
        <v>222</v>
      </c>
    </row>
    <row r="223" spans="1:86" ht="12.75" customHeight="1" x14ac:dyDescent="0.2">
      <c r="A223" s="2181">
        <v>223</v>
      </c>
    </row>
    <row r="224" spans="1:86" ht="12.75" customHeight="1" x14ac:dyDescent="0.2">
      <c r="A224" s="2181">
        <v>224</v>
      </c>
    </row>
    <row r="225" spans="1:4" ht="12.75" customHeight="1" thickBot="1" x14ac:dyDescent="0.25">
      <c r="A225" s="2181">
        <v>225</v>
      </c>
    </row>
    <row r="226" spans="1:4" ht="12.75" customHeight="1" thickBot="1" x14ac:dyDescent="0.25">
      <c r="A226" s="2180">
        <v>226</v>
      </c>
      <c r="B226" s="4774" t="s">
        <v>3078</v>
      </c>
      <c r="C226" s="4774"/>
      <c r="D226" s="4774"/>
    </row>
    <row r="227" spans="1:4" ht="12.75" customHeight="1" x14ac:dyDescent="0.2">
      <c r="A227" s="2180">
        <v>227</v>
      </c>
      <c r="B227" s="4774"/>
      <c r="C227" s="4774"/>
      <c r="D227" s="4774"/>
    </row>
    <row r="228" spans="1:4" ht="12.75" customHeight="1" thickBot="1" x14ac:dyDescent="0.25">
      <c r="A228" s="2180">
        <v>228</v>
      </c>
      <c r="B228" s="509" t="s">
        <v>3079</v>
      </c>
      <c r="C228" s="514" t="s">
        <v>3080</v>
      </c>
      <c r="D228" s="511" t="s">
        <v>3077</v>
      </c>
    </row>
    <row r="229" spans="1:4" ht="12.75" customHeight="1" x14ac:dyDescent="0.2">
      <c r="A229" s="2181">
        <v>229</v>
      </c>
      <c r="B229" s="512">
        <v>0</v>
      </c>
      <c r="C229" s="497" t="s">
        <v>3081</v>
      </c>
      <c r="D229" s="513">
        <v>0</v>
      </c>
    </row>
    <row r="230" spans="1:4" ht="12.75" customHeight="1" x14ac:dyDescent="0.2">
      <c r="A230" s="2181">
        <v>230</v>
      </c>
      <c r="B230" s="293">
        <v>10</v>
      </c>
      <c r="C230" s="383" t="s">
        <v>3082</v>
      </c>
      <c r="D230" s="312">
        <v>-1</v>
      </c>
    </row>
    <row r="231" spans="1:4" ht="12.75" customHeight="1" x14ac:dyDescent="0.2">
      <c r="A231" s="2181">
        <v>231</v>
      </c>
      <c r="B231" s="293">
        <v>20</v>
      </c>
      <c r="C231" s="383" t="s">
        <v>3083</v>
      </c>
      <c r="D231" s="312">
        <v>-3</v>
      </c>
    </row>
    <row r="232" spans="1:4" ht="12.75" customHeight="1" x14ac:dyDescent="0.2">
      <c r="A232" s="2181">
        <v>232</v>
      </c>
      <c r="B232" s="293">
        <v>30</v>
      </c>
      <c r="C232" s="383" t="s">
        <v>3084</v>
      </c>
      <c r="D232" s="312">
        <v>-5</v>
      </c>
    </row>
    <row r="233" spans="1:4" ht="12.75" customHeight="1" x14ac:dyDescent="0.2">
      <c r="A233" s="2181">
        <v>233</v>
      </c>
      <c r="B233" s="293">
        <v>40</v>
      </c>
      <c r="C233" s="383" t="s">
        <v>3085</v>
      </c>
      <c r="D233" s="312">
        <v>-10</v>
      </c>
    </row>
    <row r="234" spans="1:4" ht="12.75" customHeight="1" x14ac:dyDescent="0.2">
      <c r="A234" s="2181">
        <v>234</v>
      </c>
      <c r="B234" s="293">
        <v>50</v>
      </c>
      <c r="C234" s="383" t="s">
        <v>3086</v>
      </c>
      <c r="D234" s="312">
        <v>-15</v>
      </c>
    </row>
    <row r="235" spans="1:4" ht="12.75" customHeight="1" x14ac:dyDescent="0.2">
      <c r="A235" s="2180">
        <v>235</v>
      </c>
      <c r="B235" s="293">
        <v>70</v>
      </c>
      <c r="C235" s="383" t="s">
        <v>3087</v>
      </c>
      <c r="D235" s="312">
        <v>-25</v>
      </c>
    </row>
    <row r="236" spans="1:4" ht="12.75" customHeight="1" thickBot="1" x14ac:dyDescent="0.25">
      <c r="A236" s="2180">
        <v>236</v>
      </c>
      <c r="B236" s="472">
        <v>100</v>
      </c>
      <c r="C236" s="473" t="s">
        <v>3088</v>
      </c>
      <c r="D236" s="515" t="s">
        <v>2310</v>
      </c>
    </row>
    <row r="237" spans="1:4" ht="12.75" customHeight="1" thickBot="1" x14ac:dyDescent="0.25">
      <c r="A237" s="2180">
        <v>237</v>
      </c>
    </row>
    <row r="238" spans="1:4" ht="12.75" customHeight="1" thickBot="1" x14ac:dyDescent="0.25">
      <c r="A238" s="2181">
        <v>238</v>
      </c>
      <c r="B238" s="3082" t="s">
        <v>3089</v>
      </c>
      <c r="C238" s="516"/>
    </row>
    <row r="239" spans="1:4" ht="12.75" customHeight="1" thickBot="1" x14ac:dyDescent="0.25">
      <c r="A239" s="2181">
        <v>239</v>
      </c>
      <c r="B239" s="3082"/>
      <c r="C239" s="516"/>
    </row>
    <row r="240" spans="1:4" ht="12.75" customHeight="1" x14ac:dyDescent="0.2">
      <c r="A240" s="2181">
        <v>240</v>
      </c>
      <c r="B240" s="517" t="s">
        <v>3090</v>
      </c>
      <c r="C240" s="518"/>
    </row>
    <row r="241" spans="1:10" ht="12.75" customHeight="1" thickBot="1" x14ac:dyDescent="0.25">
      <c r="A241" s="2180">
        <v>241</v>
      </c>
      <c r="B241" s="519" t="s">
        <v>2234</v>
      </c>
      <c r="C241" s="518"/>
    </row>
    <row r="242" spans="1:10" ht="12.75" customHeight="1" thickBot="1" x14ac:dyDescent="0.25">
      <c r="A242" s="2180">
        <v>242</v>
      </c>
    </row>
    <row r="243" spans="1:10" ht="12.75" customHeight="1" thickBot="1" x14ac:dyDescent="0.25">
      <c r="A243" s="2180">
        <v>243</v>
      </c>
      <c r="B243" s="4774" t="s">
        <v>3091</v>
      </c>
      <c r="C243" s="4774"/>
    </row>
    <row r="244" spans="1:10" ht="12.75" customHeight="1" x14ac:dyDescent="0.2">
      <c r="A244" s="2181">
        <v>244</v>
      </c>
      <c r="B244" s="4774"/>
      <c r="C244" s="4774"/>
    </row>
    <row r="245" spans="1:10" ht="12.75" customHeight="1" thickBot="1" x14ac:dyDescent="0.25">
      <c r="A245" s="2181">
        <v>245</v>
      </c>
      <c r="B245" s="469" t="s">
        <v>3092</v>
      </c>
      <c r="C245" s="471" t="s">
        <v>3093</v>
      </c>
    </row>
    <row r="246" spans="1:10" ht="12.75" customHeight="1" x14ac:dyDescent="0.2">
      <c r="A246" s="2181">
        <v>246</v>
      </c>
      <c r="B246" s="293">
        <v>0</v>
      </c>
      <c r="C246" s="312">
        <v>1</v>
      </c>
    </row>
    <row r="247" spans="1:10" ht="12.75" customHeight="1" x14ac:dyDescent="0.2">
      <c r="A247" s="2181">
        <v>247</v>
      </c>
      <c r="B247" s="293">
        <v>11</v>
      </c>
      <c r="C247" s="312">
        <v>2</v>
      </c>
    </row>
    <row r="248" spans="1:10" ht="12.75" customHeight="1" x14ac:dyDescent="0.2">
      <c r="A248" s="2181">
        <v>248</v>
      </c>
      <c r="B248" s="293">
        <v>15</v>
      </c>
      <c r="C248" s="312">
        <v>3</v>
      </c>
    </row>
    <row r="249" spans="1:10" ht="12.75" customHeight="1" x14ac:dyDescent="0.2">
      <c r="A249" s="2181">
        <v>249</v>
      </c>
      <c r="B249" s="293">
        <v>20</v>
      </c>
      <c r="C249" s="312">
        <v>4</v>
      </c>
    </row>
    <row r="250" spans="1:10" ht="12.75" customHeight="1" x14ac:dyDescent="0.2">
      <c r="A250" s="2180">
        <v>250</v>
      </c>
      <c r="B250" s="293">
        <v>23</v>
      </c>
      <c r="C250" s="312">
        <v>5</v>
      </c>
    </row>
    <row r="251" spans="1:10" ht="12.75" customHeight="1" x14ac:dyDescent="0.2">
      <c r="A251" s="2180">
        <v>251</v>
      </c>
      <c r="B251" s="293">
        <v>26</v>
      </c>
      <c r="C251" s="312">
        <v>6</v>
      </c>
    </row>
    <row r="252" spans="1:10" ht="12.75" customHeight="1" x14ac:dyDescent="0.2">
      <c r="A252" s="2180">
        <v>252</v>
      </c>
      <c r="B252" s="293">
        <v>29</v>
      </c>
      <c r="C252" s="312">
        <v>8</v>
      </c>
    </row>
    <row r="253" spans="1:10" ht="12.75" customHeight="1" thickBot="1" x14ac:dyDescent="0.25">
      <c r="A253" s="2181">
        <v>253</v>
      </c>
      <c r="B253" s="472">
        <v>32</v>
      </c>
      <c r="C253" s="465">
        <v>10</v>
      </c>
    </row>
    <row r="254" spans="1:10" ht="12.75" customHeight="1" thickBot="1" x14ac:dyDescent="0.25">
      <c r="A254" s="2181">
        <v>254</v>
      </c>
      <c r="F254" s="2657"/>
      <c r="G254" s="2657"/>
      <c r="H254" s="2658"/>
      <c r="I254" s="2657"/>
      <c r="J254" s="2657"/>
    </row>
    <row r="255" spans="1:10" ht="12.75" customHeight="1" x14ac:dyDescent="0.2">
      <c r="A255" s="2181">
        <v>255</v>
      </c>
      <c r="B255" s="4799" t="s">
        <v>3094</v>
      </c>
      <c r="C255" s="4799"/>
      <c r="D255" s="4799"/>
      <c r="F255" s="4755" t="s">
        <v>9790</v>
      </c>
      <c r="G255" s="4756"/>
      <c r="H255" s="4757"/>
      <c r="I255" s="2659"/>
      <c r="J255" s="2659"/>
    </row>
    <row r="256" spans="1:10" ht="12.75" customHeight="1" thickBot="1" x14ac:dyDescent="0.25">
      <c r="A256" s="2180">
        <v>256</v>
      </c>
      <c r="B256" s="520" t="s">
        <v>3095</v>
      </c>
      <c r="C256" s="453" t="s">
        <v>3096</v>
      </c>
      <c r="D256" s="454" t="s">
        <v>3097</v>
      </c>
      <c r="F256" s="4758" t="s">
        <v>2383</v>
      </c>
      <c r="G256" s="4548"/>
      <c r="H256" s="2656" t="s">
        <v>3283</v>
      </c>
      <c r="I256" s="2659"/>
      <c r="J256" s="2659"/>
    </row>
    <row r="257" spans="1:11" ht="12.75" customHeight="1" x14ac:dyDescent="0.2">
      <c r="A257" s="2180">
        <v>257</v>
      </c>
      <c r="B257" s="521">
        <v>1</v>
      </c>
      <c r="C257" s="383">
        <v>5</v>
      </c>
      <c r="D257" s="238">
        <v>0</v>
      </c>
      <c r="F257" s="4759" t="s">
        <v>2507</v>
      </c>
      <c r="G257" s="4760"/>
      <c r="H257" s="2660">
        <f>COUNTIF('Elan y Personalización'!$W$42:$Y$43,Tablas!$F257)</f>
        <v>2</v>
      </c>
      <c r="I257" s="2659"/>
      <c r="J257" s="2659"/>
    </row>
    <row r="258" spans="1:11" ht="12.75" customHeight="1" x14ac:dyDescent="0.2">
      <c r="A258" s="2180">
        <v>258</v>
      </c>
      <c r="B258" s="521">
        <v>2</v>
      </c>
      <c r="C258" s="383">
        <v>20</v>
      </c>
      <c r="D258" s="238">
        <v>0</v>
      </c>
      <c r="F258" s="4759" t="s">
        <v>2510</v>
      </c>
      <c r="G258" s="4760"/>
      <c r="H258" s="2660">
        <f>COUNTIF('Elan y Personalización'!$W$42:$Y$43,Tablas!$F258)</f>
        <v>0</v>
      </c>
      <c r="I258" s="2659"/>
      <c r="J258" s="2659"/>
    </row>
    <row r="259" spans="1:11" ht="12.75" customHeight="1" x14ac:dyDescent="0.2">
      <c r="A259" s="2181">
        <v>259</v>
      </c>
      <c r="B259" s="521">
        <v>3</v>
      </c>
      <c r="C259" s="383">
        <v>40</v>
      </c>
      <c r="D259" s="238">
        <v>0</v>
      </c>
      <c r="F259" s="4759" t="s">
        <v>3144</v>
      </c>
      <c r="G259" s="4760"/>
      <c r="H259" s="2660">
        <f>COUNTIF('Elan y Personalización'!$W$42:$Y$43,Tablas!$F259)</f>
        <v>0</v>
      </c>
      <c r="I259" s="2659"/>
      <c r="J259" s="2659"/>
    </row>
    <row r="260" spans="1:11" ht="12.75" customHeight="1" x14ac:dyDescent="0.2">
      <c r="A260" s="2181">
        <v>260</v>
      </c>
      <c r="B260" s="521">
        <v>4</v>
      </c>
      <c r="C260" s="383">
        <v>55</v>
      </c>
      <c r="D260" s="238">
        <v>0</v>
      </c>
      <c r="F260" s="4759" t="s">
        <v>9791</v>
      </c>
      <c r="G260" s="4760"/>
      <c r="H260" s="2660">
        <f>COUNTIF('Elan y Personalización'!$W$42:$Y$43,Tablas!$F260)</f>
        <v>0</v>
      </c>
      <c r="I260" s="2659"/>
      <c r="J260" s="2659"/>
    </row>
    <row r="261" spans="1:11" ht="12.75" customHeight="1" x14ac:dyDescent="0.2">
      <c r="A261" s="2181">
        <v>261</v>
      </c>
      <c r="B261" s="521">
        <v>5</v>
      </c>
      <c r="C261" s="383">
        <v>70</v>
      </c>
      <c r="D261" s="238">
        <v>5</v>
      </c>
      <c r="F261" s="4759" t="s">
        <v>9792</v>
      </c>
      <c r="G261" s="4760"/>
      <c r="H261" s="2660">
        <f>COUNTIF('Elan y Personalización'!$W$42:$Y$43,Tablas!$F261)</f>
        <v>0</v>
      </c>
      <c r="I261" s="2659"/>
      <c r="J261" s="2659"/>
    </row>
    <row r="262" spans="1:11" ht="12.75" customHeight="1" x14ac:dyDescent="0.2">
      <c r="A262" s="2181">
        <v>262</v>
      </c>
      <c r="B262" s="521">
        <v>6</v>
      </c>
      <c r="C262" s="383">
        <v>85</v>
      </c>
      <c r="D262" s="238">
        <v>5</v>
      </c>
      <c r="F262" s="4759" t="s">
        <v>9793</v>
      </c>
      <c r="G262" s="4760"/>
      <c r="H262" s="2660">
        <f>COUNTIF('Elan y Personalización'!$W$42:$Y$43,Tablas!$F262)</f>
        <v>0</v>
      </c>
      <c r="I262" s="2659"/>
      <c r="J262" s="2659"/>
    </row>
    <row r="263" spans="1:11" ht="12.75" customHeight="1" x14ac:dyDescent="0.2">
      <c r="A263" s="2181">
        <v>263</v>
      </c>
      <c r="B263" s="521">
        <v>7</v>
      </c>
      <c r="C263" s="383">
        <v>95</v>
      </c>
      <c r="D263" s="238">
        <v>5</v>
      </c>
      <c r="F263" s="4759" t="s">
        <v>9794</v>
      </c>
      <c r="G263" s="4760"/>
      <c r="H263" s="2660">
        <f>COUNTIF('Elan y Personalización'!$W$42:$Y$43,Tablas!$F263)</f>
        <v>0</v>
      </c>
      <c r="I263" s="2659"/>
      <c r="J263" s="2659"/>
    </row>
    <row r="264" spans="1:11" ht="12.75" customHeight="1" x14ac:dyDescent="0.2">
      <c r="A264" s="2181">
        <v>264</v>
      </c>
      <c r="B264" s="521">
        <v>8</v>
      </c>
      <c r="C264" s="383">
        <v>110</v>
      </c>
      <c r="D264" s="238">
        <v>10</v>
      </c>
      <c r="F264" s="4759" t="s">
        <v>9795</v>
      </c>
      <c r="G264" s="4760"/>
      <c r="H264" s="2660">
        <f>COUNTIF('Elan y Personalización'!$W$42:$Y$43,Tablas!$F264)</f>
        <v>0</v>
      </c>
      <c r="I264" s="2659"/>
      <c r="J264" s="2659"/>
    </row>
    <row r="265" spans="1:11" ht="12.75" customHeight="1" thickBot="1" x14ac:dyDescent="0.25">
      <c r="A265" s="2180">
        <v>265</v>
      </c>
      <c r="B265" s="521">
        <v>9</v>
      </c>
      <c r="C265" s="383">
        <v>120</v>
      </c>
      <c r="D265" s="238">
        <v>10</v>
      </c>
      <c r="F265" s="4830" t="s">
        <v>9796</v>
      </c>
      <c r="G265" s="4831"/>
      <c r="H265" s="2663">
        <f>COUNTIF('Elan y Personalización'!$W$42:$Y$43,Tablas!$F265)</f>
        <v>0</v>
      </c>
      <c r="I265" s="2659"/>
      <c r="J265" s="2659"/>
    </row>
    <row r="266" spans="1:11" ht="12.75" customHeight="1" thickBot="1" x14ac:dyDescent="0.25">
      <c r="A266" s="2180">
        <v>266</v>
      </c>
      <c r="B266" s="521">
        <v>10</v>
      </c>
      <c r="C266" s="383">
        <v>135</v>
      </c>
      <c r="D266" s="238">
        <v>10</v>
      </c>
      <c r="F266" s="2659"/>
      <c r="G266" s="2659"/>
      <c r="H266" s="447"/>
      <c r="J266" s="2659"/>
    </row>
    <row r="267" spans="1:11" ht="12.75" customHeight="1" x14ac:dyDescent="0.2">
      <c r="A267" s="2180">
        <v>267</v>
      </c>
      <c r="B267" s="521">
        <v>11</v>
      </c>
      <c r="C267" s="383">
        <v>150</v>
      </c>
      <c r="D267" s="238">
        <v>10</v>
      </c>
      <c r="F267" s="4755" t="s">
        <v>9797</v>
      </c>
      <c r="G267" s="4757"/>
      <c r="H267" s="2659"/>
      <c r="I267" s="4755" t="s">
        <v>9798</v>
      </c>
      <c r="J267" s="4756"/>
      <c r="K267" s="4757"/>
    </row>
    <row r="268" spans="1:11" ht="13.5" customHeight="1" x14ac:dyDescent="0.2">
      <c r="A268" s="2181">
        <v>268</v>
      </c>
      <c r="B268" s="521">
        <v>12</v>
      </c>
      <c r="C268" s="383">
        <v>160</v>
      </c>
      <c r="D268" s="238">
        <v>15</v>
      </c>
      <c r="F268" s="2664" t="s">
        <v>9791</v>
      </c>
      <c r="G268" s="2660">
        <f>COUNTIF(Combate!$X$55:$AC$64,$D$1095)*COUNTIF('Elan y Personalización'!$AG$40:$AJ$42,Tablas!$F268)</f>
        <v>0</v>
      </c>
      <c r="H268" s="2659"/>
      <c r="I268" s="4761" t="s">
        <v>8942</v>
      </c>
      <c r="J268" s="4762"/>
      <c r="K268" s="2660">
        <f>COUNTIF(Combate!$X$55:$AC$64,$D$1101)*COUNTIF('Elan y Personalización'!$AB$41:$AE$43,Tablas!$I268)</f>
        <v>0</v>
      </c>
    </row>
    <row r="269" spans="1:11" ht="12.75" customHeight="1" x14ac:dyDescent="0.2">
      <c r="A269" s="2181">
        <v>269</v>
      </c>
      <c r="B269" s="521">
        <v>13</v>
      </c>
      <c r="C269" s="383">
        <v>175</v>
      </c>
      <c r="D269" s="238">
        <v>15</v>
      </c>
      <c r="F269" s="2661" t="s">
        <v>9799</v>
      </c>
      <c r="G269" s="2660">
        <f>COUNTIF(Combate!$X$55:$AC$64,$D$1095)*COUNTIF('Elan y Personalización'!$AG$40:$AJ$42,Tablas!$F269)</f>
        <v>0</v>
      </c>
      <c r="H269" s="2659"/>
      <c r="I269" s="4761" t="s">
        <v>9800</v>
      </c>
      <c r="J269" s="4762"/>
      <c r="K269" s="2660">
        <f>COUNTIF(Combate!$X$55:$AC$64,$D$1101)*COUNTIF('Elan y Personalización'!$AB$41:$AE$43,Tablas!$I269)</f>
        <v>0</v>
      </c>
    </row>
    <row r="270" spans="1:11" ht="12.75" customHeight="1" x14ac:dyDescent="0.2">
      <c r="A270" s="2181">
        <v>270</v>
      </c>
      <c r="B270" s="521">
        <v>14</v>
      </c>
      <c r="C270" s="383">
        <v>185</v>
      </c>
      <c r="D270" s="238">
        <v>15</v>
      </c>
      <c r="F270" s="2661" t="s">
        <v>9801</v>
      </c>
      <c r="G270" s="2660">
        <f>COUNTIF(Combate!$X$55:$AC$64,$D$1095)*COUNTIF('Elan y Personalización'!$AG$40:$AJ$42,Tablas!$F270)</f>
        <v>0</v>
      </c>
      <c r="H270" s="2659"/>
      <c r="I270" s="4761" t="s">
        <v>313</v>
      </c>
      <c r="J270" s="4762"/>
      <c r="K270" s="2660">
        <f>COUNTIF(Combate!$X$55:$AC$64,$D$1101)*COUNTIF('Elan y Personalización'!$AB$41:$AE$43,Tablas!$I270)</f>
        <v>0</v>
      </c>
    </row>
    <row r="271" spans="1:11" ht="12.75" customHeight="1" x14ac:dyDescent="0.2">
      <c r="A271" s="2180">
        <v>271</v>
      </c>
      <c r="B271" s="521">
        <v>15</v>
      </c>
      <c r="C271" s="383">
        <v>200</v>
      </c>
      <c r="D271" s="238">
        <v>20</v>
      </c>
      <c r="F271" s="2661" t="s">
        <v>9802</v>
      </c>
      <c r="G271" s="2660">
        <f>COUNTIF(Combate!$X$55:$AC$64,$D$1095)*COUNTIF('Elan y Personalización'!$AG$40:$AJ$42,Tablas!$F271)</f>
        <v>0</v>
      </c>
      <c r="H271" s="2659"/>
      <c r="I271" s="4761" t="s">
        <v>9803</v>
      </c>
      <c r="J271" s="4762"/>
      <c r="K271" s="2660">
        <f>COUNTIF(Combate!$X$55:$AC$64,$D$1101)*COUNTIF('Elan y Personalización'!$AB$41:$AE$43,Tablas!$I271)</f>
        <v>0</v>
      </c>
    </row>
    <row r="272" spans="1:11" ht="12.75" customHeight="1" x14ac:dyDescent="0.2">
      <c r="A272" s="2180">
        <v>272</v>
      </c>
      <c r="B272" s="521">
        <v>16</v>
      </c>
      <c r="C272" s="383">
        <v>215</v>
      </c>
      <c r="D272" s="238">
        <v>25</v>
      </c>
      <c r="F272" s="2661" t="s">
        <v>9804</v>
      </c>
      <c r="G272" s="2660">
        <f>COUNTIF(Combate!$X$55:$AC$64,$D$1095)*COUNTIF('Elan y Personalización'!$AG$40:$AJ$42,Tablas!$F272)</f>
        <v>0</v>
      </c>
      <c r="H272" s="2659"/>
      <c r="I272" s="4761" t="s">
        <v>9805</v>
      </c>
      <c r="J272" s="4762"/>
      <c r="K272" s="2660">
        <f>COUNTIF(Combate!$X$55:$AC$64,$D$1101)*COUNTIF('Elan y Personalización'!$AB$41:$AE$43,Tablas!$I272)</f>
        <v>0</v>
      </c>
    </row>
    <row r="273" spans="1:24" ht="12.75" customHeight="1" thickBot="1" x14ac:dyDescent="0.25">
      <c r="A273" s="2180">
        <v>273</v>
      </c>
      <c r="B273" s="521">
        <v>17</v>
      </c>
      <c r="C273" s="383">
        <v>225</v>
      </c>
      <c r="D273" s="238">
        <v>25</v>
      </c>
      <c r="F273" s="2662" t="s">
        <v>9806</v>
      </c>
      <c r="G273" s="2663">
        <f>COUNTIF(Combate!$X$55:$AC$64,$D$1095)*COUNTIF('Elan y Personalización'!$AG$40:$AJ$42,Tablas!$F273)</f>
        <v>0</v>
      </c>
      <c r="H273" s="2659"/>
      <c r="I273" s="4832" t="s">
        <v>9807</v>
      </c>
      <c r="J273" s="4833"/>
      <c r="K273" s="2663">
        <f>COUNTIF(Combate!$X$55:$AC$64,$D$1101)*COUNTIF('Elan y Personalización'!$AB$41:$AE$43,Tablas!$I273)</f>
        <v>0</v>
      </c>
    </row>
    <row r="274" spans="1:24" ht="12.75" customHeight="1" x14ac:dyDescent="0.2">
      <c r="A274" s="2181">
        <v>274</v>
      </c>
      <c r="B274" s="521">
        <v>18</v>
      </c>
      <c r="C274" s="383">
        <v>240</v>
      </c>
      <c r="D274" s="238">
        <v>30</v>
      </c>
    </row>
    <row r="275" spans="1:24" ht="12.75" customHeight="1" x14ac:dyDescent="0.2">
      <c r="A275" s="2181">
        <v>275</v>
      </c>
      <c r="B275" s="521">
        <v>19</v>
      </c>
      <c r="C275" s="383">
        <v>250</v>
      </c>
      <c r="D275" s="238">
        <v>30</v>
      </c>
    </row>
    <row r="276" spans="1:24" ht="12.75" customHeight="1" thickBot="1" x14ac:dyDescent="0.25">
      <c r="A276" s="2181">
        <v>276</v>
      </c>
      <c r="B276" s="522">
        <v>20</v>
      </c>
      <c r="C276" s="473">
        <v>265</v>
      </c>
      <c r="D276" s="523">
        <v>35</v>
      </c>
    </row>
    <row r="277" spans="1:24" ht="12.75" customHeight="1" thickBot="1" x14ac:dyDescent="0.25">
      <c r="A277" s="2181">
        <v>277</v>
      </c>
    </row>
    <row r="278" spans="1:24" ht="13.5" customHeight="1" thickBot="1" x14ac:dyDescent="0.25">
      <c r="A278" s="2181">
        <v>278</v>
      </c>
      <c r="B278" s="4827" t="s">
        <v>3098</v>
      </c>
      <c r="C278" s="4827"/>
      <c r="D278" s="4827"/>
      <c r="E278" s="4827"/>
      <c r="F278" s="4827"/>
      <c r="G278" s="4827"/>
      <c r="H278" s="4827"/>
      <c r="I278" s="4827"/>
      <c r="J278" s="4827"/>
      <c r="K278" s="4827"/>
      <c r="L278" s="4827"/>
      <c r="M278" s="4827"/>
      <c r="N278" s="4827"/>
      <c r="O278" s="4827"/>
      <c r="P278" s="4827"/>
      <c r="Q278" s="4827"/>
      <c r="R278" s="4827"/>
      <c r="S278" s="4827"/>
      <c r="T278" s="4827"/>
      <c r="U278" s="4827"/>
      <c r="V278" s="4827"/>
      <c r="W278" s="4827"/>
      <c r="X278" s="4827"/>
    </row>
    <row r="279" spans="1:24" ht="12.75" customHeight="1" x14ac:dyDescent="0.2">
      <c r="A279" s="2181">
        <v>279</v>
      </c>
      <c r="B279" s="4827"/>
      <c r="C279" s="4827"/>
      <c r="D279" s="4827"/>
      <c r="E279" s="4827"/>
      <c r="F279" s="4827"/>
      <c r="G279" s="4827"/>
      <c r="H279" s="4827"/>
      <c r="I279" s="4827"/>
      <c r="J279" s="4827"/>
      <c r="K279" s="4827"/>
      <c r="L279" s="4827"/>
      <c r="M279" s="4827"/>
      <c r="N279" s="4827"/>
      <c r="O279" s="4827"/>
      <c r="P279" s="4827"/>
      <c r="Q279" s="4827"/>
      <c r="R279" s="4827"/>
      <c r="S279" s="4827"/>
      <c r="T279" s="4827"/>
      <c r="U279" s="4827"/>
      <c r="V279" s="4827"/>
      <c r="W279" s="4827"/>
      <c r="X279" s="4827"/>
    </row>
    <row r="280" spans="1:24" ht="12.75" customHeight="1" x14ac:dyDescent="0.2">
      <c r="A280" s="2180">
        <v>280</v>
      </c>
      <c r="B280" s="2420"/>
      <c r="C280" s="2421">
        <v>1</v>
      </c>
      <c r="D280" s="2421">
        <v>2</v>
      </c>
      <c r="E280" s="2421">
        <v>3</v>
      </c>
      <c r="F280" s="2421">
        <v>4</v>
      </c>
      <c r="G280" s="2421">
        <v>5</v>
      </c>
      <c r="H280" s="2421">
        <v>6</v>
      </c>
      <c r="I280" s="2421">
        <v>7</v>
      </c>
      <c r="J280" s="2421">
        <v>8</v>
      </c>
      <c r="K280" s="2421">
        <v>9</v>
      </c>
      <c r="L280" s="2421">
        <v>10</v>
      </c>
      <c r="M280" s="2421">
        <v>11</v>
      </c>
      <c r="N280" s="2421">
        <v>12</v>
      </c>
      <c r="O280" s="2421">
        <v>13</v>
      </c>
      <c r="P280" s="2421">
        <v>14</v>
      </c>
      <c r="Q280" s="2421">
        <v>15</v>
      </c>
      <c r="R280" s="2421">
        <v>16</v>
      </c>
      <c r="S280" s="2421">
        <v>17</v>
      </c>
      <c r="T280" s="2421">
        <v>18</v>
      </c>
      <c r="U280" s="4834">
        <v>19</v>
      </c>
      <c r="V280" s="4834"/>
      <c r="W280" s="4834"/>
      <c r="X280" s="2422">
        <v>20</v>
      </c>
    </row>
    <row r="281" spans="1:24" ht="12.75" customHeight="1" thickBot="1" x14ac:dyDescent="0.25">
      <c r="A281" s="2180">
        <v>281</v>
      </c>
      <c r="B281" s="2423"/>
      <c r="C281" s="2424" t="s">
        <v>2269</v>
      </c>
      <c r="D281" s="2424" t="s">
        <v>2432</v>
      </c>
      <c r="E281" s="2424" t="s">
        <v>2246</v>
      </c>
      <c r="F281" s="2424" t="s">
        <v>3099</v>
      </c>
      <c r="G281" s="2424" t="s">
        <v>3100</v>
      </c>
      <c r="H281" s="2424" t="s">
        <v>3101</v>
      </c>
      <c r="I281" s="2424" t="s">
        <v>3102</v>
      </c>
      <c r="J281" s="2424" t="s">
        <v>3103</v>
      </c>
      <c r="K281" s="2424" t="s">
        <v>3104</v>
      </c>
      <c r="L281" s="2424" t="s">
        <v>2945</v>
      </c>
      <c r="M281" s="2424" t="s">
        <v>2436</v>
      </c>
      <c r="N281" s="2424" t="s">
        <v>3105</v>
      </c>
      <c r="O281" s="2424" t="s">
        <v>3106</v>
      </c>
      <c r="P281" s="2424" t="s">
        <v>3107</v>
      </c>
      <c r="Q281" s="2424" t="s">
        <v>3108</v>
      </c>
      <c r="R281" s="2424" t="s">
        <v>3109</v>
      </c>
      <c r="S281" s="2424" t="s">
        <v>3110</v>
      </c>
      <c r="T281" s="2424" t="s">
        <v>3111</v>
      </c>
      <c r="U281" s="4790" t="s">
        <v>2332</v>
      </c>
      <c r="V281" s="4790"/>
      <c r="W281" s="4790"/>
      <c r="X281" s="2425" t="s">
        <v>3112</v>
      </c>
    </row>
    <row r="282" spans="1:24" ht="12.75" customHeight="1" x14ac:dyDescent="0.2">
      <c r="A282" s="2180">
        <v>282</v>
      </c>
      <c r="B282" s="2426"/>
      <c r="C282" s="2427" t="s">
        <v>3113</v>
      </c>
      <c r="D282" s="2428"/>
      <c r="E282" s="2428"/>
      <c r="F282" s="2428"/>
      <c r="G282" s="2428"/>
      <c r="H282" s="2428"/>
      <c r="I282" s="2428"/>
      <c r="J282" s="2429" t="s">
        <v>2953</v>
      </c>
      <c r="K282" s="2429" t="s">
        <v>2310</v>
      </c>
      <c r="L282" s="2428"/>
      <c r="M282" s="2428"/>
      <c r="N282" s="2428"/>
      <c r="O282" s="2428"/>
      <c r="P282" s="2428"/>
      <c r="Q282" s="2428"/>
      <c r="R282" s="2428"/>
      <c r="S282" s="2428"/>
      <c r="T282" s="2428"/>
      <c r="U282" s="2428"/>
      <c r="V282" s="2428"/>
      <c r="W282" s="2428"/>
      <c r="X282" s="2430"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181">
        <v>283</v>
      </c>
      <c r="B283" s="2431"/>
      <c r="C283" s="2432" t="s">
        <v>2853</v>
      </c>
      <c r="D283" s="2548">
        <f>IF(Raza="Tuan Dalyr",40,IF(Raza="Ebudan",60,IF(Raza="Turak",40,IF(OR(Raza="Daimah",Raza="Jayán",Nephilim="Nephilim Turak"),30,VLOOKUP(Tamaño,Tabla_CreaciónSeres,8)+25*$H$257))))</f>
        <v>40</v>
      </c>
      <c r="E283" s="2548">
        <f>IF(Raza="Ebudan","20",IF(OR(Raza="Daimah",Raza="Jayán",Raza="Turak",General!$J$23="Turak"),20+VLOOKUP(Tamaño,$B$123:$K$130,3),20+VLOOKUP(Tamaño,$B$123:$K$130,3)+20*$H$258))</f>
        <v>40</v>
      </c>
      <c r="F283" s="2548">
        <v>0</v>
      </c>
      <c r="G283" s="2548">
        <v>0</v>
      </c>
      <c r="H283" s="2631" t="str">
        <f>IF(Raza="Ebudan","FIL",IF(Raza="Turak","FIL",IF(OR(Raza="Daimah",Raza="Jayán"),"FIL",IF(General!$J$23="Turak","FIL",'Elan y Personalización'!$Y$39))))</f>
        <v>FIL</v>
      </c>
      <c r="I283" s="2548" t="str">
        <f>IF(Raza="Ebudan","-",IF(Raza="Turak","-",IF(OR(Raza="Daimah",Raza="Jayán"),"PEN",IF(General!$J$23="Turak","-",'Elan y Personalización'!$Y$40))))</f>
        <v>-</v>
      </c>
      <c r="J283" s="2548" t="str">
        <f>IF(Raza="Ebudan","Mandoble","Natural")</f>
        <v>Natural</v>
      </c>
      <c r="K283" s="383" t="s">
        <v>2310</v>
      </c>
      <c r="L283" s="501">
        <f>IF(Raza="Ebudan","20",VLOOKUP(Tamaño,$B$123:$K$130,10))</f>
        <v>12</v>
      </c>
      <c r="M283" s="501">
        <f>IF(Raza="Ebudan","5",VLOOKUP(Tamaño,$B$123:$K$130,9))</f>
        <v>0</v>
      </c>
      <c r="N283" s="2549"/>
      <c r="O283" s="2548"/>
      <c r="P283" s="2548"/>
      <c r="Q283" s="2548"/>
      <c r="R283" s="2548"/>
      <c r="S283" s="2548"/>
      <c r="T283" s="2548"/>
      <c r="U283" s="4791"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791"/>
      <c r="W283" s="4791"/>
      <c r="X283" s="373" t="str">
        <f>IF(OR(Arma_Desarrollada=Armas_Desarrolladas,COUNTIF(PDs!$Y$40:$AA$45,Armas_Desarrolladas)&gt;0,$G$1770&gt;0),"Conocida","Distinta")</f>
        <v>Distinta</v>
      </c>
    </row>
    <row r="284" spans="1:24" ht="12.75" customHeight="1" x14ac:dyDescent="0.2">
      <c r="A284" s="2181">
        <v>284</v>
      </c>
      <c r="B284" s="2431"/>
      <c r="C284" s="2432" t="str">
        <f>IF('Elan y Personalización'!X46=0,"Arma #1",'Elan y Personalización'!X46)</f>
        <v>Arma #1</v>
      </c>
      <c r="D284" s="2631">
        <f>'Elan y Personalización'!$Z$48</f>
        <v>0</v>
      </c>
      <c r="E284" s="2631">
        <f>'Elan y Personalización'!$Y$48</f>
        <v>0</v>
      </c>
      <c r="F284" s="2631">
        <f>'Elan y Personalización'!$AC$47</f>
        <v>0</v>
      </c>
      <c r="G284" s="2631">
        <f>'Elan y Personalización'!$AE$47</f>
        <v>0</v>
      </c>
      <c r="H284" s="2631">
        <f>'Elan y Personalización'!$AA$49</f>
        <v>0</v>
      </c>
      <c r="I284" s="2631">
        <f>'Elan y Personalización'!$AB$49</f>
        <v>0</v>
      </c>
      <c r="J284" s="2631">
        <f>'Elan y Personalización'!$W$48</f>
        <v>0</v>
      </c>
      <c r="K284" s="2631">
        <f>'Elan y Personalización'!$X$48</f>
        <v>0</v>
      </c>
      <c r="L284" s="501">
        <f>'Elan y Personalización'!$AC$49</f>
        <v>0</v>
      </c>
      <c r="M284" s="501">
        <f>'Elan y Personalización'!$AD$49</f>
        <v>0</v>
      </c>
      <c r="N284" s="501">
        <f>'Elan y Personalización'!$AE$49</f>
        <v>0</v>
      </c>
      <c r="O284" s="2631">
        <f>IF(OR($J284="Escudo",$K284="Escudo"),'Elan y Personalización'!$AJ$47,0)</f>
        <v>0</v>
      </c>
      <c r="P284" s="2631">
        <f>IF(OR($J284="Escudo",$K284="Escudo"),'Elan y Personalización'!$AJ$48,0)</f>
        <v>0</v>
      </c>
      <c r="Q284" s="2631" t="s">
        <v>2310</v>
      </c>
      <c r="R284" s="2631">
        <f>IF(OR($J284="Proyectiles",$K284="Proyectiles"),'Elan y Personalización'!$AJ$48,0)</f>
        <v>0</v>
      </c>
      <c r="S284" s="2631">
        <f>'Elan y Personalización'!$AJ$49</f>
        <v>0</v>
      </c>
      <c r="T284" s="2631" t="str">
        <f>IF(OR($J284="Proyectiles",$K284="Proyectiles"),'Elan y Personalización'!$AJ$47,"")</f>
        <v/>
      </c>
      <c r="U284" s="4775">
        <f>'Elan y Personalización'!$AB$46</f>
        <v>0</v>
      </c>
      <c r="V284" s="4775"/>
      <c r="W284" s="4775"/>
      <c r="X284" s="75" t="str">
        <f>IF('Elan y Personalización'!$X$47="Si","Conocida","Distinta")</f>
        <v>Distinta</v>
      </c>
    </row>
    <row r="285" spans="1:24" ht="12.75" customHeight="1" x14ac:dyDescent="0.2">
      <c r="A285" s="2181">
        <v>285</v>
      </c>
      <c r="B285" s="2431"/>
      <c r="C285" s="2432" t="str">
        <f>IF('Elan y Personalización'!X50=0,"Arma #2",'Elan y Personalización'!X50)</f>
        <v>Arma #2</v>
      </c>
      <c r="D285" s="2631">
        <f>'Elan y Personalización'!$Z$52</f>
        <v>0</v>
      </c>
      <c r="E285" s="2631">
        <f>'Elan y Personalización'!$Y$52</f>
        <v>0</v>
      </c>
      <c r="F285" s="2631">
        <f>'Elan y Personalización'!$AC$51</f>
        <v>0</v>
      </c>
      <c r="G285" s="2631">
        <f>'Elan y Personalización'!$AE$51</f>
        <v>0</v>
      </c>
      <c r="H285" s="2631">
        <f>'Elan y Personalización'!$AA$53</f>
        <v>0</v>
      </c>
      <c r="I285" s="2631">
        <f>'Elan y Personalización'!$AB$53</f>
        <v>0</v>
      </c>
      <c r="J285" s="2631">
        <f>'Elan y Personalización'!$W$52</f>
        <v>0</v>
      </c>
      <c r="K285" s="383">
        <f>'Elan y Personalización'!$X$52</f>
        <v>0</v>
      </c>
      <c r="L285" s="501">
        <f>'Elan y Personalización'!$AC$53</f>
        <v>0</v>
      </c>
      <c r="M285" s="501">
        <f>'Elan y Personalización'!$AD$53</f>
        <v>0</v>
      </c>
      <c r="N285" s="501">
        <f>'Elan y Personalización'!$AE$53</f>
        <v>0</v>
      </c>
      <c r="O285" s="2631">
        <f>IF(OR($J285="Escudo",$K285="Escudo"),'Elan y Personalización'!$AJ$51,0)</f>
        <v>0</v>
      </c>
      <c r="P285" s="2631">
        <f>IF(OR($J285="Escudo",$K285="Escudo"),'Elan y Personalización'!$AJ$52,0)</f>
        <v>0</v>
      </c>
      <c r="Q285" s="2631" t="s">
        <v>2310</v>
      </c>
      <c r="R285" s="2631">
        <f>IF(OR($J285="Proyectiles",$K285="Proyectiles"),'Elan y Personalización'!$AJ$52,0)</f>
        <v>0</v>
      </c>
      <c r="S285" s="2631">
        <f>'Elan y Personalización'!$AJ$53</f>
        <v>0</v>
      </c>
      <c r="T285" s="2631" t="str">
        <f>IF(OR($J285="Proyectiles",$K285="Proyectiles"),'Elan y Personalización'!$AJ$51,"")</f>
        <v/>
      </c>
      <c r="U285" s="4775">
        <f>'Elan y Personalización'!$AB$46</f>
        <v>0</v>
      </c>
      <c r="V285" s="4775"/>
      <c r="W285" s="4775"/>
      <c r="X285" s="75" t="str">
        <f>IF('Elan y Personalización'!$X$51="Si","Conocida","Distinta")</f>
        <v>Distinta</v>
      </c>
    </row>
    <row r="286" spans="1:24" ht="12.75" customHeight="1" x14ac:dyDescent="0.2">
      <c r="A286" s="2180">
        <v>286</v>
      </c>
      <c r="B286" s="2431"/>
      <c r="C286" s="2432" t="str">
        <f>IF('Elan y Personalización'!X54=0,"Arma #3",'Elan y Personalización'!X54)</f>
        <v>Arma #3</v>
      </c>
      <c r="D286" s="2631">
        <f>'Elan y Personalización'!$Z$56</f>
        <v>0</v>
      </c>
      <c r="E286" s="2631">
        <f>'Elan y Personalización'!$Y$56</f>
        <v>0</v>
      </c>
      <c r="F286" s="2631">
        <f>'Elan y Personalización'!$AC$55</f>
        <v>0</v>
      </c>
      <c r="G286" s="2631">
        <f>'Elan y Personalización'!$AE$55</f>
        <v>0</v>
      </c>
      <c r="H286" s="2631">
        <f>'Elan y Personalización'!$AA$57</f>
        <v>0</v>
      </c>
      <c r="I286" s="2631">
        <f>'Elan y Personalización'!$AB$57</f>
        <v>0</v>
      </c>
      <c r="J286" s="2631">
        <f>'Elan y Personalización'!$W$56</f>
        <v>0</v>
      </c>
      <c r="K286" s="383">
        <f>'Elan y Personalización'!$X$56</f>
        <v>0</v>
      </c>
      <c r="L286" s="501">
        <f>'Elan y Personalización'!$AC$57</f>
        <v>0</v>
      </c>
      <c r="M286" s="501">
        <f>'Elan y Personalización'!$AD$57</f>
        <v>0</v>
      </c>
      <c r="N286" s="501">
        <f>'Elan y Personalización'!$AE$57</f>
        <v>0</v>
      </c>
      <c r="O286" s="2631">
        <f>IF(OR($J286="Escudo",$K286="Escudo"),'Elan y Personalización'!$AJ$55,0)</f>
        <v>0</v>
      </c>
      <c r="P286" s="2631">
        <f>IF(OR($J286="Escudo",$K286="Escudo"),'Elan y Personalización'!$AJ$56,0)</f>
        <v>0</v>
      </c>
      <c r="Q286" s="2631" t="s">
        <v>2310</v>
      </c>
      <c r="R286" s="2631">
        <f>IF(OR($J286="Proyectiles",$K286="Proyectiles"),'Elan y Personalización'!$AJ$56,0)</f>
        <v>0</v>
      </c>
      <c r="S286" s="2631">
        <f>'Elan y Personalización'!$AJ$57</f>
        <v>0</v>
      </c>
      <c r="T286" s="2631" t="str">
        <f>IF(OR($J286="Proyectiles",$K286="Proyectiles"),'Elan y Personalización'!$AJ$55,"")</f>
        <v/>
      </c>
      <c r="U286" s="4775">
        <f>'Elan y Personalización'!$AB$46</f>
        <v>0</v>
      </c>
      <c r="V286" s="4775"/>
      <c r="W286" s="4775"/>
      <c r="X286" s="75" t="str">
        <f>IF('Elan y Personalización'!$X$55="Si","Conocida","Distinta")</f>
        <v>Distinta</v>
      </c>
    </row>
    <row r="287" spans="1:24" ht="12.75" customHeight="1" x14ac:dyDescent="0.2">
      <c r="A287" s="2180">
        <v>287</v>
      </c>
      <c r="B287" s="2431"/>
      <c r="C287" s="2432" t="s">
        <v>3114</v>
      </c>
      <c r="D287" s="2437"/>
      <c r="E287" s="2437"/>
      <c r="F287" s="2437"/>
      <c r="G287" s="2437"/>
      <c r="H287" s="2437"/>
      <c r="I287" s="2437"/>
      <c r="J287" s="2437"/>
      <c r="K287" s="2437"/>
      <c r="L287" s="2437"/>
      <c r="M287" s="2437"/>
      <c r="N287" s="2437"/>
      <c r="O287" s="2437"/>
      <c r="P287" s="2437"/>
      <c r="Q287" s="2437"/>
      <c r="R287" s="2437"/>
      <c r="S287" s="2437"/>
      <c r="T287" s="2437"/>
      <c r="U287" s="2438"/>
      <c r="V287" s="2438"/>
      <c r="W287" s="2438"/>
      <c r="X287" s="2436"/>
    </row>
    <row r="288" spans="1:24" ht="12.75" customHeight="1" x14ac:dyDescent="0.2">
      <c r="A288" s="2180">
        <v>288</v>
      </c>
      <c r="B288" s="2431"/>
      <c r="C288" s="2432" t="s">
        <v>3115</v>
      </c>
      <c r="D288" s="2439">
        <v>60</v>
      </c>
      <c r="E288" s="2433">
        <v>-15</v>
      </c>
      <c r="F288" s="2433">
        <v>11</v>
      </c>
      <c r="G288" s="2433">
        <v>6</v>
      </c>
      <c r="H288" s="2433" t="s">
        <v>2409</v>
      </c>
      <c r="I288" s="2433" t="s">
        <v>2354</v>
      </c>
      <c r="J288" s="2433" t="s">
        <v>3116</v>
      </c>
      <c r="K288" s="2433" t="s">
        <v>3117</v>
      </c>
      <c r="L288" s="2435">
        <v>15</v>
      </c>
      <c r="M288" s="2435">
        <v>4</v>
      </c>
      <c r="N288" s="2435">
        <v>20</v>
      </c>
      <c r="O288" s="2433"/>
      <c r="P288" s="2433"/>
      <c r="Q288" s="2433" t="s">
        <v>2310</v>
      </c>
      <c r="R288" s="2433" t="s">
        <v>2310</v>
      </c>
      <c r="S288" s="2433" t="s">
        <v>2310</v>
      </c>
      <c r="T288" s="2433"/>
      <c r="U288" s="2440" t="s">
        <v>2447</v>
      </c>
      <c r="V288" s="2440"/>
      <c r="W288" s="2440"/>
      <c r="X288" s="2436" t="str">
        <f t="shared" ref="X288:X312" si="21">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181">
        <v>289</v>
      </c>
      <c r="B289" s="2431"/>
      <c r="C289" s="2432" t="s">
        <v>3118</v>
      </c>
      <c r="D289" s="2439">
        <v>35</v>
      </c>
      <c r="E289" s="2433">
        <v>-5</v>
      </c>
      <c r="F289" s="2433">
        <v>5</v>
      </c>
      <c r="G289" s="2433">
        <v>5</v>
      </c>
      <c r="H289" s="2433" t="s">
        <v>2410</v>
      </c>
      <c r="I289" s="2433" t="s">
        <v>2310</v>
      </c>
      <c r="J289" s="2433" t="s">
        <v>3116</v>
      </c>
      <c r="K289" s="2434" t="s">
        <v>2310</v>
      </c>
      <c r="L289" s="2435">
        <v>11</v>
      </c>
      <c r="M289" s="2435">
        <v>0</v>
      </c>
      <c r="N289" s="2435">
        <v>15</v>
      </c>
      <c r="O289" s="2433"/>
      <c r="P289" s="2433"/>
      <c r="Q289" s="2435">
        <v>100</v>
      </c>
      <c r="R289" s="2433" t="s">
        <v>2310</v>
      </c>
      <c r="S289" s="2433">
        <v>20</v>
      </c>
      <c r="T289" s="2433"/>
      <c r="U289" s="2440" t="s">
        <v>3119</v>
      </c>
      <c r="V289" s="2440"/>
      <c r="W289" s="2440"/>
      <c r="X289" s="2436" t="str">
        <f t="shared" si="21"/>
        <v>Distinta</v>
      </c>
    </row>
    <row r="290" spans="1:24" ht="12.75" customHeight="1" x14ac:dyDescent="0.2">
      <c r="A290" s="2181">
        <v>290</v>
      </c>
      <c r="B290" s="2431"/>
      <c r="C290" s="2432" t="s">
        <v>9595</v>
      </c>
      <c r="D290" s="2439">
        <v>25</v>
      </c>
      <c r="E290" s="2433">
        <v>15</v>
      </c>
      <c r="F290" s="2433">
        <v>5</v>
      </c>
      <c r="G290" s="2433">
        <v>5</v>
      </c>
      <c r="H290" s="2433" t="s">
        <v>2354</v>
      </c>
      <c r="I290" s="2433" t="s">
        <v>2310</v>
      </c>
      <c r="J290" s="2433" t="s">
        <v>3116</v>
      </c>
      <c r="K290" s="2433" t="s">
        <v>2310</v>
      </c>
      <c r="L290" s="2435">
        <v>10</v>
      </c>
      <c r="M290" s="2435">
        <v>-1</v>
      </c>
      <c r="N290" s="2435">
        <v>15</v>
      </c>
      <c r="O290" s="2433"/>
      <c r="P290" s="2433"/>
      <c r="Q290" s="2433" t="s">
        <v>2310</v>
      </c>
      <c r="R290" s="2433" t="s">
        <v>2310</v>
      </c>
      <c r="S290" s="2433" t="s">
        <v>2310</v>
      </c>
      <c r="T290" s="2433"/>
      <c r="U290" s="2440"/>
      <c r="V290" s="2440"/>
      <c r="W290" s="2440"/>
      <c r="X290" s="2436" t="str">
        <f t="shared" si="21"/>
        <v>Distinta</v>
      </c>
    </row>
    <row r="291" spans="1:24" ht="12.75" customHeight="1" x14ac:dyDescent="0.2">
      <c r="A291" s="2181">
        <v>291</v>
      </c>
      <c r="B291" s="2431"/>
      <c r="C291" s="2432" t="s">
        <v>9596</v>
      </c>
      <c r="D291" s="2439">
        <v>50</v>
      </c>
      <c r="E291" s="2433">
        <v>-10</v>
      </c>
      <c r="F291" s="2433" t="s">
        <v>2310</v>
      </c>
      <c r="G291" s="2433">
        <v>6</v>
      </c>
      <c r="H291" s="2433" t="s">
        <v>2410</v>
      </c>
      <c r="I291" s="2433" t="s">
        <v>9648</v>
      </c>
      <c r="J291" s="2433" t="s">
        <v>3116</v>
      </c>
      <c r="K291" s="2433" t="s">
        <v>3152</v>
      </c>
      <c r="L291" s="2435">
        <v>12</v>
      </c>
      <c r="M291" s="2435">
        <v>2</v>
      </c>
      <c r="N291" s="2435">
        <v>20</v>
      </c>
      <c r="O291" s="2433"/>
      <c r="P291" s="2433"/>
      <c r="Q291" s="2433" t="s">
        <v>2310</v>
      </c>
      <c r="R291" s="2433" t="s">
        <v>2310</v>
      </c>
      <c r="S291" s="2433" t="s">
        <v>2310</v>
      </c>
      <c r="T291" s="2433"/>
      <c r="U291" s="2440" t="s">
        <v>2447</v>
      </c>
      <c r="V291" s="2441"/>
      <c r="W291" s="2441"/>
      <c r="X291" s="2436" t="str">
        <f t="shared" si="21"/>
        <v>Distinta</v>
      </c>
    </row>
    <row r="292" spans="1:24" ht="12.75" customHeight="1" x14ac:dyDescent="0.2">
      <c r="A292" s="2181">
        <v>292</v>
      </c>
      <c r="B292" s="2431"/>
      <c r="C292" s="2432" t="s">
        <v>9597</v>
      </c>
      <c r="D292" s="2439">
        <v>50</v>
      </c>
      <c r="E292" s="2433">
        <v>-15</v>
      </c>
      <c r="F292" s="2433" t="s">
        <v>2310</v>
      </c>
      <c r="G292" s="2433">
        <v>6</v>
      </c>
      <c r="H292" s="2433" t="s">
        <v>2409</v>
      </c>
      <c r="I292" s="2433" t="s">
        <v>2354</v>
      </c>
      <c r="J292" s="2433" t="s">
        <v>3116</v>
      </c>
      <c r="K292" s="2433" t="s">
        <v>2310</v>
      </c>
      <c r="L292" s="2435">
        <v>12</v>
      </c>
      <c r="M292" s="2435">
        <v>4</v>
      </c>
      <c r="N292" s="2435">
        <v>20</v>
      </c>
      <c r="O292" s="2433"/>
      <c r="P292" s="2433"/>
      <c r="Q292" s="2433" t="s">
        <v>2310</v>
      </c>
      <c r="R292" s="2433" t="s">
        <v>2310</v>
      </c>
      <c r="S292" s="2433" t="s">
        <v>2310</v>
      </c>
      <c r="T292" s="2433"/>
      <c r="U292" s="2440" t="s">
        <v>2447</v>
      </c>
      <c r="V292" s="2440"/>
      <c r="W292" s="2440"/>
      <c r="X292" s="2436" t="str">
        <f t="shared" si="21"/>
        <v>Distinta</v>
      </c>
    </row>
    <row r="293" spans="1:24" ht="12.75" customHeight="1" x14ac:dyDescent="0.2">
      <c r="A293" s="2181">
        <v>293</v>
      </c>
      <c r="B293" s="2431"/>
      <c r="C293" s="2432" t="s">
        <v>3120</v>
      </c>
      <c r="D293" s="2433">
        <v>20</v>
      </c>
      <c r="E293" s="2433">
        <v>0</v>
      </c>
      <c r="F293" s="2433">
        <v>5</v>
      </c>
      <c r="G293" s="2433">
        <v>5</v>
      </c>
      <c r="H293" s="2433" t="s">
        <v>2354</v>
      </c>
      <c r="I293" s="2433" t="s">
        <v>2310</v>
      </c>
      <c r="J293" s="2433" t="s">
        <v>3121</v>
      </c>
      <c r="K293" s="2434" t="s">
        <v>2310</v>
      </c>
      <c r="L293" s="2435">
        <v>10</v>
      </c>
      <c r="M293" s="2435">
        <v>2</v>
      </c>
      <c r="N293" s="2435">
        <v>15</v>
      </c>
      <c r="O293" s="2433"/>
      <c r="P293" s="2433"/>
      <c r="Q293" s="2435">
        <v>50</v>
      </c>
      <c r="R293" s="2433" t="s">
        <v>2310</v>
      </c>
      <c r="S293" s="2433">
        <v>20</v>
      </c>
      <c r="T293" s="2433"/>
      <c r="U293" s="2440" t="s">
        <v>3122</v>
      </c>
      <c r="V293" s="2440"/>
      <c r="W293" s="2440"/>
      <c r="X293" s="2436" t="str">
        <f t="shared" si="21"/>
        <v>Distinta</v>
      </c>
    </row>
    <row r="294" spans="1:24" ht="12.75" customHeight="1" x14ac:dyDescent="0.2">
      <c r="A294" s="2181">
        <v>294</v>
      </c>
      <c r="B294" s="2431"/>
      <c r="C294" s="2432" t="s">
        <v>3123</v>
      </c>
      <c r="D294" s="2433">
        <v>30</v>
      </c>
      <c r="E294" s="2433">
        <v>-10</v>
      </c>
      <c r="F294" s="2433">
        <v>5</v>
      </c>
      <c r="G294" s="2433">
        <v>5</v>
      </c>
      <c r="H294" s="2433" t="s">
        <v>3124</v>
      </c>
      <c r="I294" s="2433" t="s">
        <v>2354</v>
      </c>
      <c r="J294" s="2433" t="s">
        <v>3121</v>
      </c>
      <c r="K294" s="2434" t="s">
        <v>2310</v>
      </c>
      <c r="L294" s="2435">
        <v>6</v>
      </c>
      <c r="M294" s="2435">
        <v>2</v>
      </c>
      <c r="N294" s="2435">
        <v>15</v>
      </c>
      <c r="O294" s="2433"/>
      <c r="P294" s="2433"/>
      <c r="Q294" s="2435">
        <v>80</v>
      </c>
      <c r="R294" s="2433" t="s">
        <v>2310</v>
      </c>
      <c r="S294" s="2433">
        <v>20</v>
      </c>
      <c r="T294" s="2433"/>
      <c r="U294" s="2441" t="s">
        <v>3125</v>
      </c>
      <c r="V294" s="2440"/>
      <c r="W294" s="2440"/>
      <c r="X294" s="2436" t="str">
        <f t="shared" si="21"/>
        <v>Distinta</v>
      </c>
    </row>
    <row r="295" spans="1:24" ht="12.75" customHeight="1" x14ac:dyDescent="0.2">
      <c r="A295" s="2180">
        <v>295</v>
      </c>
      <c r="B295" s="2431"/>
      <c r="C295" s="2432" t="s">
        <v>9600</v>
      </c>
      <c r="D295" s="2439">
        <v>60</v>
      </c>
      <c r="E295" s="2433">
        <v>-10</v>
      </c>
      <c r="F295" s="2433">
        <v>7</v>
      </c>
      <c r="G295" s="2433">
        <v>7</v>
      </c>
      <c r="H295" s="2433" t="s">
        <v>2409</v>
      </c>
      <c r="I295" s="2433" t="s">
        <v>2310</v>
      </c>
      <c r="J295" s="2433" t="s">
        <v>3132</v>
      </c>
      <c r="K295" s="2433" t="s">
        <v>2310</v>
      </c>
      <c r="L295" s="2435">
        <v>15</v>
      </c>
      <c r="M295" s="2435">
        <v>4</v>
      </c>
      <c r="N295" s="2435">
        <v>20</v>
      </c>
      <c r="O295" s="2433"/>
      <c r="P295" s="2433"/>
      <c r="Q295" s="2433" t="s">
        <v>2310</v>
      </c>
      <c r="R295" s="2433" t="s">
        <v>2310</v>
      </c>
      <c r="S295" s="2433" t="s">
        <v>2310</v>
      </c>
      <c r="T295" s="2433"/>
      <c r="U295" s="2440" t="s">
        <v>2310</v>
      </c>
      <c r="V295" s="2440"/>
      <c r="W295" s="2440"/>
      <c r="X295" s="2436" t="str">
        <f t="shared" si="21"/>
        <v>Distinta</v>
      </c>
    </row>
    <row r="296" spans="1:24" ht="12.75" customHeight="1" x14ac:dyDescent="0.2">
      <c r="A296" s="2180">
        <v>296</v>
      </c>
      <c r="B296" s="2431"/>
      <c r="C296" s="2432" t="s">
        <v>9599</v>
      </c>
      <c r="D296" s="2439">
        <v>40</v>
      </c>
      <c r="E296" s="2433">
        <v>0</v>
      </c>
      <c r="F296" s="2433" t="s">
        <v>2310</v>
      </c>
      <c r="G296" s="2433">
        <v>6</v>
      </c>
      <c r="H296" s="2433" t="s">
        <v>2410</v>
      </c>
      <c r="I296" s="2433" t="s">
        <v>2354</v>
      </c>
      <c r="J296" s="2433" t="s">
        <v>3116</v>
      </c>
      <c r="K296" s="2433" t="s">
        <v>2310</v>
      </c>
      <c r="L296" s="2435">
        <v>9</v>
      </c>
      <c r="M296" s="2435">
        <v>3</v>
      </c>
      <c r="N296" s="2435">
        <v>25</v>
      </c>
      <c r="O296" s="2433"/>
      <c r="P296" s="2433"/>
      <c r="Q296" s="2433" t="s">
        <v>2310</v>
      </c>
      <c r="R296" s="2433" t="s">
        <v>2310</v>
      </c>
      <c r="S296" s="2433" t="s">
        <v>2310</v>
      </c>
      <c r="T296" s="2433"/>
      <c r="U296" s="2440" t="s">
        <v>9649</v>
      </c>
      <c r="V296" s="2440"/>
      <c r="W296" s="2440"/>
      <c r="X296" s="2436" t="str">
        <f t="shared" si="21"/>
        <v>Distinta</v>
      </c>
    </row>
    <row r="297" spans="1:24" ht="12.75" customHeight="1" x14ac:dyDescent="0.2">
      <c r="A297" s="2180">
        <v>297</v>
      </c>
      <c r="B297" s="2431"/>
      <c r="C297" s="2432" t="s">
        <v>3126</v>
      </c>
      <c r="D297" s="2439">
        <v>25</v>
      </c>
      <c r="E297" s="2433">
        <v>0</v>
      </c>
      <c r="F297" s="2433">
        <v>6</v>
      </c>
      <c r="G297" s="2433">
        <v>6</v>
      </c>
      <c r="H297" s="2433" t="s">
        <v>2354</v>
      </c>
      <c r="I297" s="2433" t="s">
        <v>2310</v>
      </c>
      <c r="J297" s="2433" t="s">
        <v>3127</v>
      </c>
      <c r="K297" s="2434" t="s">
        <v>2310</v>
      </c>
      <c r="L297" s="2435">
        <v>13</v>
      </c>
      <c r="M297" s="2435">
        <v>2</v>
      </c>
      <c r="N297" s="2435">
        <v>15</v>
      </c>
      <c r="O297" s="2433"/>
      <c r="P297" s="2433"/>
      <c r="Q297" s="2433" t="s">
        <v>2310</v>
      </c>
      <c r="R297" s="2433" t="s">
        <v>2310</v>
      </c>
      <c r="S297" s="2433" t="s">
        <v>2310</v>
      </c>
      <c r="T297" s="2433"/>
      <c r="U297" s="2440" t="s">
        <v>3128</v>
      </c>
      <c r="V297" s="2440"/>
      <c r="W297" s="2440"/>
      <c r="X297" s="2436" t="str">
        <f t="shared" si="21"/>
        <v>Distinta</v>
      </c>
    </row>
    <row r="298" spans="1:24" ht="12.75" customHeight="1" x14ac:dyDescent="0.2">
      <c r="A298" s="2181">
        <v>298</v>
      </c>
      <c r="B298" s="2431"/>
      <c r="C298" s="2432" t="s">
        <v>3129</v>
      </c>
      <c r="D298" s="2439">
        <v>25</v>
      </c>
      <c r="E298" s="2433">
        <v>10</v>
      </c>
      <c r="F298" s="2433">
        <v>3</v>
      </c>
      <c r="G298" s="2433">
        <v>3</v>
      </c>
      <c r="H298" s="2433" t="s">
        <v>2410</v>
      </c>
      <c r="I298" s="2433" t="s">
        <v>2409</v>
      </c>
      <c r="J298" s="2433" t="s">
        <v>3130</v>
      </c>
      <c r="K298" s="2434" t="s">
        <v>2310</v>
      </c>
      <c r="L298" s="2435">
        <v>11</v>
      </c>
      <c r="M298" s="2435">
        <v>-2</v>
      </c>
      <c r="N298" s="2435">
        <v>15</v>
      </c>
      <c r="O298" s="2433"/>
      <c r="P298" s="2433"/>
      <c r="Q298" s="2433" t="s">
        <v>2310</v>
      </c>
      <c r="R298" s="2433" t="s">
        <v>2310</v>
      </c>
      <c r="S298" s="2433" t="s">
        <v>2310</v>
      </c>
      <c r="T298" s="2433"/>
      <c r="U298" s="2440" t="s">
        <v>2310</v>
      </c>
      <c r="V298" s="2440"/>
      <c r="W298" s="2440"/>
      <c r="X298" s="2436" t="str">
        <f t="shared" si="21"/>
        <v>Distinta</v>
      </c>
    </row>
    <row r="299" spans="1:24" ht="12.75" customHeight="1" x14ac:dyDescent="0.2">
      <c r="A299" s="2181">
        <v>299</v>
      </c>
      <c r="B299" s="2431"/>
      <c r="C299" s="2432" t="s">
        <v>9603</v>
      </c>
      <c r="D299" s="2439">
        <v>40</v>
      </c>
      <c r="E299" s="2433">
        <v>5</v>
      </c>
      <c r="F299" s="2433">
        <v>6</v>
      </c>
      <c r="G299" s="2433">
        <v>6</v>
      </c>
      <c r="H299" s="2433" t="s">
        <v>2354</v>
      </c>
      <c r="I299" s="2433" t="s">
        <v>2310</v>
      </c>
      <c r="J299" s="2433" t="s">
        <v>3152</v>
      </c>
      <c r="K299" s="2433" t="s">
        <v>2310</v>
      </c>
      <c r="L299" s="2435">
        <v>13</v>
      </c>
      <c r="M299" s="2435">
        <v>3</v>
      </c>
      <c r="N299" s="2435">
        <v>15</v>
      </c>
      <c r="O299" s="2433"/>
      <c r="P299" s="2433"/>
      <c r="Q299" s="2433" t="s">
        <v>2310</v>
      </c>
      <c r="R299" s="2433" t="s">
        <v>2310</v>
      </c>
      <c r="S299" s="2433" t="s">
        <v>2310</v>
      </c>
      <c r="T299" s="2433"/>
      <c r="U299" s="2440" t="s">
        <v>2310</v>
      </c>
      <c r="V299" s="2440"/>
      <c r="W299" s="2440"/>
      <c r="X299" s="2436" t="str">
        <f t="shared" si="21"/>
        <v>Distinta</v>
      </c>
    </row>
    <row r="300" spans="1:24" ht="12.75" customHeight="1" x14ac:dyDescent="0.2">
      <c r="A300" s="2181">
        <v>300</v>
      </c>
      <c r="B300" s="2431"/>
      <c r="C300" s="2432" t="s">
        <v>3131</v>
      </c>
      <c r="D300" s="2439">
        <v>50</v>
      </c>
      <c r="E300" s="2433">
        <v>-5</v>
      </c>
      <c r="F300" s="2433">
        <v>5</v>
      </c>
      <c r="G300" s="2433">
        <v>5</v>
      </c>
      <c r="H300" s="2433" t="s">
        <v>2409</v>
      </c>
      <c r="I300" s="2433" t="s">
        <v>2310</v>
      </c>
      <c r="J300" s="2433" t="s">
        <v>3132</v>
      </c>
      <c r="K300" s="2434" t="s">
        <v>2310</v>
      </c>
      <c r="L300" s="2435">
        <v>13</v>
      </c>
      <c r="M300" s="2435">
        <v>4</v>
      </c>
      <c r="N300" s="2435">
        <v>20</v>
      </c>
      <c r="O300" s="2433"/>
      <c r="P300" s="2433"/>
      <c r="Q300" s="2433" t="s">
        <v>2310</v>
      </c>
      <c r="R300" s="2433" t="s">
        <v>2310</v>
      </c>
      <c r="S300" s="2433" t="s">
        <v>2310</v>
      </c>
      <c r="T300" s="2433"/>
      <c r="U300" s="2440" t="s">
        <v>2310</v>
      </c>
      <c r="V300" s="2440"/>
      <c r="W300" s="2440"/>
      <c r="X300" s="2436" t="str">
        <f t="shared" si="21"/>
        <v>Distinta</v>
      </c>
    </row>
    <row r="301" spans="1:24" ht="12.75" customHeight="1" x14ac:dyDescent="0.2">
      <c r="A301" s="2180">
        <v>301</v>
      </c>
      <c r="B301" s="2431"/>
      <c r="C301" s="2432" t="s">
        <v>9606</v>
      </c>
      <c r="D301" s="2439">
        <v>35</v>
      </c>
      <c r="E301" s="2433">
        <v>0</v>
      </c>
      <c r="F301" s="2433">
        <v>4</v>
      </c>
      <c r="G301" s="2433">
        <v>4</v>
      </c>
      <c r="H301" s="2433" t="s">
        <v>2410</v>
      </c>
      <c r="I301" s="2433" t="s">
        <v>2409</v>
      </c>
      <c r="J301" s="2433" t="s">
        <v>3130</v>
      </c>
      <c r="K301" s="2433" t="s">
        <v>2310</v>
      </c>
      <c r="L301" s="2435">
        <v>12</v>
      </c>
      <c r="M301" s="2435">
        <v>0</v>
      </c>
      <c r="N301" s="2435">
        <v>20</v>
      </c>
      <c r="O301" s="2433"/>
      <c r="P301" s="2433"/>
      <c r="Q301" s="2433" t="s">
        <v>2310</v>
      </c>
      <c r="R301" s="2433" t="s">
        <v>2310</v>
      </c>
      <c r="S301" s="2433" t="s">
        <v>2310</v>
      </c>
      <c r="T301" s="2433"/>
      <c r="U301" s="2440" t="s">
        <v>3144</v>
      </c>
      <c r="V301" s="2440"/>
      <c r="W301" s="2440"/>
      <c r="X301" s="2436" t="str">
        <f t="shared" si="21"/>
        <v>Distinta</v>
      </c>
    </row>
    <row r="302" spans="1:24" ht="12.75" customHeight="1" x14ac:dyDescent="0.2">
      <c r="B302" s="2431"/>
      <c r="C302" s="2432" t="s">
        <v>9601</v>
      </c>
      <c r="D302" s="2439">
        <v>65</v>
      </c>
      <c r="E302" s="2433">
        <v>-20</v>
      </c>
      <c r="F302" s="2433" t="s">
        <v>2310</v>
      </c>
      <c r="G302" s="2433">
        <v>7</v>
      </c>
      <c r="H302" s="2433" t="s">
        <v>2409</v>
      </c>
      <c r="I302" s="2433" t="s">
        <v>2354</v>
      </c>
      <c r="J302" s="2433" t="s">
        <v>3117</v>
      </c>
      <c r="K302" s="2433" t="s">
        <v>2310</v>
      </c>
      <c r="L302" s="2435">
        <v>6</v>
      </c>
      <c r="M302" s="2435">
        <v>5</v>
      </c>
      <c r="N302" s="2435">
        <v>25</v>
      </c>
      <c r="O302" s="2433"/>
      <c r="P302" s="2433"/>
      <c r="Q302" s="2433" t="s">
        <v>2310</v>
      </c>
      <c r="R302" s="2433" t="s">
        <v>2310</v>
      </c>
      <c r="S302" s="2433" t="s">
        <v>2310</v>
      </c>
      <c r="T302" s="2433"/>
      <c r="U302" s="2440" t="s">
        <v>2447</v>
      </c>
      <c r="V302" s="2440"/>
      <c r="W302" s="2440"/>
      <c r="X302" s="2436" t="str">
        <f t="shared" si="21"/>
        <v>Distinta</v>
      </c>
    </row>
    <row r="303" spans="1:24" ht="12.75" customHeight="1" x14ac:dyDescent="0.2">
      <c r="B303" s="2431"/>
      <c r="C303" s="2432" t="s">
        <v>3133</v>
      </c>
      <c r="D303" s="2439">
        <v>30</v>
      </c>
      <c r="E303" s="2433">
        <v>20</v>
      </c>
      <c r="F303" s="2433">
        <v>3</v>
      </c>
      <c r="G303" s="2433">
        <v>3</v>
      </c>
      <c r="H303" s="2433" t="s">
        <v>2410</v>
      </c>
      <c r="I303" s="2433" t="s">
        <v>2409</v>
      </c>
      <c r="J303" s="2433" t="s">
        <v>3130</v>
      </c>
      <c r="K303" s="2434" t="s">
        <v>2310</v>
      </c>
      <c r="L303" s="2435">
        <v>10</v>
      </c>
      <c r="M303" s="2435">
        <v>-2</v>
      </c>
      <c r="N303" s="2435">
        <v>15</v>
      </c>
      <c r="O303" s="2433"/>
      <c r="P303" s="2433"/>
      <c r="Q303" s="2435">
        <v>50</v>
      </c>
      <c r="R303" s="2433" t="s">
        <v>2310</v>
      </c>
      <c r="S303" s="2433">
        <v>20</v>
      </c>
      <c r="T303" s="2433"/>
      <c r="U303" s="2440" t="s">
        <v>3134</v>
      </c>
      <c r="V303" s="2440"/>
      <c r="W303" s="2440"/>
      <c r="X303" s="2436" t="str">
        <f t="shared" si="21"/>
        <v>Distinta</v>
      </c>
    </row>
    <row r="304" spans="1:24" ht="12.75" customHeight="1" x14ac:dyDescent="0.2">
      <c r="B304" s="2431"/>
      <c r="C304" s="2432" t="s">
        <v>3135</v>
      </c>
      <c r="D304" s="2439">
        <v>30</v>
      </c>
      <c r="E304" s="2433">
        <v>15</v>
      </c>
      <c r="F304" s="2433">
        <v>3</v>
      </c>
      <c r="G304" s="2433">
        <v>3</v>
      </c>
      <c r="H304" s="2433" t="s">
        <v>2410</v>
      </c>
      <c r="I304" s="2433" t="s">
        <v>2409</v>
      </c>
      <c r="J304" s="2433" t="s">
        <v>3130</v>
      </c>
      <c r="K304" s="2434" t="s">
        <v>2310</v>
      </c>
      <c r="L304" s="2435">
        <v>12</v>
      </c>
      <c r="M304" s="2435">
        <v>0</v>
      </c>
      <c r="N304" s="2435">
        <v>20</v>
      </c>
      <c r="O304" s="2433"/>
      <c r="P304" s="2433"/>
      <c r="Q304" s="2435">
        <v>50</v>
      </c>
      <c r="R304" s="2433" t="s">
        <v>2310</v>
      </c>
      <c r="S304" s="2433">
        <v>15</v>
      </c>
      <c r="T304" s="2433"/>
      <c r="U304" s="2440" t="s">
        <v>3136</v>
      </c>
      <c r="V304" s="2440"/>
      <c r="W304" s="2440"/>
      <c r="X304" s="2436" t="str">
        <f t="shared" si="21"/>
        <v>Distinta</v>
      </c>
    </row>
    <row r="305" spans="2:24" ht="12.75" customHeight="1" x14ac:dyDescent="0.2">
      <c r="B305" s="2431"/>
      <c r="C305" s="2432" t="s">
        <v>3137</v>
      </c>
      <c r="D305" s="2433">
        <v>20</v>
      </c>
      <c r="E305" s="2433">
        <v>20</v>
      </c>
      <c r="F305" s="2433">
        <v>3</v>
      </c>
      <c r="G305" s="2433">
        <v>3</v>
      </c>
      <c r="H305" s="2433" t="s">
        <v>2410</v>
      </c>
      <c r="I305" s="2433" t="s">
        <v>2310</v>
      </c>
      <c r="J305" s="2433" t="s">
        <v>3121</v>
      </c>
      <c r="K305" s="2434" t="s">
        <v>2310</v>
      </c>
      <c r="L305" s="2435">
        <v>3</v>
      </c>
      <c r="M305" s="2435">
        <v>-4</v>
      </c>
      <c r="N305" s="2435">
        <v>15</v>
      </c>
      <c r="O305" s="2433"/>
      <c r="P305" s="2433"/>
      <c r="Q305" s="2435">
        <v>40</v>
      </c>
      <c r="R305" s="2433" t="s">
        <v>2310</v>
      </c>
      <c r="S305" s="2433">
        <v>20</v>
      </c>
      <c r="T305" s="2433"/>
      <c r="U305" s="2440" t="s">
        <v>3138</v>
      </c>
      <c r="V305" s="2440"/>
      <c r="W305" s="2440"/>
      <c r="X305" s="2436" t="str">
        <f t="shared" si="21"/>
        <v>Distinta</v>
      </c>
    </row>
    <row r="306" spans="2:24" ht="12.75" customHeight="1" x14ac:dyDescent="0.2">
      <c r="B306" s="2431"/>
      <c r="C306" s="2432" t="s">
        <v>9610</v>
      </c>
      <c r="D306" s="2439">
        <v>35</v>
      </c>
      <c r="E306" s="2433">
        <v>15</v>
      </c>
      <c r="F306" s="2433">
        <v>5</v>
      </c>
      <c r="G306" s="2433">
        <v>5</v>
      </c>
      <c r="H306" s="2433" t="s">
        <v>2410</v>
      </c>
      <c r="I306" s="2433" t="s">
        <v>2310</v>
      </c>
      <c r="J306" s="2433" t="s">
        <v>3130</v>
      </c>
      <c r="K306" s="2433" t="s">
        <v>2310</v>
      </c>
      <c r="L306" s="2435">
        <v>10</v>
      </c>
      <c r="M306" s="2435">
        <v>-2</v>
      </c>
      <c r="N306" s="2435">
        <v>15</v>
      </c>
      <c r="O306" s="2433"/>
      <c r="P306" s="2433"/>
      <c r="Q306" s="2433" t="s">
        <v>2310</v>
      </c>
      <c r="R306" s="2433" t="s">
        <v>2310</v>
      </c>
      <c r="S306" s="2433" t="s">
        <v>2310</v>
      </c>
      <c r="T306" s="2433"/>
      <c r="U306" s="2440" t="s">
        <v>3144</v>
      </c>
      <c r="V306" s="2440"/>
      <c r="W306" s="2440"/>
      <c r="X306" s="2436" t="str">
        <f t="shared" si="21"/>
        <v>Distinta</v>
      </c>
    </row>
    <row r="307" spans="2:24" ht="12.75" customHeight="1" x14ac:dyDescent="0.2">
      <c r="B307" s="2431"/>
      <c r="C307" s="2432" t="s">
        <v>9611</v>
      </c>
      <c r="D307" s="2439">
        <v>45</v>
      </c>
      <c r="E307" s="2433">
        <v>0</v>
      </c>
      <c r="F307" s="2433">
        <v>4</v>
      </c>
      <c r="G307" s="2433">
        <v>4</v>
      </c>
      <c r="H307" s="2433" t="s">
        <v>2409</v>
      </c>
      <c r="I307" s="2433" t="s">
        <v>2410</v>
      </c>
      <c r="J307" s="2433" t="s">
        <v>3130</v>
      </c>
      <c r="K307" s="2433" t="s">
        <v>2310</v>
      </c>
      <c r="L307" s="2435">
        <v>14</v>
      </c>
      <c r="M307" s="2435">
        <v>4</v>
      </c>
      <c r="N307" s="2435">
        <v>20</v>
      </c>
      <c r="O307" s="2433"/>
      <c r="P307" s="2433"/>
      <c r="Q307" s="2433" t="s">
        <v>2310</v>
      </c>
      <c r="R307" s="2433" t="s">
        <v>2310</v>
      </c>
      <c r="S307" s="2433" t="s">
        <v>2310</v>
      </c>
      <c r="T307" s="2433"/>
      <c r="U307" s="2440" t="s">
        <v>2310</v>
      </c>
      <c r="V307" s="2440"/>
      <c r="W307" s="2440"/>
      <c r="X307" s="2436" t="str">
        <f t="shared" si="21"/>
        <v>Distinta</v>
      </c>
    </row>
    <row r="308" spans="2:24" ht="12.75" customHeight="1" x14ac:dyDescent="0.2">
      <c r="B308" s="2431"/>
      <c r="C308" s="2432" t="s">
        <v>3139</v>
      </c>
      <c r="D308" s="2439">
        <v>90</v>
      </c>
      <c r="E308" s="2433">
        <v>-60</v>
      </c>
      <c r="F308" s="2433">
        <v>10</v>
      </c>
      <c r="G308" s="2433">
        <v>8</v>
      </c>
      <c r="H308" s="2433" t="s">
        <v>2409</v>
      </c>
      <c r="I308" s="2433" t="s">
        <v>2354</v>
      </c>
      <c r="J308" s="2433" t="s">
        <v>3117</v>
      </c>
      <c r="K308" s="2434" t="s">
        <v>2310</v>
      </c>
      <c r="L308" s="2435">
        <v>18</v>
      </c>
      <c r="M308" s="2435">
        <v>6</v>
      </c>
      <c r="N308" s="2435">
        <v>30</v>
      </c>
      <c r="O308" s="2433"/>
      <c r="P308" s="2433"/>
      <c r="Q308" s="2433" t="s">
        <v>2310</v>
      </c>
      <c r="R308" s="2433" t="s">
        <v>2310</v>
      </c>
      <c r="S308" s="2433" t="s">
        <v>2310</v>
      </c>
      <c r="T308" s="2433"/>
      <c r="U308" s="2440" t="s">
        <v>3140</v>
      </c>
      <c r="V308" s="2440"/>
      <c r="W308" s="2440"/>
      <c r="X308" s="2436" t="str">
        <f t="shared" si="21"/>
        <v>Distinta</v>
      </c>
    </row>
    <row r="309" spans="2:24" ht="12.75" customHeight="1" x14ac:dyDescent="0.2">
      <c r="B309" s="2431"/>
      <c r="C309" s="2432" t="s">
        <v>3141</v>
      </c>
      <c r="D309" s="2439">
        <v>55</v>
      </c>
      <c r="E309" s="2433">
        <v>-5</v>
      </c>
      <c r="F309" s="2433">
        <v>5</v>
      </c>
      <c r="G309" s="2433">
        <v>5</v>
      </c>
      <c r="H309" s="2433" t="s">
        <v>2409</v>
      </c>
      <c r="I309" s="2433" t="s">
        <v>2310</v>
      </c>
      <c r="J309" s="2433" t="s">
        <v>3132</v>
      </c>
      <c r="K309" s="2434" t="s">
        <v>2310</v>
      </c>
      <c r="L309" s="2435">
        <v>15</v>
      </c>
      <c r="M309" s="2435">
        <v>3</v>
      </c>
      <c r="N309" s="2435">
        <v>25</v>
      </c>
      <c r="O309" s="2433"/>
      <c r="P309" s="2433"/>
      <c r="Q309" s="2433" t="s">
        <v>2310</v>
      </c>
      <c r="R309" s="2433" t="s">
        <v>2310</v>
      </c>
      <c r="S309" s="2433" t="s">
        <v>2310</v>
      </c>
      <c r="T309" s="2433"/>
      <c r="U309" s="2440" t="s">
        <v>2310</v>
      </c>
      <c r="V309" s="2440"/>
      <c r="W309" s="2440"/>
      <c r="X309" s="2436" t="str">
        <f t="shared" si="21"/>
        <v>Distinta</v>
      </c>
    </row>
    <row r="310" spans="2:24" ht="12.75" customHeight="1" x14ac:dyDescent="0.2">
      <c r="B310" s="2431"/>
      <c r="C310" s="2432" t="s">
        <v>3142</v>
      </c>
      <c r="D310" s="2439">
        <v>70</v>
      </c>
      <c r="E310" s="2433">
        <v>-30</v>
      </c>
      <c r="F310" s="2433">
        <v>7</v>
      </c>
      <c r="G310" s="2433">
        <v>7</v>
      </c>
      <c r="H310" s="2433" t="s">
        <v>2409</v>
      </c>
      <c r="I310" s="2433" t="s">
        <v>2354</v>
      </c>
      <c r="J310" s="2433" t="s">
        <v>3132</v>
      </c>
      <c r="K310" s="2433" t="s">
        <v>3117</v>
      </c>
      <c r="L310" s="2435">
        <v>15</v>
      </c>
      <c r="M310" s="2435">
        <v>5</v>
      </c>
      <c r="N310" s="2435">
        <v>25</v>
      </c>
      <c r="O310" s="2433"/>
      <c r="P310" s="2433"/>
      <c r="Q310" s="2433" t="s">
        <v>2310</v>
      </c>
      <c r="R310" s="2433" t="s">
        <v>2310</v>
      </c>
      <c r="S310" s="2433" t="s">
        <v>2310</v>
      </c>
      <c r="T310" s="2433"/>
      <c r="U310" s="2440" t="s">
        <v>3140</v>
      </c>
      <c r="V310" s="2440"/>
      <c r="W310" s="2440"/>
      <c r="X310" s="2436" t="str">
        <f t="shared" si="21"/>
        <v>Distinta</v>
      </c>
    </row>
    <row r="311" spans="2:24" ht="12.75" customHeight="1" x14ac:dyDescent="0.2">
      <c r="B311" s="2431"/>
      <c r="C311" s="2432" t="s">
        <v>3143</v>
      </c>
      <c r="D311" s="2439">
        <v>40</v>
      </c>
      <c r="E311" s="2433">
        <v>15</v>
      </c>
      <c r="F311" s="2433">
        <v>4</v>
      </c>
      <c r="G311" s="2433">
        <v>4</v>
      </c>
      <c r="H311" s="2433" t="s">
        <v>2410</v>
      </c>
      <c r="I311" s="2433" t="s">
        <v>2409</v>
      </c>
      <c r="J311" s="2433" t="s">
        <v>3130</v>
      </c>
      <c r="K311" s="2434" t="s">
        <v>2310</v>
      </c>
      <c r="L311" s="2435">
        <v>12</v>
      </c>
      <c r="M311" s="2435">
        <v>1</v>
      </c>
      <c r="N311" s="2435">
        <v>20</v>
      </c>
      <c r="O311" s="2433"/>
      <c r="P311" s="2433"/>
      <c r="Q311" s="2433" t="s">
        <v>2310</v>
      </c>
      <c r="R311" s="2433" t="s">
        <v>2310</v>
      </c>
      <c r="S311" s="2433" t="s">
        <v>2310</v>
      </c>
      <c r="T311" s="2433"/>
      <c r="U311" s="2440" t="s">
        <v>3144</v>
      </c>
      <c r="V311" s="2440"/>
      <c r="W311" s="2440"/>
      <c r="X311" s="2436" t="str">
        <f t="shared" si="21"/>
        <v>Distinta</v>
      </c>
    </row>
    <row r="312" spans="2:24" ht="12.75" customHeight="1" x14ac:dyDescent="0.2">
      <c r="B312" s="2431"/>
      <c r="C312" s="2432" t="s">
        <v>3145</v>
      </c>
      <c r="D312" s="2439">
        <v>50</v>
      </c>
      <c r="E312" s="2433">
        <v>0</v>
      </c>
      <c r="F312" s="2433">
        <v>6</v>
      </c>
      <c r="G312" s="2433">
        <v>6</v>
      </c>
      <c r="H312" s="2433" t="s">
        <v>2409</v>
      </c>
      <c r="I312" s="2433" t="s">
        <v>2310</v>
      </c>
      <c r="J312" s="2433" t="s">
        <v>3132</v>
      </c>
      <c r="K312" s="2434" t="s">
        <v>2310</v>
      </c>
      <c r="L312" s="2435">
        <v>13</v>
      </c>
      <c r="M312" s="2435">
        <v>3</v>
      </c>
      <c r="N312" s="2435">
        <v>25</v>
      </c>
      <c r="O312" s="2433"/>
      <c r="P312" s="2433"/>
      <c r="Q312" s="2433" t="s">
        <v>2310</v>
      </c>
      <c r="R312" s="2433" t="s">
        <v>2310</v>
      </c>
      <c r="S312" s="2433" t="s">
        <v>2310</v>
      </c>
      <c r="T312" s="2433"/>
      <c r="U312" s="2440" t="s">
        <v>2310</v>
      </c>
      <c r="V312" s="2440"/>
      <c r="W312" s="2440"/>
      <c r="X312" s="2436" t="str">
        <f t="shared" si="21"/>
        <v>Distinta</v>
      </c>
    </row>
    <row r="313" spans="2:24" ht="12.75" customHeight="1" x14ac:dyDescent="0.2">
      <c r="B313" s="2431"/>
      <c r="C313" s="2432" t="s">
        <v>3146</v>
      </c>
      <c r="D313" s="2439">
        <v>25</v>
      </c>
      <c r="E313" s="2433">
        <v>20</v>
      </c>
      <c r="F313" s="2433">
        <v>3</v>
      </c>
      <c r="G313" s="2433">
        <v>3</v>
      </c>
      <c r="H313" s="2433" t="s">
        <v>2410</v>
      </c>
      <c r="I313" s="2433" t="s">
        <v>2310</v>
      </c>
      <c r="J313" s="2433" t="s">
        <v>3130</v>
      </c>
      <c r="K313" s="2434" t="s">
        <v>2310</v>
      </c>
      <c r="L313" s="2435">
        <v>8</v>
      </c>
      <c r="M313" s="2435">
        <v>-3</v>
      </c>
      <c r="N313" s="2435">
        <v>15</v>
      </c>
      <c r="O313" s="2433"/>
      <c r="P313" s="2433"/>
      <c r="Q313" s="2435">
        <v>30</v>
      </c>
      <c r="R313" s="2433" t="s">
        <v>2310</v>
      </c>
      <c r="S313" s="2433">
        <v>30</v>
      </c>
      <c r="T313" s="2433"/>
      <c r="U313" s="2440" t="s">
        <v>3147</v>
      </c>
      <c r="V313" s="2440"/>
      <c r="W313" s="2440"/>
      <c r="X313" s="2436" t="str">
        <f t="shared" ref="X313:X376" si="22">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31"/>
      <c r="C314" s="2432" t="s">
        <v>3148</v>
      </c>
      <c r="D314" s="2439">
        <v>40</v>
      </c>
      <c r="E314" s="2433">
        <v>15</v>
      </c>
      <c r="F314" s="2433">
        <v>4</v>
      </c>
      <c r="G314" s="2433">
        <v>4</v>
      </c>
      <c r="H314" s="2433" t="s">
        <v>2410</v>
      </c>
      <c r="I314" s="2433" t="s">
        <v>2409</v>
      </c>
      <c r="J314" s="2433" t="s">
        <v>3132</v>
      </c>
      <c r="K314" s="2434" t="s">
        <v>2310</v>
      </c>
      <c r="L314" s="2435">
        <v>11</v>
      </c>
      <c r="M314" s="2435">
        <v>2</v>
      </c>
      <c r="N314" s="2435">
        <v>20</v>
      </c>
      <c r="O314" s="2433"/>
      <c r="P314" s="2433"/>
      <c r="Q314" s="2433" t="s">
        <v>2310</v>
      </c>
      <c r="R314" s="2433" t="s">
        <v>2310</v>
      </c>
      <c r="S314" s="2433" t="s">
        <v>2310</v>
      </c>
      <c r="T314" s="2433"/>
      <c r="U314" s="2440" t="s">
        <v>3144</v>
      </c>
      <c r="V314" s="2440"/>
      <c r="W314" s="2440"/>
      <c r="X314" s="2436" t="str">
        <f t="shared" si="22"/>
        <v>Distinta</v>
      </c>
    </row>
    <row r="315" spans="2:24" ht="12.75" customHeight="1" x14ac:dyDescent="0.2">
      <c r="B315" s="2431"/>
      <c r="C315" s="2432" t="s">
        <v>9618</v>
      </c>
      <c r="D315" s="2439">
        <v>60</v>
      </c>
      <c r="E315" s="2433">
        <v>-10</v>
      </c>
      <c r="F315" s="2433">
        <v>7</v>
      </c>
      <c r="G315" s="2433">
        <v>7</v>
      </c>
      <c r="H315" s="2433" t="s">
        <v>2409</v>
      </c>
      <c r="I315" s="2433" t="s">
        <v>2310</v>
      </c>
      <c r="J315" s="2433" t="s">
        <v>3132</v>
      </c>
      <c r="K315" s="2433" t="s">
        <v>3156</v>
      </c>
      <c r="L315" s="2435">
        <v>12</v>
      </c>
      <c r="M315" s="2435">
        <v>5</v>
      </c>
      <c r="N315" s="2435">
        <v>20</v>
      </c>
      <c r="O315" s="2433"/>
      <c r="P315" s="2433"/>
      <c r="Q315" s="2433" t="s">
        <v>2310</v>
      </c>
      <c r="R315" s="2433" t="s">
        <v>2310</v>
      </c>
      <c r="S315" s="2433" t="s">
        <v>2310</v>
      </c>
      <c r="T315" s="2433"/>
      <c r="U315" s="2440" t="s">
        <v>2310</v>
      </c>
      <c r="V315" s="2440"/>
      <c r="W315" s="2440"/>
      <c r="X315" s="2436" t="str">
        <f t="shared" si="22"/>
        <v>Distinta</v>
      </c>
    </row>
    <row r="316" spans="2:24" ht="12.75" customHeight="1" x14ac:dyDescent="0.2">
      <c r="B316" s="2431"/>
      <c r="C316" s="2432" t="s">
        <v>3149</v>
      </c>
      <c r="D316" s="2439">
        <v>35</v>
      </c>
      <c r="E316" s="2433">
        <v>15</v>
      </c>
      <c r="F316" s="2433">
        <v>3</v>
      </c>
      <c r="G316" s="2433">
        <v>3</v>
      </c>
      <c r="H316" s="2433" t="s">
        <v>2410</v>
      </c>
      <c r="I316" s="2433" t="s">
        <v>2310</v>
      </c>
      <c r="J316" s="2433" t="s">
        <v>3132</v>
      </c>
      <c r="K316" s="2434" t="s">
        <v>3130</v>
      </c>
      <c r="L316" s="2435">
        <v>9</v>
      </c>
      <c r="M316" s="2435">
        <v>-2</v>
      </c>
      <c r="N316" s="2435">
        <v>20</v>
      </c>
      <c r="O316" s="2433"/>
      <c r="P316" s="2433"/>
      <c r="Q316" s="2433" t="s">
        <v>2310</v>
      </c>
      <c r="R316" s="2433" t="s">
        <v>2310</v>
      </c>
      <c r="S316" s="2433" t="s">
        <v>2310</v>
      </c>
      <c r="T316" s="2433"/>
      <c r="U316" s="2440" t="s">
        <v>3144</v>
      </c>
      <c r="V316" s="2440"/>
      <c r="W316" s="2440"/>
      <c r="X316" s="2436" t="str">
        <f t="shared" si="22"/>
        <v>Distinta</v>
      </c>
    </row>
    <row r="317" spans="2:24" ht="12.75" customHeight="1" x14ac:dyDescent="0.2">
      <c r="B317" s="2431"/>
      <c r="C317" s="2432" t="s">
        <v>3150</v>
      </c>
      <c r="D317" s="2439">
        <v>30</v>
      </c>
      <c r="E317" s="2433">
        <v>10</v>
      </c>
      <c r="F317" s="2433">
        <v>3</v>
      </c>
      <c r="G317" s="2433">
        <v>3</v>
      </c>
      <c r="H317" s="2433" t="s">
        <v>2410</v>
      </c>
      <c r="I317" s="2433" t="s">
        <v>2310</v>
      </c>
      <c r="J317" s="2433" t="s">
        <v>3130</v>
      </c>
      <c r="K317" s="2434" t="s">
        <v>2310</v>
      </c>
      <c r="L317" s="2435">
        <v>11</v>
      </c>
      <c r="M317" s="2435">
        <v>-2</v>
      </c>
      <c r="N317" s="2435">
        <v>15</v>
      </c>
      <c r="O317" s="2433"/>
      <c r="P317" s="2433"/>
      <c r="Q317" s="2433" t="s">
        <v>2310</v>
      </c>
      <c r="R317" s="2433" t="s">
        <v>2310</v>
      </c>
      <c r="S317" s="2433" t="s">
        <v>2310</v>
      </c>
      <c r="T317" s="2433"/>
      <c r="U317" s="2440" t="s">
        <v>2310</v>
      </c>
      <c r="V317" s="2440"/>
      <c r="W317" s="2440"/>
      <c r="X317" s="2436" t="str">
        <f t="shared" si="22"/>
        <v>Distinta</v>
      </c>
    </row>
    <row r="318" spans="2:24" ht="12.75" customHeight="1" x14ac:dyDescent="0.2">
      <c r="B318" s="2431"/>
      <c r="C318" s="2432" t="s">
        <v>3151</v>
      </c>
      <c r="D318" s="2439">
        <v>30</v>
      </c>
      <c r="E318" s="2433">
        <v>0</v>
      </c>
      <c r="F318" s="2433">
        <v>5</v>
      </c>
      <c r="G318" s="2433">
        <v>5</v>
      </c>
      <c r="H318" s="2433" t="s">
        <v>2354</v>
      </c>
      <c r="I318" s="2433" t="s">
        <v>2310</v>
      </c>
      <c r="J318" s="2433" t="s">
        <v>3152</v>
      </c>
      <c r="K318" s="2434" t="s">
        <v>2310</v>
      </c>
      <c r="L318" s="2435">
        <v>11</v>
      </c>
      <c r="M318" s="2435">
        <v>-2</v>
      </c>
      <c r="N318" s="2435">
        <v>15</v>
      </c>
      <c r="O318" s="2433"/>
      <c r="P318" s="2433"/>
      <c r="Q318" s="2433" t="s">
        <v>2310</v>
      </c>
      <c r="R318" s="2433" t="s">
        <v>2310</v>
      </c>
      <c r="S318" s="2433" t="s">
        <v>2310</v>
      </c>
      <c r="T318" s="2433"/>
      <c r="U318" s="2440" t="s">
        <v>2310</v>
      </c>
      <c r="V318" s="2440"/>
      <c r="W318" s="2440"/>
      <c r="X318" s="2436" t="str">
        <f t="shared" si="22"/>
        <v>Distinta</v>
      </c>
    </row>
    <row r="319" spans="2:24" ht="12.75" customHeight="1" x14ac:dyDescent="0.2">
      <c r="B319" s="2431"/>
      <c r="C319" s="2432" t="s">
        <v>9604</v>
      </c>
      <c r="D319" s="2439">
        <v>40</v>
      </c>
      <c r="E319" s="2433">
        <v>0</v>
      </c>
      <c r="F319" s="2433">
        <v>6</v>
      </c>
      <c r="G319" s="2433">
        <v>7</v>
      </c>
      <c r="H319" s="2433" t="s">
        <v>2410</v>
      </c>
      <c r="I319" s="2433" t="s">
        <v>2409</v>
      </c>
      <c r="J319" s="2433" t="s">
        <v>3116</v>
      </c>
      <c r="K319" s="2433" t="s">
        <v>2310</v>
      </c>
      <c r="L319" s="2435">
        <v>12</v>
      </c>
      <c r="M319" s="2435">
        <v>1</v>
      </c>
      <c r="N319" s="2435">
        <v>20</v>
      </c>
      <c r="O319" s="2433"/>
      <c r="P319" s="2433"/>
      <c r="Q319" s="2433" t="s">
        <v>2310</v>
      </c>
      <c r="R319" s="2433" t="s">
        <v>2310</v>
      </c>
      <c r="S319" s="2433" t="s">
        <v>2310</v>
      </c>
      <c r="T319" s="2433"/>
      <c r="U319" s="2440" t="s">
        <v>3140</v>
      </c>
      <c r="V319" s="2440"/>
      <c r="W319" s="2440"/>
      <c r="X319" s="2436" t="str">
        <f t="shared" si="22"/>
        <v>Distinta</v>
      </c>
    </row>
    <row r="320" spans="2:24" ht="12.75" customHeight="1" x14ac:dyDescent="0.2">
      <c r="B320" s="2431"/>
      <c r="C320" s="2432" t="s">
        <v>9605</v>
      </c>
      <c r="D320" s="2439">
        <v>35</v>
      </c>
      <c r="E320" s="2433">
        <v>5</v>
      </c>
      <c r="F320" s="2433">
        <v>4</v>
      </c>
      <c r="G320" s="2433">
        <v>6</v>
      </c>
      <c r="H320" s="2433" t="s">
        <v>2410</v>
      </c>
      <c r="I320" s="2433" t="s">
        <v>2354</v>
      </c>
      <c r="J320" s="2433" t="s">
        <v>3116</v>
      </c>
      <c r="K320" s="2433" t="s">
        <v>2310</v>
      </c>
      <c r="L320" s="2435">
        <v>10</v>
      </c>
      <c r="M320" s="2435">
        <v>2</v>
      </c>
      <c r="N320" s="2435">
        <v>20</v>
      </c>
      <c r="O320" s="2433"/>
      <c r="P320" s="2433"/>
      <c r="Q320" s="2433" t="s">
        <v>2310</v>
      </c>
      <c r="R320" s="2433" t="s">
        <v>2310</v>
      </c>
      <c r="S320" s="2433" t="s">
        <v>2310</v>
      </c>
      <c r="T320" s="2433"/>
      <c r="U320" s="2440" t="s">
        <v>9650</v>
      </c>
      <c r="V320" s="2440"/>
      <c r="W320" s="2440"/>
      <c r="X320" s="2436" t="str">
        <f t="shared" si="22"/>
        <v>Distinta</v>
      </c>
    </row>
    <row r="321" spans="2:24" ht="12.75" customHeight="1" x14ac:dyDescent="0.2">
      <c r="B321" s="2431"/>
      <c r="C321" s="2432" t="s">
        <v>9607</v>
      </c>
      <c r="D321" s="2439">
        <v>65</v>
      </c>
      <c r="E321" s="2433">
        <v>-20</v>
      </c>
      <c r="F321" s="2433">
        <v>6</v>
      </c>
      <c r="G321" s="2433">
        <v>9</v>
      </c>
      <c r="H321" s="2433" t="s">
        <v>2409</v>
      </c>
      <c r="I321" s="2433" t="s">
        <v>2310</v>
      </c>
      <c r="J321" s="2433" t="s">
        <v>3117</v>
      </c>
      <c r="K321" s="2433" t="s">
        <v>2310</v>
      </c>
      <c r="L321" s="2435">
        <v>12</v>
      </c>
      <c r="M321" s="2435">
        <v>3</v>
      </c>
      <c r="N321" s="2435">
        <v>20</v>
      </c>
      <c r="O321" s="2433"/>
      <c r="P321" s="2433"/>
      <c r="Q321" s="2433" t="s">
        <v>2310</v>
      </c>
      <c r="R321" s="2433" t="s">
        <v>2310</v>
      </c>
      <c r="S321" s="2433" t="s">
        <v>2310</v>
      </c>
      <c r="T321" s="2433"/>
      <c r="U321" s="2440" t="s">
        <v>2447</v>
      </c>
      <c r="V321" s="2440"/>
      <c r="W321" s="2440"/>
      <c r="X321" s="2436" t="str">
        <f t="shared" si="22"/>
        <v>Distinta</v>
      </c>
    </row>
    <row r="322" spans="2:24" ht="12.75" customHeight="1" x14ac:dyDescent="0.2">
      <c r="B322" s="2431"/>
      <c r="C322" s="2432" t="s">
        <v>3153</v>
      </c>
      <c r="D322" s="2439">
        <v>70</v>
      </c>
      <c r="E322" s="2433">
        <v>-35</v>
      </c>
      <c r="F322" s="2433">
        <v>10</v>
      </c>
      <c r="G322" s="2433">
        <v>7</v>
      </c>
      <c r="H322" s="2433" t="s">
        <v>2354</v>
      </c>
      <c r="I322" s="2433" t="s">
        <v>2310</v>
      </c>
      <c r="J322" s="2433" t="s">
        <v>3152</v>
      </c>
      <c r="K322" s="2434" t="s">
        <v>2310</v>
      </c>
      <c r="L322" s="2435">
        <v>16</v>
      </c>
      <c r="M322" s="2435">
        <v>6</v>
      </c>
      <c r="N322" s="2435">
        <v>20</v>
      </c>
      <c r="O322" s="2433"/>
      <c r="P322" s="2433"/>
      <c r="Q322" s="2433" t="s">
        <v>2310</v>
      </c>
      <c r="R322" s="2433" t="s">
        <v>2310</v>
      </c>
      <c r="S322" s="2433" t="s">
        <v>2310</v>
      </c>
      <c r="T322" s="2433"/>
      <c r="U322" s="2440" t="s">
        <v>3140</v>
      </c>
      <c r="V322" s="2440"/>
      <c r="W322" s="2440"/>
      <c r="X322" s="2436" t="str">
        <f t="shared" si="22"/>
        <v>Distinta</v>
      </c>
    </row>
    <row r="323" spans="2:24" ht="12.75" customHeight="1" x14ac:dyDescent="0.2">
      <c r="B323" s="2431"/>
      <c r="C323" s="2432" t="s">
        <v>3154</v>
      </c>
      <c r="D323" s="2439">
        <v>35</v>
      </c>
      <c r="E323" s="2433">
        <v>0</v>
      </c>
      <c r="F323" s="2433">
        <v>9</v>
      </c>
      <c r="G323" s="2433">
        <v>5</v>
      </c>
      <c r="H323" s="2433" t="s">
        <v>2409</v>
      </c>
      <c r="I323" s="2433" t="s">
        <v>2354</v>
      </c>
      <c r="J323" s="2433" t="s">
        <v>3116</v>
      </c>
      <c r="K323" s="2433" t="s">
        <v>3117</v>
      </c>
      <c r="L323" s="2435">
        <v>12</v>
      </c>
      <c r="M323" s="2435">
        <v>2</v>
      </c>
      <c r="N323" s="2435">
        <v>25</v>
      </c>
      <c r="O323" s="2433"/>
      <c r="P323" s="2433"/>
      <c r="Q323" s="2433" t="s">
        <v>2310</v>
      </c>
      <c r="R323" s="2433" t="s">
        <v>2310</v>
      </c>
      <c r="S323" s="2433" t="s">
        <v>2310</v>
      </c>
      <c r="T323" s="2433"/>
      <c r="U323" s="2440" t="s">
        <v>3140</v>
      </c>
      <c r="V323" s="2440"/>
      <c r="W323" s="2440"/>
      <c r="X323" s="2436" t="str">
        <f t="shared" si="22"/>
        <v>Distinta</v>
      </c>
    </row>
    <row r="324" spans="2:24" ht="12.75" customHeight="1" x14ac:dyDescent="0.2">
      <c r="B324" s="2431"/>
      <c r="C324" s="2432" t="s">
        <v>9609</v>
      </c>
      <c r="D324" s="2439">
        <v>65</v>
      </c>
      <c r="E324" s="2433">
        <v>-20</v>
      </c>
      <c r="F324" s="2433">
        <v>7</v>
      </c>
      <c r="G324" s="2433">
        <v>11</v>
      </c>
      <c r="H324" s="2433" t="s">
        <v>2409</v>
      </c>
      <c r="I324" s="2433" t="s">
        <v>2410</v>
      </c>
      <c r="J324" s="2433" t="s">
        <v>3116</v>
      </c>
      <c r="K324" s="2433" t="s">
        <v>2310</v>
      </c>
      <c r="L324" s="2435">
        <v>13</v>
      </c>
      <c r="M324" s="2435">
        <v>3</v>
      </c>
      <c r="N324" s="2435">
        <v>20</v>
      </c>
      <c r="O324" s="2433"/>
      <c r="P324" s="2433"/>
      <c r="Q324" s="2433" t="s">
        <v>2310</v>
      </c>
      <c r="R324" s="2433" t="s">
        <v>2310</v>
      </c>
      <c r="S324" s="2433" t="s">
        <v>2310</v>
      </c>
      <c r="T324" s="2433"/>
      <c r="U324" s="2440" t="s">
        <v>2447</v>
      </c>
      <c r="V324" s="2440"/>
      <c r="W324" s="2440"/>
      <c r="X324" s="2436" t="str">
        <f t="shared" si="22"/>
        <v>Distinta</v>
      </c>
    </row>
    <row r="325" spans="2:24" ht="12.75" customHeight="1" x14ac:dyDescent="0.2">
      <c r="B325" s="2431"/>
      <c r="C325" s="2432" t="s">
        <v>3155</v>
      </c>
      <c r="D325" s="2439">
        <v>100</v>
      </c>
      <c r="E325" s="2433">
        <v>-70</v>
      </c>
      <c r="F325" s="2433">
        <v>11</v>
      </c>
      <c r="G325" s="2433">
        <v>9</v>
      </c>
      <c r="H325" s="2433" t="s">
        <v>2409</v>
      </c>
      <c r="I325" s="2433" t="s">
        <v>2354</v>
      </c>
      <c r="J325" s="2433" t="s">
        <v>3156</v>
      </c>
      <c r="K325" s="2433" t="s">
        <v>3117</v>
      </c>
      <c r="L325" s="2435">
        <v>17</v>
      </c>
      <c r="M325" s="2435">
        <v>7</v>
      </c>
      <c r="N325" s="2435">
        <v>30</v>
      </c>
      <c r="O325" s="2433"/>
      <c r="P325" s="2433"/>
      <c r="Q325" s="2433" t="s">
        <v>2310</v>
      </c>
      <c r="R325" s="2433" t="s">
        <v>2310</v>
      </c>
      <c r="S325" s="2433" t="s">
        <v>2310</v>
      </c>
      <c r="T325" s="2433"/>
      <c r="U325" s="2440" t="s">
        <v>3140</v>
      </c>
      <c r="V325" s="2440"/>
      <c r="W325" s="2440"/>
      <c r="X325" s="2436" t="str">
        <f t="shared" si="22"/>
        <v>Distinta</v>
      </c>
    </row>
    <row r="326" spans="2:24" ht="12.75" customHeight="1" x14ac:dyDescent="0.2">
      <c r="B326" s="2431"/>
      <c r="C326" s="2432" t="s">
        <v>3157</v>
      </c>
      <c r="D326" s="2439">
        <v>70</v>
      </c>
      <c r="E326" s="2433">
        <v>-30</v>
      </c>
      <c r="F326" s="2433">
        <v>7</v>
      </c>
      <c r="G326" s="2433">
        <v>7</v>
      </c>
      <c r="H326" s="2433" t="s">
        <v>2409</v>
      </c>
      <c r="I326" s="2433" t="s">
        <v>2354</v>
      </c>
      <c r="J326" s="2433" t="s">
        <v>3156</v>
      </c>
      <c r="K326" s="2434" t="s">
        <v>2310</v>
      </c>
      <c r="L326" s="2435">
        <v>15</v>
      </c>
      <c r="M326" s="2435">
        <v>5</v>
      </c>
      <c r="N326" s="2435">
        <v>25</v>
      </c>
      <c r="O326" s="2433"/>
      <c r="P326" s="2433"/>
      <c r="Q326" s="2435">
        <v>100</v>
      </c>
      <c r="R326" s="2433" t="s">
        <v>2310</v>
      </c>
      <c r="S326" s="2435">
        <v>5</v>
      </c>
      <c r="T326" s="2433"/>
      <c r="U326" s="2440" t="s">
        <v>3158</v>
      </c>
      <c r="V326" s="2440"/>
      <c r="W326" s="2440"/>
      <c r="X326" s="2436" t="str">
        <f t="shared" si="22"/>
        <v>Distinta</v>
      </c>
    </row>
    <row r="327" spans="2:24" ht="12.75" customHeight="1" x14ac:dyDescent="0.2">
      <c r="B327" s="2431"/>
      <c r="C327" s="2432" t="s">
        <v>3159</v>
      </c>
      <c r="D327" s="2439">
        <v>45</v>
      </c>
      <c r="E327" s="2433">
        <v>0</v>
      </c>
      <c r="F327" s="2433">
        <v>5</v>
      </c>
      <c r="G327" s="2433">
        <v>5</v>
      </c>
      <c r="H327" s="2433" t="s">
        <v>2409</v>
      </c>
      <c r="I327" s="2433" t="s">
        <v>2310</v>
      </c>
      <c r="J327" s="2433" t="s">
        <v>3156</v>
      </c>
      <c r="K327" s="2434" t="s">
        <v>2310</v>
      </c>
      <c r="L327" s="2435">
        <v>13</v>
      </c>
      <c r="M327" s="2435">
        <v>4</v>
      </c>
      <c r="N327" s="2435">
        <v>15</v>
      </c>
      <c r="O327" s="2433"/>
      <c r="P327" s="2433"/>
      <c r="Q327" s="2435">
        <v>80</v>
      </c>
      <c r="R327" s="2433" t="s">
        <v>2310</v>
      </c>
      <c r="S327" s="2435">
        <v>10</v>
      </c>
      <c r="T327" s="2433"/>
      <c r="U327" s="2440" t="s">
        <v>3160</v>
      </c>
      <c r="V327" s="2440"/>
      <c r="W327" s="2440"/>
      <c r="X327" s="2436" t="str">
        <f t="shared" si="22"/>
        <v>Distinta</v>
      </c>
    </row>
    <row r="328" spans="2:24" ht="12.75" customHeight="1" x14ac:dyDescent="0.2">
      <c r="B328" s="2431"/>
      <c r="C328" s="2432" t="s">
        <v>9623</v>
      </c>
      <c r="D328" s="2439">
        <v>30</v>
      </c>
      <c r="E328" s="2433">
        <v>15</v>
      </c>
      <c r="F328" s="2433">
        <v>5</v>
      </c>
      <c r="G328" s="2433">
        <v>5</v>
      </c>
      <c r="H328" s="2433" t="s">
        <v>2409</v>
      </c>
      <c r="I328" s="2433" t="s">
        <v>2354</v>
      </c>
      <c r="J328" s="2433" t="s">
        <v>3130</v>
      </c>
      <c r="K328" s="2433" t="s">
        <v>2310</v>
      </c>
      <c r="L328" s="2435">
        <v>10</v>
      </c>
      <c r="M328" s="2435">
        <v>-2</v>
      </c>
      <c r="N328" s="2435">
        <v>20</v>
      </c>
      <c r="O328" s="2433"/>
      <c r="P328" s="2433"/>
      <c r="Q328" s="2433" t="s">
        <v>2310</v>
      </c>
      <c r="R328" s="2433" t="s">
        <v>2310</v>
      </c>
      <c r="S328" s="2433" t="s">
        <v>2310</v>
      </c>
      <c r="T328" s="2433"/>
      <c r="U328" s="2440" t="s">
        <v>9651</v>
      </c>
      <c r="V328" s="2440"/>
      <c r="W328" s="2440"/>
      <c r="X328" s="2436" t="str">
        <f t="shared" si="22"/>
        <v>Distinta</v>
      </c>
    </row>
    <row r="329" spans="2:24" ht="12.75" customHeight="1" x14ac:dyDescent="0.2">
      <c r="B329" s="2431"/>
      <c r="C329" s="2432" t="s">
        <v>3161</v>
      </c>
      <c r="D329" s="2439">
        <v>35</v>
      </c>
      <c r="E329" s="2433">
        <v>5</v>
      </c>
      <c r="F329" s="2433">
        <v>4</v>
      </c>
      <c r="G329" s="2433">
        <v>4</v>
      </c>
      <c r="H329" s="2433" t="s">
        <v>2410</v>
      </c>
      <c r="I329" s="2433" t="s">
        <v>2310</v>
      </c>
      <c r="J329" s="2433" t="s">
        <v>3116</v>
      </c>
      <c r="K329" s="2434" t="s">
        <v>2310</v>
      </c>
      <c r="L329" s="2435">
        <v>10</v>
      </c>
      <c r="M329" s="2435">
        <v>-2</v>
      </c>
      <c r="N329" s="2435">
        <v>20</v>
      </c>
      <c r="O329" s="2433"/>
      <c r="P329" s="2433"/>
      <c r="Q329" s="2435">
        <v>100</v>
      </c>
      <c r="R329" s="2433" t="s">
        <v>2310</v>
      </c>
      <c r="S329" s="2435">
        <v>30</v>
      </c>
      <c r="T329" s="2433"/>
      <c r="U329" s="2440" t="s">
        <v>3162</v>
      </c>
      <c r="V329" s="2440"/>
      <c r="W329" s="2440"/>
      <c r="X329" s="2436" t="str">
        <f t="shared" si="22"/>
        <v>Distinta</v>
      </c>
    </row>
    <row r="330" spans="2:24" ht="12.75" customHeight="1" x14ac:dyDescent="0.2">
      <c r="B330" s="2431"/>
      <c r="C330" s="2432" t="s">
        <v>9626</v>
      </c>
      <c r="D330" s="2439">
        <v>45</v>
      </c>
      <c r="E330" s="2433">
        <v>10</v>
      </c>
      <c r="F330" s="2433">
        <v>5</v>
      </c>
      <c r="G330" s="2433">
        <v>5</v>
      </c>
      <c r="H330" s="2433" t="s">
        <v>2409</v>
      </c>
      <c r="I330" s="2433" t="s">
        <v>2310</v>
      </c>
      <c r="J330" s="2433" t="s">
        <v>3130</v>
      </c>
      <c r="K330" s="2433" t="s">
        <v>2310</v>
      </c>
      <c r="L330" s="2435">
        <v>13</v>
      </c>
      <c r="M330" s="2435">
        <v>2</v>
      </c>
      <c r="N330" s="2435">
        <v>20</v>
      </c>
      <c r="O330" s="2433"/>
      <c r="P330" s="2433"/>
      <c r="Q330" s="2433" t="s">
        <v>2310</v>
      </c>
      <c r="R330" s="2433" t="s">
        <v>2310</v>
      </c>
      <c r="S330" s="2433" t="s">
        <v>2310</v>
      </c>
      <c r="T330" s="2433"/>
      <c r="U330" s="2440" t="s">
        <v>2310</v>
      </c>
      <c r="V330" s="2440"/>
      <c r="W330" s="2440"/>
      <c r="X330" s="2436" t="str">
        <f t="shared" si="22"/>
        <v>Distinta</v>
      </c>
    </row>
    <row r="331" spans="2:24" ht="12.75" customHeight="1" x14ac:dyDescent="0.2">
      <c r="B331" s="2431"/>
      <c r="C331" s="2432" t="s">
        <v>9628</v>
      </c>
      <c r="D331" s="2439">
        <v>25</v>
      </c>
      <c r="E331" s="2433">
        <v>20</v>
      </c>
      <c r="F331" s="2433">
        <v>4</v>
      </c>
      <c r="G331" s="2433">
        <v>4</v>
      </c>
      <c r="H331" s="2433" t="s">
        <v>2409</v>
      </c>
      <c r="I331" s="2433" t="s">
        <v>2354</v>
      </c>
      <c r="J331" s="2433" t="s">
        <v>3130</v>
      </c>
      <c r="K331" s="2433" t="s">
        <v>2310</v>
      </c>
      <c r="L331" s="2435">
        <v>10</v>
      </c>
      <c r="M331" s="2435">
        <v>-2</v>
      </c>
      <c r="N331" s="2435">
        <v>15</v>
      </c>
      <c r="O331" s="2433"/>
      <c r="P331" s="2433"/>
      <c r="Q331" s="2433" t="s">
        <v>2310</v>
      </c>
      <c r="R331" s="2433" t="s">
        <v>2310</v>
      </c>
      <c r="S331" s="2433" t="s">
        <v>2310</v>
      </c>
      <c r="T331" s="2433"/>
      <c r="U331" s="2440" t="s">
        <v>9651</v>
      </c>
      <c r="V331" s="2440"/>
      <c r="W331" s="2440"/>
      <c r="X331" s="2436" t="str">
        <f t="shared" si="22"/>
        <v>Distinta</v>
      </c>
    </row>
    <row r="332" spans="2:24" ht="12.75" customHeight="1" x14ac:dyDescent="0.2">
      <c r="B332" s="2431"/>
      <c r="C332" s="2432" t="s">
        <v>9629</v>
      </c>
      <c r="D332" s="2439">
        <v>60</v>
      </c>
      <c r="E332" s="2433">
        <v>-30</v>
      </c>
      <c r="F332" s="2433">
        <v>8</v>
      </c>
      <c r="G332" s="2433">
        <v>8</v>
      </c>
      <c r="H332" s="2433" t="s">
        <v>2410</v>
      </c>
      <c r="I332" s="2433" t="s">
        <v>2310</v>
      </c>
      <c r="J332" s="2433" t="s">
        <v>3132</v>
      </c>
      <c r="K332" s="2433" t="s">
        <v>2310</v>
      </c>
      <c r="L332" s="2435">
        <v>9</v>
      </c>
      <c r="M332" s="2435">
        <v>2</v>
      </c>
      <c r="N332" s="2435">
        <v>20</v>
      </c>
      <c r="O332" s="2433"/>
      <c r="P332" s="2433"/>
      <c r="Q332" s="2433" t="s">
        <v>2310</v>
      </c>
      <c r="R332" s="2433" t="s">
        <v>2310</v>
      </c>
      <c r="S332" s="2433" t="s">
        <v>2310</v>
      </c>
      <c r="T332" s="2433"/>
      <c r="U332" s="2440" t="s">
        <v>3166</v>
      </c>
      <c r="V332" s="2440"/>
      <c r="W332" s="2440"/>
      <c r="X332" s="2436" t="str">
        <f t="shared" si="22"/>
        <v>Distinta</v>
      </c>
    </row>
    <row r="333" spans="2:24" ht="12.75" customHeight="1" x14ac:dyDescent="0.2">
      <c r="B333" s="2431"/>
      <c r="C333" s="2432" t="s">
        <v>9630</v>
      </c>
      <c r="D333" s="2439">
        <v>35</v>
      </c>
      <c r="E333" s="2433">
        <v>10</v>
      </c>
      <c r="F333" s="2433">
        <v>6</v>
      </c>
      <c r="G333" s="2433">
        <v>6</v>
      </c>
      <c r="H333" s="2433" t="s">
        <v>2409</v>
      </c>
      <c r="I333" s="2433" t="s">
        <v>2310</v>
      </c>
      <c r="J333" s="2433" t="s">
        <v>3130</v>
      </c>
      <c r="K333" s="2433" t="s">
        <v>2310</v>
      </c>
      <c r="L333" s="2435">
        <v>12</v>
      </c>
      <c r="M333" s="2435">
        <v>3</v>
      </c>
      <c r="N333" s="2435">
        <v>20</v>
      </c>
      <c r="O333" s="2433"/>
      <c r="P333" s="2433"/>
      <c r="Q333" s="2433" t="s">
        <v>2310</v>
      </c>
      <c r="R333" s="2433" t="s">
        <v>2310</v>
      </c>
      <c r="S333" s="2433" t="s">
        <v>2310</v>
      </c>
      <c r="T333" s="2433"/>
      <c r="U333" s="2440" t="s">
        <v>2310</v>
      </c>
      <c r="V333" s="2440"/>
      <c r="W333" s="2440"/>
      <c r="X333" s="2436" t="str">
        <f t="shared" si="22"/>
        <v>Distinta</v>
      </c>
    </row>
    <row r="334" spans="2:24" ht="12.75" customHeight="1" x14ac:dyDescent="0.2">
      <c r="B334" s="2431"/>
      <c r="C334" s="2432" t="s">
        <v>3163</v>
      </c>
      <c r="D334" s="2439">
        <v>40</v>
      </c>
      <c r="E334" s="2433">
        <v>5</v>
      </c>
      <c r="F334" s="2433">
        <v>4</v>
      </c>
      <c r="G334" s="2433">
        <v>4</v>
      </c>
      <c r="H334" s="2433" t="s">
        <v>2410</v>
      </c>
      <c r="I334" s="2433" t="s">
        <v>2310</v>
      </c>
      <c r="J334" s="2433" t="s">
        <v>3116</v>
      </c>
      <c r="K334" s="2434" t="s">
        <v>2310</v>
      </c>
      <c r="L334" s="2435">
        <v>13</v>
      </c>
      <c r="M334" s="2435">
        <v>2</v>
      </c>
      <c r="N334" s="2435">
        <v>25</v>
      </c>
      <c r="O334" s="2433"/>
      <c r="P334" s="2433"/>
      <c r="Q334" s="2435">
        <v>80</v>
      </c>
      <c r="R334" s="2433" t="s">
        <v>2310</v>
      </c>
      <c r="S334" s="2435">
        <v>30</v>
      </c>
      <c r="T334" s="2433"/>
      <c r="U334" s="2440" t="s">
        <v>3164</v>
      </c>
      <c r="V334" s="2440"/>
      <c r="W334" s="2440"/>
      <c r="X334" s="2436" t="str">
        <f t="shared" si="22"/>
        <v>Distinta</v>
      </c>
    </row>
    <row r="335" spans="2:24" ht="12.75" customHeight="1" x14ac:dyDescent="0.2">
      <c r="B335" s="2431"/>
      <c r="C335" s="2432" t="s">
        <v>3165</v>
      </c>
      <c r="D335" s="2439">
        <v>80</v>
      </c>
      <c r="E335" s="2433">
        <v>-30</v>
      </c>
      <c r="F335" s="2433">
        <v>8</v>
      </c>
      <c r="G335" s="2433">
        <v>8</v>
      </c>
      <c r="H335" s="2433" t="s">
        <v>2410</v>
      </c>
      <c r="I335" s="2433" t="s">
        <v>2310</v>
      </c>
      <c r="J335" s="2433" t="s">
        <v>3116</v>
      </c>
      <c r="K335" s="2434" t="s">
        <v>2310</v>
      </c>
      <c r="L335" s="2435">
        <v>12</v>
      </c>
      <c r="M335" s="2435">
        <v>7</v>
      </c>
      <c r="N335" s="2435">
        <v>25</v>
      </c>
      <c r="O335" s="2433"/>
      <c r="P335" s="2433"/>
      <c r="Q335" s="2433" t="s">
        <v>2310</v>
      </c>
      <c r="R335" s="2433" t="s">
        <v>2310</v>
      </c>
      <c r="S335" s="2433" t="s">
        <v>2310</v>
      </c>
      <c r="T335" s="2433"/>
      <c r="U335" s="2440" t="s">
        <v>3166</v>
      </c>
      <c r="V335" s="2440"/>
      <c r="W335" s="2440"/>
      <c r="X335" s="2436" t="str">
        <f t="shared" si="22"/>
        <v>Distinta</v>
      </c>
    </row>
    <row r="336" spans="2:24" ht="12.75" customHeight="1" x14ac:dyDescent="0.2">
      <c r="B336" s="2431"/>
      <c r="C336" s="2432" t="s">
        <v>3167</v>
      </c>
      <c r="D336" s="2439">
        <v>35</v>
      </c>
      <c r="E336" s="2433">
        <v>-20</v>
      </c>
      <c r="F336" s="2433">
        <v>4</v>
      </c>
      <c r="G336" s="2433">
        <v>4</v>
      </c>
      <c r="H336" s="2433" t="s">
        <v>2409</v>
      </c>
      <c r="I336" s="2433" t="s">
        <v>2354</v>
      </c>
      <c r="J336" s="2433" t="s">
        <v>3127</v>
      </c>
      <c r="K336" s="2434" t="s">
        <v>2310</v>
      </c>
      <c r="L336" s="2435">
        <v>9</v>
      </c>
      <c r="M336" s="2435">
        <v>-3</v>
      </c>
      <c r="N336" s="2435">
        <v>20</v>
      </c>
      <c r="O336" s="2433"/>
      <c r="P336" s="2433"/>
      <c r="Q336" s="2433" t="s">
        <v>2310</v>
      </c>
      <c r="R336" s="2433" t="s">
        <v>2310</v>
      </c>
      <c r="S336" s="2433" t="s">
        <v>2310</v>
      </c>
      <c r="T336" s="2433"/>
      <c r="U336" s="2440" t="s">
        <v>3168</v>
      </c>
      <c r="V336" s="2440"/>
      <c r="W336" s="2440"/>
      <c r="X336" s="2436" t="str">
        <f t="shared" si="22"/>
        <v>Distinta</v>
      </c>
    </row>
    <row r="337" spans="2:24" ht="12.75" customHeight="1" x14ac:dyDescent="0.2">
      <c r="B337" s="2431"/>
      <c r="C337" s="2432" t="s">
        <v>3169</v>
      </c>
      <c r="D337" s="2439">
        <v>5</v>
      </c>
      <c r="E337" s="2433">
        <v>10</v>
      </c>
      <c r="F337" s="2433">
        <v>4</v>
      </c>
      <c r="G337" s="2433">
        <v>4</v>
      </c>
      <c r="H337" s="2433" t="s">
        <v>2354</v>
      </c>
      <c r="I337" s="2433" t="s">
        <v>2310</v>
      </c>
      <c r="J337" s="2433" t="s">
        <v>3127</v>
      </c>
      <c r="K337" s="2434" t="s">
        <v>2310</v>
      </c>
      <c r="L337" s="2435">
        <v>9</v>
      </c>
      <c r="M337" s="2435">
        <v>-4</v>
      </c>
      <c r="N337" s="2435">
        <v>20</v>
      </c>
      <c r="O337" s="2433"/>
      <c r="P337" s="2433"/>
      <c r="Q337" s="2433" t="s">
        <v>2310</v>
      </c>
      <c r="R337" s="2433" t="s">
        <v>2310</v>
      </c>
      <c r="S337" s="2433" t="s">
        <v>2310</v>
      </c>
      <c r="T337" s="2433"/>
      <c r="U337" s="2440" t="s">
        <v>3170</v>
      </c>
      <c r="V337" s="2440"/>
      <c r="W337" s="2440"/>
      <c r="X337" s="2436" t="str">
        <f t="shared" si="22"/>
        <v>Distinta</v>
      </c>
    </row>
    <row r="338" spans="2:24" ht="12.75" customHeight="1" x14ac:dyDescent="0.2">
      <c r="B338" s="2431"/>
      <c r="C338" s="2432" t="s">
        <v>9612</v>
      </c>
      <c r="D338" s="2439">
        <v>30</v>
      </c>
      <c r="E338" s="2433">
        <v>15</v>
      </c>
      <c r="F338" s="2433">
        <v>5</v>
      </c>
      <c r="G338" s="2433">
        <v>5</v>
      </c>
      <c r="H338" s="2433" t="s">
        <v>2354</v>
      </c>
      <c r="I338" s="2433" t="s">
        <v>2310</v>
      </c>
      <c r="J338" s="2433" t="s">
        <v>3127</v>
      </c>
      <c r="K338" s="2433" t="s">
        <v>2310</v>
      </c>
      <c r="L338" s="2435">
        <v>8</v>
      </c>
      <c r="M338" s="2435">
        <v>1</v>
      </c>
      <c r="N338" s="2435">
        <v>15</v>
      </c>
      <c r="O338" s="2433"/>
      <c r="P338" s="2433"/>
      <c r="Q338" s="2433" t="s">
        <v>2310</v>
      </c>
      <c r="R338" s="2433" t="s">
        <v>2310</v>
      </c>
      <c r="S338" s="2433" t="s">
        <v>2310</v>
      </c>
      <c r="T338" s="2433"/>
      <c r="U338" s="2442" t="s">
        <v>9652</v>
      </c>
      <c r="V338" s="2440"/>
      <c r="W338" s="2440"/>
      <c r="X338" s="2436" t="str">
        <f t="shared" si="22"/>
        <v>Distinta</v>
      </c>
    </row>
    <row r="339" spans="2:24" ht="12.75" customHeight="1" x14ac:dyDescent="0.2">
      <c r="B339" s="2431"/>
      <c r="C339" s="2432" t="s">
        <v>9631</v>
      </c>
      <c r="D339" s="2439">
        <v>25</v>
      </c>
      <c r="E339" s="2433">
        <v>20</v>
      </c>
      <c r="F339" s="2433">
        <v>5</v>
      </c>
      <c r="G339" s="2433">
        <v>5</v>
      </c>
      <c r="H339" s="2433" t="s">
        <v>2409</v>
      </c>
      <c r="I339" s="2433" t="s">
        <v>2310</v>
      </c>
      <c r="J339" s="2433" t="s">
        <v>3130</v>
      </c>
      <c r="K339" s="2433" t="s">
        <v>2310</v>
      </c>
      <c r="L339" s="2435">
        <v>12</v>
      </c>
      <c r="M339" s="2435">
        <v>5</v>
      </c>
      <c r="N339" s="2435">
        <v>15</v>
      </c>
      <c r="O339" s="2433"/>
      <c r="P339" s="2433"/>
      <c r="Q339" s="2433" t="s">
        <v>2310</v>
      </c>
      <c r="R339" s="2433" t="s">
        <v>2310</v>
      </c>
      <c r="S339" s="2433" t="s">
        <v>2310</v>
      </c>
      <c r="T339" s="2433"/>
      <c r="U339" s="2440" t="s">
        <v>9653</v>
      </c>
      <c r="V339" s="2440"/>
      <c r="W339" s="2440"/>
      <c r="X339" s="2436" t="str">
        <f t="shared" si="22"/>
        <v>Distinta</v>
      </c>
    </row>
    <row r="340" spans="2:24" ht="12.75" customHeight="1" x14ac:dyDescent="0.2">
      <c r="B340" s="2431"/>
      <c r="C340" s="2432" t="s">
        <v>3171</v>
      </c>
      <c r="D340" s="2439">
        <v>80</v>
      </c>
      <c r="E340" s="2433">
        <v>-50</v>
      </c>
      <c r="F340" s="2433">
        <v>10</v>
      </c>
      <c r="G340" s="2433">
        <v>8</v>
      </c>
      <c r="H340" s="2433" t="s">
        <v>2354</v>
      </c>
      <c r="I340" s="2433" t="s">
        <v>2310</v>
      </c>
      <c r="J340" s="2433" t="s">
        <v>3152</v>
      </c>
      <c r="K340" s="2433" t="s">
        <v>3117</v>
      </c>
      <c r="L340" s="2435">
        <v>14</v>
      </c>
      <c r="M340" s="2435">
        <v>6</v>
      </c>
      <c r="N340" s="2435">
        <v>20</v>
      </c>
      <c r="O340" s="2433"/>
      <c r="P340" s="2433"/>
      <c r="Q340" s="2433" t="s">
        <v>2310</v>
      </c>
      <c r="R340" s="2433" t="s">
        <v>2310</v>
      </c>
      <c r="S340" s="2433" t="s">
        <v>2310</v>
      </c>
      <c r="T340" s="2433"/>
      <c r="U340" s="2440" t="s">
        <v>3172</v>
      </c>
      <c r="V340" s="2440"/>
      <c r="W340" s="2440"/>
      <c r="X340" s="2436" t="str">
        <f t="shared" si="22"/>
        <v>Distinta</v>
      </c>
    </row>
    <row r="341" spans="2:24" ht="12.75" customHeight="1" x14ac:dyDescent="0.2">
      <c r="B341" s="2431"/>
      <c r="C341" s="2432" t="s">
        <v>3173</v>
      </c>
      <c r="D341" s="2439">
        <v>50</v>
      </c>
      <c r="E341" s="2433">
        <v>-5</v>
      </c>
      <c r="F341" s="2433">
        <v>6</v>
      </c>
      <c r="G341" s="2433">
        <v>6</v>
      </c>
      <c r="H341" s="2433" t="s">
        <v>2354</v>
      </c>
      <c r="I341" s="2433" t="s">
        <v>2310</v>
      </c>
      <c r="J341" s="2433" t="s">
        <v>3152</v>
      </c>
      <c r="K341" s="2433" t="s">
        <v>2310</v>
      </c>
      <c r="L341" s="2435">
        <v>15</v>
      </c>
      <c r="M341" s="2435">
        <v>4</v>
      </c>
      <c r="N341" s="2435">
        <v>15</v>
      </c>
      <c r="O341" s="2433"/>
      <c r="P341" s="2433"/>
      <c r="Q341" s="2433" t="s">
        <v>2310</v>
      </c>
      <c r="R341" s="2433" t="s">
        <v>2310</v>
      </c>
      <c r="S341" s="2433" t="s">
        <v>2310</v>
      </c>
      <c r="T341" s="2433"/>
      <c r="U341" s="2440" t="s">
        <v>2310</v>
      </c>
      <c r="V341" s="2440"/>
      <c r="W341" s="2440"/>
      <c r="X341" s="2436" t="str">
        <f t="shared" si="22"/>
        <v>Distinta</v>
      </c>
    </row>
    <row r="342" spans="2:24" ht="12.75" customHeight="1" x14ac:dyDescent="0.2">
      <c r="B342" s="2431"/>
      <c r="C342" s="2432" t="s">
        <v>3174</v>
      </c>
      <c r="D342" s="2439">
        <v>40</v>
      </c>
      <c r="E342" s="2433">
        <v>0</v>
      </c>
      <c r="F342" s="2433">
        <v>6</v>
      </c>
      <c r="G342" s="2433">
        <v>6</v>
      </c>
      <c r="H342" s="2433" t="s">
        <v>2354</v>
      </c>
      <c r="I342" s="2433" t="s">
        <v>2310</v>
      </c>
      <c r="J342" s="2433" t="s">
        <v>3152</v>
      </c>
      <c r="K342" s="2433" t="s">
        <v>3127</v>
      </c>
      <c r="L342" s="2435">
        <v>13</v>
      </c>
      <c r="M342" s="2435">
        <v>4</v>
      </c>
      <c r="N342" s="2435">
        <v>15</v>
      </c>
      <c r="O342" s="2433"/>
      <c r="P342" s="2433"/>
      <c r="Q342" s="2433" t="s">
        <v>2310</v>
      </c>
      <c r="R342" s="2433" t="s">
        <v>2310</v>
      </c>
      <c r="S342" s="2433" t="s">
        <v>2310</v>
      </c>
      <c r="T342" s="2433"/>
      <c r="U342" s="2440" t="s">
        <v>3172</v>
      </c>
      <c r="V342" s="2440"/>
      <c r="W342" s="2440"/>
      <c r="X342" s="2436" t="str">
        <f t="shared" si="22"/>
        <v>Distinta</v>
      </c>
    </row>
    <row r="343" spans="2:24" ht="12.75" customHeight="1" x14ac:dyDescent="0.2">
      <c r="B343" s="2431"/>
      <c r="C343" s="2432" t="s">
        <v>9613</v>
      </c>
      <c r="D343" s="2439">
        <v>50</v>
      </c>
      <c r="E343" s="2433">
        <v>0</v>
      </c>
      <c r="F343" s="2433">
        <v>6</v>
      </c>
      <c r="G343" s="2433">
        <v>7</v>
      </c>
      <c r="H343" s="2433" t="s">
        <v>2354</v>
      </c>
      <c r="I343" s="2433" t="s">
        <v>2310</v>
      </c>
      <c r="J343" s="2433" t="s">
        <v>3152</v>
      </c>
      <c r="K343" s="2433" t="s">
        <v>2310</v>
      </c>
      <c r="L343" s="2435">
        <v>14</v>
      </c>
      <c r="M343" s="2435">
        <v>4</v>
      </c>
      <c r="N343" s="2435">
        <v>20</v>
      </c>
      <c r="O343" s="2433"/>
      <c r="P343" s="2433"/>
      <c r="Q343" s="2433" t="s">
        <v>2310</v>
      </c>
      <c r="R343" s="2433" t="s">
        <v>2310</v>
      </c>
      <c r="S343" s="2433" t="s">
        <v>2310</v>
      </c>
      <c r="T343" s="2433"/>
      <c r="U343" s="2440" t="s">
        <v>3140</v>
      </c>
      <c r="V343" s="2440"/>
      <c r="W343" s="2440"/>
      <c r="X343" s="2436" t="str">
        <f t="shared" si="22"/>
        <v>Distinta</v>
      </c>
    </row>
    <row r="344" spans="2:24" ht="12.75" customHeight="1" x14ac:dyDescent="0.2">
      <c r="B344" s="2431"/>
      <c r="C344" s="2432" t="s">
        <v>3175</v>
      </c>
      <c r="D344" s="2439">
        <v>40</v>
      </c>
      <c r="E344" s="2433">
        <v>0</v>
      </c>
      <c r="F344" s="2433">
        <v>6</v>
      </c>
      <c r="G344" s="2433">
        <v>6</v>
      </c>
      <c r="H344" s="2433" t="s">
        <v>2354</v>
      </c>
      <c r="I344" s="2433" t="s">
        <v>2310</v>
      </c>
      <c r="J344" s="2433" t="s">
        <v>3152</v>
      </c>
      <c r="K344" s="2434" t="s">
        <v>2310</v>
      </c>
      <c r="L344" s="2435">
        <v>14</v>
      </c>
      <c r="M344" s="2435">
        <v>4</v>
      </c>
      <c r="N344" s="2435">
        <v>15</v>
      </c>
      <c r="O344" s="2433"/>
      <c r="P344" s="2433"/>
      <c r="Q344" s="2433" t="s">
        <v>2310</v>
      </c>
      <c r="R344" s="2433" t="s">
        <v>2310</v>
      </c>
      <c r="S344" s="2433" t="s">
        <v>2310</v>
      </c>
      <c r="T344" s="2433"/>
      <c r="U344" s="2440" t="s">
        <v>2310</v>
      </c>
      <c r="V344" s="2440"/>
      <c r="W344" s="2440"/>
      <c r="X344" s="2436" t="str">
        <f t="shared" si="22"/>
        <v>Distinta</v>
      </c>
    </row>
    <row r="345" spans="2:24" ht="12.75" customHeight="1" x14ac:dyDescent="0.2">
      <c r="B345" s="2431"/>
      <c r="C345" s="2432" t="s">
        <v>3176</v>
      </c>
      <c r="D345" s="2439">
        <v>60</v>
      </c>
      <c r="E345" s="2433">
        <v>-15</v>
      </c>
      <c r="F345" s="2433">
        <v>10</v>
      </c>
      <c r="G345" s="2433">
        <v>6</v>
      </c>
      <c r="H345" s="2433" t="s">
        <v>2354</v>
      </c>
      <c r="I345" s="2433" t="s">
        <v>2310</v>
      </c>
      <c r="J345" s="2433" t="s">
        <v>3152</v>
      </c>
      <c r="K345" s="2433" t="s">
        <v>3117</v>
      </c>
      <c r="L345" s="2435">
        <v>16</v>
      </c>
      <c r="M345" s="2435">
        <v>5</v>
      </c>
      <c r="N345" s="2435">
        <v>15</v>
      </c>
      <c r="O345" s="2433"/>
      <c r="P345" s="2433"/>
      <c r="Q345" s="2433" t="s">
        <v>2310</v>
      </c>
      <c r="R345" s="2433" t="s">
        <v>2310</v>
      </c>
      <c r="S345" s="2433" t="s">
        <v>2310</v>
      </c>
      <c r="T345" s="2433"/>
      <c r="U345" s="2440" t="s">
        <v>3140</v>
      </c>
      <c r="V345" s="2440"/>
      <c r="W345" s="2440"/>
      <c r="X345" s="2436" t="str">
        <f t="shared" si="22"/>
        <v>Distinta</v>
      </c>
    </row>
    <row r="346" spans="2:24" ht="12.75" customHeight="1" x14ac:dyDescent="0.2">
      <c r="B346" s="2431"/>
      <c r="C346" s="2432" t="s">
        <v>9614</v>
      </c>
      <c r="D346" s="2439">
        <v>80</v>
      </c>
      <c r="E346" s="2433">
        <v>-50</v>
      </c>
      <c r="F346" s="2433">
        <v>8</v>
      </c>
      <c r="G346" s="2433">
        <v>11</v>
      </c>
      <c r="H346" s="2433" t="s">
        <v>2410</v>
      </c>
      <c r="I346" s="2433" t="s">
        <v>2409</v>
      </c>
      <c r="J346" s="2433" t="s">
        <v>3117</v>
      </c>
      <c r="K346" s="2433" t="s">
        <v>2310</v>
      </c>
      <c r="L346" s="2435">
        <v>18</v>
      </c>
      <c r="M346" s="2435">
        <v>5</v>
      </c>
      <c r="N346" s="2435">
        <v>25</v>
      </c>
      <c r="O346" s="2433"/>
      <c r="P346" s="2433"/>
      <c r="Q346" s="2433" t="s">
        <v>2310</v>
      </c>
      <c r="R346" s="2433" t="s">
        <v>2310</v>
      </c>
      <c r="S346" s="2433" t="s">
        <v>2310</v>
      </c>
      <c r="T346" s="2433"/>
      <c r="U346" s="2440" t="s">
        <v>2447</v>
      </c>
      <c r="V346" s="2440"/>
      <c r="W346" s="2440"/>
      <c r="X346" s="2436" t="str">
        <f t="shared" si="22"/>
        <v>Distinta</v>
      </c>
    </row>
    <row r="347" spans="2:24" ht="12.75" customHeight="1" x14ac:dyDescent="0.2">
      <c r="B347" s="2431"/>
      <c r="C347" s="2432" t="s">
        <v>9632</v>
      </c>
      <c r="D347" s="2439">
        <v>40</v>
      </c>
      <c r="E347" s="2433">
        <v>15</v>
      </c>
      <c r="F347" s="2433">
        <v>6</v>
      </c>
      <c r="G347" s="2433" t="s">
        <v>2310</v>
      </c>
      <c r="H347" s="2433" t="s">
        <v>2409</v>
      </c>
      <c r="I347" s="2433" t="s">
        <v>2410</v>
      </c>
      <c r="J347" s="2433" t="s">
        <v>3130</v>
      </c>
      <c r="K347" s="2433" t="s">
        <v>2310</v>
      </c>
      <c r="L347" s="2435">
        <v>13</v>
      </c>
      <c r="M347" s="2435">
        <v>2</v>
      </c>
      <c r="N347" s="2435">
        <v>20</v>
      </c>
      <c r="O347" s="2433"/>
      <c r="P347" s="2433"/>
      <c r="Q347" s="2433" t="s">
        <v>2310</v>
      </c>
      <c r="R347" s="2433" t="s">
        <v>2310</v>
      </c>
      <c r="S347" s="2433" t="s">
        <v>2310</v>
      </c>
      <c r="T347" s="2433"/>
      <c r="U347" s="2440" t="s">
        <v>3144</v>
      </c>
      <c r="V347" s="2440"/>
      <c r="W347" s="2440"/>
      <c r="X347" s="2436" t="str">
        <f t="shared" si="22"/>
        <v>Distinta</v>
      </c>
    </row>
    <row r="348" spans="2:24" ht="12.75" customHeight="1" x14ac:dyDescent="0.2">
      <c r="B348" s="2431"/>
      <c r="C348" s="2432" t="s">
        <v>9615</v>
      </c>
      <c r="D348" s="2439">
        <v>60</v>
      </c>
      <c r="E348" s="2433">
        <v>-30</v>
      </c>
      <c r="F348" s="2433" t="s">
        <v>2310</v>
      </c>
      <c r="G348" s="2433">
        <v>6</v>
      </c>
      <c r="H348" s="2433" t="s">
        <v>2410</v>
      </c>
      <c r="I348" s="2433" t="s">
        <v>2310</v>
      </c>
      <c r="J348" s="2433" t="s">
        <v>3116</v>
      </c>
      <c r="K348" s="2433" t="s">
        <v>2310</v>
      </c>
      <c r="L348" s="2435">
        <v>12</v>
      </c>
      <c r="M348" s="2435">
        <v>4</v>
      </c>
      <c r="N348" s="2435">
        <v>15</v>
      </c>
      <c r="O348" s="2433"/>
      <c r="P348" s="2433"/>
      <c r="Q348" s="2433" t="s">
        <v>2310</v>
      </c>
      <c r="R348" s="2433" t="s">
        <v>2310</v>
      </c>
      <c r="S348" s="2433" t="s">
        <v>2310</v>
      </c>
      <c r="T348" s="2433"/>
      <c r="U348" s="2440" t="s">
        <v>9654</v>
      </c>
      <c r="V348" s="2440"/>
      <c r="W348" s="2440"/>
      <c r="X348" s="2436" t="str">
        <f t="shared" si="22"/>
        <v>Distinta</v>
      </c>
    </row>
    <row r="349" spans="2:24" ht="12.75" customHeight="1" x14ac:dyDescent="0.2">
      <c r="B349" s="2431"/>
      <c r="C349" s="2432" t="s">
        <v>9616</v>
      </c>
      <c r="D349" s="2439">
        <v>40</v>
      </c>
      <c r="E349" s="2433">
        <v>-5</v>
      </c>
      <c r="F349" s="2433">
        <v>6</v>
      </c>
      <c r="G349" s="2433">
        <v>7</v>
      </c>
      <c r="H349" s="2433" t="s">
        <v>2409</v>
      </c>
      <c r="I349" s="2433" t="s">
        <v>2354</v>
      </c>
      <c r="J349" s="2433" t="s">
        <v>3116</v>
      </c>
      <c r="K349" s="2433" t="s">
        <v>2310</v>
      </c>
      <c r="L349" s="2435">
        <v>12</v>
      </c>
      <c r="M349" s="2435">
        <v>2</v>
      </c>
      <c r="N349" s="2435">
        <v>20</v>
      </c>
      <c r="O349" s="2433"/>
      <c r="P349" s="2433"/>
      <c r="Q349" s="2433" t="s">
        <v>2310</v>
      </c>
      <c r="R349" s="2433" t="s">
        <v>2310</v>
      </c>
      <c r="S349" s="2433" t="s">
        <v>2310</v>
      </c>
      <c r="T349" s="2433"/>
      <c r="U349" s="2440" t="s">
        <v>3140</v>
      </c>
      <c r="V349" s="2440"/>
      <c r="W349" s="2440"/>
      <c r="X349" s="2436" t="str">
        <f t="shared" si="22"/>
        <v>Distinta</v>
      </c>
    </row>
    <row r="350" spans="2:24" ht="12.75" customHeight="1" x14ac:dyDescent="0.2">
      <c r="B350" s="2431"/>
      <c r="C350" s="2432" t="s">
        <v>3177</v>
      </c>
      <c r="D350" s="2439">
        <v>5</v>
      </c>
      <c r="E350" s="2433">
        <v>0</v>
      </c>
      <c r="F350" s="2433">
        <v>4</v>
      </c>
      <c r="G350" s="2433">
        <v>4</v>
      </c>
      <c r="H350" s="2433" t="s">
        <v>3124</v>
      </c>
      <c r="I350" s="2433" t="s">
        <v>2409</v>
      </c>
      <c r="J350" s="2433" t="s">
        <v>3127</v>
      </c>
      <c r="K350" s="2434" t="s">
        <v>2310</v>
      </c>
      <c r="L350" s="2435">
        <v>13</v>
      </c>
      <c r="M350" s="2435">
        <v>-4</v>
      </c>
      <c r="N350" s="2435">
        <v>15</v>
      </c>
      <c r="O350" s="2433"/>
      <c r="P350" s="2433"/>
      <c r="Q350" s="2435">
        <v>100</v>
      </c>
      <c r="R350" s="2433" t="s">
        <v>2310</v>
      </c>
      <c r="S350" s="2433">
        <v>5</v>
      </c>
      <c r="T350" s="2433"/>
      <c r="U350" s="2440" t="s">
        <v>3178</v>
      </c>
      <c r="V350" s="2440"/>
      <c r="W350" s="2440"/>
      <c r="X350" s="2436" t="str">
        <f t="shared" si="22"/>
        <v>Distinta</v>
      </c>
    </row>
    <row r="351" spans="2:24" ht="12.75" customHeight="1" x14ac:dyDescent="0.2">
      <c r="B351" s="2431"/>
      <c r="C351" s="2432" t="s">
        <v>3179</v>
      </c>
      <c r="D351" s="2439">
        <v>45</v>
      </c>
      <c r="E351" s="2433">
        <v>10</v>
      </c>
      <c r="F351" s="2433">
        <v>6</v>
      </c>
      <c r="G351" s="2433">
        <v>6</v>
      </c>
      <c r="H351" s="2433" t="s">
        <v>2409</v>
      </c>
      <c r="I351" s="2433" t="s">
        <v>2410</v>
      </c>
      <c r="J351" s="2433" t="s">
        <v>3132</v>
      </c>
      <c r="K351" s="2434" t="s">
        <v>2310</v>
      </c>
      <c r="L351" s="2435">
        <v>12</v>
      </c>
      <c r="M351" s="2435">
        <v>3</v>
      </c>
      <c r="N351" s="2435">
        <v>20</v>
      </c>
      <c r="O351" s="2433"/>
      <c r="P351" s="2433"/>
      <c r="Q351" s="2433" t="s">
        <v>2310</v>
      </c>
      <c r="R351" s="2433" t="s">
        <v>2310</v>
      </c>
      <c r="S351" s="2433" t="s">
        <v>2310</v>
      </c>
      <c r="T351" s="2433"/>
      <c r="U351" s="2440" t="s">
        <v>2310</v>
      </c>
      <c r="V351" s="2440"/>
      <c r="W351" s="2440"/>
      <c r="X351" s="2436" t="str">
        <f t="shared" si="22"/>
        <v>Distinta</v>
      </c>
    </row>
    <row r="352" spans="2:24" ht="12.75" customHeight="1" x14ac:dyDescent="0.2">
      <c r="B352" s="2431"/>
      <c r="C352" s="2432" t="s">
        <v>9633</v>
      </c>
      <c r="D352" s="2439">
        <v>40</v>
      </c>
      <c r="E352" s="2433">
        <v>5</v>
      </c>
      <c r="F352" s="2433">
        <v>5</v>
      </c>
      <c r="G352" s="2433">
        <v>5</v>
      </c>
      <c r="H352" s="2433" t="s">
        <v>2409</v>
      </c>
      <c r="I352" s="2433" t="s">
        <v>2310</v>
      </c>
      <c r="J352" s="2433" t="s">
        <v>3132</v>
      </c>
      <c r="K352" s="2433" t="s">
        <v>2310</v>
      </c>
      <c r="L352" s="2435">
        <v>12</v>
      </c>
      <c r="M352" s="2435">
        <v>1</v>
      </c>
      <c r="N352" s="2435">
        <v>20</v>
      </c>
      <c r="O352" s="2433"/>
      <c r="P352" s="2433"/>
      <c r="Q352" s="2433" t="s">
        <v>2310</v>
      </c>
      <c r="R352" s="2433" t="s">
        <v>2310</v>
      </c>
      <c r="S352" s="2433" t="s">
        <v>2310</v>
      </c>
      <c r="T352" s="2433"/>
      <c r="U352" s="2442" t="s">
        <v>9655</v>
      </c>
      <c r="V352" s="2440"/>
      <c r="W352" s="2440"/>
      <c r="X352" s="2436" t="str">
        <f t="shared" si="22"/>
        <v>Distinta</v>
      </c>
    </row>
    <row r="353" spans="2:24" ht="12.75" customHeight="1" x14ac:dyDescent="0.2">
      <c r="B353" s="2431"/>
      <c r="C353" s="2432" t="s">
        <v>9634</v>
      </c>
      <c r="D353" s="2439">
        <v>45</v>
      </c>
      <c r="E353" s="2433">
        <v>5</v>
      </c>
      <c r="F353" s="2433">
        <v>6</v>
      </c>
      <c r="G353" s="2433">
        <v>6</v>
      </c>
      <c r="H353" s="2433" t="s">
        <v>2410</v>
      </c>
      <c r="I353" s="2433" t="s">
        <v>2409</v>
      </c>
      <c r="J353" s="2433" t="s">
        <v>3132</v>
      </c>
      <c r="K353" s="2433" t="s">
        <v>2310</v>
      </c>
      <c r="L353" s="2435">
        <v>14</v>
      </c>
      <c r="M353" s="2435">
        <v>3</v>
      </c>
      <c r="N353" s="2435">
        <v>20</v>
      </c>
      <c r="O353" s="2433"/>
      <c r="P353" s="2433"/>
      <c r="Q353" s="2433" t="s">
        <v>2310</v>
      </c>
      <c r="R353" s="2433" t="s">
        <v>2310</v>
      </c>
      <c r="S353" s="2433" t="s">
        <v>2310</v>
      </c>
      <c r="T353" s="2433"/>
      <c r="U353" s="2440" t="s">
        <v>2310</v>
      </c>
      <c r="V353" s="2440"/>
      <c r="W353" s="2440"/>
      <c r="X353" s="2436" t="str">
        <f t="shared" si="22"/>
        <v>Distinta</v>
      </c>
    </row>
    <row r="354" spans="2:24" ht="12.75" customHeight="1" x14ac:dyDescent="0.2">
      <c r="B354" s="2431"/>
      <c r="C354" s="2432" t="s">
        <v>3180</v>
      </c>
      <c r="D354" s="2439">
        <v>40</v>
      </c>
      <c r="E354" s="2433">
        <v>-10</v>
      </c>
      <c r="F354" s="2433">
        <v>6</v>
      </c>
      <c r="G354" s="2433">
        <v>6</v>
      </c>
      <c r="H354" s="2433" t="s">
        <v>2410</v>
      </c>
      <c r="I354" s="2433" t="s">
        <v>2310</v>
      </c>
      <c r="J354" s="2433" t="s">
        <v>3116</v>
      </c>
      <c r="K354" s="2434" t="s">
        <v>2310</v>
      </c>
      <c r="L354" s="2435">
        <v>12</v>
      </c>
      <c r="M354" s="2435">
        <v>3</v>
      </c>
      <c r="N354" s="2435">
        <v>15</v>
      </c>
      <c r="O354" s="2433"/>
      <c r="P354" s="2433"/>
      <c r="Q354" s="2435">
        <v>100</v>
      </c>
      <c r="R354" s="2433" t="s">
        <v>2310</v>
      </c>
      <c r="S354" s="2433">
        <v>15</v>
      </c>
      <c r="T354" s="2433"/>
      <c r="U354" s="2440" t="s">
        <v>3181</v>
      </c>
      <c r="V354" s="2440"/>
      <c r="W354" s="2440"/>
      <c r="X354" s="2436" t="str">
        <f t="shared" si="22"/>
        <v>Distinta</v>
      </c>
    </row>
    <row r="355" spans="2:24" ht="12.75" customHeight="1" x14ac:dyDescent="0.2">
      <c r="B355" s="2431"/>
      <c r="C355" s="2432" t="s">
        <v>3182</v>
      </c>
      <c r="D355" s="2433">
        <v>40</v>
      </c>
      <c r="E355" s="2433">
        <v>0</v>
      </c>
      <c r="F355" s="2433">
        <v>6</v>
      </c>
      <c r="G355" s="2433">
        <v>6</v>
      </c>
      <c r="H355" s="2433" t="s">
        <v>2409</v>
      </c>
      <c r="I355" s="2433" t="s">
        <v>2310</v>
      </c>
      <c r="J355" s="2433" t="s">
        <v>3121</v>
      </c>
      <c r="K355" s="2434" t="s">
        <v>2310</v>
      </c>
      <c r="L355" s="2435">
        <v>9</v>
      </c>
      <c r="M355" s="2435">
        <v>2</v>
      </c>
      <c r="N355" s="2435">
        <v>20</v>
      </c>
      <c r="O355" s="2433"/>
      <c r="P355" s="2433"/>
      <c r="Q355" s="2435">
        <v>80</v>
      </c>
      <c r="R355" s="2433" t="s">
        <v>2310</v>
      </c>
      <c r="S355" s="2433">
        <v>30</v>
      </c>
      <c r="T355" s="2433"/>
      <c r="U355" s="2440" t="s">
        <v>3183</v>
      </c>
      <c r="V355" s="2440"/>
      <c r="W355" s="2440"/>
      <c r="X355" s="2436" t="str">
        <f t="shared" si="22"/>
        <v>Distinta</v>
      </c>
    </row>
    <row r="356" spans="2:24" ht="12.75" customHeight="1" x14ac:dyDescent="0.2">
      <c r="B356" s="2431"/>
      <c r="C356" s="2432" t="s">
        <v>9635</v>
      </c>
      <c r="D356" s="2439">
        <v>25</v>
      </c>
      <c r="E356" s="2433">
        <v>15</v>
      </c>
      <c r="F356" s="2433">
        <v>4</v>
      </c>
      <c r="G356" s="2433">
        <v>4</v>
      </c>
      <c r="H356" s="2433" t="s">
        <v>2409</v>
      </c>
      <c r="I356" s="2433" t="s">
        <v>2310</v>
      </c>
      <c r="J356" s="2433" t="s">
        <v>3127</v>
      </c>
      <c r="K356" s="2433" t="s">
        <v>2310</v>
      </c>
      <c r="L356" s="2435">
        <v>7</v>
      </c>
      <c r="M356" s="2435">
        <v>-3</v>
      </c>
      <c r="N356" s="2435">
        <v>15</v>
      </c>
      <c r="O356" s="2433"/>
      <c r="P356" s="2433"/>
      <c r="Q356" s="2433" t="s">
        <v>2310</v>
      </c>
      <c r="R356" s="2433" t="s">
        <v>2310</v>
      </c>
      <c r="S356" s="2433" t="s">
        <v>2310</v>
      </c>
      <c r="T356" s="2433"/>
      <c r="U356" s="2440" t="s">
        <v>3204</v>
      </c>
      <c r="V356" s="2440"/>
      <c r="W356" s="2440"/>
      <c r="X356" s="2436" t="str">
        <f t="shared" si="22"/>
        <v>Distinta</v>
      </c>
    </row>
    <row r="357" spans="2:24" ht="12.75" customHeight="1" x14ac:dyDescent="0.2">
      <c r="B357" s="2431"/>
      <c r="C357" s="2432" t="s">
        <v>9617</v>
      </c>
      <c r="D357" s="2439">
        <v>40</v>
      </c>
      <c r="E357" s="2433">
        <v>0</v>
      </c>
      <c r="F357" s="2433">
        <v>5</v>
      </c>
      <c r="G357" s="2433">
        <v>8</v>
      </c>
      <c r="H357" s="2433" t="s">
        <v>2409</v>
      </c>
      <c r="I357" s="2433" t="s">
        <v>2354</v>
      </c>
      <c r="J357" s="2433" t="s">
        <v>3116</v>
      </c>
      <c r="K357" s="2433" t="s">
        <v>3156</v>
      </c>
      <c r="L357" s="2435">
        <v>11</v>
      </c>
      <c r="M357" s="2435">
        <v>2</v>
      </c>
      <c r="N357" s="2435">
        <v>20</v>
      </c>
      <c r="O357" s="2433"/>
      <c r="P357" s="2433"/>
      <c r="Q357" s="2433" t="s">
        <v>2310</v>
      </c>
      <c r="R357" s="2433" t="s">
        <v>2310</v>
      </c>
      <c r="S357" s="2433" t="s">
        <v>2310</v>
      </c>
      <c r="T357" s="2433"/>
      <c r="U357" s="2440" t="s">
        <v>3140</v>
      </c>
      <c r="V357" s="2440"/>
      <c r="W357" s="2440"/>
      <c r="X357" s="2436" t="str">
        <f t="shared" si="22"/>
        <v>Distinta</v>
      </c>
    </row>
    <row r="358" spans="2:24" ht="12.75" customHeight="1" x14ac:dyDescent="0.2">
      <c r="B358" s="2431"/>
      <c r="C358" s="2432" t="s">
        <v>3184</v>
      </c>
      <c r="D358" s="2439">
        <v>30</v>
      </c>
      <c r="E358" s="2433">
        <v>10</v>
      </c>
      <c r="F358" s="2433">
        <v>4</v>
      </c>
      <c r="G358" s="2433">
        <v>4</v>
      </c>
      <c r="H358" s="2433" t="s">
        <v>2354</v>
      </c>
      <c r="I358" s="2433" t="s">
        <v>2310</v>
      </c>
      <c r="J358" s="2433" t="s">
        <v>3116</v>
      </c>
      <c r="K358" s="2434" t="s">
        <v>2310</v>
      </c>
      <c r="L358" s="2435">
        <v>11</v>
      </c>
      <c r="M358" s="2435">
        <v>0</v>
      </c>
      <c r="N358" s="2435">
        <v>30</v>
      </c>
      <c r="O358" s="2433"/>
      <c r="P358" s="2433"/>
      <c r="Q358" s="2433" t="s">
        <v>2310</v>
      </c>
      <c r="R358" s="2433" t="s">
        <v>2310</v>
      </c>
      <c r="S358" s="2433" t="s">
        <v>2310</v>
      </c>
      <c r="T358" s="2433"/>
      <c r="U358" s="2440" t="s">
        <v>2447</v>
      </c>
      <c r="V358" s="2440"/>
      <c r="W358" s="2440"/>
      <c r="X358" s="2436" t="str">
        <f t="shared" si="22"/>
        <v>Distinta</v>
      </c>
    </row>
    <row r="359" spans="2:24" ht="12.75" customHeight="1" x14ac:dyDescent="0.2">
      <c r="B359" s="2431"/>
      <c r="C359" s="2432" t="s">
        <v>3185</v>
      </c>
      <c r="D359" s="2437"/>
      <c r="E359" s="2437"/>
      <c r="F359" s="2437"/>
      <c r="G359" s="2437"/>
      <c r="H359" s="2437"/>
      <c r="I359" s="2437"/>
      <c r="J359" s="2437"/>
      <c r="K359" s="2437"/>
      <c r="L359" s="2437"/>
      <c r="M359" s="2437"/>
      <c r="N359" s="2437"/>
      <c r="O359" s="2437"/>
      <c r="P359" s="2437"/>
      <c r="Q359" s="2437"/>
      <c r="R359" s="2437"/>
      <c r="S359" s="2437"/>
      <c r="T359" s="2437"/>
      <c r="U359" s="2438"/>
      <c r="V359" s="2438"/>
      <c r="W359" s="2438"/>
      <c r="X359" s="2436"/>
    </row>
    <row r="360" spans="2:24" ht="12.75" customHeight="1" x14ac:dyDescent="0.2">
      <c r="B360" s="2431"/>
      <c r="C360" s="2432" t="s">
        <v>3186</v>
      </c>
      <c r="D360" s="2439">
        <v>25</v>
      </c>
      <c r="E360" s="2433">
        <v>-40</v>
      </c>
      <c r="F360" s="2433">
        <v>10</v>
      </c>
      <c r="G360" s="2433">
        <v>10</v>
      </c>
      <c r="H360" s="2433" t="s">
        <v>2354</v>
      </c>
      <c r="I360" s="2433" t="s">
        <v>2310</v>
      </c>
      <c r="J360" s="2433" t="s">
        <v>3187</v>
      </c>
      <c r="K360" s="2434" t="s">
        <v>2310</v>
      </c>
      <c r="L360" s="2435">
        <v>18</v>
      </c>
      <c r="M360" s="2435">
        <v>1</v>
      </c>
      <c r="N360" s="2435">
        <v>25</v>
      </c>
      <c r="O360" s="2435">
        <v>30</v>
      </c>
      <c r="P360" s="2435">
        <f>IF(COUNTIF(PDs!$E$46:$I$55,"Tabla de Esquiva con Escudo")&gt;0,O360,15)</f>
        <v>15</v>
      </c>
      <c r="Q360" s="2433" t="s">
        <v>2310</v>
      </c>
      <c r="R360" s="2433" t="s">
        <v>2310</v>
      </c>
      <c r="S360" s="2433" t="s">
        <v>2310</v>
      </c>
      <c r="T360" s="2433"/>
      <c r="U360" s="4754" t="s">
        <v>2310</v>
      </c>
      <c r="V360" s="4754"/>
      <c r="W360" s="4754"/>
      <c r="X360" s="2436" t="str">
        <f t="shared" si="22"/>
        <v>Distinta</v>
      </c>
    </row>
    <row r="361" spans="2:24" ht="12.75" customHeight="1" x14ac:dyDescent="0.2">
      <c r="B361" s="2431"/>
      <c r="C361" s="2432" t="s">
        <v>3188</v>
      </c>
      <c r="D361" s="2439">
        <v>20</v>
      </c>
      <c r="E361" s="2433">
        <v>-25</v>
      </c>
      <c r="F361" s="2433">
        <v>7</v>
      </c>
      <c r="G361" s="2433">
        <v>7</v>
      </c>
      <c r="H361" s="2433" t="s">
        <v>2354</v>
      </c>
      <c r="I361" s="2433" t="s">
        <v>2310</v>
      </c>
      <c r="J361" s="2433" t="s">
        <v>3187</v>
      </c>
      <c r="K361" s="2434" t="s">
        <v>2310</v>
      </c>
      <c r="L361" s="2435">
        <v>16</v>
      </c>
      <c r="M361" s="2435">
        <v>0</v>
      </c>
      <c r="N361" s="2435">
        <v>25</v>
      </c>
      <c r="O361" s="2435">
        <v>20</v>
      </c>
      <c r="P361" s="2435">
        <f>IF(COUNTIF(PDs!$E$46:$I$55,"Tabla de Esquiva con Escudo")&gt;0,O361,10)</f>
        <v>10</v>
      </c>
      <c r="Q361" s="2433" t="s">
        <v>2310</v>
      </c>
      <c r="R361" s="2433" t="s">
        <v>2310</v>
      </c>
      <c r="S361" s="2433" t="s">
        <v>2310</v>
      </c>
      <c r="T361" s="2433"/>
      <c r="U361" s="4754" t="s">
        <v>2310</v>
      </c>
      <c r="V361" s="4754"/>
      <c r="W361" s="4754"/>
      <c r="X361" s="2436" t="str">
        <f t="shared" si="22"/>
        <v>Distinta</v>
      </c>
    </row>
    <row r="362" spans="2:24" ht="12.75" customHeight="1" x14ac:dyDescent="0.2">
      <c r="B362" s="2431"/>
      <c r="C362" s="2432" t="s">
        <v>3189</v>
      </c>
      <c r="D362" s="2439">
        <v>15</v>
      </c>
      <c r="E362" s="2433">
        <v>-15</v>
      </c>
      <c r="F362" s="2433">
        <v>5</v>
      </c>
      <c r="G362" s="2433">
        <v>5</v>
      </c>
      <c r="H362" s="2433" t="s">
        <v>2354</v>
      </c>
      <c r="I362" s="2433" t="s">
        <v>2310</v>
      </c>
      <c r="J362" s="2433" t="s">
        <v>3187</v>
      </c>
      <c r="K362" s="2434" t="s">
        <v>2310</v>
      </c>
      <c r="L362" s="2435">
        <v>14</v>
      </c>
      <c r="M362" s="2435">
        <v>0</v>
      </c>
      <c r="N362" s="2435">
        <v>20</v>
      </c>
      <c r="O362" s="2435">
        <v>10</v>
      </c>
      <c r="P362" s="2435">
        <f>IF(COUNTIF(PDs!$E$46:$I$55,"Tabla de Esquiva con Escudo")&gt;0,O362,5)</f>
        <v>5</v>
      </c>
      <c r="Q362" s="2433" t="s">
        <v>2310</v>
      </c>
      <c r="R362" s="2433" t="s">
        <v>2310</v>
      </c>
      <c r="S362" s="2433" t="s">
        <v>2310</v>
      </c>
      <c r="T362" s="2433"/>
      <c r="U362" s="4754" t="s">
        <v>2310</v>
      </c>
      <c r="V362" s="4754"/>
      <c r="W362" s="4754"/>
      <c r="X362" s="2436" t="str">
        <f t="shared" si="22"/>
        <v>Distinta</v>
      </c>
    </row>
    <row r="363" spans="2:24" ht="12.75" customHeight="1" x14ac:dyDescent="0.2">
      <c r="B363" s="2431"/>
      <c r="C363" s="2432" t="s">
        <v>3190</v>
      </c>
      <c r="D363" s="2437"/>
      <c r="E363" s="2437"/>
      <c r="F363" s="2437"/>
      <c r="G363" s="2437"/>
      <c r="H363" s="2437"/>
      <c r="I363" s="2437"/>
      <c r="J363" s="2437"/>
      <c r="K363" s="2437"/>
      <c r="L363" s="2437"/>
      <c r="M363" s="2437"/>
      <c r="N363" s="2437"/>
      <c r="O363" s="2437"/>
      <c r="P363" s="2437"/>
      <c r="Q363" s="2437"/>
      <c r="R363" s="2437"/>
      <c r="S363" s="2437"/>
      <c r="T363" s="2437"/>
      <c r="U363" s="2438"/>
      <c r="V363" s="2438"/>
      <c r="W363" s="2438"/>
      <c r="X363" s="2436"/>
    </row>
    <row r="364" spans="2:24" ht="12.75" customHeight="1" x14ac:dyDescent="0.2">
      <c r="B364" s="2431"/>
      <c r="C364" s="2432" t="s">
        <v>3191</v>
      </c>
      <c r="D364" s="2439">
        <v>30</v>
      </c>
      <c r="E364" s="2433">
        <v>20</v>
      </c>
      <c r="F364" s="2433">
        <v>4</v>
      </c>
      <c r="G364" s="2433">
        <v>4</v>
      </c>
      <c r="H364" s="2433" t="s">
        <v>2409</v>
      </c>
      <c r="I364" s="2433" t="s">
        <v>2354</v>
      </c>
      <c r="J364" s="2433" t="s">
        <v>3130</v>
      </c>
      <c r="K364" s="2434" t="s">
        <v>2310</v>
      </c>
      <c r="L364" s="2435">
        <v>8</v>
      </c>
      <c r="M364" s="2435">
        <v>0</v>
      </c>
      <c r="N364" s="2435">
        <v>25</v>
      </c>
      <c r="O364" s="2433"/>
      <c r="P364" s="2433"/>
      <c r="Q364" s="2435">
        <v>40</v>
      </c>
      <c r="R364" s="2433" t="s">
        <v>2310</v>
      </c>
      <c r="S364" s="2433">
        <v>20</v>
      </c>
      <c r="T364" s="2433"/>
      <c r="U364" s="4754" t="s">
        <v>3192</v>
      </c>
      <c r="V364" s="4754"/>
      <c r="W364" s="4754"/>
      <c r="X364" s="2436" t="str">
        <f t="shared" si="22"/>
        <v>Distinta</v>
      </c>
    </row>
    <row r="365" spans="2:24" ht="12.75" customHeight="1" x14ac:dyDescent="0.2">
      <c r="B365" s="2431"/>
      <c r="C365" s="2432" t="s">
        <v>3193</v>
      </c>
      <c r="D365" s="2439">
        <v>35</v>
      </c>
      <c r="E365" s="2433">
        <v>15</v>
      </c>
      <c r="F365" s="2433">
        <v>4</v>
      </c>
      <c r="G365" s="2433">
        <v>4</v>
      </c>
      <c r="H365" s="2433" t="s">
        <v>2409</v>
      </c>
      <c r="I365" s="2433" t="s">
        <v>2410</v>
      </c>
      <c r="J365" s="2433" t="s">
        <v>3116</v>
      </c>
      <c r="K365" s="2434" t="s">
        <v>2310</v>
      </c>
      <c r="L365" s="2435">
        <v>12</v>
      </c>
      <c r="M365" s="2435">
        <v>2</v>
      </c>
      <c r="N365" s="2435">
        <v>25</v>
      </c>
      <c r="O365" s="2433"/>
      <c r="P365" s="2433"/>
      <c r="Q365" s="2433" t="s">
        <v>2310</v>
      </c>
      <c r="R365" s="2433" t="s">
        <v>2310</v>
      </c>
      <c r="S365" s="2433" t="s">
        <v>2310</v>
      </c>
      <c r="T365" s="2433"/>
      <c r="U365" s="4754" t="s">
        <v>3194</v>
      </c>
      <c r="V365" s="4754"/>
      <c r="W365" s="4754"/>
      <c r="X365" s="2436" t="str">
        <f t="shared" si="22"/>
        <v>Distinta</v>
      </c>
    </row>
    <row r="366" spans="2:24" ht="12.75" customHeight="1" x14ac:dyDescent="0.2">
      <c r="B366" s="2431"/>
      <c r="C366" s="2432" t="s">
        <v>3195</v>
      </c>
      <c r="D366" s="2439">
        <v>30</v>
      </c>
      <c r="E366" s="2433">
        <v>10</v>
      </c>
      <c r="F366" s="2433">
        <v>4</v>
      </c>
      <c r="G366" s="2433">
        <v>4</v>
      </c>
      <c r="H366" s="2433" t="s">
        <v>2354</v>
      </c>
      <c r="I366" s="2433" t="s">
        <v>2409</v>
      </c>
      <c r="J366" s="2433" t="s">
        <v>3130</v>
      </c>
      <c r="K366" s="2434" t="s">
        <v>2310</v>
      </c>
      <c r="L366" s="2435">
        <v>10</v>
      </c>
      <c r="M366" s="2435">
        <v>0</v>
      </c>
      <c r="N366" s="2435">
        <v>15</v>
      </c>
      <c r="O366" s="2433"/>
      <c r="P366" s="2433"/>
      <c r="Q366" s="2435">
        <v>60</v>
      </c>
      <c r="R366" s="2433" t="s">
        <v>2310</v>
      </c>
      <c r="S366" s="2433">
        <v>20</v>
      </c>
      <c r="T366" s="2433"/>
      <c r="U366" s="4754" t="s">
        <v>3196</v>
      </c>
      <c r="V366" s="4754"/>
      <c r="W366" s="4754"/>
      <c r="X366" s="2436" t="str">
        <f t="shared" si="22"/>
        <v>Distinta</v>
      </c>
    </row>
    <row r="367" spans="2:24" ht="12.75" customHeight="1" x14ac:dyDescent="0.2">
      <c r="B367" s="2431"/>
      <c r="C367" s="2432" t="s">
        <v>3197</v>
      </c>
      <c r="D367" s="2439">
        <v>35</v>
      </c>
      <c r="E367" s="2433">
        <v>10</v>
      </c>
      <c r="F367" s="2433">
        <v>4</v>
      </c>
      <c r="G367" s="2433">
        <v>4</v>
      </c>
      <c r="H367" s="2433" t="s">
        <v>2354</v>
      </c>
      <c r="I367" s="2433" t="s">
        <v>2409</v>
      </c>
      <c r="J367" s="2433" t="s">
        <v>3130</v>
      </c>
      <c r="K367" s="2434" t="s">
        <v>2310</v>
      </c>
      <c r="L367" s="2435">
        <v>11</v>
      </c>
      <c r="M367" s="2435">
        <v>2</v>
      </c>
      <c r="N367" s="2435">
        <v>25</v>
      </c>
      <c r="O367" s="2433"/>
      <c r="P367" s="2433"/>
      <c r="Q367" s="2433" t="s">
        <v>2310</v>
      </c>
      <c r="R367" s="2433" t="s">
        <v>2310</v>
      </c>
      <c r="S367" s="2433" t="s">
        <v>2310</v>
      </c>
      <c r="T367" s="2433"/>
      <c r="U367" s="4754" t="s">
        <v>3198</v>
      </c>
      <c r="V367" s="4754"/>
      <c r="W367" s="4754"/>
      <c r="X367" s="2436" t="str">
        <f t="shared" si="22"/>
        <v>Distinta</v>
      </c>
    </row>
    <row r="368" spans="2:24" ht="12.75" customHeight="1" x14ac:dyDescent="0.2">
      <c r="B368" s="2431"/>
      <c r="C368" s="2432" t="s">
        <v>3199</v>
      </c>
      <c r="D368" s="2439">
        <v>30</v>
      </c>
      <c r="E368" s="2433">
        <v>15</v>
      </c>
      <c r="F368" s="2433">
        <v>4</v>
      </c>
      <c r="G368" s="2433">
        <v>4</v>
      </c>
      <c r="H368" s="2433" t="s">
        <v>2409</v>
      </c>
      <c r="I368" s="2433" t="s">
        <v>2410</v>
      </c>
      <c r="J368" s="2433" t="s">
        <v>3130</v>
      </c>
      <c r="K368" s="2434" t="s">
        <v>2310</v>
      </c>
      <c r="L368" s="2435">
        <v>12</v>
      </c>
      <c r="M368" s="2435">
        <v>2</v>
      </c>
      <c r="N368" s="2435">
        <v>15</v>
      </c>
      <c r="O368" s="2433"/>
      <c r="P368" s="2433"/>
      <c r="Q368" s="2433" t="s">
        <v>2310</v>
      </c>
      <c r="R368" s="2433" t="s">
        <v>2310</v>
      </c>
      <c r="S368" s="2433" t="s">
        <v>2310</v>
      </c>
      <c r="T368" s="2433"/>
      <c r="U368" s="4754" t="s">
        <v>2310</v>
      </c>
      <c r="V368" s="4754"/>
      <c r="W368" s="4754"/>
      <c r="X368" s="2436" t="str">
        <f t="shared" si="22"/>
        <v>Distinta</v>
      </c>
    </row>
    <row r="369" spans="2:24" ht="12.75" customHeight="1" x14ac:dyDescent="0.2">
      <c r="B369" s="2431"/>
      <c r="C369" s="2432" t="s">
        <v>3200</v>
      </c>
      <c r="D369" s="2439">
        <v>50</v>
      </c>
      <c r="E369" s="2433">
        <v>0</v>
      </c>
      <c r="F369" s="2433">
        <v>6</v>
      </c>
      <c r="G369" s="2433">
        <v>5</v>
      </c>
      <c r="H369" s="2433" t="s">
        <v>2409</v>
      </c>
      <c r="I369" s="2433" t="s">
        <v>2310</v>
      </c>
      <c r="J369" s="2433" t="s">
        <v>3132</v>
      </c>
      <c r="K369" s="2434" t="s">
        <v>2310</v>
      </c>
      <c r="L369" s="2435">
        <v>11</v>
      </c>
      <c r="M369" s="2435">
        <v>3</v>
      </c>
      <c r="N369" s="2435">
        <v>40</v>
      </c>
      <c r="O369" s="2433"/>
      <c r="P369" s="2433"/>
      <c r="Q369" s="2433" t="s">
        <v>2310</v>
      </c>
      <c r="R369" s="2433" t="s">
        <v>2310</v>
      </c>
      <c r="S369" s="2433" t="s">
        <v>2310</v>
      </c>
      <c r="T369" s="2433"/>
      <c r="U369" s="4754" t="s">
        <v>3140</v>
      </c>
      <c r="V369" s="4754"/>
      <c r="W369" s="4754"/>
      <c r="X369" s="2436" t="str">
        <f t="shared" si="22"/>
        <v>Distinta</v>
      </c>
    </row>
    <row r="370" spans="2:24" ht="12.75" customHeight="1" x14ac:dyDescent="0.2">
      <c r="B370" s="2431"/>
      <c r="C370" s="2432" t="s">
        <v>3201</v>
      </c>
      <c r="D370" s="2439">
        <v>55</v>
      </c>
      <c r="E370" s="2433">
        <v>-5</v>
      </c>
      <c r="F370" s="2433">
        <v>8</v>
      </c>
      <c r="G370" s="2433">
        <v>8</v>
      </c>
      <c r="H370" s="2433" t="s">
        <v>2409</v>
      </c>
      <c r="I370" s="2433" t="s">
        <v>2310</v>
      </c>
      <c r="J370" s="2433" t="s">
        <v>3132</v>
      </c>
      <c r="K370" s="2434" t="s">
        <v>2310</v>
      </c>
      <c r="L370" s="2435">
        <v>11</v>
      </c>
      <c r="M370" s="2435">
        <v>3</v>
      </c>
      <c r="N370" s="2435">
        <v>40</v>
      </c>
      <c r="O370" s="2433"/>
      <c r="P370" s="2433"/>
      <c r="Q370" s="2433" t="s">
        <v>2310</v>
      </c>
      <c r="R370" s="2433" t="s">
        <v>2310</v>
      </c>
      <c r="S370" s="2433" t="s">
        <v>2310</v>
      </c>
      <c r="T370" s="2433"/>
      <c r="U370" s="4768" t="s">
        <v>3202</v>
      </c>
      <c r="V370" s="4768"/>
      <c r="W370" s="4768"/>
      <c r="X370" s="2436" t="str">
        <f t="shared" si="22"/>
        <v>Distinta</v>
      </c>
    </row>
    <row r="371" spans="2:24" ht="12.75" customHeight="1" x14ac:dyDescent="0.2">
      <c r="B371" s="2431"/>
      <c r="C371" s="2432" t="s">
        <v>3203</v>
      </c>
      <c r="D371" s="2439">
        <v>40</v>
      </c>
      <c r="E371" s="2433">
        <v>10</v>
      </c>
      <c r="F371" s="2433">
        <v>8</v>
      </c>
      <c r="G371" s="2433">
        <v>8</v>
      </c>
      <c r="H371" s="2433" t="s">
        <v>2410</v>
      </c>
      <c r="I371" s="2433" t="s">
        <v>2409</v>
      </c>
      <c r="J371" s="2433" t="s">
        <v>3130</v>
      </c>
      <c r="K371" s="2434" t="s">
        <v>2310</v>
      </c>
      <c r="L371" s="2435">
        <v>13</v>
      </c>
      <c r="M371" s="2435">
        <v>3</v>
      </c>
      <c r="N371" s="2435">
        <v>25</v>
      </c>
      <c r="O371" s="2433"/>
      <c r="P371" s="2433"/>
      <c r="Q371" s="2433" t="s">
        <v>2310</v>
      </c>
      <c r="R371" s="2433" t="s">
        <v>2310</v>
      </c>
      <c r="S371" s="2433" t="s">
        <v>2310</v>
      </c>
      <c r="T371" s="2433"/>
      <c r="U371" s="4754" t="s">
        <v>3204</v>
      </c>
      <c r="V371" s="4754"/>
      <c r="W371" s="4754"/>
      <c r="X371" s="2436" t="str">
        <f t="shared" si="22"/>
        <v>Distinta</v>
      </c>
    </row>
    <row r="372" spans="2:24" ht="12.75" customHeight="1" x14ac:dyDescent="0.2">
      <c r="B372" s="2431"/>
      <c r="C372" s="2432" t="s">
        <v>3205</v>
      </c>
      <c r="D372" s="2439">
        <f>40-Bono_Fue</f>
        <v>30</v>
      </c>
      <c r="E372" s="2433">
        <v>5</v>
      </c>
      <c r="F372" s="2433">
        <v>5</v>
      </c>
      <c r="G372" s="2433">
        <v>5</v>
      </c>
      <c r="H372" s="2433" t="s">
        <v>2409</v>
      </c>
      <c r="I372" s="2433" t="s">
        <v>3206</v>
      </c>
      <c r="J372" s="2433" t="s">
        <v>3130</v>
      </c>
      <c r="K372" s="2433" t="s">
        <v>3127</v>
      </c>
      <c r="L372" s="2435">
        <v>12</v>
      </c>
      <c r="M372" s="2435">
        <v>4</v>
      </c>
      <c r="N372" s="2435">
        <v>25</v>
      </c>
      <c r="O372" s="2433"/>
      <c r="P372" s="2433"/>
      <c r="Q372" s="2433" t="s">
        <v>2310</v>
      </c>
      <c r="R372" s="2433" t="s">
        <v>2310</v>
      </c>
      <c r="S372" s="2433" t="s">
        <v>2310</v>
      </c>
      <c r="T372" s="2433"/>
      <c r="U372" s="4768" t="s">
        <v>3207</v>
      </c>
      <c r="V372" s="4768"/>
      <c r="W372" s="4768"/>
      <c r="X372" s="2436" t="str">
        <f t="shared" si="22"/>
        <v>Distinta</v>
      </c>
    </row>
    <row r="373" spans="2:24" ht="12.75" customHeight="1" x14ac:dyDescent="0.2">
      <c r="B373" s="2431"/>
      <c r="C373" s="2432" t="s">
        <v>3208</v>
      </c>
      <c r="D373" s="2439">
        <v>80</v>
      </c>
      <c r="E373" s="2433">
        <v>-35</v>
      </c>
      <c r="F373" s="2433">
        <v>10</v>
      </c>
      <c r="G373" s="2433">
        <v>8</v>
      </c>
      <c r="H373" s="2433" t="s">
        <v>2409</v>
      </c>
      <c r="I373" s="2433" t="s">
        <v>2310</v>
      </c>
      <c r="J373" s="2433" t="s">
        <v>3117</v>
      </c>
      <c r="K373" s="2434" t="s">
        <v>2310</v>
      </c>
      <c r="L373" s="2435">
        <v>14</v>
      </c>
      <c r="M373" s="2435">
        <v>4</v>
      </c>
      <c r="N373" s="2435">
        <v>40</v>
      </c>
      <c r="O373" s="2433"/>
      <c r="P373" s="2433"/>
      <c r="Q373" s="2433" t="s">
        <v>2310</v>
      </c>
      <c r="R373" s="2433" t="s">
        <v>2310</v>
      </c>
      <c r="S373" s="2433" t="s">
        <v>2310</v>
      </c>
      <c r="T373" s="2433"/>
      <c r="U373" s="4754" t="s">
        <v>3140</v>
      </c>
      <c r="V373" s="4754"/>
      <c r="W373" s="4754"/>
      <c r="X373" s="2436" t="str">
        <f t="shared" si="22"/>
        <v>Distinta</v>
      </c>
    </row>
    <row r="374" spans="2:24" ht="12.75" customHeight="1" x14ac:dyDescent="0.2">
      <c r="B374" s="2431"/>
      <c r="C374" s="2432" t="s">
        <v>3209</v>
      </c>
      <c r="D374" s="2439">
        <v>30</v>
      </c>
      <c r="E374" s="2433">
        <v>15</v>
      </c>
      <c r="F374" s="2433">
        <v>5</v>
      </c>
      <c r="G374" s="2433">
        <v>5</v>
      </c>
      <c r="H374" s="2433" t="s">
        <v>2354</v>
      </c>
      <c r="I374" s="2433" t="s">
        <v>2310</v>
      </c>
      <c r="J374" s="2433" t="s">
        <v>3127</v>
      </c>
      <c r="K374" s="2434" t="s">
        <v>2310</v>
      </c>
      <c r="L374" s="2435">
        <v>11</v>
      </c>
      <c r="M374" s="2435">
        <v>0</v>
      </c>
      <c r="N374" s="2435">
        <v>15</v>
      </c>
      <c r="O374" s="2433"/>
      <c r="P374" s="2433"/>
      <c r="Q374" s="2433" t="s">
        <v>2310</v>
      </c>
      <c r="R374" s="2433" t="s">
        <v>2310</v>
      </c>
      <c r="S374" s="2433" t="s">
        <v>2310</v>
      </c>
      <c r="T374" s="2433"/>
      <c r="U374" s="4754" t="s">
        <v>2310</v>
      </c>
      <c r="V374" s="4754"/>
      <c r="W374" s="4754"/>
      <c r="X374" s="2436" t="str">
        <f t="shared" si="22"/>
        <v>Distinta</v>
      </c>
    </row>
    <row r="375" spans="2:24" ht="12.75" customHeight="1" x14ac:dyDescent="0.2">
      <c r="B375" s="2431"/>
      <c r="C375" s="2432" t="s">
        <v>3210</v>
      </c>
      <c r="D375" s="2439">
        <v>50</v>
      </c>
      <c r="E375" s="2433">
        <v>-20</v>
      </c>
      <c r="F375" s="2433">
        <v>10</v>
      </c>
      <c r="G375" s="2433">
        <v>8</v>
      </c>
      <c r="H375" s="2433" t="s">
        <v>2354</v>
      </c>
      <c r="I375" s="2433" t="s">
        <v>2409</v>
      </c>
      <c r="J375" s="2433" t="s">
        <v>3117</v>
      </c>
      <c r="K375" s="2434" t="s">
        <v>2310</v>
      </c>
      <c r="L375" s="2435">
        <v>16</v>
      </c>
      <c r="M375" s="2435">
        <v>8</v>
      </c>
      <c r="N375" s="2435">
        <v>25</v>
      </c>
      <c r="O375" s="2433"/>
      <c r="P375" s="2433"/>
      <c r="Q375" s="2433" t="s">
        <v>2310</v>
      </c>
      <c r="R375" s="2433" t="s">
        <v>2310</v>
      </c>
      <c r="S375" s="2433" t="s">
        <v>2310</v>
      </c>
      <c r="T375" s="2433"/>
      <c r="U375" s="4754" t="s">
        <v>3140</v>
      </c>
      <c r="V375" s="4754"/>
      <c r="W375" s="4754"/>
      <c r="X375" s="2436" t="str">
        <f t="shared" si="22"/>
        <v>Distinta</v>
      </c>
    </row>
    <row r="376" spans="2:24" ht="12.75" customHeight="1" x14ac:dyDescent="0.2">
      <c r="B376" s="2431"/>
      <c r="C376" s="2432" t="s">
        <v>3211</v>
      </c>
      <c r="D376" s="2439">
        <v>35</v>
      </c>
      <c r="E376" s="2433">
        <v>15</v>
      </c>
      <c r="F376" s="2433">
        <v>4</v>
      </c>
      <c r="G376" s="2433">
        <v>4</v>
      </c>
      <c r="H376" s="2433" t="s">
        <v>2410</v>
      </c>
      <c r="I376" s="2433" t="s">
        <v>2409</v>
      </c>
      <c r="J376" s="2433" t="s">
        <v>3130</v>
      </c>
      <c r="K376" s="2434" t="s">
        <v>2310</v>
      </c>
      <c r="L376" s="2435">
        <v>12</v>
      </c>
      <c r="M376" s="2435">
        <v>0</v>
      </c>
      <c r="N376" s="2435">
        <v>25</v>
      </c>
      <c r="O376" s="2433"/>
      <c r="P376" s="2433"/>
      <c r="Q376" s="2433" t="s">
        <v>2310</v>
      </c>
      <c r="R376" s="2433" t="s">
        <v>2310</v>
      </c>
      <c r="S376" s="2433" t="s">
        <v>2310</v>
      </c>
      <c r="T376" s="2433"/>
      <c r="U376" s="4754" t="s">
        <v>3212</v>
      </c>
      <c r="V376" s="4754"/>
      <c r="W376" s="4754"/>
      <c r="X376" s="2436" t="str">
        <f t="shared" si="22"/>
        <v>Distinta</v>
      </c>
    </row>
    <row r="377" spans="2:24" ht="12.75" customHeight="1" x14ac:dyDescent="0.2">
      <c r="B377" s="2431"/>
      <c r="C377" s="2432" t="s">
        <v>3213</v>
      </c>
      <c r="D377" s="2439">
        <v>20</v>
      </c>
      <c r="E377" s="2433">
        <v>10</v>
      </c>
      <c r="F377" s="2433">
        <v>4</v>
      </c>
      <c r="G377" s="2433">
        <v>4</v>
      </c>
      <c r="H377" s="2433" t="s">
        <v>2410</v>
      </c>
      <c r="I377" s="2433" t="s">
        <v>2310</v>
      </c>
      <c r="J377" s="2433" t="s">
        <v>3130</v>
      </c>
      <c r="K377" s="2434" t="s">
        <v>2310</v>
      </c>
      <c r="L377" s="2435">
        <v>9</v>
      </c>
      <c r="M377" s="2435">
        <v>-2</v>
      </c>
      <c r="N377" s="2435">
        <v>25</v>
      </c>
      <c r="O377" s="2433"/>
      <c r="P377" s="2433"/>
      <c r="Q377" s="2433" t="s">
        <v>2310</v>
      </c>
      <c r="R377" s="2433" t="s">
        <v>2310</v>
      </c>
      <c r="S377" s="2433" t="s">
        <v>2310</v>
      </c>
      <c r="T377" s="2433"/>
      <c r="U377" s="4754" t="s">
        <v>3166</v>
      </c>
      <c r="V377" s="4754"/>
      <c r="W377" s="4754"/>
      <c r="X377" s="2436" t="str">
        <f t="shared" ref="X377:X425" si="23">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31"/>
      <c r="C378" s="2432" t="s">
        <v>3214</v>
      </c>
      <c r="D378" s="2439">
        <v>25</v>
      </c>
      <c r="E378" s="2433">
        <v>20</v>
      </c>
      <c r="F378" s="2433">
        <v>4</v>
      </c>
      <c r="G378" s="2433">
        <v>4</v>
      </c>
      <c r="H378" s="2433" t="s">
        <v>2409</v>
      </c>
      <c r="I378" s="2433" t="s">
        <v>2410</v>
      </c>
      <c r="J378" s="2433" t="s">
        <v>3130</v>
      </c>
      <c r="K378" s="2434" t="s">
        <v>2310</v>
      </c>
      <c r="L378" s="2435">
        <v>10</v>
      </c>
      <c r="M378" s="2435">
        <v>1</v>
      </c>
      <c r="N378" s="2435">
        <v>20</v>
      </c>
      <c r="O378" s="2433"/>
      <c r="P378" s="2433"/>
      <c r="Q378" s="2435">
        <v>30</v>
      </c>
      <c r="R378" s="2433" t="s">
        <v>2310</v>
      </c>
      <c r="S378" s="2433">
        <v>20</v>
      </c>
      <c r="T378" s="2433"/>
      <c r="U378" s="4754" t="s">
        <v>3215</v>
      </c>
      <c r="V378" s="4754"/>
      <c r="W378" s="4754"/>
      <c r="X378" s="2436" t="str">
        <f t="shared" si="23"/>
        <v>Distinta</v>
      </c>
    </row>
    <row r="379" spans="2:24" ht="12.75" customHeight="1" x14ac:dyDescent="0.2">
      <c r="B379" s="2431"/>
      <c r="C379" s="2432" t="s">
        <v>3216</v>
      </c>
      <c r="D379" s="2439">
        <v>40</v>
      </c>
      <c r="E379" s="2433">
        <v>20</v>
      </c>
      <c r="F379" s="2433">
        <v>3</v>
      </c>
      <c r="G379" s="2433">
        <v>3</v>
      </c>
      <c r="H379" s="2433" t="s">
        <v>2409</v>
      </c>
      <c r="I379" s="2433" t="s">
        <v>2310</v>
      </c>
      <c r="J379" s="2433" t="s">
        <v>3130</v>
      </c>
      <c r="K379" s="2434" t="s">
        <v>2310</v>
      </c>
      <c r="L379" s="2435">
        <v>9</v>
      </c>
      <c r="M379" s="2435">
        <v>1</v>
      </c>
      <c r="N379" s="2435">
        <v>40</v>
      </c>
      <c r="O379" s="2433"/>
      <c r="P379" s="2433"/>
      <c r="Q379" s="2433" t="s">
        <v>2310</v>
      </c>
      <c r="R379" s="2433" t="s">
        <v>2310</v>
      </c>
      <c r="S379" s="2433" t="s">
        <v>2310</v>
      </c>
      <c r="T379" s="2433"/>
      <c r="U379" s="4754" t="s">
        <v>3144</v>
      </c>
      <c r="V379" s="4754"/>
      <c r="W379" s="4754"/>
      <c r="X379" s="2436" t="str">
        <f t="shared" si="23"/>
        <v>Distinta</v>
      </c>
    </row>
    <row r="380" spans="2:24" ht="12.75" customHeight="1" x14ac:dyDescent="0.2">
      <c r="B380" s="2431"/>
      <c r="C380" s="2432" t="s">
        <v>3217</v>
      </c>
      <c r="D380" s="2439">
        <v>30</v>
      </c>
      <c r="E380" s="2433">
        <v>20</v>
      </c>
      <c r="F380" s="2433">
        <v>4</v>
      </c>
      <c r="G380" s="2433">
        <v>4</v>
      </c>
      <c r="H380" s="2433" t="s">
        <v>2354</v>
      </c>
      <c r="I380" s="2433" t="s">
        <v>2310</v>
      </c>
      <c r="J380" s="2433" t="s">
        <v>3130</v>
      </c>
      <c r="K380" s="2434" t="s">
        <v>2310</v>
      </c>
      <c r="L380" s="2435">
        <v>13</v>
      </c>
      <c r="M380" s="2435">
        <v>0</v>
      </c>
      <c r="N380" s="2435">
        <v>25</v>
      </c>
      <c r="O380" s="2433"/>
      <c r="P380" s="2433"/>
      <c r="Q380" s="2433" t="s">
        <v>2310</v>
      </c>
      <c r="R380" s="2433" t="s">
        <v>2310</v>
      </c>
      <c r="S380" s="2433" t="s">
        <v>2310</v>
      </c>
      <c r="T380" s="2433"/>
      <c r="U380" s="4754" t="s">
        <v>3144</v>
      </c>
      <c r="V380" s="4754"/>
      <c r="W380" s="4754"/>
      <c r="X380" s="2436" t="str">
        <f t="shared" si="23"/>
        <v>Distinta</v>
      </c>
    </row>
    <row r="381" spans="2:24" ht="12.75" customHeight="1" x14ac:dyDescent="0.2">
      <c r="B381" s="2431"/>
      <c r="C381" s="2432" t="s">
        <v>9619</v>
      </c>
      <c r="D381" s="2439">
        <v>25</v>
      </c>
      <c r="E381" s="2433">
        <v>0</v>
      </c>
      <c r="F381" s="2433">
        <v>5</v>
      </c>
      <c r="G381" s="2433">
        <v>6</v>
      </c>
      <c r="H381" s="2433" t="s">
        <v>2354</v>
      </c>
      <c r="I381" s="2433" t="s">
        <v>2310</v>
      </c>
      <c r="J381" s="2433" t="s">
        <v>3132</v>
      </c>
      <c r="K381" s="2434" t="s">
        <v>2310</v>
      </c>
      <c r="L381" s="2435">
        <v>8</v>
      </c>
      <c r="M381" s="2435">
        <v>-1</v>
      </c>
      <c r="N381" s="2435">
        <v>15</v>
      </c>
      <c r="O381" s="2433"/>
      <c r="P381" s="2433"/>
      <c r="Q381" s="2433" t="s">
        <v>2310</v>
      </c>
      <c r="R381" s="2433" t="s">
        <v>2310</v>
      </c>
      <c r="S381" s="2433" t="s">
        <v>2310</v>
      </c>
      <c r="T381" s="2433"/>
      <c r="U381" s="2440" t="s">
        <v>3224</v>
      </c>
      <c r="V381" s="2440"/>
      <c r="W381" s="2440"/>
      <c r="X381" s="2436" t="str">
        <f t="shared" si="23"/>
        <v>Distinta</v>
      </c>
    </row>
    <row r="382" spans="2:24" ht="12.75" customHeight="1" x14ac:dyDescent="0.2">
      <c r="B382" s="2431"/>
      <c r="C382" s="2432" t="s">
        <v>9636</v>
      </c>
      <c r="D382" s="2439">
        <v>20</v>
      </c>
      <c r="E382" s="2433">
        <v>15</v>
      </c>
      <c r="F382" s="2433">
        <v>4</v>
      </c>
      <c r="G382" s="2433">
        <v>4</v>
      </c>
      <c r="H382" s="2433" t="s">
        <v>2354</v>
      </c>
      <c r="I382" s="2433" t="s">
        <v>2310</v>
      </c>
      <c r="J382" s="2433" t="s">
        <v>3130</v>
      </c>
      <c r="K382" s="2434" t="s">
        <v>2310</v>
      </c>
      <c r="L382" s="2435">
        <v>13</v>
      </c>
      <c r="M382" s="2435">
        <v>2</v>
      </c>
      <c r="N382" s="2435">
        <v>20</v>
      </c>
      <c r="O382" s="2433"/>
      <c r="P382" s="2433"/>
      <c r="Q382" s="2433" t="s">
        <v>2310</v>
      </c>
      <c r="R382" s="2433" t="s">
        <v>2310</v>
      </c>
      <c r="S382" s="2433" t="s">
        <v>2310</v>
      </c>
      <c r="T382" s="2433"/>
      <c r="U382" s="2440" t="s">
        <v>9656</v>
      </c>
      <c r="V382" s="2442"/>
      <c r="W382" s="2442"/>
      <c r="X382" s="2436" t="str">
        <f t="shared" si="23"/>
        <v>Distinta</v>
      </c>
    </row>
    <row r="383" spans="2:24" ht="12.75" customHeight="1" x14ac:dyDescent="0.2">
      <c r="B383" s="2431"/>
      <c r="C383" s="2432" t="s">
        <v>9637</v>
      </c>
      <c r="D383" s="2439">
        <v>40</v>
      </c>
      <c r="E383" s="2433">
        <v>5</v>
      </c>
      <c r="F383" s="2433">
        <v>4</v>
      </c>
      <c r="G383" s="2433">
        <v>4</v>
      </c>
      <c r="H383" s="2433" t="s">
        <v>2409</v>
      </c>
      <c r="I383" s="2433" t="s">
        <v>2410</v>
      </c>
      <c r="J383" s="2433" t="s">
        <v>3130</v>
      </c>
      <c r="K383" s="2434" t="s">
        <v>2310</v>
      </c>
      <c r="L383" s="2435">
        <v>12</v>
      </c>
      <c r="M383" s="2435">
        <v>1</v>
      </c>
      <c r="N383" s="2435">
        <v>20</v>
      </c>
      <c r="O383" s="2433"/>
      <c r="P383" s="2433"/>
      <c r="Q383" s="2433" t="s">
        <v>2310</v>
      </c>
      <c r="R383" s="2433" t="s">
        <v>2310</v>
      </c>
      <c r="S383" s="2433" t="s">
        <v>2310</v>
      </c>
      <c r="T383" s="2433"/>
      <c r="U383" s="2440" t="s">
        <v>2310</v>
      </c>
      <c r="V383" s="2440"/>
      <c r="W383" s="2440"/>
      <c r="X383" s="2436" t="str">
        <f t="shared" si="23"/>
        <v>Distinta</v>
      </c>
    </row>
    <row r="384" spans="2:24" ht="12.75" customHeight="1" x14ac:dyDescent="0.2">
      <c r="B384" s="2431"/>
      <c r="C384" s="2432" t="s">
        <v>9638</v>
      </c>
      <c r="D384" s="2439">
        <v>30</v>
      </c>
      <c r="E384" s="2433">
        <v>0</v>
      </c>
      <c r="F384" s="2433">
        <v>6</v>
      </c>
      <c r="G384" s="2433">
        <v>6</v>
      </c>
      <c r="H384" s="2433" t="s">
        <v>2354</v>
      </c>
      <c r="I384" s="2433" t="s">
        <v>2310</v>
      </c>
      <c r="J384" s="2433" t="s">
        <v>3127</v>
      </c>
      <c r="K384" s="2434" t="s">
        <v>2310</v>
      </c>
      <c r="L384" s="2435">
        <v>13</v>
      </c>
      <c r="M384" s="2435">
        <v>3</v>
      </c>
      <c r="N384" s="2435">
        <v>20</v>
      </c>
      <c r="O384" s="2433"/>
      <c r="P384" s="2433"/>
      <c r="Q384" s="2433" t="s">
        <v>2310</v>
      </c>
      <c r="R384" s="2433" t="s">
        <v>2310</v>
      </c>
      <c r="S384" s="2433" t="s">
        <v>2310</v>
      </c>
      <c r="T384" s="2433"/>
      <c r="U384" s="2442" t="s">
        <v>9657</v>
      </c>
      <c r="V384" s="2440"/>
      <c r="W384" s="2440"/>
      <c r="X384" s="2436" t="str">
        <f t="shared" si="23"/>
        <v>Distinta</v>
      </c>
    </row>
    <row r="385" spans="2:24" ht="12.75" customHeight="1" x14ac:dyDescent="0.2">
      <c r="B385" s="2431"/>
      <c r="C385" s="2432" t="s">
        <v>9639</v>
      </c>
      <c r="D385" s="2439">
        <v>20</v>
      </c>
      <c r="E385" s="2433">
        <v>15</v>
      </c>
      <c r="F385" s="2433">
        <v>4</v>
      </c>
      <c r="G385" s="2433">
        <v>4</v>
      </c>
      <c r="H385" s="2433" t="s">
        <v>2354</v>
      </c>
      <c r="I385" s="2433" t="s">
        <v>2310</v>
      </c>
      <c r="J385" s="2433" t="s">
        <v>3152</v>
      </c>
      <c r="K385" s="2434" t="s">
        <v>2310</v>
      </c>
      <c r="L385" s="2435">
        <v>13</v>
      </c>
      <c r="M385" s="2435">
        <v>3</v>
      </c>
      <c r="N385" s="2435">
        <v>20</v>
      </c>
      <c r="O385" s="2433"/>
      <c r="P385" s="2433"/>
      <c r="Q385" s="2433" t="s">
        <v>2310</v>
      </c>
      <c r="R385" s="2433" t="s">
        <v>2310</v>
      </c>
      <c r="S385" s="2433" t="s">
        <v>2310</v>
      </c>
      <c r="T385" s="2433"/>
      <c r="U385" s="2440" t="s">
        <v>2310</v>
      </c>
      <c r="V385" s="2440"/>
      <c r="W385" s="2440"/>
      <c r="X385" s="2436" t="str">
        <f t="shared" si="23"/>
        <v>Distinta</v>
      </c>
    </row>
    <row r="386" spans="2:24" ht="12.75" customHeight="1" x14ac:dyDescent="0.2">
      <c r="B386" s="2431"/>
      <c r="C386" s="2432" t="s">
        <v>9640</v>
      </c>
      <c r="D386" s="2439">
        <v>30</v>
      </c>
      <c r="E386" s="2433">
        <v>15</v>
      </c>
      <c r="F386" s="2433">
        <v>4</v>
      </c>
      <c r="G386" s="2433">
        <v>4</v>
      </c>
      <c r="H386" s="2433" t="s">
        <v>2410</v>
      </c>
      <c r="I386" s="2433" t="s">
        <v>2409</v>
      </c>
      <c r="J386" s="2433" t="s">
        <v>3130</v>
      </c>
      <c r="K386" s="2434" t="s">
        <v>2310</v>
      </c>
      <c r="L386" s="2435">
        <v>11</v>
      </c>
      <c r="M386" s="2435">
        <v>1</v>
      </c>
      <c r="N386" s="2435">
        <v>20</v>
      </c>
      <c r="O386" s="2433"/>
      <c r="P386" s="2433"/>
      <c r="Q386" s="2433" t="s">
        <v>2310</v>
      </c>
      <c r="R386" s="2433" t="s">
        <v>2310</v>
      </c>
      <c r="S386" s="2433" t="s">
        <v>2310</v>
      </c>
      <c r="T386" s="2433"/>
      <c r="U386" s="2440" t="s">
        <v>3144</v>
      </c>
      <c r="V386" s="2440"/>
      <c r="W386" s="2440"/>
      <c r="X386" s="2436" t="str">
        <f t="shared" si="23"/>
        <v>Distinta</v>
      </c>
    </row>
    <row r="387" spans="2:24" ht="12.75" customHeight="1" x14ac:dyDescent="0.2">
      <c r="B387" s="2431"/>
      <c r="C387" s="2432" t="s">
        <v>9641</v>
      </c>
      <c r="D387" s="2439">
        <v>35</v>
      </c>
      <c r="E387" s="2433">
        <v>-10</v>
      </c>
      <c r="F387" s="2433">
        <v>4</v>
      </c>
      <c r="G387" s="2433">
        <v>4</v>
      </c>
      <c r="H387" s="2433" t="s">
        <v>2410</v>
      </c>
      <c r="I387" s="2433" t="s">
        <v>2310</v>
      </c>
      <c r="J387" s="2433" t="s">
        <v>3116</v>
      </c>
      <c r="K387" s="2434" t="s">
        <v>2310</v>
      </c>
      <c r="L387" s="2435">
        <v>13</v>
      </c>
      <c r="M387" s="2435">
        <v>2</v>
      </c>
      <c r="N387" s="2435">
        <v>25</v>
      </c>
      <c r="O387" s="2433"/>
      <c r="P387" s="2433"/>
      <c r="Q387" s="2433" t="s">
        <v>2310</v>
      </c>
      <c r="R387" s="2433" t="s">
        <v>2310</v>
      </c>
      <c r="S387" s="2433" t="s">
        <v>2310</v>
      </c>
      <c r="T387" s="2433"/>
      <c r="U387" s="2440" t="s">
        <v>3166</v>
      </c>
      <c r="V387" s="2440"/>
      <c r="W387" s="2440"/>
      <c r="X387" s="2436" t="str">
        <f t="shared" si="23"/>
        <v>Distinta</v>
      </c>
    </row>
    <row r="388" spans="2:24" ht="12.75" customHeight="1" x14ac:dyDescent="0.2">
      <c r="B388" s="2431"/>
      <c r="C388" s="2432" t="s">
        <v>9642</v>
      </c>
      <c r="D388" s="2439">
        <v>25</v>
      </c>
      <c r="E388" s="2433">
        <v>20</v>
      </c>
      <c r="F388" s="2433">
        <v>4</v>
      </c>
      <c r="G388" s="2433">
        <v>4</v>
      </c>
      <c r="H388" s="2433" t="s">
        <v>2410</v>
      </c>
      <c r="I388" s="2433" t="s">
        <v>2310</v>
      </c>
      <c r="J388" s="2433" t="s">
        <v>3130</v>
      </c>
      <c r="K388" s="2434" t="s">
        <v>2310</v>
      </c>
      <c r="L388" s="2435">
        <v>10</v>
      </c>
      <c r="M388" s="2435">
        <v>2</v>
      </c>
      <c r="N388" s="2435">
        <v>15</v>
      </c>
      <c r="O388" s="2433"/>
      <c r="P388" s="2433"/>
      <c r="Q388" s="2433">
        <v>40</v>
      </c>
      <c r="R388" s="2433" t="s">
        <v>2310</v>
      </c>
      <c r="S388" s="2433">
        <v>20</v>
      </c>
      <c r="T388" s="2433"/>
      <c r="U388" s="2440" t="s">
        <v>3138</v>
      </c>
      <c r="V388" s="2440"/>
      <c r="W388" s="2440"/>
      <c r="X388" s="2436" t="str">
        <f t="shared" si="23"/>
        <v>Distinta</v>
      </c>
    </row>
    <row r="389" spans="2:24" ht="12.75" customHeight="1" x14ac:dyDescent="0.2">
      <c r="B389" s="2431"/>
      <c r="C389" s="2432" t="s">
        <v>9643</v>
      </c>
      <c r="D389" s="2439">
        <v>25</v>
      </c>
      <c r="E389" s="2433">
        <v>10</v>
      </c>
      <c r="F389" s="2433">
        <v>4</v>
      </c>
      <c r="G389" s="2433">
        <v>4</v>
      </c>
      <c r="H389" s="2433" t="s">
        <v>2410</v>
      </c>
      <c r="I389" s="2433" t="s">
        <v>2310</v>
      </c>
      <c r="J389" s="2433" t="s">
        <v>3130</v>
      </c>
      <c r="K389" s="2434" t="s">
        <v>3127</v>
      </c>
      <c r="L389" s="2435">
        <v>9</v>
      </c>
      <c r="M389" s="2435">
        <v>-3</v>
      </c>
      <c r="N389" s="2435">
        <v>20</v>
      </c>
      <c r="O389" s="2433"/>
      <c r="P389" s="2433"/>
      <c r="Q389" s="2433" t="s">
        <v>2310</v>
      </c>
      <c r="R389" s="2433" t="s">
        <v>2310</v>
      </c>
      <c r="S389" s="2433" t="s">
        <v>2310</v>
      </c>
      <c r="T389" s="2433"/>
      <c r="U389" s="2440" t="s">
        <v>9658</v>
      </c>
      <c r="V389" s="2440"/>
      <c r="W389" s="2440"/>
      <c r="X389" s="2436" t="str">
        <f t="shared" si="23"/>
        <v>Distinta</v>
      </c>
    </row>
    <row r="390" spans="2:24" ht="12.75" customHeight="1" x14ac:dyDescent="0.2">
      <c r="B390" s="2431"/>
      <c r="C390" s="2432" t="s">
        <v>9620</v>
      </c>
      <c r="D390" s="2439">
        <v>40</v>
      </c>
      <c r="E390" s="2433">
        <v>-5</v>
      </c>
      <c r="F390" s="2433">
        <v>6</v>
      </c>
      <c r="G390" s="2433">
        <v>6</v>
      </c>
      <c r="H390" s="2433" t="s">
        <v>2409</v>
      </c>
      <c r="I390" s="2433" t="s">
        <v>2310</v>
      </c>
      <c r="J390" s="2433" t="s">
        <v>3116</v>
      </c>
      <c r="K390" s="2434" t="s">
        <v>2310</v>
      </c>
      <c r="L390" s="2435">
        <v>13</v>
      </c>
      <c r="M390" s="2435">
        <v>3</v>
      </c>
      <c r="N390" s="2435">
        <v>25</v>
      </c>
      <c r="O390" s="2433"/>
      <c r="P390" s="2433"/>
      <c r="Q390" s="2433" t="s">
        <v>2310</v>
      </c>
      <c r="R390" s="2433" t="s">
        <v>2310</v>
      </c>
      <c r="S390" s="2433" t="s">
        <v>2310</v>
      </c>
      <c r="T390" s="2433"/>
      <c r="U390" s="2442" t="s">
        <v>9659</v>
      </c>
      <c r="V390" s="2440"/>
      <c r="W390" s="2440"/>
      <c r="X390" s="2436" t="str">
        <f t="shared" si="23"/>
        <v>Distinta</v>
      </c>
    </row>
    <row r="391" spans="2:24" ht="12.75" customHeight="1" x14ac:dyDescent="0.2">
      <c r="B391" s="2431"/>
      <c r="C391" s="2432" t="s">
        <v>9621</v>
      </c>
      <c r="D391" s="2439">
        <v>40</v>
      </c>
      <c r="E391" s="2433">
        <v>10</v>
      </c>
      <c r="F391" s="2433">
        <v>6</v>
      </c>
      <c r="G391" s="2433">
        <v>6</v>
      </c>
      <c r="H391" s="2433" t="s">
        <v>2409</v>
      </c>
      <c r="I391" s="2433" t="s">
        <v>2310</v>
      </c>
      <c r="J391" s="2433" t="s">
        <v>3116</v>
      </c>
      <c r="K391" s="2434" t="s">
        <v>2310</v>
      </c>
      <c r="L391" s="2435">
        <v>12</v>
      </c>
      <c r="M391" s="2435">
        <v>2</v>
      </c>
      <c r="N391" s="2435">
        <v>20</v>
      </c>
      <c r="O391" s="2433"/>
      <c r="P391" s="2433"/>
      <c r="Q391" s="2433" t="s">
        <v>2310</v>
      </c>
      <c r="R391" s="2433" t="s">
        <v>2310</v>
      </c>
      <c r="S391" s="2433" t="s">
        <v>2310</v>
      </c>
      <c r="T391" s="2433"/>
      <c r="U391" s="2440" t="s">
        <v>9660</v>
      </c>
      <c r="V391" s="2440"/>
      <c r="W391" s="2440"/>
      <c r="X391" s="2436" t="str">
        <f t="shared" si="23"/>
        <v>Distinta</v>
      </c>
    </row>
    <row r="392" spans="2:24" ht="12.75" customHeight="1" x14ac:dyDescent="0.2">
      <c r="B392" s="2431"/>
      <c r="C392" s="2432" t="s">
        <v>9622</v>
      </c>
      <c r="D392" s="2439">
        <v>55</v>
      </c>
      <c r="E392" s="2433">
        <v>-10</v>
      </c>
      <c r="F392" s="2433">
        <v>6</v>
      </c>
      <c r="G392" s="2433">
        <v>8</v>
      </c>
      <c r="H392" s="2433" t="s">
        <v>2409</v>
      </c>
      <c r="I392" s="2433" t="s">
        <v>2410</v>
      </c>
      <c r="J392" s="2433" t="s">
        <v>3116</v>
      </c>
      <c r="K392" s="2434" t="s">
        <v>2310</v>
      </c>
      <c r="L392" s="2435">
        <v>13</v>
      </c>
      <c r="M392" s="2435">
        <v>3</v>
      </c>
      <c r="N392" s="2435">
        <v>25</v>
      </c>
      <c r="O392" s="2433"/>
      <c r="P392" s="2433"/>
      <c r="Q392" s="2433" t="s">
        <v>2310</v>
      </c>
      <c r="R392" s="2433" t="s">
        <v>2310</v>
      </c>
      <c r="S392" s="2433" t="s">
        <v>2310</v>
      </c>
      <c r="T392" s="2433"/>
      <c r="U392" s="2440" t="s">
        <v>3140</v>
      </c>
      <c r="V392" s="2440"/>
      <c r="W392" s="2440"/>
      <c r="X392" s="2436" t="str">
        <f t="shared" si="23"/>
        <v>Distinta</v>
      </c>
    </row>
    <row r="393" spans="2:24" ht="12.75" customHeight="1" x14ac:dyDescent="0.2">
      <c r="B393" s="2431"/>
      <c r="C393" s="2432" t="s">
        <v>9644</v>
      </c>
      <c r="D393" s="2439">
        <v>45</v>
      </c>
      <c r="E393" s="2433">
        <v>10</v>
      </c>
      <c r="F393" s="2433">
        <v>4</v>
      </c>
      <c r="G393" s="2433">
        <v>4</v>
      </c>
      <c r="H393" s="2433" t="s">
        <v>2409</v>
      </c>
      <c r="I393" s="2433" t="s">
        <v>2410</v>
      </c>
      <c r="J393" s="2433" t="s">
        <v>3132</v>
      </c>
      <c r="K393" s="2434" t="s">
        <v>2310</v>
      </c>
      <c r="L393" s="2435">
        <v>12</v>
      </c>
      <c r="M393" s="2435">
        <v>1</v>
      </c>
      <c r="N393" s="2435">
        <v>25</v>
      </c>
      <c r="O393" s="2433"/>
      <c r="P393" s="2433"/>
      <c r="Q393" s="2433" t="s">
        <v>2310</v>
      </c>
      <c r="R393" s="2433" t="s">
        <v>2310</v>
      </c>
      <c r="S393" s="2433" t="s">
        <v>2310</v>
      </c>
      <c r="T393" s="2433"/>
      <c r="U393" s="2440" t="s">
        <v>2310</v>
      </c>
      <c r="V393" s="2440"/>
      <c r="W393" s="2440"/>
      <c r="X393" s="2436" t="str">
        <f t="shared" si="23"/>
        <v>Distinta</v>
      </c>
    </row>
    <row r="394" spans="2:24" ht="12.75" customHeight="1" x14ac:dyDescent="0.2">
      <c r="B394" s="2431"/>
      <c r="C394" s="2432" t="s">
        <v>9624</v>
      </c>
      <c r="D394" s="2439">
        <v>60</v>
      </c>
      <c r="E394" s="2433">
        <v>-20</v>
      </c>
      <c r="F394" s="2433">
        <v>7</v>
      </c>
      <c r="G394" s="2433">
        <v>9</v>
      </c>
      <c r="H394" s="2433" t="s">
        <v>2409</v>
      </c>
      <c r="I394" s="2433" t="s">
        <v>2310</v>
      </c>
      <c r="J394" s="2433" t="s">
        <v>3132</v>
      </c>
      <c r="K394" s="2434" t="s">
        <v>3117</v>
      </c>
      <c r="L394" s="2435">
        <v>16</v>
      </c>
      <c r="M394" s="2435">
        <v>7</v>
      </c>
      <c r="N394" s="2435">
        <v>30</v>
      </c>
      <c r="O394" s="2433"/>
      <c r="P394" s="2433"/>
      <c r="Q394" s="2433" t="s">
        <v>2310</v>
      </c>
      <c r="R394" s="2433" t="s">
        <v>2310</v>
      </c>
      <c r="S394" s="2433" t="s">
        <v>2310</v>
      </c>
      <c r="T394" s="2433"/>
      <c r="U394" s="2440" t="s">
        <v>3140</v>
      </c>
      <c r="V394" s="2440"/>
      <c r="W394" s="2440"/>
      <c r="X394" s="2436" t="str">
        <f t="shared" si="23"/>
        <v>Distinta</v>
      </c>
    </row>
    <row r="395" spans="2:24" ht="12.75" customHeight="1" x14ac:dyDescent="0.2">
      <c r="B395" s="2431"/>
      <c r="C395" s="2432" t="s">
        <v>9645</v>
      </c>
      <c r="D395" s="2439">
        <v>50</v>
      </c>
      <c r="E395" s="2433">
        <v>-10</v>
      </c>
      <c r="F395" s="2433">
        <v>6</v>
      </c>
      <c r="G395" s="2433">
        <v>6</v>
      </c>
      <c r="H395" s="2433" t="s">
        <v>2409</v>
      </c>
      <c r="I395" s="2433" t="s">
        <v>2410</v>
      </c>
      <c r="J395" s="2433" t="s">
        <v>3116</v>
      </c>
      <c r="K395" s="2433" t="s">
        <v>2310</v>
      </c>
      <c r="L395" s="2434">
        <v>10</v>
      </c>
      <c r="M395" s="2435">
        <v>2</v>
      </c>
      <c r="N395" s="2435">
        <v>25</v>
      </c>
      <c r="O395" s="2435"/>
      <c r="P395" s="2433"/>
      <c r="Q395" s="2433" t="s">
        <v>2310</v>
      </c>
      <c r="R395" s="2433" t="s">
        <v>2310</v>
      </c>
      <c r="S395" s="2433" t="s">
        <v>2310</v>
      </c>
      <c r="T395" s="2433"/>
      <c r="U395" s="2440" t="s">
        <v>3166</v>
      </c>
      <c r="V395" s="2440"/>
      <c r="W395" s="2440"/>
      <c r="X395" s="2436" t="str">
        <f t="shared" si="23"/>
        <v>Distinta</v>
      </c>
    </row>
    <row r="396" spans="2:24" ht="12.75" customHeight="1" x14ac:dyDescent="0.2">
      <c r="B396" s="2431"/>
      <c r="C396" s="2432" t="s">
        <v>9625</v>
      </c>
      <c r="D396" s="2439">
        <v>20</v>
      </c>
      <c r="E396" s="2433">
        <v>0</v>
      </c>
      <c r="F396" s="2433">
        <v>5</v>
      </c>
      <c r="G396" s="2433">
        <v>5</v>
      </c>
      <c r="H396" s="2433" t="s">
        <v>2354</v>
      </c>
      <c r="I396" s="2433" t="s">
        <v>2310</v>
      </c>
      <c r="J396" s="2433" t="s">
        <v>3116</v>
      </c>
      <c r="K396" s="2434" t="s">
        <v>2310</v>
      </c>
      <c r="L396" s="2435">
        <v>13</v>
      </c>
      <c r="M396" s="2435">
        <v>2</v>
      </c>
      <c r="N396" s="2435">
        <v>20</v>
      </c>
      <c r="O396" s="2433"/>
      <c r="P396" s="2433"/>
      <c r="Q396" s="2433" t="s">
        <v>2310</v>
      </c>
      <c r="R396" s="2433" t="s">
        <v>2310</v>
      </c>
      <c r="S396" s="2433" t="s">
        <v>2310</v>
      </c>
      <c r="T396" s="2433"/>
      <c r="U396" s="2442" t="s">
        <v>9661</v>
      </c>
      <c r="V396" s="2440"/>
      <c r="W396" s="2440"/>
      <c r="X396" s="2436" t="str">
        <f t="shared" si="23"/>
        <v>Distinta</v>
      </c>
    </row>
    <row r="397" spans="2:24" ht="12.75" customHeight="1" x14ac:dyDescent="0.2">
      <c r="B397" s="2431"/>
      <c r="C397" s="2432" t="s">
        <v>9627</v>
      </c>
      <c r="D397" s="2439">
        <v>80</v>
      </c>
      <c r="E397" s="2433">
        <v>-50</v>
      </c>
      <c r="F397" s="2433">
        <v>8</v>
      </c>
      <c r="G397" s="2433">
        <v>10</v>
      </c>
      <c r="H397" s="2433" t="s">
        <v>2354</v>
      </c>
      <c r="I397" s="2433" t="s">
        <v>2310</v>
      </c>
      <c r="J397" s="2433" t="s">
        <v>3152</v>
      </c>
      <c r="K397" s="2434" t="s">
        <v>2310</v>
      </c>
      <c r="L397" s="2435">
        <v>13</v>
      </c>
      <c r="M397" s="2435">
        <v>4</v>
      </c>
      <c r="N397" s="2435">
        <v>30</v>
      </c>
      <c r="O397" s="2433"/>
      <c r="P397" s="2433"/>
      <c r="Q397" s="2433" t="s">
        <v>2310</v>
      </c>
      <c r="R397" s="2433" t="s">
        <v>2310</v>
      </c>
      <c r="S397" s="2433" t="s">
        <v>2310</v>
      </c>
      <c r="T397" s="2433"/>
      <c r="U397" s="2440" t="s">
        <v>3140</v>
      </c>
      <c r="V397" s="2440"/>
      <c r="W397" s="2440"/>
      <c r="X397" s="2436" t="str">
        <f t="shared" si="23"/>
        <v>Distinta</v>
      </c>
    </row>
    <row r="398" spans="2:24" ht="12.75" customHeight="1" x14ac:dyDescent="0.2">
      <c r="B398" s="2431"/>
      <c r="C398" s="2432" t="s">
        <v>9646</v>
      </c>
      <c r="D398" s="2439">
        <v>25</v>
      </c>
      <c r="E398" s="2433">
        <v>10</v>
      </c>
      <c r="F398" s="2433">
        <v>4</v>
      </c>
      <c r="G398" s="2433">
        <v>4</v>
      </c>
      <c r="H398" s="2433" t="s">
        <v>2410</v>
      </c>
      <c r="I398" s="2433" t="s">
        <v>2310</v>
      </c>
      <c r="J398" s="2433" t="s">
        <v>3116</v>
      </c>
      <c r="K398" s="2434" t="s">
        <v>2310</v>
      </c>
      <c r="L398" s="2435">
        <v>10</v>
      </c>
      <c r="M398" s="2435">
        <v>-2</v>
      </c>
      <c r="N398" s="2435">
        <v>20</v>
      </c>
      <c r="O398" s="2433"/>
      <c r="P398" s="2433"/>
      <c r="Q398" s="2433">
        <v>100</v>
      </c>
      <c r="R398" s="2433" t="s">
        <v>2310</v>
      </c>
      <c r="S398" s="2433">
        <v>30</v>
      </c>
      <c r="T398" s="2433"/>
      <c r="U398" s="2440" t="s">
        <v>3162</v>
      </c>
      <c r="V398" s="2440"/>
      <c r="W398" s="2440"/>
      <c r="X398" s="2436" t="str">
        <f t="shared" si="23"/>
        <v>Distinta</v>
      </c>
    </row>
    <row r="399" spans="2:24" ht="12.75" customHeight="1" x14ac:dyDescent="0.2">
      <c r="B399" s="2431"/>
      <c r="C399" s="2432" t="s">
        <v>9647</v>
      </c>
      <c r="D399" s="2439">
        <v>45</v>
      </c>
      <c r="E399" s="2433">
        <v>0</v>
      </c>
      <c r="F399" s="2433">
        <v>4</v>
      </c>
      <c r="G399" s="2433">
        <v>4</v>
      </c>
      <c r="H399" s="2433" t="s">
        <v>2409</v>
      </c>
      <c r="I399" s="2433" t="s">
        <v>2310</v>
      </c>
      <c r="J399" s="2433" t="s">
        <v>3132</v>
      </c>
      <c r="K399" s="2434" t="s">
        <v>2310</v>
      </c>
      <c r="L399" s="2435">
        <v>11</v>
      </c>
      <c r="M399" s="2435">
        <v>3</v>
      </c>
      <c r="N399" s="2435">
        <v>40</v>
      </c>
      <c r="O399" s="2433"/>
      <c r="P399" s="2433"/>
      <c r="Q399" s="2433" t="s">
        <v>2310</v>
      </c>
      <c r="R399" s="2433" t="s">
        <v>2310</v>
      </c>
      <c r="S399" s="2433" t="s">
        <v>2310</v>
      </c>
      <c r="T399" s="2433"/>
      <c r="U399" s="2440" t="s">
        <v>2310</v>
      </c>
      <c r="V399" s="2440"/>
      <c r="W399" s="2440"/>
      <c r="X399" s="2436" t="str">
        <f t="shared" si="23"/>
        <v>Distinta</v>
      </c>
    </row>
    <row r="400" spans="2:24" ht="12.75" customHeight="1" x14ac:dyDescent="0.2">
      <c r="B400" s="2431"/>
      <c r="C400" s="2432" t="s">
        <v>3218</v>
      </c>
      <c r="D400" s="2437"/>
      <c r="E400" s="2437"/>
      <c r="F400" s="2437"/>
      <c r="G400" s="2437"/>
      <c r="H400" s="2437"/>
      <c r="I400" s="2437"/>
      <c r="J400" s="2437"/>
      <c r="K400" s="2437"/>
      <c r="L400" s="2437"/>
      <c r="M400" s="2437"/>
      <c r="N400" s="2437"/>
      <c r="O400" s="2437"/>
      <c r="P400" s="2437"/>
      <c r="Q400" s="2437"/>
      <c r="R400" s="2437"/>
      <c r="S400" s="2437"/>
      <c r="T400" s="2437"/>
      <c r="U400" s="2438"/>
      <c r="V400" s="2438"/>
      <c r="W400" s="2438"/>
      <c r="X400" s="2436"/>
    </row>
    <row r="401" spans="2:24" ht="12.75" customHeight="1" x14ac:dyDescent="0.2">
      <c r="B401" s="2431"/>
      <c r="C401" s="2432" t="s">
        <v>3219</v>
      </c>
      <c r="D401" s="2433">
        <v>0</v>
      </c>
      <c r="E401" s="2433">
        <v>-30</v>
      </c>
      <c r="F401" s="2433">
        <v>7</v>
      </c>
      <c r="G401" s="2433">
        <v>7</v>
      </c>
      <c r="H401" s="2433" t="s">
        <v>2410</v>
      </c>
      <c r="I401" s="2433" t="s">
        <v>2310</v>
      </c>
      <c r="J401" s="2433" t="s">
        <v>3220</v>
      </c>
      <c r="K401" s="2434" t="s">
        <v>2310</v>
      </c>
      <c r="L401" s="2435">
        <v>8</v>
      </c>
      <c r="M401" s="2435">
        <v>-2</v>
      </c>
      <c r="N401" s="2435">
        <v>25</v>
      </c>
      <c r="O401" s="2433"/>
      <c r="P401" s="2433"/>
      <c r="Q401" s="2433" t="s">
        <v>2310</v>
      </c>
      <c r="R401" s="2433">
        <v>1</v>
      </c>
      <c r="S401" s="2433">
        <v>90</v>
      </c>
      <c r="T401" s="2433"/>
      <c r="U401" s="2440" t="s">
        <v>2447</v>
      </c>
      <c r="V401" s="2440"/>
      <c r="W401" s="2440"/>
      <c r="X401" s="2436" t="str">
        <f t="shared" si="23"/>
        <v>Distinta</v>
      </c>
    </row>
    <row r="402" spans="2:24" ht="12.75" customHeight="1" x14ac:dyDescent="0.2">
      <c r="B402" s="2431"/>
      <c r="C402" s="2432" t="s">
        <v>3221</v>
      </c>
      <c r="D402" s="2433">
        <v>0</v>
      </c>
      <c r="E402" s="2433">
        <v>-10</v>
      </c>
      <c r="F402" s="2433">
        <v>4</v>
      </c>
      <c r="G402" s="2433">
        <v>4</v>
      </c>
      <c r="H402" s="2433" t="s">
        <v>2410</v>
      </c>
      <c r="I402" s="2433" t="s">
        <v>2310</v>
      </c>
      <c r="J402" s="2433" t="s">
        <v>3220</v>
      </c>
      <c r="K402" s="2434" t="s">
        <v>2310</v>
      </c>
      <c r="L402" s="2435">
        <v>7</v>
      </c>
      <c r="M402" s="2435">
        <v>-3</v>
      </c>
      <c r="N402" s="2435">
        <v>15</v>
      </c>
      <c r="O402" s="2433"/>
      <c r="P402" s="2433"/>
      <c r="Q402" s="2433" t="s">
        <v>2310</v>
      </c>
      <c r="R402" s="2433">
        <v>1</v>
      </c>
      <c r="S402" s="2433">
        <v>40</v>
      </c>
      <c r="T402" s="2433"/>
      <c r="U402" s="2440" t="s">
        <v>2447</v>
      </c>
      <c r="V402" s="2440"/>
      <c r="W402" s="2440"/>
      <c r="X402" s="2436" t="str">
        <f t="shared" si="23"/>
        <v>Distinta</v>
      </c>
    </row>
    <row r="403" spans="2:24" ht="12.75" customHeight="1" x14ac:dyDescent="0.2">
      <c r="B403" s="2431"/>
      <c r="C403" s="2432" t="s">
        <v>9598</v>
      </c>
      <c r="D403" s="2433">
        <v>0</v>
      </c>
      <c r="E403" s="2433">
        <v>-10</v>
      </c>
      <c r="F403" s="2433">
        <v>4</v>
      </c>
      <c r="G403" s="2433">
        <v>4</v>
      </c>
      <c r="H403" s="2433" t="s">
        <v>2410</v>
      </c>
      <c r="I403" s="2433" t="s">
        <v>2310</v>
      </c>
      <c r="J403" s="2433" t="s">
        <v>3220</v>
      </c>
      <c r="K403" s="2434" t="s">
        <v>2310</v>
      </c>
      <c r="L403" s="2435">
        <v>6</v>
      </c>
      <c r="M403" s="2435">
        <v>-3</v>
      </c>
      <c r="N403" s="2435">
        <v>15</v>
      </c>
      <c r="O403" s="2433"/>
      <c r="P403" s="2433"/>
      <c r="Q403" s="2433" t="s">
        <v>2310</v>
      </c>
      <c r="R403" s="2433">
        <v>1</v>
      </c>
      <c r="S403" s="2433">
        <v>40</v>
      </c>
      <c r="T403" s="2433"/>
      <c r="U403" s="2440" t="s">
        <v>9649</v>
      </c>
      <c r="V403" s="2440"/>
      <c r="W403" s="2440"/>
      <c r="X403" s="2436" t="str">
        <f t="shared" si="23"/>
        <v>Distinta</v>
      </c>
    </row>
    <row r="404" spans="2:24" ht="12.75" customHeight="1" x14ac:dyDescent="0.2">
      <c r="B404" s="2431"/>
      <c r="C404" s="2432" t="s">
        <v>3222</v>
      </c>
      <c r="D404" s="2433">
        <v>0</v>
      </c>
      <c r="E404" s="2433">
        <v>-30</v>
      </c>
      <c r="F404" s="2433">
        <v>7</v>
      </c>
      <c r="G404" s="2433">
        <v>7</v>
      </c>
      <c r="H404" s="2433" t="s">
        <v>2410</v>
      </c>
      <c r="I404" s="2433" t="s">
        <v>2310</v>
      </c>
      <c r="J404" s="2433" t="s">
        <v>3220</v>
      </c>
      <c r="K404" s="2434" t="s">
        <v>2310</v>
      </c>
      <c r="L404" s="2435">
        <v>8</v>
      </c>
      <c r="M404" s="2435">
        <v>-2</v>
      </c>
      <c r="N404" s="2435">
        <v>20</v>
      </c>
      <c r="O404" s="2433"/>
      <c r="P404" s="2433"/>
      <c r="Q404" s="2433" t="s">
        <v>2310</v>
      </c>
      <c r="R404" s="2433">
        <v>1</v>
      </c>
      <c r="S404" s="2433">
        <v>60</v>
      </c>
      <c r="T404" s="2433"/>
      <c r="U404" s="2440" t="s">
        <v>2447</v>
      </c>
      <c r="V404" s="2440"/>
      <c r="W404" s="2440"/>
      <c r="X404" s="2436" t="str">
        <f t="shared" si="23"/>
        <v>Distinta</v>
      </c>
    </row>
    <row r="405" spans="2:24" ht="12.75" customHeight="1" x14ac:dyDescent="0.2">
      <c r="B405" s="2431"/>
      <c r="C405" s="2432" t="s">
        <v>9602</v>
      </c>
      <c r="D405" s="2433">
        <v>0</v>
      </c>
      <c r="E405" s="2433">
        <v>-5</v>
      </c>
      <c r="F405" s="2433">
        <v>5</v>
      </c>
      <c r="G405" s="2433">
        <v>5</v>
      </c>
      <c r="H405" s="2433" t="s">
        <v>2410</v>
      </c>
      <c r="I405" s="2433" t="s">
        <v>2310</v>
      </c>
      <c r="J405" s="2433" t="s">
        <v>3220</v>
      </c>
      <c r="K405" s="2434" t="s">
        <v>2310</v>
      </c>
      <c r="L405" s="2435">
        <v>8</v>
      </c>
      <c r="M405" s="2435">
        <v>-4</v>
      </c>
      <c r="N405" s="2435">
        <v>10</v>
      </c>
      <c r="O405" s="2433"/>
      <c r="P405" s="2433"/>
      <c r="Q405" s="2433" t="s">
        <v>2310</v>
      </c>
      <c r="R405" s="2433" t="s">
        <v>2310</v>
      </c>
      <c r="S405" s="2433" t="s">
        <v>2310</v>
      </c>
      <c r="T405" s="2433"/>
      <c r="U405" s="2440" t="s">
        <v>3166</v>
      </c>
      <c r="V405" s="2440"/>
      <c r="W405" s="2440"/>
      <c r="X405" s="2436" t="str">
        <f t="shared" si="23"/>
        <v>Distinta</v>
      </c>
    </row>
    <row r="406" spans="2:24" ht="12.75" customHeight="1" x14ac:dyDescent="0.2">
      <c r="B406" s="2431"/>
      <c r="C406" s="2432" t="s">
        <v>3223</v>
      </c>
      <c r="D406" s="2433">
        <v>0</v>
      </c>
      <c r="E406" s="2433">
        <v>0</v>
      </c>
      <c r="F406" s="2433">
        <v>8</v>
      </c>
      <c r="G406" s="2433">
        <v>4</v>
      </c>
      <c r="H406" s="2433" t="s">
        <v>2410</v>
      </c>
      <c r="I406" s="2433" t="s">
        <v>2310</v>
      </c>
      <c r="J406" s="2433" t="s">
        <v>3220</v>
      </c>
      <c r="K406" s="2434" t="s">
        <v>2310</v>
      </c>
      <c r="L406" s="2435">
        <v>8</v>
      </c>
      <c r="M406" s="2435">
        <v>-2</v>
      </c>
      <c r="N406" s="2435">
        <v>20</v>
      </c>
      <c r="O406" s="2433"/>
      <c r="P406" s="2433"/>
      <c r="Q406" s="2433" t="s">
        <v>2310</v>
      </c>
      <c r="R406" s="2433">
        <v>2</v>
      </c>
      <c r="S406" s="2433">
        <v>60</v>
      </c>
      <c r="T406" s="2433">
        <v>8</v>
      </c>
      <c r="U406" s="2440" t="s">
        <v>3224</v>
      </c>
      <c r="V406" s="2440"/>
      <c r="W406" s="2440"/>
      <c r="X406" s="2436" t="str">
        <f t="shared" si="23"/>
        <v>Distinta</v>
      </c>
    </row>
    <row r="407" spans="2:24" ht="12.75" customHeight="1" x14ac:dyDescent="0.2">
      <c r="B407" s="2431"/>
      <c r="C407" s="2432" t="s">
        <v>3225</v>
      </c>
      <c r="D407" s="2433">
        <v>0</v>
      </c>
      <c r="E407" s="2433">
        <v>10</v>
      </c>
      <c r="F407" s="2433">
        <v>3</v>
      </c>
      <c r="G407" s="2433">
        <v>3</v>
      </c>
      <c r="H407" s="2433" t="s">
        <v>2410</v>
      </c>
      <c r="I407" s="2433" t="s">
        <v>2310</v>
      </c>
      <c r="J407" s="2433" t="s">
        <v>3220</v>
      </c>
      <c r="K407" s="2434" t="s">
        <v>2310</v>
      </c>
      <c r="L407" s="2435">
        <v>5</v>
      </c>
      <c r="M407" s="2435">
        <v>-4</v>
      </c>
      <c r="N407" s="2435">
        <v>15</v>
      </c>
      <c r="O407" s="2433"/>
      <c r="P407" s="2433"/>
      <c r="Q407" s="2433" t="s">
        <v>2310</v>
      </c>
      <c r="R407" s="2433">
        <v>2</v>
      </c>
      <c r="S407" s="2433">
        <v>30</v>
      </c>
      <c r="T407" s="2433">
        <v>5</v>
      </c>
      <c r="U407" s="2440" t="s">
        <v>3166</v>
      </c>
      <c r="V407" s="2440"/>
      <c r="W407" s="2440"/>
      <c r="X407" s="2436"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31"/>
      <c r="C408" s="2432" t="s">
        <v>3226</v>
      </c>
      <c r="D408" s="2433">
        <v>0</v>
      </c>
      <c r="E408" s="2433">
        <v>0</v>
      </c>
      <c r="F408" s="2433">
        <v>8</v>
      </c>
      <c r="G408" s="2433">
        <v>4</v>
      </c>
      <c r="H408" s="2433" t="s">
        <v>2410</v>
      </c>
      <c r="I408" s="2433" t="s">
        <v>2310</v>
      </c>
      <c r="J408" s="2433" t="s">
        <v>3220</v>
      </c>
      <c r="K408" s="2434" t="s">
        <v>2310</v>
      </c>
      <c r="L408" s="2435">
        <v>6</v>
      </c>
      <c r="M408" s="2435">
        <v>-2</v>
      </c>
      <c r="N408" s="2435">
        <v>20</v>
      </c>
      <c r="O408" s="2433"/>
      <c r="P408" s="2433"/>
      <c r="Q408" s="2433" t="s">
        <v>2310</v>
      </c>
      <c r="R408" s="2433">
        <v>3</v>
      </c>
      <c r="S408" s="2433">
        <v>60</v>
      </c>
      <c r="T408" s="2433">
        <v>8</v>
      </c>
      <c r="U408" s="2440" t="s">
        <v>3224</v>
      </c>
      <c r="V408" s="2440"/>
      <c r="W408" s="2440"/>
      <c r="X408" s="2436" t="str">
        <f t="shared" si="23"/>
        <v>Distinta</v>
      </c>
    </row>
    <row r="409" spans="2:24" ht="12.75" customHeight="1" x14ac:dyDescent="0.2">
      <c r="B409" s="2431"/>
      <c r="C409" s="2432" t="s">
        <v>3227</v>
      </c>
      <c r="D409" s="2433">
        <v>0</v>
      </c>
      <c r="E409" s="2433">
        <v>-20</v>
      </c>
      <c r="F409" s="2433">
        <v>10</v>
      </c>
      <c r="G409" s="2433">
        <v>7</v>
      </c>
      <c r="H409" s="2433" t="s">
        <v>2410</v>
      </c>
      <c r="I409" s="2433" t="s">
        <v>2310</v>
      </c>
      <c r="J409" s="2433" t="s">
        <v>3220</v>
      </c>
      <c r="K409" s="2434" t="s">
        <v>2310</v>
      </c>
      <c r="L409" s="2435">
        <v>8</v>
      </c>
      <c r="M409" s="2435">
        <v>-1</v>
      </c>
      <c r="N409" s="2435">
        <v>20</v>
      </c>
      <c r="O409" s="2433"/>
      <c r="P409" s="2433"/>
      <c r="Q409" s="2433" t="s">
        <v>2310</v>
      </c>
      <c r="R409" s="2433">
        <v>2</v>
      </c>
      <c r="S409" s="2433">
        <v>80</v>
      </c>
      <c r="T409" s="2433">
        <v>10</v>
      </c>
      <c r="U409" s="2440" t="s">
        <v>3224</v>
      </c>
      <c r="V409" s="2440"/>
      <c r="W409" s="2440"/>
      <c r="X409" s="2436" t="str">
        <f t="shared" si="23"/>
        <v>Distinta</v>
      </c>
    </row>
    <row r="410" spans="2:24" ht="12.75" customHeight="1" x14ac:dyDescent="0.2">
      <c r="B410" s="2431"/>
      <c r="C410" s="2432" t="s">
        <v>3228</v>
      </c>
      <c r="D410" s="2433">
        <v>0</v>
      </c>
      <c r="E410" s="2433">
        <v>-10</v>
      </c>
      <c r="F410" s="2433">
        <v>4</v>
      </c>
      <c r="G410" s="2433">
        <v>4</v>
      </c>
      <c r="H410" s="2433" t="s">
        <v>2410</v>
      </c>
      <c r="I410" s="2433" t="s">
        <v>2310</v>
      </c>
      <c r="J410" s="2433" t="s">
        <v>3220</v>
      </c>
      <c r="K410" s="2434" t="s">
        <v>2310</v>
      </c>
      <c r="L410" s="2435">
        <v>3</v>
      </c>
      <c r="M410" s="2435">
        <v>-3</v>
      </c>
      <c r="N410" s="2435">
        <v>15</v>
      </c>
      <c r="O410" s="2433"/>
      <c r="P410" s="2433"/>
      <c r="Q410" s="2433" t="s">
        <v>2310</v>
      </c>
      <c r="R410" s="2433">
        <v>1</v>
      </c>
      <c r="S410" s="2433">
        <v>50</v>
      </c>
      <c r="T410" s="2433"/>
      <c r="U410" s="2440" t="s">
        <v>2310</v>
      </c>
      <c r="V410" s="2440"/>
      <c r="W410" s="2440"/>
      <c r="X410" s="2436" t="str">
        <f t="shared" si="23"/>
        <v>Distinta</v>
      </c>
    </row>
    <row r="411" spans="2:24" ht="12.75" customHeight="1" x14ac:dyDescent="0.2">
      <c r="B411" s="2431"/>
      <c r="C411" s="2432" t="s">
        <v>9608</v>
      </c>
      <c r="D411" s="2433">
        <v>0</v>
      </c>
      <c r="E411" s="2433">
        <v>-30</v>
      </c>
      <c r="F411" s="2433">
        <v>7</v>
      </c>
      <c r="G411" s="2433">
        <v>7</v>
      </c>
      <c r="H411" s="2433" t="s">
        <v>2410</v>
      </c>
      <c r="I411" s="2433" t="s">
        <v>2310</v>
      </c>
      <c r="J411" s="2433" t="s">
        <v>3220</v>
      </c>
      <c r="K411" s="2434" t="s">
        <v>2310</v>
      </c>
      <c r="L411" s="2435">
        <v>8</v>
      </c>
      <c r="M411" s="2435">
        <v>-2</v>
      </c>
      <c r="N411" s="2435">
        <v>20</v>
      </c>
      <c r="O411" s="2433"/>
      <c r="P411" s="2433"/>
      <c r="Q411" s="2433" t="s">
        <v>2310</v>
      </c>
      <c r="R411" s="2433">
        <v>1</v>
      </c>
      <c r="S411" s="2433">
        <v>90</v>
      </c>
      <c r="T411" s="2433"/>
      <c r="U411" s="2440" t="s">
        <v>2447</v>
      </c>
      <c r="V411" s="2440"/>
      <c r="W411" s="2440"/>
      <c r="X411" s="2436" t="str">
        <f t="shared" si="23"/>
        <v>Distinta</v>
      </c>
    </row>
    <row r="412" spans="2:24" ht="12.75" customHeight="1" x14ac:dyDescent="0.2">
      <c r="B412" s="2431"/>
      <c r="C412" s="2432" t="s">
        <v>3229</v>
      </c>
      <c r="D412" s="2433">
        <v>0</v>
      </c>
      <c r="E412" s="2433">
        <v>-20</v>
      </c>
      <c r="F412" s="2433">
        <v>0</v>
      </c>
      <c r="G412" s="2433">
        <v>0</v>
      </c>
      <c r="H412" s="2433" t="s">
        <v>2410</v>
      </c>
      <c r="I412" s="2433" t="s">
        <v>2310</v>
      </c>
      <c r="J412" s="2433" t="s">
        <v>3220</v>
      </c>
      <c r="K412" s="2434" t="s">
        <v>2310</v>
      </c>
      <c r="L412" s="2435">
        <v>9</v>
      </c>
      <c r="M412" s="2435">
        <v>-3</v>
      </c>
      <c r="N412" s="2435">
        <v>20</v>
      </c>
      <c r="O412" s="2433"/>
      <c r="P412" s="2433"/>
      <c r="Q412" s="2433" t="s">
        <v>2310</v>
      </c>
      <c r="R412" s="2433">
        <v>4</v>
      </c>
      <c r="S412" s="2433">
        <v>80</v>
      </c>
      <c r="T412" s="2433">
        <v>11</v>
      </c>
      <c r="U412" s="2440" t="s">
        <v>3204</v>
      </c>
      <c r="V412" s="2440"/>
      <c r="W412" s="2440"/>
      <c r="X412" s="2436" t="str">
        <f t="shared" si="23"/>
        <v>Distinta</v>
      </c>
    </row>
    <row r="413" spans="2:24" ht="12.75" customHeight="1" x14ac:dyDescent="0.2">
      <c r="B413" s="2431"/>
      <c r="C413" s="2432" t="s">
        <v>3230</v>
      </c>
      <c r="D413" s="2433">
        <v>0</v>
      </c>
      <c r="E413" s="2433">
        <v>-40</v>
      </c>
      <c r="F413" s="2433">
        <v>4</v>
      </c>
      <c r="G413" s="2433">
        <v>4</v>
      </c>
      <c r="H413" s="2433" t="s">
        <v>2354</v>
      </c>
      <c r="I413" s="2433" t="s">
        <v>2310</v>
      </c>
      <c r="J413" s="2433" t="s">
        <v>3220</v>
      </c>
      <c r="K413" s="2434" t="s">
        <v>2310</v>
      </c>
      <c r="L413" s="2435">
        <v>3</v>
      </c>
      <c r="M413" s="2435">
        <v>-6</v>
      </c>
      <c r="N413" s="2435">
        <v>10</v>
      </c>
      <c r="O413" s="2433"/>
      <c r="P413" s="2433"/>
      <c r="Q413" s="2433" t="s">
        <v>2310</v>
      </c>
      <c r="R413" s="2433">
        <v>1</v>
      </c>
      <c r="S413" s="2433">
        <v>50</v>
      </c>
      <c r="T413" s="2433"/>
      <c r="U413" s="2440" t="s">
        <v>2310</v>
      </c>
      <c r="V413" s="2440"/>
      <c r="W413" s="2440"/>
      <c r="X413" s="2436" t="str">
        <f t="shared" si="23"/>
        <v>Distinta</v>
      </c>
    </row>
    <row r="414" spans="2:24" ht="12.75" customHeight="1" x14ac:dyDescent="0.2">
      <c r="B414" s="2431"/>
      <c r="C414" s="2432" t="s">
        <v>3231</v>
      </c>
      <c r="D414" s="2433">
        <v>0</v>
      </c>
      <c r="E414" s="2433">
        <v>0</v>
      </c>
      <c r="F414" s="2433">
        <v>0</v>
      </c>
      <c r="G414" s="2433">
        <v>0</v>
      </c>
      <c r="H414" s="2433" t="s">
        <v>2410</v>
      </c>
      <c r="I414" s="2433" t="s">
        <v>2310</v>
      </c>
      <c r="J414" s="2433" t="s">
        <v>3220</v>
      </c>
      <c r="K414" s="2434" t="s">
        <v>2310</v>
      </c>
      <c r="L414" s="2435">
        <v>8</v>
      </c>
      <c r="M414" s="2435">
        <v>-3</v>
      </c>
      <c r="N414" s="2435">
        <v>20</v>
      </c>
      <c r="O414" s="2433"/>
      <c r="P414" s="2433"/>
      <c r="Q414" s="2433" t="s">
        <v>2310</v>
      </c>
      <c r="R414" s="2433">
        <v>4</v>
      </c>
      <c r="S414" s="2433">
        <v>50</v>
      </c>
      <c r="T414" s="2433">
        <v>9</v>
      </c>
      <c r="U414" s="2440" t="s">
        <v>3204</v>
      </c>
      <c r="V414" s="2440"/>
      <c r="W414" s="2440"/>
      <c r="X414" s="2436" t="str">
        <f t="shared" si="23"/>
        <v>Distinta</v>
      </c>
    </row>
    <row r="415" spans="2:24" ht="12.75" customHeight="1" x14ac:dyDescent="0.2">
      <c r="B415" s="2431"/>
      <c r="C415" s="2432" t="s">
        <v>3232</v>
      </c>
      <c r="D415" s="2437"/>
      <c r="E415" s="2437"/>
      <c r="F415" s="2437"/>
      <c r="G415" s="2437"/>
      <c r="H415" s="2437"/>
      <c r="I415" s="2437"/>
      <c r="J415" s="2437"/>
      <c r="K415" s="2437"/>
      <c r="L415" s="2437"/>
      <c r="M415" s="2437"/>
      <c r="N415" s="2437"/>
      <c r="O415" s="2437"/>
      <c r="P415" s="2437"/>
      <c r="Q415" s="2437"/>
      <c r="R415" s="2437"/>
      <c r="S415" s="2437"/>
      <c r="T415" s="2437"/>
      <c r="U415" s="2438"/>
      <c r="V415" s="2438"/>
      <c r="W415" s="2438"/>
      <c r="X415" s="2436"/>
    </row>
    <row r="416" spans="2:24" ht="12.75" customHeight="1" x14ac:dyDescent="0.2">
      <c r="B416" s="2431"/>
      <c r="C416" s="2432" t="s">
        <v>3233</v>
      </c>
      <c r="D416" s="2433">
        <v>60</v>
      </c>
      <c r="E416" s="2433" t="s">
        <v>2310</v>
      </c>
      <c r="F416" s="2433">
        <v>0</v>
      </c>
      <c r="G416" s="2433">
        <v>0</v>
      </c>
      <c r="H416" s="2433" t="s">
        <v>2410</v>
      </c>
      <c r="I416" s="2433" t="s">
        <v>2310</v>
      </c>
      <c r="J416" s="2433" t="s">
        <v>2449</v>
      </c>
      <c r="K416" s="2434" t="s">
        <v>2310</v>
      </c>
      <c r="L416" s="2435">
        <v>11</v>
      </c>
      <c r="M416" s="2435">
        <v>5</v>
      </c>
      <c r="N416" s="2435">
        <v>15</v>
      </c>
      <c r="O416" s="2433"/>
      <c r="P416" s="2433"/>
      <c r="Q416" s="2433" t="s">
        <v>2310</v>
      </c>
      <c r="R416" s="2433" t="s">
        <v>2310</v>
      </c>
      <c r="S416" s="2433" t="s">
        <v>2310</v>
      </c>
      <c r="T416" s="2433"/>
      <c r="U416" s="4754" t="s">
        <v>3234</v>
      </c>
      <c r="V416" s="4754"/>
      <c r="W416" s="4754"/>
      <c r="X416" s="2436" t="str">
        <f t="shared" si="23"/>
        <v>Distinta</v>
      </c>
    </row>
    <row r="417" spans="2:24" ht="12.75" customHeight="1" x14ac:dyDescent="0.2">
      <c r="B417" s="2431"/>
      <c r="C417" s="2432" t="s">
        <v>3235</v>
      </c>
      <c r="D417" s="2433">
        <v>120</v>
      </c>
      <c r="E417" s="2433" t="s">
        <v>2310</v>
      </c>
      <c r="F417" s="2433">
        <v>0</v>
      </c>
      <c r="G417" s="2433">
        <v>0</v>
      </c>
      <c r="H417" s="2433" t="s">
        <v>2410</v>
      </c>
      <c r="I417" s="2433" t="s">
        <v>2310</v>
      </c>
      <c r="J417" s="2433" t="s">
        <v>2449</v>
      </c>
      <c r="K417" s="2434" t="s">
        <v>2310</v>
      </c>
      <c r="L417" s="2435">
        <v>20</v>
      </c>
      <c r="M417" s="2435">
        <v>14</v>
      </c>
      <c r="N417" s="2435">
        <v>15</v>
      </c>
      <c r="O417" s="2433"/>
      <c r="P417" s="2433"/>
      <c r="Q417" s="2433" t="s">
        <v>2310</v>
      </c>
      <c r="R417" s="2433" t="s">
        <v>2310</v>
      </c>
      <c r="S417" s="2433" t="s">
        <v>2310</v>
      </c>
      <c r="T417" s="2433"/>
      <c r="U417" s="4754" t="s">
        <v>3236</v>
      </c>
      <c r="V417" s="4754"/>
      <c r="W417" s="4754"/>
      <c r="X417" s="2436" t="str">
        <f t="shared" si="23"/>
        <v>Distinta</v>
      </c>
    </row>
    <row r="418" spans="2:24" ht="12.75" customHeight="1" x14ac:dyDescent="0.2">
      <c r="B418" s="2431"/>
      <c r="C418" s="2432" t="s">
        <v>3237</v>
      </c>
      <c r="D418" s="2433">
        <v>5</v>
      </c>
      <c r="E418" s="2433" t="s">
        <v>2310</v>
      </c>
      <c r="F418" s="2433">
        <v>0</v>
      </c>
      <c r="G418" s="2433">
        <v>0</v>
      </c>
      <c r="H418" s="2433" t="s">
        <v>2410</v>
      </c>
      <c r="I418" s="2433" t="s">
        <v>2310</v>
      </c>
      <c r="J418" s="2433" t="s">
        <v>2449</v>
      </c>
      <c r="K418" s="2434" t="s">
        <v>2310</v>
      </c>
      <c r="L418" s="2435">
        <v>2</v>
      </c>
      <c r="M418" s="2435">
        <v>-4</v>
      </c>
      <c r="N418" s="2435">
        <v>15</v>
      </c>
      <c r="O418" s="2433"/>
      <c r="P418" s="2433"/>
      <c r="Q418" s="2433" t="s">
        <v>2310</v>
      </c>
      <c r="R418" s="2433" t="s">
        <v>2310</v>
      </c>
      <c r="S418" s="2433" t="s">
        <v>2310</v>
      </c>
      <c r="T418" s="2433"/>
      <c r="U418" s="4754" t="s">
        <v>3238</v>
      </c>
      <c r="V418" s="4754"/>
      <c r="W418" s="4754"/>
      <c r="X418" s="2436" t="str">
        <f t="shared" si="23"/>
        <v>Distinta</v>
      </c>
    </row>
    <row r="419" spans="2:24" ht="12.75" customHeight="1" x14ac:dyDescent="0.2">
      <c r="B419" s="2431"/>
      <c r="C419" s="2432" t="s">
        <v>3239</v>
      </c>
      <c r="D419" s="2433">
        <v>40</v>
      </c>
      <c r="E419" s="2433" t="s">
        <v>2310</v>
      </c>
      <c r="F419" s="2433">
        <v>0</v>
      </c>
      <c r="G419" s="2433">
        <v>0</v>
      </c>
      <c r="H419" s="2433" t="s">
        <v>2410</v>
      </c>
      <c r="I419" s="2433" t="s">
        <v>2310</v>
      </c>
      <c r="J419" s="2433" t="s">
        <v>2449</v>
      </c>
      <c r="K419" s="2433" t="s">
        <v>2310</v>
      </c>
      <c r="L419" s="2435">
        <v>4</v>
      </c>
      <c r="M419" s="2435">
        <v>1</v>
      </c>
      <c r="N419" s="2435">
        <v>20</v>
      </c>
      <c r="O419" s="2433"/>
      <c r="P419" s="2433"/>
      <c r="Q419" s="2433" t="s">
        <v>2310</v>
      </c>
      <c r="R419" s="2433" t="s">
        <v>2310</v>
      </c>
      <c r="S419" s="2433" t="s">
        <v>2310</v>
      </c>
      <c r="T419" s="2433"/>
      <c r="U419" s="4754" t="s">
        <v>3240</v>
      </c>
      <c r="V419" s="4754"/>
      <c r="W419" s="4754"/>
      <c r="X419" s="2436" t="str">
        <f t="shared" si="23"/>
        <v>Distinta</v>
      </c>
    </row>
    <row r="420" spans="2:24" ht="12.75" customHeight="1" x14ac:dyDescent="0.2">
      <c r="B420" s="2431"/>
      <c r="C420" s="2432" t="s">
        <v>3241</v>
      </c>
      <c r="D420" s="2433">
        <v>30</v>
      </c>
      <c r="E420" s="2433" t="s">
        <v>2310</v>
      </c>
      <c r="F420" s="2433">
        <v>0</v>
      </c>
      <c r="G420" s="2433">
        <v>0</v>
      </c>
      <c r="H420" s="2433" t="s">
        <v>2410</v>
      </c>
      <c r="I420" s="2433" t="s">
        <v>2310</v>
      </c>
      <c r="J420" s="2433" t="s">
        <v>2449</v>
      </c>
      <c r="K420" s="2434" t="s">
        <v>2310</v>
      </c>
      <c r="L420" s="2435">
        <v>3</v>
      </c>
      <c r="M420" s="2435">
        <v>0</v>
      </c>
      <c r="N420" s="2435">
        <v>20</v>
      </c>
      <c r="O420" s="2433"/>
      <c r="P420" s="2433"/>
      <c r="Q420" s="2433" t="s">
        <v>2310</v>
      </c>
      <c r="R420" s="2433" t="s">
        <v>2310</v>
      </c>
      <c r="S420" s="2433" t="s">
        <v>2310</v>
      </c>
      <c r="T420" s="2433"/>
      <c r="U420" s="4754" t="s">
        <v>3242</v>
      </c>
      <c r="V420" s="4754"/>
      <c r="W420" s="4754"/>
      <c r="X420" s="2436" t="str">
        <f t="shared" si="23"/>
        <v>Distinta</v>
      </c>
    </row>
    <row r="421" spans="2:24" ht="12.75" customHeight="1" x14ac:dyDescent="0.2">
      <c r="B421" s="2431"/>
      <c r="C421" s="2432" t="s">
        <v>3243</v>
      </c>
      <c r="D421" s="2433">
        <v>30</v>
      </c>
      <c r="E421" s="2433" t="s">
        <v>2310</v>
      </c>
      <c r="F421" s="2433">
        <v>0</v>
      </c>
      <c r="G421" s="2433">
        <v>0</v>
      </c>
      <c r="H421" s="2433" t="s">
        <v>2410</v>
      </c>
      <c r="I421" s="2433" t="s">
        <v>2310</v>
      </c>
      <c r="J421" s="2433" t="s">
        <v>2449</v>
      </c>
      <c r="K421" s="2434" t="s">
        <v>2310</v>
      </c>
      <c r="L421" s="2435">
        <v>3</v>
      </c>
      <c r="M421" s="2435">
        <v>0</v>
      </c>
      <c r="N421" s="2435">
        <v>20</v>
      </c>
      <c r="O421" s="2433"/>
      <c r="P421" s="2433"/>
      <c r="Q421" s="2433" t="s">
        <v>2310</v>
      </c>
      <c r="R421" s="2433" t="s">
        <v>2310</v>
      </c>
      <c r="S421" s="2433" t="s">
        <v>2310</v>
      </c>
      <c r="T421" s="2433"/>
      <c r="U421" s="4754" t="s">
        <v>3244</v>
      </c>
      <c r="V421" s="4754"/>
      <c r="W421" s="4754"/>
      <c r="X421" s="2436" t="str">
        <f t="shared" si="23"/>
        <v>Distinta</v>
      </c>
    </row>
    <row r="422" spans="2:24" ht="12.75" customHeight="1" x14ac:dyDescent="0.2">
      <c r="B422" s="2431"/>
      <c r="C422" s="2432" t="s">
        <v>3245</v>
      </c>
      <c r="D422" s="2433">
        <v>15</v>
      </c>
      <c r="E422" s="2433" t="s">
        <v>2310</v>
      </c>
      <c r="F422" s="2433">
        <v>0</v>
      </c>
      <c r="G422" s="2433">
        <v>0</v>
      </c>
      <c r="H422" s="2433" t="s">
        <v>2354</v>
      </c>
      <c r="I422" s="2433" t="s">
        <v>2310</v>
      </c>
      <c r="J422" s="2433" t="s">
        <v>2449</v>
      </c>
      <c r="K422" s="2434" t="s">
        <v>2310</v>
      </c>
      <c r="L422" s="2435">
        <v>7</v>
      </c>
      <c r="M422" s="2435">
        <v>2</v>
      </c>
      <c r="N422" s="2435">
        <v>10</v>
      </c>
      <c r="O422" s="2433"/>
      <c r="P422" s="2433"/>
      <c r="Q422" s="2433" t="s">
        <v>2310</v>
      </c>
      <c r="R422" s="2433" t="s">
        <v>2310</v>
      </c>
      <c r="S422" s="2433" t="s">
        <v>2310</v>
      </c>
      <c r="T422" s="2433"/>
      <c r="U422" s="4754" t="s">
        <v>3246</v>
      </c>
      <c r="V422" s="4754"/>
      <c r="W422" s="4754"/>
      <c r="X422" s="2436" t="str">
        <f t="shared" si="23"/>
        <v>Distinta</v>
      </c>
    </row>
    <row r="423" spans="2:24" ht="12.75" customHeight="1" x14ac:dyDescent="0.2">
      <c r="B423" s="2431"/>
      <c r="C423" s="2432" t="s">
        <v>3247</v>
      </c>
      <c r="D423" s="2433">
        <v>40</v>
      </c>
      <c r="E423" s="2433" t="s">
        <v>2310</v>
      </c>
      <c r="F423" s="2433">
        <v>0</v>
      </c>
      <c r="G423" s="2433">
        <v>0</v>
      </c>
      <c r="H423" s="2433" t="s">
        <v>2410</v>
      </c>
      <c r="I423" s="2433" t="s">
        <v>2310</v>
      </c>
      <c r="J423" s="2433" t="s">
        <v>2449</v>
      </c>
      <c r="K423" s="2434" t="s">
        <v>2310</v>
      </c>
      <c r="L423" s="2435">
        <v>3</v>
      </c>
      <c r="M423" s="2435">
        <v>0</v>
      </c>
      <c r="N423" s="2435">
        <v>15</v>
      </c>
      <c r="O423" s="2433"/>
      <c r="P423" s="2433"/>
      <c r="Q423" s="2433" t="s">
        <v>2310</v>
      </c>
      <c r="R423" s="2433" t="s">
        <v>2310</v>
      </c>
      <c r="S423" s="2433" t="s">
        <v>2310</v>
      </c>
      <c r="T423" s="2433"/>
      <c r="U423" s="4754" t="s">
        <v>3248</v>
      </c>
      <c r="V423" s="4754"/>
      <c r="W423" s="4754"/>
      <c r="X423" s="2436" t="str">
        <f t="shared" si="23"/>
        <v>Distinta</v>
      </c>
    </row>
    <row r="424" spans="2:24" ht="12.75" customHeight="1" x14ac:dyDescent="0.2">
      <c r="B424" s="2431"/>
      <c r="C424" s="2432" t="s">
        <v>3249</v>
      </c>
      <c r="D424" s="2433">
        <v>30</v>
      </c>
      <c r="E424" s="2433" t="s">
        <v>2310</v>
      </c>
      <c r="F424" s="2433">
        <v>0</v>
      </c>
      <c r="G424" s="2433">
        <v>0</v>
      </c>
      <c r="H424" s="2433" t="s">
        <v>2410</v>
      </c>
      <c r="I424" s="2433" t="s">
        <v>2310</v>
      </c>
      <c r="J424" s="2433" t="s">
        <v>2449</v>
      </c>
      <c r="K424" s="2434" t="s">
        <v>2310</v>
      </c>
      <c r="L424" s="2435">
        <v>2</v>
      </c>
      <c r="M424" s="2435">
        <v>-1</v>
      </c>
      <c r="N424" s="2435">
        <v>15</v>
      </c>
      <c r="O424" s="2433"/>
      <c r="P424" s="2433"/>
      <c r="Q424" s="2433" t="s">
        <v>2310</v>
      </c>
      <c r="R424" s="2433" t="s">
        <v>2310</v>
      </c>
      <c r="S424" s="2433" t="s">
        <v>2310</v>
      </c>
      <c r="T424" s="2433"/>
      <c r="U424" s="4754" t="s">
        <v>3250</v>
      </c>
      <c r="V424" s="4754"/>
      <c r="W424" s="4754"/>
      <c r="X424" s="2436" t="str">
        <f t="shared" si="23"/>
        <v>Distinta</v>
      </c>
    </row>
    <row r="425" spans="2:24" ht="12.75" customHeight="1" x14ac:dyDescent="0.2">
      <c r="B425" s="2431"/>
      <c r="C425" s="2432" t="s">
        <v>3251</v>
      </c>
      <c r="D425" s="2433">
        <v>60</v>
      </c>
      <c r="E425" s="2433" t="s">
        <v>2310</v>
      </c>
      <c r="F425" s="2433">
        <v>0</v>
      </c>
      <c r="G425" s="2433">
        <v>0</v>
      </c>
      <c r="H425" s="2433" t="s">
        <v>2410</v>
      </c>
      <c r="I425" s="2433" t="s">
        <v>2310</v>
      </c>
      <c r="J425" s="2433" t="s">
        <v>2449</v>
      </c>
      <c r="K425" s="2434" t="s">
        <v>2310</v>
      </c>
      <c r="L425" s="2435">
        <v>4</v>
      </c>
      <c r="M425" s="2435">
        <v>1</v>
      </c>
      <c r="N425" s="2435">
        <v>15</v>
      </c>
      <c r="O425" s="2433"/>
      <c r="P425" s="2433"/>
      <c r="Q425" s="2433" t="s">
        <v>2310</v>
      </c>
      <c r="R425" s="2433" t="s">
        <v>2310</v>
      </c>
      <c r="S425" s="2433" t="s">
        <v>2310</v>
      </c>
      <c r="T425" s="2433"/>
      <c r="U425" s="4754" t="s">
        <v>3252</v>
      </c>
      <c r="V425" s="4754"/>
      <c r="W425" s="4754"/>
      <c r="X425" s="2436" t="str">
        <f t="shared" si="23"/>
        <v>Distinta</v>
      </c>
    </row>
    <row r="426" spans="2:24" ht="12.75" customHeight="1" x14ac:dyDescent="0.2">
      <c r="B426" s="2431"/>
      <c r="C426" s="2432" t="s">
        <v>3253</v>
      </c>
      <c r="D426" s="2433"/>
      <c r="E426" s="2433"/>
      <c r="F426" s="2433"/>
      <c r="G426" s="2433"/>
      <c r="H426" s="2433"/>
      <c r="I426" s="2433"/>
      <c r="J426" s="2433"/>
      <c r="K426" s="2434"/>
      <c r="L426" s="2435"/>
      <c r="M426" s="2435"/>
      <c r="N426" s="2435"/>
      <c r="O426" s="2433"/>
      <c r="P426" s="2433"/>
      <c r="Q426" s="2433"/>
      <c r="R426" s="2433"/>
      <c r="S426" s="2433"/>
      <c r="T426" s="2433"/>
      <c r="U426" s="2440"/>
      <c r="V426" s="2440"/>
      <c r="W426" s="2440"/>
      <c r="X426" s="2436"/>
    </row>
    <row r="427" spans="2:24" ht="12.75" customHeight="1" x14ac:dyDescent="0.2">
      <c r="B427" s="2431"/>
      <c r="C427" s="2432" t="s">
        <v>3254</v>
      </c>
      <c r="D427" s="2433">
        <f>Presencia_final+Bono_Pod-Bono_Fue</f>
        <v>30</v>
      </c>
      <c r="E427" s="2433">
        <v>20</v>
      </c>
      <c r="F427" s="2433">
        <v>0</v>
      </c>
      <c r="G427" s="2433">
        <v>0</v>
      </c>
      <c r="H427" s="2433" t="s">
        <v>3255</v>
      </c>
      <c r="I427" s="2433" t="s">
        <v>2310</v>
      </c>
      <c r="J427" s="2433" t="s">
        <v>2953</v>
      </c>
      <c r="K427" s="2434" t="s">
        <v>2310</v>
      </c>
      <c r="L427" s="2435">
        <v>0</v>
      </c>
      <c r="M427" s="2435">
        <f>POD</f>
        <v>8</v>
      </c>
      <c r="N427" s="2435">
        <f>Principal!K83</f>
        <v>0</v>
      </c>
      <c r="O427" s="2433"/>
      <c r="P427" s="2433"/>
      <c r="Q427" s="2433"/>
      <c r="R427" s="2433"/>
      <c r="S427" s="2433"/>
      <c r="T427" s="2433"/>
      <c r="U427" s="2441" t="s">
        <v>3256</v>
      </c>
      <c r="V427" s="2440"/>
      <c r="W427" s="2440"/>
      <c r="X427" s="2436" t="str">
        <f>IF(G1089=1,"Conocida","Distinta")</f>
        <v>Distinta</v>
      </c>
    </row>
    <row r="428" spans="2:24" ht="12.75" customHeight="1" x14ac:dyDescent="0.2">
      <c r="B428" s="2431"/>
      <c r="C428" s="2432" t="s">
        <v>3257</v>
      </c>
      <c r="D428" s="2437"/>
      <c r="E428" s="2437"/>
      <c r="F428" s="2437"/>
      <c r="G428" s="2437"/>
      <c r="H428" s="2437"/>
      <c r="I428" s="2437"/>
      <c r="J428" s="2437"/>
      <c r="K428" s="2437"/>
      <c r="L428" s="2437"/>
      <c r="M428" s="2437"/>
      <c r="N428" s="2437"/>
      <c r="O428" s="2437"/>
      <c r="P428" s="2437"/>
      <c r="Q428" s="2437"/>
      <c r="R428" s="2437"/>
      <c r="S428" s="2437"/>
      <c r="T428" s="2437"/>
      <c r="U428" s="2438"/>
      <c r="V428" s="2438"/>
      <c r="W428" s="2438"/>
      <c r="X428" s="2436"/>
    </row>
    <row r="429" spans="2:24" ht="12.75" customHeight="1" x14ac:dyDescent="0.2">
      <c r="B429" s="2443"/>
      <c r="C429" s="2432" t="s">
        <v>3258</v>
      </c>
      <c r="D429" s="2439">
        <f>100-Bono_Fue</f>
        <v>90</v>
      </c>
      <c r="E429" s="2433">
        <v>-20</v>
      </c>
      <c r="F429" s="2433">
        <v>0</v>
      </c>
      <c r="G429" s="2433">
        <v>0</v>
      </c>
      <c r="H429" s="2433" t="s">
        <v>2410</v>
      </c>
      <c r="I429" s="2433" t="s">
        <v>2409</v>
      </c>
      <c r="J429" s="2433"/>
      <c r="K429" s="2434"/>
      <c r="L429" s="2435">
        <v>16</v>
      </c>
      <c r="M429" s="2435">
        <v>6</v>
      </c>
      <c r="N429" s="2435">
        <v>30</v>
      </c>
      <c r="O429" s="2433"/>
      <c r="P429" s="2433"/>
      <c r="Q429" s="2433" t="s">
        <v>2310</v>
      </c>
      <c r="R429" s="2433" t="s">
        <v>2310</v>
      </c>
      <c r="S429" s="2433" t="s">
        <v>2310</v>
      </c>
      <c r="T429" s="2433"/>
      <c r="U429" s="2441" t="s">
        <v>3259</v>
      </c>
      <c r="V429" s="2437"/>
      <c r="W429" s="2437"/>
      <c r="X429" s="2436" t="str">
        <f>IF(G1091=1,"Conocida","Distinta")</f>
        <v>Distinta</v>
      </c>
    </row>
    <row r="430" spans="2:24" ht="12.75" customHeight="1" x14ac:dyDescent="0.2">
      <c r="B430" s="2443"/>
      <c r="C430" s="2432" t="s">
        <v>3260</v>
      </c>
      <c r="D430" s="2439">
        <v>120</v>
      </c>
      <c r="E430" s="2433">
        <v>-80</v>
      </c>
      <c r="F430" s="2433">
        <v>12</v>
      </c>
      <c r="G430" s="2433">
        <v>10</v>
      </c>
      <c r="H430" s="2433" t="s">
        <v>2409</v>
      </c>
      <c r="I430" s="2433" t="s">
        <v>2354</v>
      </c>
      <c r="J430" s="2433"/>
      <c r="K430" s="2434"/>
      <c r="L430" s="2435">
        <v>16</v>
      </c>
      <c r="M430" s="2435">
        <v>8</v>
      </c>
      <c r="N430" s="2435">
        <v>25</v>
      </c>
      <c r="O430" s="2433"/>
      <c r="P430" s="2433"/>
      <c r="Q430" s="2433" t="s">
        <v>2310</v>
      </c>
      <c r="R430" s="2433" t="s">
        <v>2310</v>
      </c>
      <c r="S430" s="2433" t="s">
        <v>2310</v>
      </c>
      <c r="T430" s="2433"/>
      <c r="U430" s="2441" t="s">
        <v>3261</v>
      </c>
      <c r="V430" s="2437"/>
      <c r="W430" s="2437"/>
      <c r="X430" s="2436" t="str">
        <f>IF(G1092=1,"Conocida","Distinta")</f>
        <v>Distinta</v>
      </c>
    </row>
    <row r="431" spans="2:24" ht="12.75" customHeight="1" x14ac:dyDescent="0.2">
      <c r="B431" s="2443"/>
      <c r="C431" s="2432" t="s">
        <v>3262</v>
      </c>
      <c r="D431" s="2439">
        <f>50-2*Bono_Fue+20*G271</f>
        <v>30</v>
      </c>
      <c r="E431" s="2433">
        <v>15</v>
      </c>
      <c r="F431" s="2433">
        <v>4</v>
      </c>
      <c r="G431" s="2433">
        <v>4</v>
      </c>
      <c r="H431" s="2433" t="s">
        <v>2409</v>
      </c>
      <c r="I431" s="2433" t="s">
        <v>2410</v>
      </c>
      <c r="J431" s="2433"/>
      <c r="K431" s="2434"/>
      <c r="L431" s="2435">
        <v>20</v>
      </c>
      <c r="M431" s="2435">
        <v>2</v>
      </c>
      <c r="N431" s="2435">
        <v>80</v>
      </c>
      <c r="O431" s="2433"/>
      <c r="P431" s="2433"/>
      <c r="Q431" s="2433" t="s">
        <v>2310</v>
      </c>
      <c r="R431" s="2433" t="s">
        <v>2310</v>
      </c>
      <c r="S431" s="2433" t="s">
        <v>2310</v>
      </c>
      <c r="T431" s="2433"/>
      <c r="U431" s="2441"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37"/>
      <c r="W431" s="2437"/>
      <c r="X431" s="2436" t="str">
        <f>IF(OR(G1094=1,G1095=1),"Conocida","Distinta")</f>
        <v>Distinta</v>
      </c>
    </row>
    <row r="432" spans="2:24" ht="12.75" customHeight="1" x14ac:dyDescent="0.2">
      <c r="B432" s="2443"/>
      <c r="C432" s="2432" t="s">
        <v>3263</v>
      </c>
      <c r="D432" s="2433">
        <f>65-Bono_Fue</f>
        <v>55</v>
      </c>
      <c r="E432" s="2433">
        <v>-30</v>
      </c>
      <c r="F432" s="2433">
        <v>8</v>
      </c>
      <c r="G432" s="2433">
        <v>6</v>
      </c>
      <c r="H432" s="2433" t="s">
        <v>2409</v>
      </c>
      <c r="I432" s="2433" t="s">
        <v>2354</v>
      </c>
      <c r="J432" s="2433"/>
      <c r="K432" s="2434"/>
      <c r="L432" s="2435">
        <v>13</v>
      </c>
      <c r="M432" s="2435">
        <v>4</v>
      </c>
      <c r="N432" s="2435">
        <v>35</v>
      </c>
      <c r="O432" s="2433"/>
      <c r="P432" s="2433"/>
      <c r="Q432" s="2433" t="s">
        <v>2310</v>
      </c>
      <c r="R432" s="2433">
        <v>2</v>
      </c>
      <c r="S432" s="2433">
        <v>50</v>
      </c>
      <c r="T432" s="2433">
        <v>10</v>
      </c>
      <c r="U432" s="2440" t="s">
        <v>3264</v>
      </c>
      <c r="V432" s="2437"/>
      <c r="W432" s="2437"/>
      <c r="X432" s="2436" t="str">
        <f>IF(G$1096=1,"Conocida","Distinta")</f>
        <v>Distinta</v>
      </c>
    </row>
    <row r="433" spans="2:24" ht="12.75" customHeight="1" x14ac:dyDescent="0.2">
      <c r="B433" s="2443"/>
      <c r="C433" s="2432" t="s">
        <v>3265</v>
      </c>
      <c r="D433" s="2433">
        <f>70-Bono_Fue</f>
        <v>60</v>
      </c>
      <c r="E433" s="2433">
        <v>-20</v>
      </c>
      <c r="F433" s="2433">
        <v>5</v>
      </c>
      <c r="G433" s="2433">
        <v>3</v>
      </c>
      <c r="H433" s="2433" t="s">
        <v>2410</v>
      </c>
      <c r="I433" s="2433" t="s">
        <v>2310</v>
      </c>
      <c r="J433" s="2433"/>
      <c r="K433" s="2434"/>
      <c r="L433" s="2435">
        <v>12</v>
      </c>
      <c r="M433" s="2435">
        <v>2</v>
      </c>
      <c r="N433" s="2435">
        <v>35</v>
      </c>
      <c r="O433" s="2433"/>
      <c r="P433" s="2433"/>
      <c r="Q433" s="2433" t="s">
        <v>2310</v>
      </c>
      <c r="R433" s="2433">
        <v>2</v>
      </c>
      <c r="S433" s="2433">
        <v>80</v>
      </c>
      <c r="T433" s="2433">
        <v>11</v>
      </c>
      <c r="U433" s="2440" t="s">
        <v>3264</v>
      </c>
      <c r="V433" s="2437"/>
      <c r="W433" s="2437"/>
      <c r="X433" s="2436" t="str">
        <f>IF(G$1096=1,"Conocida","Distinta")</f>
        <v>Distinta</v>
      </c>
    </row>
    <row r="434" spans="2:24" ht="12.75" customHeight="1" x14ac:dyDescent="0.2">
      <c r="B434" s="2443"/>
      <c r="C434" s="2432" t="s">
        <v>3266</v>
      </c>
      <c r="D434" s="2433">
        <f>140-Bono_Fue</f>
        <v>130</v>
      </c>
      <c r="E434" s="2433">
        <v>-15</v>
      </c>
      <c r="F434" s="2433">
        <v>7</v>
      </c>
      <c r="G434" s="2433">
        <v>5</v>
      </c>
      <c r="H434" s="2433" t="s">
        <v>2354</v>
      </c>
      <c r="I434" s="2433" t="s">
        <v>2310</v>
      </c>
      <c r="J434" s="2433"/>
      <c r="K434" s="2434"/>
      <c r="L434" s="2435">
        <v>15</v>
      </c>
      <c r="M434" s="2435">
        <v>5</v>
      </c>
      <c r="N434" s="2435">
        <v>35</v>
      </c>
      <c r="O434" s="2433"/>
      <c r="P434" s="2433"/>
      <c r="Q434" s="2433" t="s">
        <v>2310</v>
      </c>
      <c r="R434" s="2433">
        <v>10</v>
      </c>
      <c r="S434" s="2433">
        <v>250</v>
      </c>
      <c r="T434" s="2433">
        <v>12</v>
      </c>
      <c r="U434" s="2440" t="s">
        <v>3267</v>
      </c>
      <c r="V434" s="2437"/>
      <c r="W434" s="2437"/>
      <c r="X434" s="2436" t="str">
        <f>IF(G$1096=1,"Conocida","Distinta")</f>
        <v>Distinta</v>
      </c>
    </row>
    <row r="435" spans="2:24" ht="12.75" customHeight="1" x14ac:dyDescent="0.2">
      <c r="B435" s="2443"/>
      <c r="C435" s="2432" t="s">
        <v>3268</v>
      </c>
      <c r="D435" s="2433">
        <f>60-Bono_Fue-10</f>
        <v>40</v>
      </c>
      <c r="E435" s="2433">
        <v>-10</v>
      </c>
      <c r="F435" s="2433">
        <v>0</v>
      </c>
      <c r="G435" s="2433">
        <v>0</v>
      </c>
      <c r="H435" s="2433" t="s">
        <v>2354</v>
      </c>
      <c r="I435" s="2433" t="s">
        <v>2310</v>
      </c>
      <c r="J435" s="2433"/>
      <c r="K435" s="2434"/>
      <c r="L435" s="2435">
        <v>0</v>
      </c>
      <c r="M435" s="2435">
        <v>2</v>
      </c>
      <c r="N435" s="2435">
        <f>Principal!$F$50</f>
        <v>0</v>
      </c>
      <c r="O435" s="2433"/>
      <c r="P435" s="2433"/>
      <c r="Q435" s="2433" t="s">
        <v>2310</v>
      </c>
      <c r="R435" s="2433" t="s">
        <v>2310</v>
      </c>
      <c r="S435" s="2433">
        <f>2*Principal!K52</f>
        <v>0</v>
      </c>
      <c r="T435" s="2433"/>
      <c r="U435" s="2440" t="str">
        <f>"Alcance "&amp;2*Presencia_final&amp;"m"</f>
        <v>Alcance 60m</v>
      </c>
      <c r="V435" s="2437"/>
      <c r="W435" s="2437"/>
      <c r="X435" s="2436" t="str">
        <f t="shared" ref="X435:X442" si="24">IF(G1097=1,"Conocida","Distinta")</f>
        <v>Distinta</v>
      </c>
    </row>
    <row r="436" spans="2:24" ht="12.75" customHeight="1" x14ac:dyDescent="0.2">
      <c r="B436" s="2443"/>
      <c r="C436" s="2432" t="s">
        <v>3269</v>
      </c>
      <c r="D436" s="2433">
        <f>60-10</f>
        <v>50</v>
      </c>
      <c r="E436" s="2433">
        <v>0</v>
      </c>
      <c r="F436" s="2433">
        <v>5</v>
      </c>
      <c r="G436" s="2433">
        <v>5</v>
      </c>
      <c r="H436" s="2433" t="s">
        <v>3270</v>
      </c>
      <c r="I436" s="2433" t="s">
        <v>2310</v>
      </c>
      <c r="J436" s="2433"/>
      <c r="K436" s="2434"/>
      <c r="L436" s="2435">
        <v>15</v>
      </c>
      <c r="M436" s="2435">
        <v>2</v>
      </c>
      <c r="N436" s="2435">
        <f>Principal!$F$50</f>
        <v>0</v>
      </c>
      <c r="O436" s="2433"/>
      <c r="P436" s="2433"/>
      <c r="Q436" s="2433" t="s">
        <v>2310</v>
      </c>
      <c r="R436" s="2433" t="s">
        <v>2310</v>
      </c>
      <c r="S436" s="2433" t="s">
        <v>2310</v>
      </c>
      <c r="T436" s="2433"/>
      <c r="U436" s="2440" t="s">
        <v>3271</v>
      </c>
      <c r="V436" s="2437"/>
      <c r="W436" s="2437"/>
      <c r="X436" s="2436" t="str">
        <f t="shared" si="24"/>
        <v>Distinta</v>
      </c>
    </row>
    <row r="437" spans="2:24" ht="12.75" customHeight="1" x14ac:dyDescent="0.2">
      <c r="B437" s="2443"/>
      <c r="C437" s="2432" t="s">
        <v>9773</v>
      </c>
      <c r="D437" s="2433">
        <v>50</v>
      </c>
      <c r="E437" s="2433">
        <v>0</v>
      </c>
      <c r="F437" s="2433">
        <v>5</v>
      </c>
      <c r="G437" s="2433">
        <v>5</v>
      </c>
      <c r="H437" s="2433" t="s">
        <v>2409</v>
      </c>
      <c r="I437" s="2433" t="s">
        <v>2410</v>
      </c>
      <c r="J437" s="2433"/>
      <c r="K437" s="2434"/>
      <c r="L437" s="2435">
        <v>13</v>
      </c>
      <c r="M437" s="2435">
        <v>2</v>
      </c>
      <c r="N437" s="2435">
        <v>35</v>
      </c>
      <c r="O437" s="2433"/>
      <c r="P437" s="2433"/>
      <c r="Q437" s="2433" t="s">
        <v>2310</v>
      </c>
      <c r="R437" s="2433" t="s">
        <v>2310</v>
      </c>
      <c r="S437" s="2433" t="s">
        <v>2310</v>
      </c>
      <c r="T437" s="2433"/>
      <c r="U437" s="2441" t="s">
        <v>3273</v>
      </c>
      <c r="V437" s="2437"/>
      <c r="W437" s="2437"/>
      <c r="X437" s="2436" t="str">
        <f>IF(G$1099=1,"Conocida","Distinta")</f>
        <v>Distinta</v>
      </c>
    </row>
    <row r="438" spans="2:24" ht="12.75" customHeight="1" x14ac:dyDescent="0.2">
      <c r="B438" s="2443"/>
      <c r="C438" s="2432" t="s">
        <v>9774</v>
      </c>
      <c r="D438" s="2433">
        <v>40</v>
      </c>
      <c r="E438" s="2433">
        <v>-10</v>
      </c>
      <c r="F438" s="2433">
        <v>5</v>
      </c>
      <c r="G438" s="2433">
        <v>5</v>
      </c>
      <c r="H438" s="2433" t="s">
        <v>2409</v>
      </c>
      <c r="I438" s="2433" t="s">
        <v>2410</v>
      </c>
      <c r="J438" s="2433"/>
      <c r="K438" s="2434"/>
      <c r="L438" s="2435">
        <v>13</v>
      </c>
      <c r="M438" s="2435">
        <v>2</v>
      </c>
      <c r="N438" s="2435">
        <v>35</v>
      </c>
      <c r="O438" s="2433"/>
      <c r="P438" s="2433"/>
      <c r="Q438" s="2433" t="s">
        <v>2310</v>
      </c>
      <c r="R438" s="2433" t="s">
        <v>2310</v>
      </c>
      <c r="S438" s="2433" t="s">
        <v>2310</v>
      </c>
      <c r="T438" s="2433"/>
      <c r="U438" s="2441" t="s">
        <v>3273</v>
      </c>
      <c r="V438" s="2437"/>
      <c r="W438" s="2437"/>
      <c r="X438" s="2436" t="str">
        <f>IF(G$1099=1,"Conocida","Distinta")</f>
        <v>Distinta</v>
      </c>
    </row>
    <row r="439" spans="2:24" ht="12.75" customHeight="1" x14ac:dyDescent="0.2">
      <c r="B439" s="2443"/>
      <c r="C439" s="2432" t="s">
        <v>3274</v>
      </c>
      <c r="D439" s="2433">
        <f>50-Bono_Fue-10-IF(Ki!Q38&gt;0,10,0)+50*K268</f>
        <v>30</v>
      </c>
      <c r="E439" s="2433">
        <v>10</v>
      </c>
      <c r="F439" s="2433">
        <v>4</v>
      </c>
      <c r="G439" s="2433">
        <v>4</v>
      </c>
      <c r="H439" s="2433" t="s">
        <v>2410</v>
      </c>
      <c r="I439" s="2433" t="s">
        <v>2354</v>
      </c>
      <c r="J439" s="2433"/>
      <c r="K439" s="2434"/>
      <c r="L439" s="2435">
        <v>0</v>
      </c>
      <c r="M439" s="2435">
        <v>0</v>
      </c>
      <c r="N439" s="2435">
        <v>0</v>
      </c>
      <c r="O439" s="2433"/>
      <c r="P439" s="2433"/>
      <c r="Q439" s="2433">
        <v>100</v>
      </c>
      <c r="R439" s="2433" t="s">
        <v>2310</v>
      </c>
      <c r="S439" s="2433" t="s">
        <v>2310</v>
      </c>
      <c r="T439" s="2433"/>
      <c r="U439" s="2630" t="str">
        <f>"Lanzable (100/10m)"&amp;IF(K269&gt;0,", Penetrante","")&amp;IF(K270&gt;0,", Área "&amp;5+MAX(0,5*TRUNC((HA_final-200)/50))&amp;"m","")&amp;IF(K271&gt;0,", Precisión absoluta","")&amp;IF(K272&gt;0,", +40 nivel de crítico","")&amp;IF(K273&gt;0,", Quebrantador de escudos","")</f>
        <v>Lanzable (100/10m)</v>
      </c>
      <c r="V439" s="2437"/>
      <c r="W439" s="2437"/>
      <c r="X439" s="2436" t="str">
        <f>IF(OR(G1100=1,G1101=1),"Conocida","Distinta")</f>
        <v>Distinta</v>
      </c>
    </row>
    <row r="440" spans="2:24" ht="12.75" customHeight="1" x14ac:dyDescent="0.2">
      <c r="B440" s="2443"/>
      <c r="C440" s="2432" t="s">
        <v>3275</v>
      </c>
      <c r="D440" s="2433">
        <f>100-Bono_Fue+Bono_Des</f>
        <v>100</v>
      </c>
      <c r="E440" s="2433">
        <v>20</v>
      </c>
      <c r="F440" s="2433">
        <v>3</v>
      </c>
      <c r="G440" s="2433">
        <v>3</v>
      </c>
      <c r="H440" s="2433" t="s">
        <v>2410</v>
      </c>
      <c r="I440" s="2433" t="s">
        <v>2310</v>
      </c>
      <c r="J440" s="2433"/>
      <c r="K440" s="2434"/>
      <c r="L440" s="2435">
        <v>8</v>
      </c>
      <c r="M440" s="2435">
        <v>-5</v>
      </c>
      <c r="N440" s="2435">
        <v>20</v>
      </c>
      <c r="O440" s="2433"/>
      <c r="P440" s="2433"/>
      <c r="Q440" s="2433">
        <v>30</v>
      </c>
      <c r="R440" s="2433" t="s">
        <v>2310</v>
      </c>
      <c r="S440" s="2433" t="s">
        <v>2310</v>
      </c>
      <c r="T440" s="2433"/>
      <c r="U440" s="2440" t="s">
        <v>3276</v>
      </c>
      <c r="V440" s="2437"/>
      <c r="W440" s="2437"/>
      <c r="X440" s="2436" t="str">
        <f>IF(G1102=1,"Conocida","Distinta")</f>
        <v>Distinta</v>
      </c>
    </row>
    <row r="441" spans="2:24" ht="12.75" customHeight="1" x14ac:dyDescent="0.2">
      <c r="B441" s="2443"/>
      <c r="C441" s="2432" t="s">
        <v>3277</v>
      </c>
      <c r="D441" s="2433">
        <f>70-Bono_Fue-10</f>
        <v>50</v>
      </c>
      <c r="E441" s="2433">
        <v>10</v>
      </c>
      <c r="F441" s="2433">
        <v>3</v>
      </c>
      <c r="G441" s="2433">
        <v>3</v>
      </c>
      <c r="H441" s="2433" t="s">
        <v>2409</v>
      </c>
      <c r="I441" s="2433" t="s">
        <v>2354</v>
      </c>
      <c r="J441" s="2433"/>
      <c r="K441" s="2434"/>
      <c r="L441" s="2435">
        <v>20</v>
      </c>
      <c r="M441" s="2435">
        <v>5</v>
      </c>
      <c r="N441" s="2435">
        <v>30</v>
      </c>
      <c r="O441" s="2433"/>
      <c r="P441" s="2433"/>
      <c r="Q441" s="2433" t="s">
        <v>2310</v>
      </c>
      <c r="R441" s="2433" t="s">
        <v>2310</v>
      </c>
      <c r="S441" s="2433" t="s">
        <v>2310</v>
      </c>
      <c r="T441" s="2433"/>
      <c r="U441" s="2442" t="s">
        <v>9662</v>
      </c>
      <c r="V441" s="2437"/>
      <c r="W441" s="2437"/>
      <c r="X441" s="2436" t="str">
        <f t="shared" si="24"/>
        <v>Distinta</v>
      </c>
    </row>
    <row r="442" spans="2:24" ht="12.75" customHeight="1" x14ac:dyDescent="0.2">
      <c r="B442" s="2443"/>
      <c r="C442" s="2432" t="s">
        <v>3278</v>
      </c>
      <c r="D442" s="2433">
        <f>30-Bono_Fue+Bono_Des</f>
        <v>30</v>
      </c>
      <c r="E442" s="2433">
        <v>20</v>
      </c>
      <c r="F442" s="2433">
        <v>0</v>
      </c>
      <c r="G442" s="2433">
        <v>0</v>
      </c>
      <c r="H442" s="2433" t="s">
        <v>2354</v>
      </c>
      <c r="I442" s="2433" t="s">
        <v>2310</v>
      </c>
      <c r="J442" s="2433"/>
      <c r="K442" s="2434"/>
      <c r="L442" s="2435">
        <v>8</v>
      </c>
      <c r="M442" s="2435">
        <v>-2</v>
      </c>
      <c r="N442" s="2435">
        <v>20</v>
      </c>
      <c r="O442" s="2433"/>
      <c r="P442" s="2433"/>
      <c r="Q442" s="2433" t="s">
        <v>2310</v>
      </c>
      <c r="R442" s="2433" t="s">
        <v>2310</v>
      </c>
      <c r="S442" s="2433" t="s">
        <v>2310</v>
      </c>
      <c r="T442" s="2433"/>
      <c r="U442" s="2440" t="s">
        <v>3279</v>
      </c>
      <c r="V442" s="2437"/>
      <c r="W442" s="2437"/>
      <c r="X442" s="2436" t="str">
        <f t="shared" si="24"/>
        <v>Distinta</v>
      </c>
    </row>
    <row r="443" spans="2:24" ht="12.75" customHeight="1" thickBot="1" x14ac:dyDescent="0.25">
      <c r="B443" s="2444"/>
      <c r="C443" s="2445" t="s">
        <v>3280</v>
      </c>
      <c r="D443" s="2446">
        <f>80-Bono_Fue</f>
        <v>70</v>
      </c>
      <c r="E443" s="2446">
        <v>10</v>
      </c>
      <c r="F443" s="2446">
        <v>0</v>
      </c>
      <c r="G443" s="2446">
        <v>0</v>
      </c>
      <c r="H443" s="2446" t="s">
        <v>2409</v>
      </c>
      <c r="I443" s="2446" t="s">
        <v>2410</v>
      </c>
      <c r="J443" s="2446"/>
      <c r="K443" s="2447"/>
      <c r="L443" s="2448">
        <v>30</v>
      </c>
      <c r="M443" s="2448">
        <v>15</v>
      </c>
      <c r="N443" s="2448">
        <f>Principal!$F$50</f>
        <v>0</v>
      </c>
      <c r="O443" s="2446"/>
      <c r="P443" s="2446"/>
      <c r="Q443" s="2446" t="s">
        <v>2310</v>
      </c>
      <c r="R443" s="2446" t="s">
        <v>2310</v>
      </c>
      <c r="S443" s="2446" t="s">
        <v>2310</v>
      </c>
      <c r="T443" s="2446"/>
      <c r="U443" s="2449" t="s">
        <v>2310</v>
      </c>
      <c r="V443" s="2450"/>
      <c r="W443" s="2450"/>
      <c r="X443" s="2451" t="str">
        <f>IF(G1105=1,"Conocida","Distinta")</f>
        <v>Distinta</v>
      </c>
    </row>
    <row r="446" spans="2:24" ht="12.75" customHeight="1" thickBot="1" x14ac:dyDescent="0.25">
      <c r="H446" s="447"/>
    </row>
    <row r="447" spans="2:24" ht="12.75" customHeight="1" x14ac:dyDescent="0.2">
      <c r="B447" s="4771" t="s">
        <v>3281</v>
      </c>
      <c r="C447" s="4772"/>
      <c r="D447" s="4772"/>
      <c r="E447" s="4772"/>
      <c r="F447" s="4772"/>
      <c r="G447" s="4773"/>
      <c r="N447" s="447"/>
      <c r="O447" s="2707"/>
    </row>
    <row r="448" spans="2:24" ht="12.75" customHeight="1" x14ac:dyDescent="0.2">
      <c r="B448" s="2710" t="s">
        <v>2202</v>
      </c>
      <c r="C448" s="2711" t="s">
        <v>3965</v>
      </c>
      <c r="D448" s="2711" t="s">
        <v>9098</v>
      </c>
      <c r="E448" s="2711" t="s">
        <v>9097</v>
      </c>
      <c r="F448" s="2711" t="s">
        <v>2217</v>
      </c>
      <c r="G448" s="2712" t="s">
        <v>9866</v>
      </c>
      <c r="N448" s="447"/>
      <c r="O448" s="2707"/>
    </row>
    <row r="449" spans="2:15" ht="12.75" customHeight="1" thickBot="1" x14ac:dyDescent="0.25">
      <c r="B449" s="2714">
        <f>C449+D449+E449+F449+G449</f>
        <v>3</v>
      </c>
      <c r="C449" s="2715">
        <f>SUM($G$471:G612)+SUM(G706:G750)</f>
        <v>1</v>
      </c>
      <c r="D449" s="2715">
        <f>D451+E451</f>
        <v>0</v>
      </c>
      <c r="E449" s="2715">
        <f>SUM(G766:G772)+SUM(G684:G705)</f>
        <v>0</v>
      </c>
      <c r="F449" s="2715">
        <f>G465</f>
        <v>0</v>
      </c>
      <c r="G449" s="2716">
        <f>P560</f>
        <v>2</v>
      </c>
      <c r="N449" s="447"/>
      <c r="O449" s="2707"/>
    </row>
    <row r="450" spans="2:15" ht="12.75" customHeight="1" thickBot="1" x14ac:dyDescent="0.25">
      <c r="D450" s="2708" t="s">
        <v>3303</v>
      </c>
      <c r="E450" s="2709" t="s">
        <v>9096</v>
      </c>
      <c r="N450" s="447"/>
    </row>
    <row r="451" spans="2:15" ht="12.75" customHeight="1" thickBot="1" x14ac:dyDescent="0.25">
      <c r="D451" s="2713">
        <f>SUM(G613:G657)+SUM(G751:G759)</f>
        <v>0</v>
      </c>
      <c r="E451" s="2713">
        <f>SUM(G658:G682)+SUM(G761:G764)</f>
        <v>0</v>
      </c>
      <c r="N451" s="447"/>
    </row>
    <row r="452" spans="2:15" ht="12.75" customHeight="1" thickBot="1" x14ac:dyDescent="0.25"/>
    <row r="453" spans="2:15" ht="12.75" customHeight="1" thickBot="1" x14ac:dyDescent="0.25">
      <c r="B453" s="4752" t="s">
        <v>3282</v>
      </c>
      <c r="C453" s="4752"/>
      <c r="D453" s="4752"/>
      <c r="E453" s="4752"/>
      <c r="F453" s="4752"/>
      <c r="G453" s="4752"/>
      <c r="H453" s="4752"/>
    </row>
    <row r="454" spans="2:15" ht="12.75" customHeight="1" x14ac:dyDescent="0.2">
      <c r="B454" s="4752"/>
      <c r="C454" s="4752"/>
      <c r="D454" s="4752"/>
      <c r="E454" s="4752"/>
      <c r="F454" s="4752"/>
      <c r="G454" s="4752"/>
      <c r="H454" s="4752"/>
    </row>
    <row r="455" spans="2:15" ht="12.75" customHeight="1" x14ac:dyDescent="0.2">
      <c r="B455" s="529"/>
      <c r="C455" s="530"/>
      <c r="D455" s="514" t="s">
        <v>2295</v>
      </c>
      <c r="E455" s="514" t="s">
        <v>2345</v>
      </c>
      <c r="F455" s="514" t="s">
        <v>3283</v>
      </c>
      <c r="G455" s="514" t="s">
        <v>3284</v>
      </c>
      <c r="H455" s="1985" t="s">
        <v>2790</v>
      </c>
    </row>
    <row r="456" spans="2:15" ht="12.75" customHeight="1" x14ac:dyDescent="0.2">
      <c r="B456" s="70"/>
      <c r="C456" s="73"/>
      <c r="D456" s="502" t="s">
        <v>9760</v>
      </c>
      <c r="E456" s="532"/>
      <c r="F456" s="532"/>
      <c r="G456" s="532"/>
      <c r="H456" s="373"/>
    </row>
    <row r="457" spans="2:15" ht="12.75" customHeight="1" x14ac:dyDescent="0.2">
      <c r="B457" s="70"/>
      <c r="C457" s="290"/>
      <c r="D457" s="2540" t="s">
        <v>3728</v>
      </c>
      <c r="E457" s="459">
        <v>1</v>
      </c>
      <c r="F457" s="459">
        <f>COUNTIF(Principal!$C$32:$J$50,Tablas!D457)</f>
        <v>0</v>
      </c>
      <c r="G457" s="533">
        <f t="shared" ref="G457:G464" si="25">F457*E457</f>
        <v>0</v>
      </c>
      <c r="H457" s="373">
        <v>1</v>
      </c>
    </row>
    <row r="458" spans="2:15" ht="12.75" customHeight="1" x14ac:dyDescent="0.2">
      <c r="B458" s="70"/>
      <c r="C458" s="290"/>
      <c r="D458" s="2540" t="s">
        <v>3730</v>
      </c>
      <c r="E458" s="459">
        <v>1</v>
      </c>
      <c r="F458" s="459">
        <f>COUNTIF(Principal!$C$32:$J$50,Tablas!D458)</f>
        <v>0</v>
      </c>
      <c r="G458" s="533">
        <f t="shared" si="25"/>
        <v>0</v>
      </c>
      <c r="H458" s="373">
        <v>1</v>
      </c>
    </row>
    <row r="459" spans="2:15" ht="12.75" customHeight="1" x14ac:dyDescent="0.2">
      <c r="B459" s="70"/>
      <c r="C459" s="290"/>
      <c r="D459" s="2540" t="s">
        <v>3732</v>
      </c>
      <c r="E459" s="459">
        <v>1</v>
      </c>
      <c r="F459" s="459">
        <f>COUNTIF(Principal!$C$32:$J$50,Tablas!D459)</f>
        <v>0</v>
      </c>
      <c r="G459" s="533">
        <f t="shared" si="25"/>
        <v>0</v>
      </c>
      <c r="H459" s="373">
        <v>1</v>
      </c>
      <c r="N459" s="447"/>
    </row>
    <row r="460" spans="2:15" ht="12.75" customHeight="1" x14ac:dyDescent="0.2">
      <c r="B460" s="70"/>
      <c r="C460" s="290"/>
      <c r="D460" s="2540" t="s">
        <v>3734</v>
      </c>
      <c r="E460" s="459">
        <v>1</v>
      </c>
      <c r="F460" s="459">
        <f>COUNTIF(Principal!$C$32:$J$50,Tablas!D460)</f>
        <v>0</v>
      </c>
      <c r="G460" s="533">
        <f t="shared" si="25"/>
        <v>0</v>
      </c>
      <c r="H460" s="373">
        <v>1</v>
      </c>
      <c r="N460" s="447"/>
    </row>
    <row r="461" spans="2:15" ht="12.75" customHeight="1" x14ac:dyDescent="0.2">
      <c r="B461" s="70"/>
      <c r="C461" s="290"/>
      <c r="D461" s="2540" t="s">
        <v>3736</v>
      </c>
      <c r="E461" s="459">
        <v>1</v>
      </c>
      <c r="F461" s="459">
        <f>COUNTIF(Principal!$C$32:$J$50,Tablas!D461)</f>
        <v>0</v>
      </c>
      <c r="G461" s="533">
        <f t="shared" si="25"/>
        <v>0</v>
      </c>
      <c r="H461" s="373">
        <v>1</v>
      </c>
      <c r="N461" s="447"/>
    </row>
    <row r="462" spans="2:15" ht="12.75" customHeight="1" x14ac:dyDescent="0.2">
      <c r="B462" s="70"/>
      <c r="C462" s="290"/>
      <c r="D462" s="2540" t="s">
        <v>3738</v>
      </c>
      <c r="E462" s="459">
        <v>1</v>
      </c>
      <c r="F462" s="459">
        <f>COUNTIF(Principal!$C$32:$J$50,Tablas!D462)</f>
        <v>0</v>
      </c>
      <c r="G462" s="533">
        <f t="shared" si="25"/>
        <v>0</v>
      </c>
      <c r="H462" s="373">
        <v>1</v>
      </c>
      <c r="N462" s="447"/>
    </row>
    <row r="463" spans="2:15" ht="12.75" customHeight="1" x14ac:dyDescent="0.2">
      <c r="B463" s="70"/>
      <c r="C463" s="290"/>
      <c r="D463" s="2540" t="s">
        <v>3740</v>
      </c>
      <c r="E463" s="459">
        <v>1</v>
      </c>
      <c r="F463" s="459">
        <f>COUNTIF(Principal!$C$32:$J$50,Tablas!D463)</f>
        <v>0</v>
      </c>
      <c r="G463" s="533">
        <f t="shared" si="25"/>
        <v>0</v>
      </c>
      <c r="H463" s="373">
        <v>1</v>
      </c>
      <c r="N463" s="447"/>
    </row>
    <row r="464" spans="2:15" ht="12.75" customHeight="1" thickBot="1" x14ac:dyDescent="0.25">
      <c r="B464" s="221"/>
      <c r="C464" s="473"/>
      <c r="D464" s="2541" t="s">
        <v>3742</v>
      </c>
      <c r="E464" s="535">
        <v>1</v>
      </c>
      <c r="F464" s="535">
        <f>COUNTIF(Principal!$C$32:$J$50,Tablas!D464)</f>
        <v>0</v>
      </c>
      <c r="G464" s="536">
        <f t="shared" si="25"/>
        <v>0</v>
      </c>
      <c r="H464" s="1986">
        <v>1</v>
      </c>
      <c r="N464" s="447"/>
    </row>
    <row r="465" spans="2:25" ht="12.75" customHeight="1" thickBot="1" x14ac:dyDescent="0.25">
      <c r="G465" s="4753">
        <f>SUM(G456:G464)</f>
        <v>0</v>
      </c>
      <c r="N465" s="447"/>
    </row>
    <row r="466" spans="2:25" ht="12.75" customHeight="1" thickBot="1" x14ac:dyDescent="0.25">
      <c r="G466" s="4753"/>
      <c r="N466" s="447"/>
    </row>
    <row r="467" spans="2:25" ht="12.75" customHeight="1" thickBot="1" x14ac:dyDescent="0.25">
      <c r="N467" s="447"/>
    </row>
    <row r="468" spans="2:25" ht="12.75" customHeight="1" thickBot="1" x14ac:dyDescent="0.25">
      <c r="B468" s="4763" t="s">
        <v>3285</v>
      </c>
      <c r="C468" s="4764"/>
      <c r="D468" s="4764"/>
      <c r="E468" s="4764"/>
      <c r="F468" s="4764"/>
      <c r="G468" s="4764"/>
      <c r="H468" s="4765"/>
      <c r="I468" s="2143"/>
      <c r="L468" s="4803" t="s">
        <v>3530</v>
      </c>
      <c r="M468" s="4840"/>
      <c r="N468" s="4840"/>
      <c r="O468" s="4840"/>
      <c r="P468" s="4840"/>
      <c r="Q468" s="4840"/>
      <c r="R468" s="4840"/>
      <c r="S468" s="4840"/>
      <c r="T468" s="4840"/>
      <c r="U468" s="4840"/>
      <c r="V468" s="4840"/>
      <c r="W468" s="4840"/>
      <c r="X468" s="4804"/>
    </row>
    <row r="469" spans="2:25" ht="12.75" customHeight="1" thickBot="1" x14ac:dyDescent="0.25">
      <c r="B469" s="4766"/>
      <c r="C469" s="4752"/>
      <c r="D469" s="4752"/>
      <c r="E469" s="4752"/>
      <c r="F469" s="4752"/>
      <c r="G469" s="4752"/>
      <c r="H469" s="4767"/>
      <c r="I469" s="2144"/>
      <c r="L469" s="4841"/>
      <c r="M469" s="4842"/>
      <c r="N469" s="4842"/>
      <c r="O469" s="4842"/>
      <c r="P469" s="4842"/>
      <c r="Q469" s="4842"/>
      <c r="R469" s="4842"/>
      <c r="S469" s="4842"/>
      <c r="T469" s="4842"/>
      <c r="U469" s="4842"/>
      <c r="V469" s="4842"/>
      <c r="W469" s="4842"/>
      <c r="X469" s="4843"/>
    </row>
    <row r="470" spans="2:25" ht="12.75" customHeight="1" x14ac:dyDescent="0.2">
      <c r="B470" s="4777" t="s">
        <v>8892</v>
      </c>
      <c r="C470" s="4778"/>
      <c r="D470" s="2706" t="s">
        <v>2295</v>
      </c>
      <c r="E470" s="2706" t="s">
        <v>2345</v>
      </c>
      <c r="F470" s="2706" t="s">
        <v>3283</v>
      </c>
      <c r="G470" s="2706" t="s">
        <v>3284</v>
      </c>
      <c r="H470" s="2007" t="s">
        <v>2790</v>
      </c>
      <c r="I470" s="2007" t="s">
        <v>2252</v>
      </c>
      <c r="L470" s="1677"/>
      <c r="M470" s="4844" t="s">
        <v>2387</v>
      </c>
      <c r="N470" s="4844"/>
      <c r="O470" s="4845" t="s">
        <v>2389</v>
      </c>
      <c r="P470" s="4845"/>
      <c r="Q470" s="4845" t="s">
        <v>2391</v>
      </c>
      <c r="R470" s="4845"/>
      <c r="S470" s="4845" t="s">
        <v>2388</v>
      </c>
      <c r="T470" s="4845"/>
      <c r="U470" s="4845" t="s">
        <v>2390</v>
      </c>
      <c r="V470" s="4845"/>
      <c r="W470" s="4846" t="s">
        <v>2392</v>
      </c>
      <c r="X470" s="4847"/>
      <c r="Y470" s="1854" t="s">
        <v>9767</v>
      </c>
    </row>
    <row r="471" spans="2:25" ht="12.75" customHeight="1" thickBot="1" x14ac:dyDescent="0.25">
      <c r="B471" s="2718" t="str">
        <f>D471</f>
        <v>&gt; VENTAJAS COMUNES</v>
      </c>
      <c r="C471" s="2723"/>
      <c r="D471" s="333" t="s">
        <v>3286</v>
      </c>
      <c r="E471" s="533"/>
      <c r="F471" s="459"/>
      <c r="G471" s="2731"/>
      <c r="H471" s="2735"/>
      <c r="I471" s="2739"/>
      <c r="L471" s="1678" t="s">
        <v>2295</v>
      </c>
      <c r="M471" s="539" t="s">
        <v>2345</v>
      </c>
      <c r="N471" s="1676" t="s">
        <v>3283</v>
      </c>
      <c r="O471" s="539" t="s">
        <v>2345</v>
      </c>
      <c r="P471" s="1676" t="s">
        <v>3283</v>
      </c>
      <c r="Q471" s="539" t="s">
        <v>2345</v>
      </c>
      <c r="R471" s="1968" t="s">
        <v>3283</v>
      </c>
      <c r="S471" s="539" t="s">
        <v>2345</v>
      </c>
      <c r="T471" s="1676" t="s">
        <v>3283</v>
      </c>
      <c r="U471" s="539" t="s">
        <v>2345</v>
      </c>
      <c r="V471" s="1676" t="s">
        <v>3283</v>
      </c>
      <c r="W471" s="539" t="s">
        <v>2345</v>
      </c>
      <c r="X471" s="2301" t="s">
        <v>3283</v>
      </c>
      <c r="Y471" s="1854"/>
    </row>
    <row r="472" spans="2:25" ht="12.75" customHeight="1" x14ac:dyDescent="0.2">
      <c r="B472" s="2718" t="str">
        <f>VLOOKUP(A1,$C$472:$D$612,2,0)</f>
        <v>Ac. de Ki incrementada (1)</v>
      </c>
      <c r="C472" s="2723">
        <f>COUNTIF($D$471:$D$607,"&lt;="&amp;D472)-COUNTIF($D$471:$D$607,"*&gt;*")</f>
        <v>97</v>
      </c>
      <c r="D472" s="333" t="s">
        <v>3287</v>
      </c>
      <c r="E472" s="459">
        <v>1</v>
      </c>
      <c r="F472" s="459">
        <f>COUNTIF(Principal!$C$32:$J$50,Tablas!D472)</f>
        <v>0</v>
      </c>
      <c r="G472" s="2731">
        <f t="shared" ref="G472:G503" si="26">F472*E472</f>
        <v>0</v>
      </c>
      <c r="H472" s="2736"/>
      <c r="I472" s="2740" t="s">
        <v>3965</v>
      </c>
      <c r="K472" s="2546" t="s">
        <v>2257</v>
      </c>
      <c r="L472" s="1679" t="s">
        <v>2258</v>
      </c>
      <c r="M472" s="540">
        <v>1</v>
      </c>
      <c r="N472" s="383">
        <f>IF('Elan y Personalización'!$AC$29=L472,1,0)+IF('Elan y Personalización'!$AE$29=L472,1,0)</f>
        <v>0</v>
      </c>
      <c r="O472" s="540">
        <v>2</v>
      </c>
      <c r="P472" s="383">
        <f>IF('Elan y Personalización'!$AC$30=L472,1,0)+IF('Elan y Personalización'!$AE$30=L472,1,0)</f>
        <v>0</v>
      </c>
      <c r="Q472" s="540">
        <v>3</v>
      </c>
      <c r="R472" s="147">
        <f>IF('Elan y Personalización'!$AC$31=L472,1,0)+IF('Elan y Personalización'!$AE$31=L472,1,0)</f>
        <v>0</v>
      </c>
      <c r="S472" s="540">
        <v>1</v>
      </c>
      <c r="T472" s="383">
        <f>IF('Elan y Personalización'!$AC$32=L472,1,0)+IF('Elan y Personalización'!$AE$32=L472,1,0)</f>
        <v>0</v>
      </c>
      <c r="U472" s="540">
        <v>2</v>
      </c>
      <c r="V472" s="383">
        <f>IF('Elan y Personalización'!$AC$33=L472,1,0)+IF('Elan y Personalización'!$AE$33=L472,1,0)</f>
        <v>0</v>
      </c>
      <c r="W472" s="540">
        <v>3</v>
      </c>
      <c r="X472" s="1857">
        <f>IF('Elan y Personalización'!$AC$34=L472,1,0)+IF('Elan y Personalización'!$AE$34=L472,1,0)</f>
        <v>0</v>
      </c>
      <c r="Y472" s="1854">
        <f>10*Tablas!T472+20*Tablas!V472+30*Tablas!X472+5*VLOOKUP("Apr. natural (2): "&amp;K472,$D$501:$F$517,3,FALSE)+10*VLOOKUP("Apr. natural (3): "&amp;K472,$D$501:$F$517,3,FALSE)</f>
        <v>0</v>
      </c>
    </row>
    <row r="473" spans="2:25" ht="12.75" customHeight="1" x14ac:dyDescent="0.2">
      <c r="B473" s="2718" t="str">
        <f t="shared" ref="B473:B536" si="27">VLOOKUP(A2,$C$472:$D$612,2,0)</f>
        <v>Ac. de Ki incrementada (2)</v>
      </c>
      <c r="C473" s="2723">
        <f t="shared" ref="C473:C536" si="28">COUNTIF($D$471:$D$607,"&lt;="&amp;D473)-COUNTIF($D$471:$D$607,"*&gt;*")</f>
        <v>114</v>
      </c>
      <c r="D473" s="333" t="s">
        <v>3288</v>
      </c>
      <c r="E473" s="459">
        <v>2</v>
      </c>
      <c r="F473" s="459">
        <f>COUNTIF(Principal!$C$32:$J$50,Tablas!D473)</f>
        <v>0</v>
      </c>
      <c r="G473" s="2731">
        <f t="shared" si="26"/>
        <v>0</v>
      </c>
      <c r="H473" s="2736"/>
      <c r="I473" s="2740" t="s">
        <v>3965</v>
      </c>
      <c r="K473" s="2546" t="s">
        <v>2257</v>
      </c>
      <c r="L473" s="1679" t="s">
        <v>2260</v>
      </c>
      <c r="M473" s="540">
        <v>1</v>
      </c>
      <c r="N473" s="383">
        <f>IF('Elan y Personalización'!$AC$29=L473,1,0)+IF('Elan y Personalización'!$AE$29=L473,1,0)</f>
        <v>0</v>
      </c>
      <c r="O473" s="540">
        <v>2</v>
      </c>
      <c r="P473" s="383">
        <f>IF('Elan y Personalización'!$AC$30=L473,1,0)+IF('Elan y Personalización'!$AE$30=L473,1,0)</f>
        <v>0</v>
      </c>
      <c r="Q473" s="540">
        <v>3</v>
      </c>
      <c r="R473" s="147">
        <f>IF('Elan y Personalización'!$AC$31=L473,1,0)+IF('Elan y Personalización'!$AE$31=L473,1,0)</f>
        <v>0</v>
      </c>
      <c r="S473" s="540">
        <v>1</v>
      </c>
      <c r="T473" s="383">
        <f>IF('Elan y Personalización'!$AC$32=L473,1,0)+IF('Elan y Personalización'!$AE$32=L473,1,0)</f>
        <v>0</v>
      </c>
      <c r="U473" s="540">
        <v>2</v>
      </c>
      <c r="V473" s="383">
        <f>IF('Elan y Personalización'!$AC$33=L473,1,0)+IF('Elan y Personalización'!$AE$33=L473,1,0)</f>
        <v>0</v>
      </c>
      <c r="W473" s="540">
        <v>3</v>
      </c>
      <c r="X473" s="1857">
        <f>IF('Elan y Personalización'!$AC$34=L473,1,0)+IF('Elan y Personalización'!$AE$34=L473,1,0)</f>
        <v>0</v>
      </c>
      <c r="Y473" s="1854">
        <f>10*Tablas!T473+20*Tablas!V473+30*Tablas!X473+5*VLOOKUP("Apr. natural (2): "&amp;K473,$D$501:$F$517,3,FALSE)+10*VLOOKUP("Apr. natural (3): "&amp;K473,$D$501:$F$517,3,FALSE)</f>
        <v>0</v>
      </c>
    </row>
    <row r="474" spans="2:25" ht="12.75" customHeight="1" x14ac:dyDescent="0.2">
      <c r="B474" s="2718" t="str">
        <f t="shared" si="27"/>
        <v>Acc. psíquico natural (1)</v>
      </c>
      <c r="C474" s="2723">
        <f t="shared" si="28"/>
        <v>98</v>
      </c>
      <c r="D474" s="147" t="s">
        <v>3289</v>
      </c>
      <c r="E474" s="459">
        <v>1</v>
      </c>
      <c r="F474" s="459">
        <f>COUNTIF(Principal!$C$32:$J$50,Tablas!D474)</f>
        <v>0</v>
      </c>
      <c r="G474" s="2731">
        <f t="shared" si="26"/>
        <v>0</v>
      </c>
      <c r="H474" s="2736">
        <v>1</v>
      </c>
      <c r="I474" s="2740" t="s">
        <v>3965</v>
      </c>
      <c r="K474" s="2546" t="s">
        <v>2257</v>
      </c>
      <c r="L474" s="1679" t="s">
        <v>2263</v>
      </c>
      <c r="M474" s="540">
        <v>1</v>
      </c>
      <c r="N474" s="383">
        <f>IF('Elan y Personalización'!$AC$29=L474,1,0)+IF('Elan y Personalización'!$AE$29=L474,1,0)</f>
        <v>0</v>
      </c>
      <c r="O474" s="540">
        <v>2</v>
      </c>
      <c r="P474" s="383">
        <f>IF('Elan y Personalización'!$AC$30=L474,1,0)+IF('Elan y Personalización'!$AE$30=L474,1,0)</f>
        <v>0</v>
      </c>
      <c r="Q474" s="540">
        <v>3</v>
      </c>
      <c r="R474" s="147">
        <f>IF('Elan y Personalización'!$AC$31=L474,1,0)+IF('Elan y Personalización'!$AE$31=L474,1,0)</f>
        <v>0</v>
      </c>
      <c r="S474" s="540">
        <v>1</v>
      </c>
      <c r="T474" s="383">
        <f>IF('Elan y Personalización'!$AC$32=L474,1,0)+IF('Elan y Personalización'!$AE$32=L474,1,0)</f>
        <v>0</v>
      </c>
      <c r="U474" s="540">
        <v>2</v>
      </c>
      <c r="V474" s="383">
        <f>IF('Elan y Personalización'!$AC$33=L474,1,0)+IF('Elan y Personalización'!$AE$33=L474,1,0)</f>
        <v>0</v>
      </c>
      <c r="W474" s="540">
        <v>3</v>
      </c>
      <c r="X474" s="1857">
        <f>IF('Elan y Personalización'!$AC$34=L474,1,0)+IF('Elan y Personalización'!$AE$34=L474,1,0)</f>
        <v>0</v>
      </c>
      <c r="Y474" s="1854">
        <f>10*Tablas!T474+20*Tablas!V474+30*Tablas!X474+5*VLOOKUP("Apr. natural (2): "&amp;K474,$D$501:$F$517,3,FALSE)+10*VLOOKUP("Apr. natural (3): "&amp;K474,$D$501:$F$517,3,FALSE)</f>
        <v>0</v>
      </c>
    </row>
    <row r="475" spans="2:25" ht="12.75" customHeight="1" x14ac:dyDescent="0.2">
      <c r="B475" s="2718" t="str">
        <f t="shared" si="27"/>
        <v>Acc. psíquico natural (2)</v>
      </c>
      <c r="C475" s="2723">
        <f t="shared" si="28"/>
        <v>99</v>
      </c>
      <c r="D475" s="147" t="s">
        <v>3290</v>
      </c>
      <c r="E475" s="459">
        <v>2</v>
      </c>
      <c r="F475" s="459">
        <f>COUNTIF(Principal!$C$32:$J$50,Tablas!D475)</f>
        <v>0</v>
      </c>
      <c r="G475" s="2731">
        <f t="shared" si="26"/>
        <v>0</v>
      </c>
      <c r="H475" s="2736">
        <v>1</v>
      </c>
      <c r="I475" s="2740" t="s">
        <v>3965</v>
      </c>
      <c r="K475" s="2546" t="s">
        <v>2257</v>
      </c>
      <c r="L475" s="1679" t="s">
        <v>2267</v>
      </c>
      <c r="M475" s="540">
        <v>1</v>
      </c>
      <c r="N475" s="383">
        <f>IF('Elan y Personalización'!$AC$29=L475,1,0)+IF('Elan y Personalización'!$AE$29=L475,1,0)</f>
        <v>0</v>
      </c>
      <c r="O475" s="540">
        <v>2</v>
      </c>
      <c r="P475" s="383">
        <f>IF('Elan y Personalización'!$AC$30=L475,1,0)+IF('Elan y Personalización'!$AE$30=L475,1,0)</f>
        <v>0</v>
      </c>
      <c r="Q475" s="540">
        <v>3</v>
      </c>
      <c r="R475" s="147">
        <f>IF('Elan y Personalización'!$AC$31=L475,1,0)+IF('Elan y Personalización'!$AE$31=L475,1,0)</f>
        <v>0</v>
      </c>
      <c r="S475" s="540">
        <v>1</v>
      </c>
      <c r="T475" s="383">
        <f>IF('Elan y Personalización'!$AC$32=L475,1,0)+IF('Elan y Personalización'!$AE$32=L475,1,0)</f>
        <v>0</v>
      </c>
      <c r="U475" s="540">
        <v>2</v>
      </c>
      <c r="V475" s="383">
        <f>IF('Elan y Personalización'!$AC$33=L475,1,0)+IF('Elan y Personalización'!$AE$33=L475,1,0)</f>
        <v>0</v>
      </c>
      <c r="W475" s="540">
        <v>3</v>
      </c>
      <c r="X475" s="1857">
        <f>IF('Elan y Personalización'!$AC$34=L475,1,0)+IF('Elan y Personalización'!$AE$34=L475,1,0)</f>
        <v>0</v>
      </c>
      <c r="Y475" s="1854">
        <f>10*Tablas!T475+20*Tablas!V475+30*Tablas!X475+5*VLOOKUP("Apr. natural (2): "&amp;K475,$D$501:$F$517,3,FALSE)+10*VLOOKUP("Apr. natural (3): "&amp;K475,$D$501:$F$517,3,FALSE)</f>
        <v>0</v>
      </c>
    </row>
    <row r="476" spans="2:25" ht="12.75" customHeight="1" x14ac:dyDescent="0.2">
      <c r="B476" s="2718" t="str">
        <f t="shared" si="27"/>
        <v>Acc. psíquico natural (3)</v>
      </c>
      <c r="C476" s="2723">
        <f t="shared" si="28"/>
        <v>100</v>
      </c>
      <c r="D476" s="147" t="s">
        <v>3291</v>
      </c>
      <c r="E476" s="459">
        <v>1</v>
      </c>
      <c r="F476" s="459">
        <f>COUNTIF(Principal!$C$32:$J$50,Tablas!D476)</f>
        <v>0</v>
      </c>
      <c r="G476" s="2731">
        <f t="shared" si="26"/>
        <v>0</v>
      </c>
      <c r="H476" s="2736">
        <v>1</v>
      </c>
      <c r="I476" s="2740" t="s">
        <v>3965</v>
      </c>
      <c r="K476" s="2546" t="s">
        <v>2257</v>
      </c>
      <c r="L476" s="1679" t="s">
        <v>2270</v>
      </c>
      <c r="M476" s="540">
        <v>1</v>
      </c>
      <c r="N476" s="383">
        <f>IF('Elan y Personalización'!$AC$29=L476,1,0)+IF('Elan y Personalización'!$AE$29=L476,1,0)</f>
        <v>0</v>
      </c>
      <c r="O476" s="540">
        <v>2</v>
      </c>
      <c r="P476" s="383">
        <f>IF('Elan y Personalización'!$AC$30=L476,1,0)+IF('Elan y Personalización'!$AE$30=L476,1,0)</f>
        <v>0</v>
      </c>
      <c r="Q476" s="540">
        <v>3</v>
      </c>
      <c r="R476" s="147">
        <f>IF('Elan y Personalización'!$AC$31=L476,1,0)+IF('Elan y Personalización'!$AE$31=L476,1,0)</f>
        <v>0</v>
      </c>
      <c r="S476" s="540">
        <v>1</v>
      </c>
      <c r="T476" s="383">
        <f>IF('Elan y Personalización'!$AC$32=L476,1,0)+IF('Elan y Personalización'!$AE$32=L476,1,0)</f>
        <v>0</v>
      </c>
      <c r="U476" s="540">
        <v>2</v>
      </c>
      <c r="V476" s="383">
        <f>IF('Elan y Personalización'!$AC$33=L476,1,0)+IF('Elan y Personalización'!$AE$33=L476,1,0)</f>
        <v>0</v>
      </c>
      <c r="W476" s="540">
        <v>3</v>
      </c>
      <c r="X476" s="1857">
        <f>IF('Elan y Personalización'!$AC$34=L476,1,0)+IF('Elan y Personalización'!$AE$34=L476,1,0)</f>
        <v>0</v>
      </c>
      <c r="Y476" s="1854">
        <f>10*Tablas!T476+20*Tablas!V476+30*Tablas!X476+5*VLOOKUP("Apr. natural (2): "&amp;K476,$D$501:$F$517,3,FALSE)+10*VLOOKUP("Apr. natural (3): "&amp;K476,$D$501:$F$517,3,FALSE)</f>
        <v>0</v>
      </c>
    </row>
    <row r="477" spans="2:25" ht="12.75" customHeight="1" x14ac:dyDescent="0.2">
      <c r="B477" s="2718" t="str">
        <f t="shared" si="27"/>
        <v>Acceso a 1 disciplina psiquica</v>
      </c>
      <c r="C477" s="2723">
        <f t="shared" si="28"/>
        <v>101</v>
      </c>
      <c r="D477" s="147" t="s">
        <v>3292</v>
      </c>
      <c r="E477" s="459">
        <v>2</v>
      </c>
      <c r="F477" s="459">
        <f>COUNTIF(Principal!$C$32:$J$50,Tablas!D477)</f>
        <v>0</v>
      </c>
      <c r="G477" s="2731">
        <f t="shared" si="26"/>
        <v>0</v>
      </c>
      <c r="H477" s="2736">
        <v>1</v>
      </c>
      <c r="I477" s="2740" t="s">
        <v>3965</v>
      </c>
      <c r="K477" s="2546" t="s">
        <v>2257</v>
      </c>
      <c r="L477" s="1679" t="s">
        <v>2273</v>
      </c>
      <c r="M477" s="540">
        <v>1</v>
      </c>
      <c r="N477" s="383">
        <f>IF('Elan y Personalización'!$AC$29=L477,1,0)+IF('Elan y Personalización'!$AE$29=L477,1,0)</f>
        <v>0</v>
      </c>
      <c r="O477" s="540">
        <v>2</v>
      </c>
      <c r="P477" s="383">
        <f>IF('Elan y Personalización'!$AC$30=L477,1,0)+IF('Elan y Personalización'!$AE$30=L477,1,0)</f>
        <v>0</v>
      </c>
      <c r="Q477" s="540">
        <v>3</v>
      </c>
      <c r="R477" s="147">
        <f>IF('Elan y Personalización'!$AC$31=L477,1,0)+IF('Elan y Personalización'!$AE$31=L477,1,0)</f>
        <v>0</v>
      </c>
      <c r="S477" s="540">
        <v>1</v>
      </c>
      <c r="T477" s="383">
        <f>IF('Elan y Personalización'!$AC$32=L477,1,0)+IF('Elan y Personalización'!$AE$32=L477,1,0)</f>
        <v>0</v>
      </c>
      <c r="U477" s="540">
        <v>2</v>
      </c>
      <c r="V477" s="383">
        <f>IF('Elan y Personalización'!$AC$33=L477,1,0)+IF('Elan y Personalización'!$AE$33=L477,1,0)</f>
        <v>0</v>
      </c>
      <c r="W477" s="540">
        <v>3</v>
      </c>
      <c r="X477" s="1857">
        <f>IF('Elan y Personalización'!$AC$34=L477,1,0)+IF('Elan y Personalización'!$AE$34=L477,1,0)</f>
        <v>0</v>
      </c>
      <c r="Y477" s="1854">
        <f>10*Tablas!T477+20*Tablas!V477+30*Tablas!X477+5*VLOOKUP("Apr. natural (2): "&amp;K477,$D$501:$F$517,3,FALSE)+10*VLOOKUP("Apr. natural (3): "&amp;K477,$D$501:$F$517,3,FALSE)</f>
        <v>0</v>
      </c>
    </row>
    <row r="478" spans="2:25" ht="12.75" customHeight="1" x14ac:dyDescent="0.2">
      <c r="B478" s="2718" t="str">
        <f t="shared" si="27"/>
        <v>Acceso libre a dis. psiquicas</v>
      </c>
      <c r="C478" s="2723">
        <f t="shared" si="28"/>
        <v>102</v>
      </c>
      <c r="D478" s="2717" t="s">
        <v>3293</v>
      </c>
      <c r="E478" s="459">
        <v>1</v>
      </c>
      <c r="F478" s="459">
        <f>COUNTIF(Principal!$C$32:$J$50,Tablas!D478)</f>
        <v>0</v>
      </c>
      <c r="G478" s="2731">
        <f t="shared" si="26"/>
        <v>0</v>
      </c>
      <c r="H478" s="2736">
        <v>1</v>
      </c>
      <c r="I478" s="2740" t="s">
        <v>3965</v>
      </c>
      <c r="K478" s="2546" t="s">
        <v>2257</v>
      </c>
      <c r="L478" s="1679" t="s">
        <v>8782</v>
      </c>
      <c r="M478" s="540">
        <v>1</v>
      </c>
      <c r="N478" s="383">
        <f>IF('Elan y Personalización'!$AC$29=L478,1,0)+IF('Elan y Personalización'!$AE$29=L478,1,0)</f>
        <v>0</v>
      </c>
      <c r="O478" s="540">
        <v>2</v>
      </c>
      <c r="P478" s="383">
        <f>IF('Elan y Personalización'!$AC$30=L478,1,0)+IF('Elan y Personalización'!$AE$30=L478,1,0)</f>
        <v>0</v>
      </c>
      <c r="Q478" s="540">
        <v>3</v>
      </c>
      <c r="R478" s="147">
        <f>IF('Elan y Personalización'!$AC$31=L478,1,0)+IF('Elan y Personalización'!$AE$31=L478,1,0)</f>
        <v>0</v>
      </c>
      <c r="S478" s="540">
        <v>1</v>
      </c>
      <c r="T478" s="383">
        <f>IF('Elan y Personalización'!$AC$32=L478,1,0)+IF('Elan y Personalización'!$AE$32=L478,1,0)</f>
        <v>0</v>
      </c>
      <c r="U478" s="540">
        <v>2</v>
      </c>
      <c r="V478" s="383">
        <f>IF('Elan y Personalización'!$AC$33=L478,1,0)+IF('Elan y Personalización'!$AE$33=L478,1,0)</f>
        <v>0</v>
      </c>
      <c r="W478" s="540">
        <v>3</v>
      </c>
      <c r="X478" s="1857">
        <f>IF('Elan y Personalización'!$AC$34=L478,1,0)+IF('Elan y Personalización'!$AE$34=L478,1,0)</f>
        <v>0</v>
      </c>
      <c r="Y478" s="1854">
        <f>10*Tablas!T478+20*Tablas!V478+30*Tablas!X478+5*VLOOKUP("Apr. natural (2): "&amp;K478,$D$501:$F$517,3,FALSE)+10*VLOOKUP("Apr. natural (3): "&amp;K478,$D$501:$F$517,3,FALSE)</f>
        <v>0</v>
      </c>
    </row>
    <row r="479" spans="2:25" ht="12.75" customHeight="1" x14ac:dyDescent="0.2">
      <c r="B479" s="2718" t="str">
        <f t="shared" si="27"/>
        <v>Acumulación plena</v>
      </c>
      <c r="C479" s="2723">
        <f t="shared" si="28"/>
        <v>103</v>
      </c>
      <c r="D479" s="2717" t="s">
        <v>3294</v>
      </c>
      <c r="E479" s="459">
        <v>2</v>
      </c>
      <c r="F479" s="459">
        <f>COUNTIF(Principal!$C$32:$J$50,Tablas!D479)</f>
        <v>0</v>
      </c>
      <c r="G479" s="2731">
        <f t="shared" si="26"/>
        <v>0</v>
      </c>
      <c r="H479" s="2736">
        <v>1</v>
      </c>
      <c r="I479" s="2740" t="s">
        <v>3965</v>
      </c>
      <c r="K479" s="2546" t="s">
        <v>2276</v>
      </c>
      <c r="L479" s="1679" t="s">
        <v>2277</v>
      </c>
      <c r="M479" s="540">
        <v>1</v>
      </c>
      <c r="N479" s="383">
        <f>IF('Elan y Personalización'!$AC$29=L479,1,0)+IF('Elan y Personalización'!$AE$29=L479,1,0)</f>
        <v>0</v>
      </c>
      <c r="O479" s="540">
        <v>2</v>
      </c>
      <c r="P479" s="383">
        <f>IF('Elan y Personalización'!$AC$30=L479,1,0)+IF('Elan y Personalización'!$AE$30=L479,1,0)</f>
        <v>0</v>
      </c>
      <c r="Q479" s="540">
        <v>3</v>
      </c>
      <c r="R479" s="147">
        <f>IF('Elan y Personalización'!$AC$31=L479,1,0)+IF('Elan y Personalización'!$AE$31=L479,1,0)</f>
        <v>0</v>
      </c>
      <c r="S479" s="540">
        <v>1</v>
      </c>
      <c r="T479" s="383">
        <f>IF('Elan y Personalización'!$AC$32=L479,1,0)+IF('Elan y Personalización'!$AE$32=L479,1,0)</f>
        <v>0</v>
      </c>
      <c r="U479" s="540">
        <v>2</v>
      </c>
      <c r="V479" s="383">
        <f>IF('Elan y Personalización'!$AC$33=L479,1,0)+IF('Elan y Personalización'!$AE$33=L479,1,0)</f>
        <v>0</v>
      </c>
      <c r="W479" s="540">
        <v>3</v>
      </c>
      <c r="X479" s="1857">
        <f>IF('Elan y Personalización'!$AC$34=L479,1,0)+IF('Elan y Personalización'!$AE$34=L479,1,0)</f>
        <v>0</v>
      </c>
      <c r="Y479" s="1854">
        <f>10*Tablas!T479+20*Tablas!V479+30*Tablas!X479+5*VLOOKUP("Apr. natural (2): "&amp;K479,$D$501:$F$517,3,FALSE)+10*VLOOKUP("Apr. natural (3): "&amp;K479,$D$501:$F$517,3,FALSE)</f>
        <v>0</v>
      </c>
    </row>
    <row r="480" spans="2:25" ht="12.75" customHeight="1" x14ac:dyDescent="0.2">
      <c r="B480" s="2718" t="str">
        <f t="shared" si="27"/>
        <v>Afinidad animal</v>
      </c>
      <c r="C480" s="2723">
        <f t="shared" si="28"/>
        <v>6</v>
      </c>
      <c r="D480" s="2705" t="s">
        <v>3295</v>
      </c>
      <c r="E480" s="538">
        <v>1</v>
      </c>
      <c r="F480" s="459">
        <f>COUNTIF(Principal!$C$32:$J$50,Tablas!D480)</f>
        <v>0</v>
      </c>
      <c r="G480" s="2731">
        <f t="shared" si="26"/>
        <v>0</v>
      </c>
      <c r="H480" s="2736"/>
      <c r="I480" s="2740" t="s">
        <v>3965</v>
      </c>
      <c r="K480" s="2546" t="s">
        <v>2276</v>
      </c>
      <c r="L480" s="1679" t="s">
        <v>2279</v>
      </c>
      <c r="M480" s="540">
        <v>1</v>
      </c>
      <c r="N480" s="383">
        <f>IF('Elan y Personalización'!$AC$29=L480,1,0)+IF('Elan y Personalización'!$AE$29=L480,1,0)</f>
        <v>0</v>
      </c>
      <c r="O480" s="540">
        <v>2</v>
      </c>
      <c r="P480" s="383">
        <f>IF('Elan y Personalización'!$AC$30=L480,1,0)+IF('Elan y Personalización'!$AE$30=L480,1,0)</f>
        <v>0</v>
      </c>
      <c r="Q480" s="540">
        <v>3</v>
      </c>
      <c r="R480" s="147">
        <f>IF('Elan y Personalización'!$AC$31=L480,1,0)+IF('Elan y Personalización'!$AE$31=L480,1,0)</f>
        <v>0</v>
      </c>
      <c r="S480" s="540">
        <v>1</v>
      </c>
      <c r="T480" s="383">
        <f>IF('Elan y Personalización'!$AC$32=L480,1,0)+IF('Elan y Personalización'!$AE$32=L480,1,0)</f>
        <v>0</v>
      </c>
      <c r="U480" s="540">
        <v>2</v>
      </c>
      <c r="V480" s="383">
        <f>IF('Elan y Personalización'!$AC$33=L480,1,0)+IF('Elan y Personalización'!$AE$33=L480,1,0)</f>
        <v>0</v>
      </c>
      <c r="W480" s="540">
        <v>3</v>
      </c>
      <c r="X480" s="1857">
        <f>IF('Elan y Personalización'!$AC$34=L480,1,0)+IF('Elan y Personalización'!$AE$34=L480,1,0)</f>
        <v>0</v>
      </c>
      <c r="Y480" s="1854">
        <f>10*Tablas!T480+20*Tablas!V480+30*Tablas!X480+5*VLOOKUP("Apr. natural (2): "&amp;K480,$D$501:$F$517,3,FALSE)+10*VLOOKUP("Apr. natural (3): "&amp;K480,$D$501:$F$517,3,FALSE)</f>
        <v>0</v>
      </c>
    </row>
    <row r="481" spans="2:25" ht="12.75" customHeight="1" x14ac:dyDescent="0.2">
      <c r="B481" s="2718" t="str">
        <f t="shared" si="27"/>
        <v>Afinidad de uso</v>
      </c>
      <c r="C481" s="2723">
        <f t="shared" si="28"/>
        <v>7</v>
      </c>
      <c r="D481" s="147" t="s">
        <v>3296</v>
      </c>
      <c r="E481" s="538">
        <v>2</v>
      </c>
      <c r="F481" s="459">
        <f>COUNTIF(Principal!$C$32:$J$50,Tablas!D481)</f>
        <v>0</v>
      </c>
      <c r="G481" s="2731">
        <f t="shared" si="26"/>
        <v>0</v>
      </c>
      <c r="H481" s="2736"/>
      <c r="I481" s="2740" t="s">
        <v>3965</v>
      </c>
      <c r="K481" s="2546" t="s">
        <v>2276</v>
      </c>
      <c r="L481" s="1679" t="s">
        <v>2282</v>
      </c>
      <c r="M481" s="540">
        <v>1</v>
      </c>
      <c r="N481" s="383">
        <f>IF('Elan y Personalización'!$AC$29=L481,1,0)+IF('Elan y Personalización'!$AE$29=L481,1,0)</f>
        <v>0</v>
      </c>
      <c r="O481" s="540">
        <v>2</v>
      </c>
      <c r="P481" s="383">
        <f>IF('Elan y Personalización'!$AC$30=L481,1,0)+IF('Elan y Personalización'!$AE$30=L481,1,0)</f>
        <v>0</v>
      </c>
      <c r="Q481" s="540">
        <v>3</v>
      </c>
      <c r="R481" s="147">
        <f>IF('Elan y Personalización'!$AC$31=L481,1,0)+IF('Elan y Personalización'!$AE$31=L481,1,0)</f>
        <v>0</v>
      </c>
      <c r="S481" s="540">
        <v>1</v>
      </c>
      <c r="T481" s="383">
        <f>IF('Elan y Personalización'!$AC$32=L481,1,0)+IF('Elan y Personalización'!$AE$32=L481,1,0)</f>
        <v>0</v>
      </c>
      <c r="U481" s="540">
        <v>2</v>
      </c>
      <c r="V481" s="383">
        <f>IF('Elan y Personalización'!$AC$33=L481,1,0)+IF('Elan y Personalización'!$AE$33=L481,1,0)</f>
        <v>0</v>
      </c>
      <c r="W481" s="540">
        <v>3</v>
      </c>
      <c r="X481" s="1857">
        <f>IF('Elan y Personalización'!$AC$34=L481,1,0)+IF('Elan y Personalización'!$AE$34=L481,1,0)</f>
        <v>0</v>
      </c>
      <c r="Y481" s="1854">
        <f>10*Tablas!T481+20*Tablas!V481+30*Tablas!X481+5*VLOOKUP("Apr. natural (2): "&amp;K481,$D$501:$F$517,3,FALSE)+10*VLOOKUP("Apr. natural (3): "&amp;K481,$D$501:$F$517,3,FALSE)</f>
        <v>0</v>
      </c>
    </row>
    <row r="482" spans="2:25" ht="12.75" customHeight="1" x14ac:dyDescent="0.2">
      <c r="B482" s="2718" t="str">
        <f t="shared" si="27"/>
        <v>Afortunado</v>
      </c>
      <c r="C482" s="2723">
        <f t="shared" si="28"/>
        <v>9</v>
      </c>
      <c r="D482" s="147" t="s">
        <v>3297</v>
      </c>
      <c r="E482" s="538">
        <v>1</v>
      </c>
      <c r="F482" s="459">
        <f>COUNTIF(Principal!$C$32:$J$50,Tablas!D482)</f>
        <v>0</v>
      </c>
      <c r="G482" s="2731">
        <f t="shared" si="26"/>
        <v>0</v>
      </c>
      <c r="H482" s="2736"/>
      <c r="I482" s="2740" t="s">
        <v>3965</v>
      </c>
      <c r="K482" s="2546" t="s">
        <v>2276</v>
      </c>
      <c r="L482" s="1679" t="s">
        <v>2284</v>
      </c>
      <c r="M482" s="540">
        <v>1</v>
      </c>
      <c r="N482" s="383">
        <f>IF('Elan y Personalización'!$AC$29=L482,1,0)+IF('Elan y Personalización'!$AE$29=L482,1,0)</f>
        <v>0</v>
      </c>
      <c r="O482" s="540">
        <v>2</v>
      </c>
      <c r="P482" s="383">
        <f>IF('Elan y Personalización'!$AC$30=L482,1,0)+IF('Elan y Personalización'!$AE$30=L482,1,0)</f>
        <v>0</v>
      </c>
      <c r="Q482" s="540">
        <v>3</v>
      </c>
      <c r="R482" s="147">
        <f>IF('Elan y Personalización'!$AC$31=L482,1,0)+IF('Elan y Personalización'!$AE$31=L482,1,0)</f>
        <v>0</v>
      </c>
      <c r="S482" s="540">
        <v>1</v>
      </c>
      <c r="T482" s="383">
        <f>IF('Elan y Personalización'!$AC$32=L482,1,0)+IF('Elan y Personalización'!$AE$32=L482,1,0)</f>
        <v>0</v>
      </c>
      <c r="U482" s="540">
        <v>2</v>
      </c>
      <c r="V482" s="383">
        <f>IF('Elan y Personalización'!$AC$33=L482,1,0)+IF('Elan y Personalización'!$AE$33=L482,1,0)</f>
        <v>0</v>
      </c>
      <c r="W482" s="540">
        <v>3</v>
      </c>
      <c r="X482" s="1857">
        <f>IF('Elan y Personalización'!$AC$34=L482,1,0)+IF('Elan y Personalización'!$AE$34=L482,1,0)</f>
        <v>0</v>
      </c>
      <c r="Y482" s="1854">
        <f>10*Tablas!T482+20*Tablas!V482+30*Tablas!X482+5*VLOOKUP("Apr. natural (2): "&amp;K482,$D$501:$F$517,3,FALSE)+10*VLOOKUP("Apr. natural (3): "&amp;K482,$D$501:$F$517,3,FALSE)</f>
        <v>0</v>
      </c>
    </row>
    <row r="483" spans="2:25" ht="12.75" customHeight="1" x14ac:dyDescent="0.2">
      <c r="B483" s="2718" t="str">
        <f t="shared" si="27"/>
        <v>Al límite</v>
      </c>
      <c r="C483" s="2723">
        <f t="shared" si="28"/>
        <v>95</v>
      </c>
      <c r="D483" s="147" t="s">
        <v>3298</v>
      </c>
      <c r="E483" s="538">
        <v>1</v>
      </c>
      <c r="F483" s="459">
        <f>COUNTIF(Principal!$C$32:$J$50,Tablas!D483)</f>
        <v>0</v>
      </c>
      <c r="G483" s="2731">
        <f t="shared" si="26"/>
        <v>0</v>
      </c>
      <c r="H483" s="2736">
        <v>1</v>
      </c>
      <c r="I483" s="2740" t="s">
        <v>3965</v>
      </c>
      <c r="K483" s="2546" t="s">
        <v>2276</v>
      </c>
      <c r="L483" s="1679" t="s">
        <v>1282</v>
      </c>
      <c r="M483" s="540">
        <v>1</v>
      </c>
      <c r="N483" s="383">
        <f>IF('Elan y Personalización'!$AC$29=L483,1,0)+IF('Elan y Personalización'!$AE$29=L483,1,0)</f>
        <v>0</v>
      </c>
      <c r="O483" s="540">
        <v>2</v>
      </c>
      <c r="P483" s="383">
        <f>IF('Elan y Personalización'!$AC$30=L483,1,0)+IF('Elan y Personalización'!$AE$30=L483,1,0)</f>
        <v>0</v>
      </c>
      <c r="Q483" s="540">
        <v>3</v>
      </c>
      <c r="R483" s="147">
        <f>IF('Elan y Personalización'!$AC$31=L483,1,0)+IF('Elan y Personalización'!$AE$31=L483,1,0)</f>
        <v>0</v>
      </c>
      <c r="S483" s="540">
        <v>1</v>
      </c>
      <c r="T483" s="383">
        <f>IF('Elan y Personalización'!$AC$32=L483,1,0)+IF('Elan y Personalización'!$AE$32=L483,1,0)</f>
        <v>0</v>
      </c>
      <c r="U483" s="540">
        <v>2</v>
      </c>
      <c r="V483" s="383">
        <f>IF('Elan y Personalización'!$AC$33=L483,1,0)+IF('Elan y Personalización'!$AE$33=L483,1,0)</f>
        <v>0</v>
      </c>
      <c r="W483" s="540">
        <v>3</v>
      </c>
      <c r="X483" s="1857">
        <f>IF('Elan y Personalización'!$AC$34=L483,1,0)+IF('Elan y Personalización'!$AE$34=L483,1,0)</f>
        <v>0</v>
      </c>
      <c r="Y483" s="1854">
        <f>10*Tablas!T483+20*Tablas!V483+30*Tablas!X483+5*VLOOKUP("Apr. natural (2): "&amp;K483,$D$501:$F$517,3,FALSE)+10*VLOOKUP("Apr. natural (3): "&amp;K483,$D$501:$F$517,3,FALSE)</f>
        <v>0</v>
      </c>
    </row>
    <row r="484" spans="2:25" ht="12.75" customHeight="1" x14ac:dyDescent="0.2">
      <c r="B484" s="2718" t="str">
        <f t="shared" si="27"/>
        <v>Ambidestría</v>
      </c>
      <c r="C484" s="2723">
        <f t="shared" si="28"/>
        <v>94</v>
      </c>
      <c r="D484" s="147" t="s">
        <v>3299</v>
      </c>
      <c r="E484" s="538">
        <v>2</v>
      </c>
      <c r="F484" s="459">
        <f>COUNTIF(Principal!$C$32:$J$50,Tablas!D484)</f>
        <v>0</v>
      </c>
      <c r="G484" s="2731">
        <f t="shared" si="26"/>
        <v>0</v>
      </c>
      <c r="H484" s="2736">
        <v>1</v>
      </c>
      <c r="I484" s="2740" t="s">
        <v>3965</v>
      </c>
      <c r="K484" s="2546" t="s">
        <v>2276</v>
      </c>
      <c r="L484" s="1679" t="s">
        <v>1283</v>
      </c>
      <c r="M484" s="540">
        <v>1</v>
      </c>
      <c r="N484" s="383">
        <f>IF('Elan y Personalización'!$AC$29=L484,1,0)+IF('Elan y Personalización'!$AE$29=L484,1,0)</f>
        <v>0</v>
      </c>
      <c r="O484" s="540">
        <v>2</v>
      </c>
      <c r="P484" s="383">
        <f>IF('Elan y Personalización'!$AC$30=L484,1,0)+IF('Elan y Personalización'!$AE$30=L484,1,0)</f>
        <v>0</v>
      </c>
      <c r="Q484" s="540">
        <v>3</v>
      </c>
      <c r="R484" s="147">
        <f>IF('Elan y Personalización'!$AC$31=L484,1,0)+IF('Elan y Personalización'!$AE$31=L484,1,0)</f>
        <v>0</v>
      </c>
      <c r="S484" s="540">
        <v>1</v>
      </c>
      <c r="T484" s="383">
        <f>IF('Elan y Personalización'!$AC$32=L484,1,0)+IF('Elan y Personalización'!$AE$32=L484,1,0)</f>
        <v>0</v>
      </c>
      <c r="U484" s="540">
        <v>2</v>
      </c>
      <c r="V484" s="383">
        <f>IF('Elan y Personalización'!$AC$33=L484,1,0)+IF('Elan y Personalización'!$AE$33=L484,1,0)</f>
        <v>0</v>
      </c>
      <c r="W484" s="540">
        <v>3</v>
      </c>
      <c r="X484" s="1857">
        <f>IF('Elan y Personalización'!$AC$34=L484,1,0)+IF('Elan y Personalización'!$AE$34=L484,1,0)</f>
        <v>0</v>
      </c>
      <c r="Y484" s="1854">
        <f>10*Tablas!T484+20*Tablas!V484+30*Tablas!X484+5*VLOOKUP("Apr. natural (2): "&amp;K484,$D$501:$F$517,3,FALSE)+10*VLOOKUP("Apr. natural (3): "&amp;K484,$D$501:$F$517,3,FALSE)</f>
        <v>0</v>
      </c>
    </row>
    <row r="485" spans="2:25" ht="12.75" customHeight="1" x14ac:dyDescent="0.2">
      <c r="B485" s="2718" t="str">
        <f t="shared" si="27"/>
        <v>Apr. natural (2): Atléticas</v>
      </c>
      <c r="C485" s="2723">
        <f t="shared" si="28"/>
        <v>96</v>
      </c>
      <c r="D485" s="147" t="s">
        <v>3300</v>
      </c>
      <c r="E485" s="459">
        <v>3</v>
      </c>
      <c r="F485" s="459">
        <f>COUNTIF(Principal!$C$32:$J$50,Tablas!D485)</f>
        <v>0</v>
      </c>
      <c r="G485" s="2731">
        <f t="shared" si="26"/>
        <v>0</v>
      </c>
      <c r="H485" s="2736">
        <v>1</v>
      </c>
      <c r="I485" s="2740" t="s">
        <v>3965</v>
      </c>
      <c r="K485" s="2546" t="s">
        <v>2276</v>
      </c>
      <c r="L485" s="1679" t="s">
        <v>1284</v>
      </c>
      <c r="M485" s="540">
        <v>1</v>
      </c>
      <c r="N485" s="383">
        <f>IF('Elan y Personalización'!$AC$29=L485,1,0)+IF('Elan y Personalización'!$AE$29=L485,1,0)</f>
        <v>0</v>
      </c>
      <c r="O485" s="540">
        <v>2</v>
      </c>
      <c r="P485" s="383">
        <f>IF('Elan y Personalización'!$AC$30=L485,1,0)+IF('Elan y Personalización'!$AE$30=L485,1,0)</f>
        <v>0</v>
      </c>
      <c r="Q485" s="540">
        <v>3</v>
      </c>
      <c r="R485" s="147">
        <f>IF('Elan y Personalización'!$AC$31=L485,1,0)+IF('Elan y Personalización'!$AE$31=L485,1,0)</f>
        <v>0</v>
      </c>
      <c r="S485" s="540">
        <v>1</v>
      </c>
      <c r="T485" s="383">
        <f>IF('Elan y Personalización'!$AC$32=L485,1,0)+IF('Elan y Personalización'!$AE$32=L485,1,0)</f>
        <v>0</v>
      </c>
      <c r="U485" s="540">
        <v>2</v>
      </c>
      <c r="V485" s="383">
        <f>IF('Elan y Personalización'!$AC$33=L485,1,0)+IF('Elan y Personalización'!$AE$33=L485,1,0)</f>
        <v>0</v>
      </c>
      <c r="W485" s="540">
        <v>3</v>
      </c>
      <c r="X485" s="1857">
        <f>IF('Elan y Personalización'!$AC$34=L485,1,0)+IF('Elan y Personalización'!$AE$34=L485,1,0)</f>
        <v>0</v>
      </c>
      <c r="Y485" s="1854">
        <f>10*Tablas!T485+20*Tablas!V485+30*Tablas!X485+5*VLOOKUP("Apr. natural (2): "&amp;K485,$D$501:$F$517,3,FALSE)+10*VLOOKUP("Apr. natural (3): "&amp;K485,$D$501:$F$517,3,FALSE)</f>
        <v>0</v>
      </c>
    </row>
    <row r="486" spans="2:25" ht="12.75" customHeight="1" x14ac:dyDescent="0.2">
      <c r="B486" s="2718" t="str">
        <f t="shared" si="27"/>
        <v>Apr. natural (2): Creativas</v>
      </c>
      <c r="C486" s="2723">
        <f t="shared" si="28"/>
        <v>110</v>
      </c>
      <c r="D486" s="147" t="s">
        <v>3301</v>
      </c>
      <c r="E486" s="459">
        <v>1</v>
      </c>
      <c r="F486" s="459">
        <f>COUNTIF(Principal!$C$32:$J$50,Tablas!D486)</f>
        <v>0</v>
      </c>
      <c r="G486" s="2731">
        <f t="shared" si="26"/>
        <v>0</v>
      </c>
      <c r="H486" s="2736">
        <v>1</v>
      </c>
      <c r="I486" s="2740" t="s">
        <v>3965</v>
      </c>
      <c r="K486" s="2546" t="s">
        <v>9766</v>
      </c>
      <c r="L486" s="1679" t="s">
        <v>2286</v>
      </c>
      <c r="M486" s="540">
        <v>1</v>
      </c>
      <c r="N486" s="383">
        <f>IF('Elan y Personalización'!$AC$29=L486,1,0)+IF('Elan y Personalización'!$AE$29=L486,1,0)</f>
        <v>0</v>
      </c>
      <c r="O486" s="540">
        <v>2</v>
      </c>
      <c r="P486" s="383">
        <f>IF('Elan y Personalización'!$AC$30=L486,1,0)+IF('Elan y Personalización'!$AE$30=L486,1,0)</f>
        <v>0</v>
      </c>
      <c r="Q486" s="540">
        <v>3</v>
      </c>
      <c r="R486" s="147">
        <f>IF('Elan y Personalización'!$AC$31=L486,1,0)+IF('Elan y Personalización'!$AE$31=L486,1,0)</f>
        <v>0</v>
      </c>
      <c r="S486" s="540">
        <v>1</v>
      </c>
      <c r="T486" s="383">
        <f>IF('Elan y Personalización'!$AC$32=L486,1,0)+IF('Elan y Personalización'!$AE$32=L486,1,0)</f>
        <v>0</v>
      </c>
      <c r="U486" s="540">
        <v>2</v>
      </c>
      <c r="V486" s="383">
        <f>IF('Elan y Personalización'!$AC$33=L486,1,0)+IF('Elan y Personalización'!$AE$33=L486,1,0)</f>
        <v>0</v>
      </c>
      <c r="W486" s="540">
        <v>3</v>
      </c>
      <c r="X486" s="1857">
        <f>IF('Elan y Personalización'!$AC$34=L486,1,0)+IF('Elan y Personalización'!$AE$34=L486,1,0)</f>
        <v>0</v>
      </c>
      <c r="Y486" s="1854">
        <f>10*Tablas!T486+20*Tablas!V486+30*Tablas!X486+5*VLOOKUP("Apr. natural (2): "&amp;K486,$D$501:$F$517,3,FALSE)+10*VLOOKUP("Apr. natural (3): "&amp;K486,$D$501:$F$517,3,FALSE)</f>
        <v>0</v>
      </c>
    </row>
    <row r="487" spans="2:25" ht="12.75" customHeight="1" x14ac:dyDescent="0.2">
      <c r="B487" s="2718" t="str">
        <f t="shared" si="27"/>
        <v>Apr. natural (2): Intelectuales</v>
      </c>
      <c r="C487" s="2723">
        <f t="shared" si="28"/>
        <v>13</v>
      </c>
      <c r="D487" s="147" t="s">
        <v>3302</v>
      </c>
      <c r="E487" s="459">
        <v>1</v>
      </c>
      <c r="F487" s="459">
        <f>COUNTIF(Principal!$C$32:$J$50,Tablas!D487)</f>
        <v>0</v>
      </c>
      <c r="G487" s="2731">
        <f t="shared" si="26"/>
        <v>0</v>
      </c>
      <c r="H487" s="2736">
        <v>1</v>
      </c>
      <c r="I487" s="2740" t="s">
        <v>3965</v>
      </c>
      <c r="K487" s="2546" t="s">
        <v>9766</v>
      </c>
      <c r="L487" s="1679" t="s">
        <v>2287</v>
      </c>
      <c r="M487" s="540">
        <v>1</v>
      </c>
      <c r="N487" s="383">
        <f>IF('Elan y Personalización'!$AC$29=L487,1,0)+IF('Elan y Personalización'!$AE$29=L487,1,0)</f>
        <v>0</v>
      </c>
      <c r="O487" s="540">
        <v>2</v>
      </c>
      <c r="P487" s="383">
        <f>IF('Elan y Personalización'!$AC$30=L487,1,0)+IF('Elan y Personalización'!$AE$30=L487,1,0)</f>
        <v>0</v>
      </c>
      <c r="Q487" s="540">
        <v>3</v>
      </c>
      <c r="R487" s="147">
        <f>IF('Elan y Personalización'!$AC$31=L487,1,0)+IF('Elan y Personalización'!$AE$31=L487,1,0)</f>
        <v>0</v>
      </c>
      <c r="S487" s="540">
        <v>1</v>
      </c>
      <c r="T487" s="383">
        <f>IF('Elan y Personalización'!$AC$32=L487,1,0)+IF('Elan y Personalización'!$AE$32=L487,1,0)</f>
        <v>0</v>
      </c>
      <c r="U487" s="540">
        <v>2</v>
      </c>
      <c r="V487" s="383">
        <f>IF('Elan y Personalización'!$AC$33=L487,1,0)+IF('Elan y Personalización'!$AE$33=L487,1,0)</f>
        <v>0</v>
      </c>
      <c r="W487" s="540">
        <v>3</v>
      </c>
      <c r="X487" s="1857">
        <f>IF('Elan y Personalización'!$AC$34=L487,1,0)+IF('Elan y Personalización'!$AE$34=L487,1,0)</f>
        <v>0</v>
      </c>
      <c r="Y487" s="1854">
        <f>10*Tablas!T487+20*Tablas!V487+30*Tablas!X487+5*VLOOKUP("Apr. natural (2): "&amp;K487,$D$501:$F$517,3,FALSE)+10*VLOOKUP("Apr. natural (3): "&amp;K487,$D$501:$F$517,3,FALSE)</f>
        <v>0</v>
      </c>
    </row>
    <row r="488" spans="2:25" ht="12.75" customHeight="1" x14ac:dyDescent="0.2">
      <c r="B488" s="2718" t="str">
        <f t="shared" si="27"/>
        <v>Apr. natural (2): Perceptivas</v>
      </c>
      <c r="C488" s="2723">
        <f t="shared" si="28"/>
        <v>57</v>
      </c>
      <c r="D488" s="147" t="s">
        <v>3303</v>
      </c>
      <c r="E488" s="459">
        <v>2</v>
      </c>
      <c r="F488" s="459">
        <f>COUNTIF(Principal!$C$32:$J$50,Tablas!D488)</f>
        <v>0</v>
      </c>
      <c r="G488" s="2731">
        <f t="shared" si="26"/>
        <v>0</v>
      </c>
      <c r="H488" s="2736">
        <v>2</v>
      </c>
      <c r="I488" s="2740" t="s">
        <v>3965</v>
      </c>
      <c r="K488" s="2546" t="s">
        <v>9766</v>
      </c>
      <c r="L488" s="1679" t="s">
        <v>2288</v>
      </c>
      <c r="M488" s="540">
        <v>1</v>
      </c>
      <c r="N488" s="383">
        <f>IF('Elan y Personalización'!$AC$29=L488,1,0)+IF('Elan y Personalización'!$AE$29=L488,1,0)</f>
        <v>0</v>
      </c>
      <c r="O488" s="540">
        <v>2</v>
      </c>
      <c r="P488" s="383">
        <f>IF('Elan y Personalización'!$AC$30=L488,1,0)+IF('Elan y Personalización'!$AE$30=L488,1,0)</f>
        <v>0</v>
      </c>
      <c r="Q488" s="540">
        <v>3</v>
      </c>
      <c r="R488" s="147">
        <f>IF('Elan y Personalización'!$AC$31=L488,1,0)+IF('Elan y Personalización'!$AE$31=L488,1,0)</f>
        <v>0</v>
      </c>
      <c r="S488" s="540">
        <v>1</v>
      </c>
      <c r="T488" s="383">
        <f>IF('Elan y Personalización'!$AC$32=L488,1,0)+IF('Elan y Personalización'!$AE$32=L488,1,0)</f>
        <v>0</v>
      </c>
      <c r="U488" s="540">
        <v>2</v>
      </c>
      <c r="V488" s="383">
        <f>IF('Elan y Personalización'!$AC$33=L488,1,0)+IF('Elan y Personalización'!$AE$33=L488,1,0)</f>
        <v>0</v>
      </c>
      <c r="W488" s="540">
        <v>3</v>
      </c>
      <c r="X488" s="1857">
        <f>IF('Elan y Personalización'!$AC$34=L488,1,0)+IF('Elan y Personalización'!$AE$34=L488,1,0)</f>
        <v>0</v>
      </c>
      <c r="Y488" s="1854">
        <f>10*Tablas!T488+20*Tablas!V488+30*Tablas!X488+5*VLOOKUP("Apr. natural (2): "&amp;K488,$D$501:$F$517,3,FALSE)+10*VLOOKUP("Apr. natural (3): "&amp;K488,$D$501:$F$517,3,FALSE)</f>
        <v>0</v>
      </c>
    </row>
    <row r="489" spans="2:25" ht="12.75" customHeight="1" x14ac:dyDescent="0.2">
      <c r="B489" s="2718" t="str">
        <f t="shared" si="27"/>
        <v>Apr. natural (2): Sociales</v>
      </c>
      <c r="C489" s="2723">
        <f t="shared" si="28"/>
        <v>132</v>
      </c>
      <c r="D489" s="147" t="s">
        <v>2836</v>
      </c>
      <c r="E489" s="459">
        <v>1</v>
      </c>
      <c r="F489" s="459">
        <f>COUNTIF(Principal!$C$32:$J$50,Tablas!D489)</f>
        <v>0</v>
      </c>
      <c r="G489" s="2731">
        <f t="shared" si="26"/>
        <v>0</v>
      </c>
      <c r="H489" s="2736"/>
      <c r="I489" s="2740" t="s">
        <v>3965</v>
      </c>
      <c r="K489" s="2546" t="s">
        <v>2289</v>
      </c>
      <c r="L489" s="1679" t="s">
        <v>2290</v>
      </c>
      <c r="M489" s="540">
        <v>1</v>
      </c>
      <c r="N489" s="383">
        <f>IF('Elan y Personalización'!$AC$29=L489,1,0)+IF('Elan y Personalización'!$AE$29=L489,1,0)</f>
        <v>0</v>
      </c>
      <c r="O489" s="540">
        <v>2</v>
      </c>
      <c r="P489" s="383">
        <f>IF('Elan y Personalización'!$AC$30=L489,1,0)+IF('Elan y Personalización'!$AE$30=L489,1,0)</f>
        <v>0</v>
      </c>
      <c r="Q489" s="540">
        <v>3</v>
      </c>
      <c r="R489" s="147">
        <f>IF('Elan y Personalización'!$AC$31=L489,1,0)+IF('Elan y Personalización'!$AE$31=L489,1,0)</f>
        <v>0</v>
      </c>
      <c r="S489" s="540">
        <v>1</v>
      </c>
      <c r="T489" s="383">
        <f>IF('Elan y Personalización'!$AC$32=L489,1,0)+IF('Elan y Personalización'!$AE$32=L489,1,0)</f>
        <v>0</v>
      </c>
      <c r="U489" s="540">
        <v>2</v>
      </c>
      <c r="V489" s="383">
        <f>IF('Elan y Personalización'!$AC$33=L489,1,0)+IF('Elan y Personalización'!$AE$33=L489,1,0)</f>
        <v>0</v>
      </c>
      <c r="W489" s="540">
        <v>3</v>
      </c>
      <c r="X489" s="1857">
        <f>IF('Elan y Personalización'!$AC$34=L489,1,0)+IF('Elan y Personalización'!$AE$34=L489,1,0)</f>
        <v>0</v>
      </c>
      <c r="Y489" s="1854">
        <f>10*Tablas!T489+20*Tablas!V489+30*Tablas!X489+5*VLOOKUP("Apr. natural (2): "&amp;K489,$D$501:$F$517,3,FALSE)+10*VLOOKUP("Apr. natural (3): "&amp;K489,$D$501:$F$517,3,FALSE)</f>
        <v>0</v>
      </c>
    </row>
    <row r="490" spans="2:25" ht="12.75" customHeight="1" x14ac:dyDescent="0.2">
      <c r="B490" s="2718" t="str">
        <f t="shared" si="27"/>
        <v>Apr. natural (2): Subterfugio</v>
      </c>
      <c r="C490" s="2723">
        <f t="shared" si="28"/>
        <v>75</v>
      </c>
      <c r="D490" s="147" t="s">
        <v>3304</v>
      </c>
      <c r="E490" s="459">
        <v>1</v>
      </c>
      <c r="F490" s="459">
        <f>COUNTIF(Principal!$C$32:$J$50,Tablas!D490)</f>
        <v>0</v>
      </c>
      <c r="G490" s="2731">
        <f t="shared" si="26"/>
        <v>0</v>
      </c>
      <c r="H490" s="2736"/>
      <c r="I490" s="2740" t="s">
        <v>3965</v>
      </c>
      <c r="K490" s="2546" t="s">
        <v>2289</v>
      </c>
      <c r="L490" s="1679" t="s">
        <v>2291</v>
      </c>
      <c r="M490" s="540">
        <v>1</v>
      </c>
      <c r="N490" s="383">
        <f>IF('Elan y Personalización'!$AC$29=L490,1,0)+IF('Elan y Personalización'!$AE$29=L490,1,0)</f>
        <v>0</v>
      </c>
      <c r="O490" s="540">
        <v>2</v>
      </c>
      <c r="P490" s="383">
        <f>IF('Elan y Personalización'!$AC$30=L490,1,0)+IF('Elan y Personalización'!$AE$30=L490,1,0)</f>
        <v>0</v>
      </c>
      <c r="Q490" s="540">
        <v>3</v>
      </c>
      <c r="R490" s="147">
        <f>IF('Elan y Personalización'!$AC$31=L490,1,0)+IF('Elan y Personalización'!$AE$31=L490,1,0)</f>
        <v>0</v>
      </c>
      <c r="S490" s="540">
        <v>1</v>
      </c>
      <c r="T490" s="383">
        <f>IF('Elan y Personalización'!$AC$32=L490,1,0)+IF('Elan y Personalización'!$AE$32=L490,1,0)</f>
        <v>0</v>
      </c>
      <c r="U490" s="540">
        <v>2</v>
      </c>
      <c r="V490" s="383">
        <f>IF('Elan y Personalización'!$AC$33=L490,1,0)+IF('Elan y Personalización'!$AE$33=L490,1,0)</f>
        <v>0</v>
      </c>
      <c r="W490" s="540">
        <v>3</v>
      </c>
      <c r="X490" s="1857">
        <f>IF('Elan y Personalización'!$AC$34=L490,1,0)+IF('Elan y Personalización'!$AE$34=L490,1,0)</f>
        <v>0</v>
      </c>
      <c r="Y490" s="1854">
        <f>10*Tablas!T490+20*Tablas!V490+30*Tablas!X490+5*VLOOKUP("Apr. natural (2): "&amp;K490,$D$501:$F$517,3,FALSE)+10*VLOOKUP("Apr. natural (3): "&amp;K490,$D$501:$F$517,3,FALSE)</f>
        <v>0</v>
      </c>
    </row>
    <row r="491" spans="2:25" ht="12.75" customHeight="1" x14ac:dyDescent="0.2">
      <c r="B491" s="2718" t="str">
        <f t="shared" si="27"/>
        <v>Apr. natural (2): Vigor</v>
      </c>
      <c r="C491" s="2723">
        <f t="shared" si="28"/>
        <v>42</v>
      </c>
      <c r="D491" s="147" t="s">
        <v>2387</v>
      </c>
      <c r="E491" s="459">
        <v>1</v>
      </c>
      <c r="F491" s="459">
        <f>COUNTIF(Principal!$C$32:$J$50,Tablas!D491)</f>
        <v>0</v>
      </c>
      <c r="G491" s="2731">
        <f t="shared" si="26"/>
        <v>0</v>
      </c>
      <c r="H491" s="2736">
        <v>1</v>
      </c>
      <c r="I491" s="2740" t="s">
        <v>3965</v>
      </c>
      <c r="K491" s="2546" t="s">
        <v>2289</v>
      </c>
      <c r="L491" s="1679" t="s">
        <v>3679</v>
      </c>
      <c r="M491" s="540">
        <v>1</v>
      </c>
      <c r="N491" s="383">
        <f>IF('Elan y Personalización'!$AC$29=L491,1,0)+IF('Elan y Personalización'!$AE$29=L491,1,0)</f>
        <v>0</v>
      </c>
      <c r="O491" s="540">
        <v>2</v>
      </c>
      <c r="P491" s="383">
        <f>IF('Elan y Personalización'!$AC$30=L491,1,0)+IF('Elan y Personalización'!$AE$30=L491,1,0)</f>
        <v>0</v>
      </c>
      <c r="Q491" s="540">
        <v>3</v>
      </c>
      <c r="R491" s="147">
        <f>IF('Elan y Personalización'!$AC$31=L491,1,0)+IF('Elan y Personalización'!$AE$31=L491,1,0)</f>
        <v>0</v>
      </c>
      <c r="S491" s="540">
        <v>1</v>
      </c>
      <c r="T491" s="383">
        <f>IF('Elan y Personalización'!$AC$32=L491,1,0)+IF('Elan y Personalización'!$AE$32=L491,1,0)</f>
        <v>0</v>
      </c>
      <c r="U491" s="540">
        <v>2</v>
      </c>
      <c r="V491" s="383">
        <f>IF('Elan y Personalización'!$AC$33=L491,1,0)+IF('Elan y Personalización'!$AE$33=L491,1,0)</f>
        <v>0</v>
      </c>
      <c r="W491" s="540">
        <v>3</v>
      </c>
      <c r="X491" s="1857">
        <f>IF('Elan y Personalización'!$AC$34=L491,1,0)+IF('Elan y Personalización'!$AE$34=L491,1,0)</f>
        <v>0</v>
      </c>
      <c r="Y491" s="1854">
        <f>10*Tablas!T491+20*Tablas!V491+30*Tablas!X491+5*VLOOKUP("Apr. natural (2): "&amp;K491,$D$501:$F$517,3,FALSE)+10*VLOOKUP("Apr. natural (3): "&amp;K491,$D$501:$F$517,3,FALSE)</f>
        <v>0</v>
      </c>
    </row>
    <row r="492" spans="2:25" ht="12.75" customHeight="1" x14ac:dyDescent="0.2">
      <c r="B492" s="2718" t="str">
        <f t="shared" si="27"/>
        <v>Apr. natural (3): Atléticas</v>
      </c>
      <c r="C492" s="2723">
        <f t="shared" si="28"/>
        <v>43</v>
      </c>
      <c r="D492" s="147" t="s">
        <v>2389</v>
      </c>
      <c r="E492" s="459">
        <v>2</v>
      </c>
      <c r="F492" s="459">
        <f>COUNTIF(Principal!$C$32:$J$50,Tablas!D492)</f>
        <v>0</v>
      </c>
      <c r="G492" s="2731">
        <f t="shared" si="26"/>
        <v>0</v>
      </c>
      <c r="H492" s="2736">
        <v>1</v>
      </c>
      <c r="I492" s="2740" t="s">
        <v>3965</v>
      </c>
      <c r="K492" s="2546" t="s">
        <v>2289</v>
      </c>
      <c r="L492" s="1679" t="s">
        <v>2292</v>
      </c>
      <c r="M492" s="540">
        <v>1</v>
      </c>
      <c r="N492" s="383">
        <f>IF('Elan y Personalización'!$AC$29=L492,1,0)+IF('Elan y Personalización'!$AE$29=L492,1,0)</f>
        <v>0</v>
      </c>
      <c r="O492" s="540">
        <v>2</v>
      </c>
      <c r="P492" s="383">
        <f>IF('Elan y Personalización'!$AC$30=L492,1,0)+IF('Elan y Personalización'!$AE$30=L492,1,0)</f>
        <v>0</v>
      </c>
      <c r="Q492" s="540">
        <v>3</v>
      </c>
      <c r="R492" s="147">
        <f>IF('Elan y Personalización'!$AC$31=L492,1,0)+IF('Elan y Personalización'!$AE$31=L492,1,0)</f>
        <v>0</v>
      </c>
      <c r="S492" s="540">
        <v>1</v>
      </c>
      <c r="T492" s="383">
        <f>IF('Elan y Personalización'!$AC$32=L492,1,0)+IF('Elan y Personalización'!$AE$32=L492,1,0)</f>
        <v>0</v>
      </c>
      <c r="U492" s="540">
        <v>2</v>
      </c>
      <c r="V492" s="383">
        <f>IF('Elan y Personalización'!$AC$33=L492,1,0)+IF('Elan y Personalización'!$AE$33=L492,1,0)</f>
        <v>0</v>
      </c>
      <c r="W492" s="540">
        <v>3</v>
      </c>
      <c r="X492" s="1857">
        <f>IF('Elan y Personalización'!$AC$34=L492,1,0)+IF('Elan y Personalización'!$AE$34=L492,1,0)</f>
        <v>0</v>
      </c>
      <c r="Y492" s="1854">
        <f>10*Tablas!T492+20*Tablas!V492+30*Tablas!X492+5*VLOOKUP("Apr. natural (2): "&amp;K492,$D$501:$F$517,3,FALSE)+10*VLOOKUP("Apr. natural (3): "&amp;K492,$D$501:$F$517,3,FALSE)</f>
        <v>0</v>
      </c>
    </row>
    <row r="493" spans="2:25" ht="12.75" customHeight="1" x14ac:dyDescent="0.2">
      <c r="B493" s="2718" t="str">
        <f t="shared" si="27"/>
        <v>Apr. natural (3): Creativas</v>
      </c>
      <c r="C493" s="2723">
        <f t="shared" si="28"/>
        <v>44</v>
      </c>
      <c r="D493" s="147" t="s">
        <v>2391</v>
      </c>
      <c r="E493" s="459">
        <v>3</v>
      </c>
      <c r="F493" s="459">
        <f>COUNTIF(Principal!$C$32:$J$50,Tablas!D493)</f>
        <v>0</v>
      </c>
      <c r="G493" s="2731">
        <f t="shared" si="26"/>
        <v>0</v>
      </c>
      <c r="H493" s="2736">
        <v>1</v>
      </c>
      <c r="I493" s="2740" t="s">
        <v>3965</v>
      </c>
      <c r="K493" s="2546" t="s">
        <v>2289</v>
      </c>
      <c r="L493" s="1679" t="s">
        <v>2294</v>
      </c>
      <c r="M493" s="540">
        <v>1</v>
      </c>
      <c r="N493" s="383">
        <f>IF('Elan y Personalización'!$AC$29=L493,1,0)+IF('Elan y Personalización'!$AE$29=L493,1,0)</f>
        <v>0</v>
      </c>
      <c r="O493" s="540">
        <v>2</v>
      </c>
      <c r="P493" s="383">
        <f>IF('Elan y Personalización'!$AC$30=L493,1,0)+IF('Elan y Personalización'!$AE$30=L493,1,0)</f>
        <v>0</v>
      </c>
      <c r="Q493" s="540">
        <v>3</v>
      </c>
      <c r="R493" s="147">
        <f>IF('Elan y Personalización'!$AC$31=L493,1,0)+IF('Elan y Personalización'!$AE$31=L493,1,0)</f>
        <v>0</v>
      </c>
      <c r="S493" s="540">
        <v>1</v>
      </c>
      <c r="T493" s="383">
        <f>IF('Elan y Personalización'!$AC$32=L493,1,0)+IF('Elan y Personalización'!$AE$32=L493,1,0)</f>
        <v>0</v>
      </c>
      <c r="U493" s="540">
        <v>2</v>
      </c>
      <c r="V493" s="383">
        <f>IF('Elan y Personalización'!$AC$33=L493,1,0)+IF('Elan y Personalización'!$AE$33=L493,1,0)</f>
        <v>0</v>
      </c>
      <c r="W493" s="540">
        <v>3</v>
      </c>
      <c r="X493" s="1857">
        <f>IF('Elan y Personalización'!$AC$34=L493,1,0)+IF('Elan y Personalización'!$AE$34=L493,1,0)</f>
        <v>0</v>
      </c>
      <c r="Y493" s="1854">
        <f>10*Tablas!T493+20*Tablas!V493+30*Tablas!X493+5*VLOOKUP("Apr. natural (2): "&amp;K493,$D$501:$F$517,3,FALSE)+10*VLOOKUP("Apr. natural (3): "&amp;K493,$D$501:$F$517,3,FALSE)</f>
        <v>0</v>
      </c>
    </row>
    <row r="494" spans="2:25" ht="12.75" customHeight="1" x14ac:dyDescent="0.2">
      <c r="B494" s="2718" t="str">
        <f t="shared" si="27"/>
        <v>Apr. natural (3): Intelectuales</v>
      </c>
      <c r="C494" s="2723">
        <f t="shared" si="28"/>
        <v>35</v>
      </c>
      <c r="D494" s="147" t="s">
        <v>3305</v>
      </c>
      <c r="E494" s="459">
        <v>2</v>
      </c>
      <c r="F494" s="459">
        <f>COUNTIF(Principal!$C$32:$J$50,Tablas!D494)</f>
        <v>0</v>
      </c>
      <c r="G494" s="2731">
        <f t="shared" si="26"/>
        <v>0</v>
      </c>
      <c r="H494" s="2736">
        <v>1</v>
      </c>
      <c r="I494" s="2740" t="s">
        <v>3965</v>
      </c>
      <c r="K494" s="2546" t="s">
        <v>2289</v>
      </c>
      <c r="L494" s="1679" t="s">
        <v>1285</v>
      </c>
      <c r="M494" s="540">
        <v>1</v>
      </c>
      <c r="N494" s="383">
        <f>IF('Elan y Personalización'!$AC$29=L494,1,0)+IF('Elan y Personalización'!$AE$29=L494,1,0)</f>
        <v>0</v>
      </c>
      <c r="O494" s="540">
        <v>2</v>
      </c>
      <c r="P494" s="383">
        <f>IF('Elan y Personalización'!$AC$30=L494,1,0)+IF('Elan y Personalización'!$AE$30=L494,1,0)</f>
        <v>0</v>
      </c>
      <c r="Q494" s="540">
        <v>3</v>
      </c>
      <c r="R494" s="147">
        <f>IF('Elan y Personalización'!$AC$31=L494,1,0)+IF('Elan y Personalización'!$AE$31=L494,1,0)</f>
        <v>0</v>
      </c>
      <c r="S494" s="540">
        <v>1</v>
      </c>
      <c r="T494" s="383">
        <f>IF('Elan y Personalización'!$AC$32=L494,1,0)+IF('Elan y Personalización'!$AE$32=L494,1,0)</f>
        <v>0</v>
      </c>
      <c r="U494" s="540">
        <v>2</v>
      </c>
      <c r="V494" s="383">
        <f>IF('Elan y Personalización'!$AC$33=L494,1,0)+IF('Elan y Personalización'!$AE$33=L494,1,0)</f>
        <v>0</v>
      </c>
      <c r="W494" s="540">
        <v>3</v>
      </c>
      <c r="X494" s="1857">
        <f>IF('Elan y Personalización'!$AC$34=L494,1,0)+IF('Elan y Personalización'!$AE$34=L494,1,0)</f>
        <v>0</v>
      </c>
      <c r="Y494" s="1854">
        <f>10*Tablas!T494+20*Tablas!V494+30*Tablas!X494+5*VLOOKUP("Apr. natural (2): "&amp;K494,$D$501:$F$517,3,FALSE)+10*VLOOKUP("Apr. natural (3): "&amp;K494,$D$501:$F$517,3,FALSE)</f>
        <v>0</v>
      </c>
    </row>
    <row r="495" spans="2:25" ht="12.75" customHeight="1" x14ac:dyDescent="0.2">
      <c r="B495" s="2718" t="str">
        <f t="shared" si="27"/>
        <v>Apr. natural (3): Perceptivas</v>
      </c>
      <c r="C495" s="2723">
        <f t="shared" si="28"/>
        <v>39</v>
      </c>
      <c r="D495" s="147" t="s">
        <v>3306</v>
      </c>
      <c r="E495" s="459">
        <v>2</v>
      </c>
      <c r="F495" s="459">
        <f>COUNTIF(Principal!$C$32:$J$50,Tablas!D495)</f>
        <v>0</v>
      </c>
      <c r="G495" s="2731">
        <f t="shared" si="26"/>
        <v>0</v>
      </c>
      <c r="H495" s="2736">
        <v>1</v>
      </c>
      <c r="I495" s="2740" t="s">
        <v>3965</v>
      </c>
      <c r="K495" s="2546" t="s">
        <v>2289</v>
      </c>
      <c r="L495" s="1679" t="s">
        <v>2297</v>
      </c>
      <c r="M495" s="540">
        <v>1</v>
      </c>
      <c r="N495" s="383">
        <f>IF('Elan y Personalización'!$AC$29=L495,1,0)+IF('Elan y Personalización'!$AE$29=L495,1,0)</f>
        <v>0</v>
      </c>
      <c r="O495" s="540">
        <v>2</v>
      </c>
      <c r="P495" s="383">
        <f>IF('Elan y Personalización'!$AC$30=L495,1,0)+IF('Elan y Personalización'!$AE$30=L495,1,0)</f>
        <v>0</v>
      </c>
      <c r="Q495" s="540">
        <v>3</v>
      </c>
      <c r="R495" s="147">
        <f>IF('Elan y Personalización'!$AC$31=L495,1,0)+IF('Elan y Personalización'!$AE$31=L495,1,0)</f>
        <v>0</v>
      </c>
      <c r="S495" s="540">
        <v>1</v>
      </c>
      <c r="T495" s="383">
        <f>IF('Elan y Personalización'!$AC$32=L495,1,0)+IF('Elan y Personalización'!$AE$32=L495,1,0)</f>
        <v>0</v>
      </c>
      <c r="U495" s="540">
        <v>2</v>
      </c>
      <c r="V495" s="383">
        <f>IF('Elan y Personalización'!$AC$33=L495,1,0)+IF('Elan y Personalización'!$AE$33=L495,1,0)</f>
        <v>0</v>
      </c>
      <c r="W495" s="540">
        <v>3</v>
      </c>
      <c r="X495" s="1857">
        <f>IF('Elan y Personalización'!$AC$34=L495,1,0)+IF('Elan y Personalización'!$AE$34=L495,1,0)</f>
        <v>0</v>
      </c>
      <c r="Y495" s="1854">
        <f>10*Tablas!T495+20*Tablas!V495+30*Tablas!X495+5*VLOOKUP("Apr. natural (2): "&amp;K495,$D$501:$F$517,3,FALSE)+10*VLOOKUP("Apr. natural (3): "&amp;K495,$D$501:$F$517,3,FALSE)</f>
        <v>0</v>
      </c>
    </row>
    <row r="496" spans="2:25" ht="12.75" customHeight="1" x14ac:dyDescent="0.2">
      <c r="B496" s="2718" t="str">
        <f t="shared" si="27"/>
        <v>Apr. natural (3): Sociales</v>
      </c>
      <c r="C496" s="2723">
        <f t="shared" si="28"/>
        <v>38</v>
      </c>
      <c r="D496" s="147" t="s">
        <v>3307</v>
      </c>
      <c r="E496" s="459">
        <v>2</v>
      </c>
      <c r="F496" s="459">
        <f>COUNTIF(Principal!$C$32:$J$50,Tablas!D496)</f>
        <v>0</v>
      </c>
      <c r="G496" s="2731">
        <f t="shared" si="26"/>
        <v>0</v>
      </c>
      <c r="H496" s="2736">
        <v>1</v>
      </c>
      <c r="I496" s="2740" t="s">
        <v>3965</v>
      </c>
      <c r="K496" s="2546" t="s">
        <v>2289</v>
      </c>
      <c r="L496" s="1679" t="s">
        <v>2298</v>
      </c>
      <c r="M496" s="540">
        <v>1</v>
      </c>
      <c r="N496" s="383">
        <f>IF('Elan y Personalización'!$AC$29=L496,1,0)+IF('Elan y Personalización'!$AE$29=L496,1,0)</f>
        <v>0</v>
      </c>
      <c r="O496" s="540">
        <v>2</v>
      </c>
      <c r="P496" s="383">
        <f>IF('Elan y Personalización'!$AC$30=L496,1,0)+IF('Elan y Personalización'!$AE$30=L496,1,0)</f>
        <v>0</v>
      </c>
      <c r="Q496" s="540">
        <v>3</v>
      </c>
      <c r="R496" s="147">
        <f>IF('Elan y Personalización'!$AC$31=L496,1,0)+IF('Elan y Personalización'!$AE$31=L496,1,0)</f>
        <v>0</v>
      </c>
      <c r="S496" s="540">
        <v>1</v>
      </c>
      <c r="T496" s="383">
        <f>IF('Elan y Personalización'!$AC$32=L496,1,0)+IF('Elan y Personalización'!$AE$32=L496,1,0)</f>
        <v>0</v>
      </c>
      <c r="U496" s="540">
        <v>2</v>
      </c>
      <c r="V496" s="383">
        <f>IF('Elan y Personalización'!$AC$33=L496,1,0)+IF('Elan y Personalización'!$AE$33=L496,1,0)</f>
        <v>0</v>
      </c>
      <c r="W496" s="540">
        <v>3</v>
      </c>
      <c r="X496" s="1857">
        <f>IF('Elan y Personalización'!$AC$34=L496,1,0)+IF('Elan y Personalización'!$AE$34=L496,1,0)</f>
        <v>0</v>
      </c>
      <c r="Y496" s="1854">
        <f>10*Tablas!T496+20*Tablas!V496+30*Tablas!X496+5*VLOOKUP("Apr. natural (2): "&amp;K496,$D$501:$F$517,3,FALSE)+10*VLOOKUP("Apr. natural (3): "&amp;K496,$D$501:$F$517,3,FALSE)</f>
        <v>0</v>
      </c>
    </row>
    <row r="497" spans="2:25" ht="12.75" customHeight="1" x14ac:dyDescent="0.2">
      <c r="B497" s="2718" t="str">
        <f t="shared" si="27"/>
        <v>Apr. natural (3): Subterfugio</v>
      </c>
      <c r="C497" s="2723">
        <f t="shared" si="28"/>
        <v>37</v>
      </c>
      <c r="D497" s="147" t="s">
        <v>3308</v>
      </c>
      <c r="E497" s="459">
        <v>2</v>
      </c>
      <c r="F497" s="459">
        <f>COUNTIF(Principal!$C$32:$J$50,Tablas!D497)</f>
        <v>0</v>
      </c>
      <c r="G497" s="2731">
        <f t="shared" si="26"/>
        <v>0</v>
      </c>
      <c r="H497" s="2736">
        <v>1</v>
      </c>
      <c r="I497" s="2740" t="s">
        <v>3965</v>
      </c>
      <c r="K497" s="2546" t="s">
        <v>2289</v>
      </c>
      <c r="L497" s="1679" t="s">
        <v>2299</v>
      </c>
      <c r="M497" s="540">
        <v>1</v>
      </c>
      <c r="N497" s="383">
        <f>IF('Elan y Personalización'!$AC$29=L497,1,0)+IF('Elan y Personalización'!$AE$29=L497,1,0)</f>
        <v>0</v>
      </c>
      <c r="O497" s="540">
        <v>2</v>
      </c>
      <c r="P497" s="383">
        <f>IF('Elan y Personalización'!$AC$30=L497,1,0)+IF('Elan y Personalización'!$AE$30=L497,1,0)</f>
        <v>0</v>
      </c>
      <c r="Q497" s="540">
        <v>3</v>
      </c>
      <c r="R497" s="147">
        <f>IF('Elan y Personalización'!$AC$31=L497,1,0)+IF('Elan y Personalización'!$AE$31=L497,1,0)</f>
        <v>0</v>
      </c>
      <c r="S497" s="540">
        <v>1</v>
      </c>
      <c r="T497" s="383">
        <f>IF('Elan y Personalización'!$AC$32=L497,1,0)+IF('Elan y Personalización'!$AE$32=L497,1,0)</f>
        <v>0</v>
      </c>
      <c r="U497" s="540">
        <v>2</v>
      </c>
      <c r="V497" s="383">
        <f>IF('Elan y Personalización'!$AC$33=L497,1,0)+IF('Elan y Personalización'!$AE$33=L497,1,0)</f>
        <v>0</v>
      </c>
      <c r="W497" s="540">
        <v>3</v>
      </c>
      <c r="X497" s="1857">
        <f>IF('Elan y Personalización'!$AC$34=L497,1,0)+IF('Elan y Personalización'!$AE$34=L497,1,0)</f>
        <v>0</v>
      </c>
      <c r="Y497" s="1854">
        <f>10*Tablas!T497+20*Tablas!V497+30*Tablas!X497+5*VLOOKUP("Apr. natural (2): "&amp;K497,$D$501:$F$517,3,FALSE)+10*VLOOKUP("Apr. natural (3): "&amp;K497,$D$501:$F$517,3,FALSE)</f>
        <v>0</v>
      </c>
    </row>
    <row r="498" spans="2:25" ht="12.75" customHeight="1" x14ac:dyDescent="0.2">
      <c r="B498" s="2718" t="str">
        <f t="shared" si="27"/>
        <v>Apr. natural (3): Vigor</v>
      </c>
      <c r="C498" s="2723">
        <f t="shared" si="28"/>
        <v>41</v>
      </c>
      <c r="D498" s="147" t="s">
        <v>3309</v>
      </c>
      <c r="E498" s="459">
        <v>2</v>
      </c>
      <c r="F498" s="459">
        <f>COUNTIF(Principal!$C$32:$J$50,Tablas!D498)</f>
        <v>0</v>
      </c>
      <c r="G498" s="2731">
        <f t="shared" si="26"/>
        <v>0</v>
      </c>
      <c r="H498" s="2736">
        <v>1</v>
      </c>
      <c r="I498" s="2740" t="s">
        <v>3965</v>
      </c>
      <c r="K498" s="2546" t="s">
        <v>2289</v>
      </c>
      <c r="L498" s="1679" t="s">
        <v>2300</v>
      </c>
      <c r="M498" s="540">
        <v>1</v>
      </c>
      <c r="N498" s="383">
        <f>IF('Elan y Personalización'!$AC$29=L498,1,0)+IF('Elan y Personalización'!$AE$29=L498,1,0)</f>
        <v>0</v>
      </c>
      <c r="O498" s="540">
        <v>2</v>
      </c>
      <c r="P498" s="383">
        <f>IF('Elan y Personalización'!$AC$30=L498,1,0)+IF('Elan y Personalización'!$AE$30=L498,1,0)</f>
        <v>0</v>
      </c>
      <c r="Q498" s="540">
        <v>3</v>
      </c>
      <c r="R498" s="147">
        <f>IF('Elan y Personalización'!$AC$31=L498,1,0)+IF('Elan y Personalización'!$AE$31=L498,1,0)</f>
        <v>0</v>
      </c>
      <c r="S498" s="540">
        <v>1</v>
      </c>
      <c r="T498" s="383">
        <f>IF('Elan y Personalización'!$AC$32=L498,1,0)+IF('Elan y Personalización'!$AE$32=L498,1,0)</f>
        <v>0</v>
      </c>
      <c r="U498" s="540">
        <v>2</v>
      </c>
      <c r="V498" s="383">
        <f>IF('Elan y Personalización'!$AC$33=L498,1,0)+IF('Elan y Personalización'!$AE$33=L498,1,0)</f>
        <v>0</v>
      </c>
      <c r="W498" s="540">
        <v>3</v>
      </c>
      <c r="X498" s="1857">
        <f>IF('Elan y Personalización'!$AC$34=L498,1,0)+IF('Elan y Personalización'!$AE$34=L498,1,0)</f>
        <v>0</v>
      </c>
      <c r="Y498" s="1854">
        <f>10*Tablas!T498+20*Tablas!V498+30*Tablas!X498+5*VLOOKUP("Apr. natural (2): "&amp;K498,$D$501:$F$517,3,FALSE)+10*VLOOKUP("Apr. natural (3): "&amp;K498,$D$501:$F$517,3,FALSE)</f>
        <v>0</v>
      </c>
    </row>
    <row r="499" spans="2:25" ht="12.75" customHeight="1" x14ac:dyDescent="0.2">
      <c r="B499" s="2718" t="str">
        <f t="shared" si="27"/>
        <v>Aprendizaje (1)</v>
      </c>
      <c r="C499" s="2723">
        <f t="shared" si="28"/>
        <v>40</v>
      </c>
      <c r="D499" s="147" t="s">
        <v>3310</v>
      </c>
      <c r="E499" s="459">
        <v>2</v>
      </c>
      <c r="F499" s="459">
        <f>COUNTIF(Principal!$C$32:$J$50,Tablas!D499)</f>
        <v>0</v>
      </c>
      <c r="G499" s="2731">
        <f t="shared" si="26"/>
        <v>0</v>
      </c>
      <c r="H499" s="2736">
        <v>1</v>
      </c>
      <c r="I499" s="2740" t="s">
        <v>3965</v>
      </c>
      <c r="K499" s="2546" t="s">
        <v>2289</v>
      </c>
      <c r="L499" s="1679" t="s">
        <v>2301</v>
      </c>
      <c r="M499" s="540">
        <v>1</v>
      </c>
      <c r="N499" s="383">
        <f>IF('Elan y Personalización'!$AC$29=L499,1,0)+IF('Elan y Personalización'!$AE$29=L499,1,0)</f>
        <v>0</v>
      </c>
      <c r="O499" s="540">
        <v>2</v>
      </c>
      <c r="P499" s="383">
        <f>IF('Elan y Personalización'!$AC$30=L499,1,0)+IF('Elan y Personalización'!$AE$30=L499,1,0)</f>
        <v>0</v>
      </c>
      <c r="Q499" s="540">
        <v>3</v>
      </c>
      <c r="R499" s="147">
        <f>IF('Elan y Personalización'!$AC$31=L499,1,0)+IF('Elan y Personalización'!$AE$31=L499,1,0)</f>
        <v>0</v>
      </c>
      <c r="S499" s="540">
        <v>1</v>
      </c>
      <c r="T499" s="383">
        <f>IF('Elan y Personalización'!$AC$32=L499,1,0)+IF('Elan y Personalización'!$AE$32=L499,1,0)</f>
        <v>0</v>
      </c>
      <c r="U499" s="540">
        <v>2</v>
      </c>
      <c r="V499" s="383">
        <f>IF('Elan y Personalización'!$AC$33=L499,1,0)+IF('Elan y Personalización'!$AE$33=L499,1,0)</f>
        <v>0</v>
      </c>
      <c r="W499" s="540">
        <v>3</v>
      </c>
      <c r="X499" s="1857">
        <f>IF('Elan y Personalización'!$AC$34=L499,1,0)+IF('Elan y Personalización'!$AE$34=L499,1,0)</f>
        <v>0</v>
      </c>
      <c r="Y499" s="1854">
        <f>10*Tablas!T499+20*Tablas!V499+30*Tablas!X499+5*VLOOKUP("Apr. natural (2): "&amp;K499,$D$501:$F$517,3,FALSE)+10*VLOOKUP("Apr. natural (3): "&amp;K499,$D$501:$F$517,3,FALSE)</f>
        <v>0</v>
      </c>
    </row>
    <row r="500" spans="2:25" ht="12.75" customHeight="1" x14ac:dyDescent="0.2">
      <c r="B500" s="2718" t="str">
        <f t="shared" si="27"/>
        <v>Aprendizaje (2)</v>
      </c>
      <c r="C500" s="2723">
        <f t="shared" si="28"/>
        <v>36</v>
      </c>
      <c r="D500" s="147" t="s">
        <v>3311</v>
      </c>
      <c r="E500" s="459">
        <v>2</v>
      </c>
      <c r="F500" s="459">
        <f>COUNTIF(Principal!$C$32:$J$50,Tablas!D500)</f>
        <v>0</v>
      </c>
      <c r="G500" s="2731">
        <f t="shared" si="26"/>
        <v>0</v>
      </c>
      <c r="H500" s="2736">
        <v>1</v>
      </c>
      <c r="I500" s="2740" t="s">
        <v>3965</v>
      </c>
      <c r="K500" s="2546" t="s">
        <v>2289</v>
      </c>
      <c r="L500" s="1679" t="s">
        <v>2302</v>
      </c>
      <c r="M500" s="540">
        <v>1</v>
      </c>
      <c r="N500" s="383">
        <f>IF('Elan y Personalización'!$AC$29=L500,1,0)+IF('Elan y Personalización'!$AE$29=L500,1,0)</f>
        <v>0</v>
      </c>
      <c r="O500" s="540">
        <v>2</v>
      </c>
      <c r="P500" s="383">
        <f>IF('Elan y Personalización'!$AC$30=L500,1,0)+IF('Elan y Personalización'!$AE$30=L500,1,0)</f>
        <v>0</v>
      </c>
      <c r="Q500" s="540">
        <v>3</v>
      </c>
      <c r="R500" s="147">
        <f>IF('Elan y Personalización'!$AC$31=L500,1,0)+IF('Elan y Personalización'!$AE$31=L500,1,0)</f>
        <v>0</v>
      </c>
      <c r="S500" s="540">
        <v>1</v>
      </c>
      <c r="T500" s="383">
        <f>IF('Elan y Personalización'!$AC$32=L500,1,0)+IF('Elan y Personalización'!$AE$32=L500,1,0)</f>
        <v>0</v>
      </c>
      <c r="U500" s="540">
        <v>2</v>
      </c>
      <c r="V500" s="383">
        <f>IF('Elan y Personalización'!$AC$33=L500,1,0)+IF('Elan y Personalización'!$AE$33=L500,1,0)</f>
        <v>0</v>
      </c>
      <c r="W500" s="540">
        <v>3</v>
      </c>
      <c r="X500" s="1857">
        <f>IF('Elan y Personalización'!$AC$34=L500,1,0)+IF('Elan y Personalización'!$AE$34=L500,1,0)</f>
        <v>0</v>
      </c>
      <c r="Y500" s="1854">
        <f>10*Tablas!T500+20*Tablas!V500+30*Tablas!X500+5*VLOOKUP("Apr. natural (2): "&amp;K500,$D$501:$F$517,3,FALSE)+10*VLOOKUP("Apr. natural (3): "&amp;K500,$D$501:$F$517,3,FALSE)</f>
        <v>0</v>
      </c>
    </row>
    <row r="501" spans="2:25" ht="12.75" customHeight="1" x14ac:dyDescent="0.2">
      <c r="B501" s="2718" t="str">
        <f t="shared" si="27"/>
        <v>Aprendizaje (3)</v>
      </c>
      <c r="C501" s="2723">
        <f t="shared" si="28"/>
        <v>32</v>
      </c>
      <c r="D501" s="147" t="s">
        <v>2388</v>
      </c>
      <c r="E501" s="459">
        <v>1</v>
      </c>
      <c r="F501" s="459">
        <f>COUNTIF(Principal!$C$32:$J$50,Tablas!D501)</f>
        <v>0</v>
      </c>
      <c r="G501" s="2731">
        <f t="shared" si="26"/>
        <v>0</v>
      </c>
      <c r="H501" s="2736">
        <v>1</v>
      </c>
      <c r="I501" s="2740" t="s">
        <v>3965</v>
      </c>
      <c r="K501" s="2546" t="s">
        <v>2303</v>
      </c>
      <c r="L501" s="1679" t="s">
        <v>2304</v>
      </c>
      <c r="M501" s="540">
        <v>1</v>
      </c>
      <c r="N501" s="383">
        <f>IF('Elan y Personalización'!$AC$29=L501,1,0)+IF('Elan y Personalización'!$AE$29=L501,1,0)</f>
        <v>0</v>
      </c>
      <c r="O501" s="540">
        <v>2</v>
      </c>
      <c r="P501" s="383">
        <f>IF('Elan y Personalización'!$AC$30=L501,1,0)+IF('Elan y Personalización'!$AE$30=L501,1,0)</f>
        <v>0</v>
      </c>
      <c r="Q501" s="540">
        <v>3</v>
      </c>
      <c r="R501" s="147">
        <f>IF('Elan y Personalización'!$AC$31=L501,1,0)+IF('Elan y Personalización'!$AE$31=L501,1,0)</f>
        <v>0</v>
      </c>
      <c r="S501" s="540">
        <v>1</v>
      </c>
      <c r="T501" s="383">
        <f>IF('Elan y Personalización'!$AC$32=L501,1,0)+IF('Elan y Personalización'!$AE$32=L501,1,0)</f>
        <v>0</v>
      </c>
      <c r="U501" s="540">
        <v>2</v>
      </c>
      <c r="V501" s="383">
        <f>IF('Elan y Personalización'!$AC$33=L501,1,0)+IF('Elan y Personalización'!$AE$33=L501,1,0)</f>
        <v>0</v>
      </c>
      <c r="W501" s="540">
        <v>3</v>
      </c>
      <c r="X501" s="1857">
        <f>IF('Elan y Personalización'!$AC$34=L501,1,0)+IF('Elan y Personalización'!$AE$34=L501,1,0)</f>
        <v>0</v>
      </c>
      <c r="Y501" s="1854">
        <f>10*Tablas!T501+20*Tablas!V501+30*Tablas!X501+5*VLOOKUP("Apr. natural (2): "&amp;K501,$D$501:$F$517,3,FALSE)+10*VLOOKUP("Apr. natural (3): "&amp;K501,$D$501:$F$517,3,FALSE)</f>
        <v>0</v>
      </c>
    </row>
    <row r="502" spans="2:25" ht="12.75" customHeight="1" x14ac:dyDescent="0.2">
      <c r="B502" s="2718" t="str">
        <f t="shared" si="27"/>
        <v>Aprendizaje marcial</v>
      </c>
      <c r="C502" s="2723">
        <f t="shared" si="28"/>
        <v>33</v>
      </c>
      <c r="D502" s="147" t="s">
        <v>2390</v>
      </c>
      <c r="E502" s="459">
        <v>2</v>
      </c>
      <c r="F502" s="459">
        <f>COUNTIF(Principal!$C$32:$J$50,Tablas!D502)</f>
        <v>0</v>
      </c>
      <c r="G502" s="2731">
        <f t="shared" si="26"/>
        <v>0</v>
      </c>
      <c r="H502" s="2736">
        <v>1</v>
      </c>
      <c r="I502" s="2740" t="s">
        <v>3965</v>
      </c>
      <c r="K502" s="2546" t="s">
        <v>2303</v>
      </c>
      <c r="L502" s="1679" t="s">
        <v>2305</v>
      </c>
      <c r="M502" s="540">
        <v>1</v>
      </c>
      <c r="N502" s="383">
        <f>IF('Elan y Personalización'!$AC$29=L502,1,0)+IF('Elan y Personalización'!$AE$29=L502,1,0)</f>
        <v>0</v>
      </c>
      <c r="O502" s="540">
        <v>2</v>
      </c>
      <c r="P502" s="383">
        <f>IF('Elan y Personalización'!$AC$30=L502,1,0)+IF('Elan y Personalización'!$AE$30=L502,1,0)</f>
        <v>0</v>
      </c>
      <c r="Q502" s="540">
        <v>3</v>
      </c>
      <c r="R502" s="147">
        <f>IF('Elan y Personalización'!$AC$31=L502,1,0)+IF('Elan y Personalización'!$AE$31=L502,1,0)</f>
        <v>0</v>
      </c>
      <c r="S502" s="540">
        <v>1</v>
      </c>
      <c r="T502" s="383">
        <f>IF('Elan y Personalización'!$AC$32=L502,1,0)+IF('Elan y Personalización'!$AE$32=L502,1,0)</f>
        <v>0</v>
      </c>
      <c r="U502" s="540">
        <v>2</v>
      </c>
      <c r="V502" s="383">
        <f>IF('Elan y Personalización'!$AC$33=L502,1,0)+IF('Elan y Personalización'!$AE$33=L502,1,0)</f>
        <v>0</v>
      </c>
      <c r="W502" s="540">
        <v>3</v>
      </c>
      <c r="X502" s="1857">
        <f>IF('Elan y Personalización'!$AC$34=L502,1,0)+IF('Elan y Personalización'!$AE$34=L502,1,0)</f>
        <v>0</v>
      </c>
      <c r="Y502" s="1854">
        <f>10*Tablas!T502+20*Tablas!V502+30*Tablas!X502+5*VLOOKUP("Apr. natural (2): "&amp;K502,$D$501:$F$517,3,FALSE)+10*VLOOKUP("Apr. natural (3): "&amp;K502,$D$501:$F$517,3,FALSE)</f>
        <v>0</v>
      </c>
    </row>
    <row r="503" spans="2:25" ht="12.75" customHeight="1" x14ac:dyDescent="0.2">
      <c r="B503" s="2718" t="str">
        <f t="shared" si="27"/>
        <v>Aprendizaje natural (1)</v>
      </c>
      <c r="C503" s="2723">
        <f t="shared" si="28"/>
        <v>34</v>
      </c>
      <c r="D503" s="147" t="s">
        <v>2392</v>
      </c>
      <c r="E503" s="459">
        <v>3</v>
      </c>
      <c r="F503" s="459">
        <f>COUNTIF(Principal!$C$32:$J$50,Tablas!D503)</f>
        <v>0</v>
      </c>
      <c r="G503" s="2731">
        <f t="shared" si="26"/>
        <v>0</v>
      </c>
      <c r="H503" s="2736">
        <v>1</v>
      </c>
      <c r="I503" s="2740" t="s">
        <v>3965</v>
      </c>
      <c r="K503" s="2546" t="s">
        <v>2303</v>
      </c>
      <c r="L503" s="1679" t="s">
        <v>2308</v>
      </c>
      <c r="M503" s="540">
        <v>1</v>
      </c>
      <c r="N503" s="383">
        <f>IF('Elan y Personalización'!$AC$29=L503,1,0)+IF('Elan y Personalización'!$AE$29=L503,1,0)</f>
        <v>0</v>
      </c>
      <c r="O503" s="540">
        <v>2</v>
      </c>
      <c r="P503" s="383">
        <f>IF('Elan y Personalización'!$AC$30=L503,1,0)+IF('Elan y Personalización'!$AE$30=L503,1,0)</f>
        <v>0</v>
      </c>
      <c r="Q503" s="540">
        <v>3</v>
      </c>
      <c r="R503" s="147">
        <f>IF('Elan y Personalización'!$AC$31=L503,1,0)+IF('Elan y Personalización'!$AE$31=L503,1,0)</f>
        <v>0</v>
      </c>
      <c r="S503" s="540">
        <v>1</v>
      </c>
      <c r="T503" s="383">
        <f>IF('Elan y Personalización'!$AC$32=L503,1,0)+IF('Elan y Personalización'!$AE$32=L503,1,0)</f>
        <v>0</v>
      </c>
      <c r="U503" s="540">
        <v>2</v>
      </c>
      <c r="V503" s="383">
        <f>IF('Elan y Personalización'!$AC$33=L503,1,0)+IF('Elan y Personalización'!$AE$33=L503,1,0)</f>
        <v>0</v>
      </c>
      <c r="W503" s="540">
        <v>3</v>
      </c>
      <c r="X503" s="1857">
        <f>IF('Elan y Personalización'!$AC$34=L503,1,0)+IF('Elan y Personalización'!$AE$34=L503,1,0)</f>
        <v>0</v>
      </c>
      <c r="Y503" s="1854">
        <f>10*Tablas!T503+20*Tablas!V503+30*Tablas!X503+5*VLOOKUP("Apr. natural (2): "&amp;K503,$D$501:$F$517,3,FALSE)+10*VLOOKUP("Apr. natural (3): "&amp;K503,$D$501:$F$517,3,FALSE)</f>
        <v>0</v>
      </c>
    </row>
    <row r="504" spans="2:25" ht="12.75" customHeight="1" x14ac:dyDescent="0.2">
      <c r="B504" s="2718" t="str">
        <f t="shared" si="27"/>
        <v>Aprendizaje natural (2)</v>
      </c>
      <c r="C504" s="2723">
        <f t="shared" si="28"/>
        <v>14</v>
      </c>
      <c r="D504" s="147" t="s">
        <v>3312</v>
      </c>
      <c r="E504" s="459">
        <v>2</v>
      </c>
      <c r="F504" s="459">
        <f>COUNTIF(Principal!$C$32:$J$50,Tablas!D504)</f>
        <v>0</v>
      </c>
      <c r="G504" s="2731">
        <f t="shared" ref="G504:G535" si="29">F504*E504</f>
        <v>0</v>
      </c>
      <c r="H504" s="2736">
        <v>1</v>
      </c>
      <c r="I504" s="2740" t="s">
        <v>3965</v>
      </c>
      <c r="K504" s="2546" t="s">
        <v>2311</v>
      </c>
      <c r="L504" s="1679" t="s">
        <v>2312</v>
      </c>
      <c r="M504" s="540">
        <v>1</v>
      </c>
      <c r="N504" s="383">
        <f>IF('Elan y Personalización'!$AC$29=L504,1,0)+IF('Elan y Personalización'!$AE$29=L504,1,0)</f>
        <v>0</v>
      </c>
      <c r="O504" s="540">
        <v>2</v>
      </c>
      <c r="P504" s="383">
        <f>IF('Elan y Personalización'!$AC$30=L504,1,0)+IF('Elan y Personalización'!$AE$30=L504,1,0)</f>
        <v>0</v>
      </c>
      <c r="Q504" s="540">
        <v>3</v>
      </c>
      <c r="R504" s="147">
        <f>IF('Elan y Personalización'!$AC$31=L504,1,0)+IF('Elan y Personalización'!$AE$31=L504,1,0)</f>
        <v>0</v>
      </c>
      <c r="S504" s="540">
        <v>1</v>
      </c>
      <c r="T504" s="383">
        <f>IF('Elan y Personalización'!$AC$32=L504,1,0)+IF('Elan y Personalización'!$AE$32=L504,1,0)</f>
        <v>0</v>
      </c>
      <c r="U504" s="540">
        <v>2</v>
      </c>
      <c r="V504" s="383">
        <f>IF('Elan y Personalización'!$AC$33=L504,1,0)+IF('Elan y Personalización'!$AE$33=L504,1,0)</f>
        <v>0</v>
      </c>
      <c r="W504" s="540">
        <v>3</v>
      </c>
      <c r="X504" s="1857">
        <f>IF('Elan y Personalización'!$AC$34=L504,1,0)+IF('Elan y Personalización'!$AE$34=L504,1,0)</f>
        <v>0</v>
      </c>
      <c r="Y504" s="1854">
        <f>10*Tablas!T504+20*Tablas!V504+30*Tablas!X504+5*VLOOKUP("Apr. natural (2): "&amp;K504,$D$501:$F$517,3,FALSE)+10*VLOOKUP("Apr. natural (3): "&amp;K504,$D$501:$F$517,3,FALSE)</f>
        <v>0</v>
      </c>
    </row>
    <row r="505" spans="2:25" ht="12.75" customHeight="1" x14ac:dyDescent="0.2">
      <c r="B505" s="2718" t="str">
        <f t="shared" si="27"/>
        <v>Aprendizaje natural (3)</v>
      </c>
      <c r="C505" s="2723">
        <f t="shared" si="28"/>
        <v>18</v>
      </c>
      <c r="D505" s="147" t="s">
        <v>3313</v>
      </c>
      <c r="E505" s="459">
        <v>2</v>
      </c>
      <c r="F505" s="459">
        <f>COUNTIF(Principal!$C$32:$J$50,Tablas!D505)</f>
        <v>0</v>
      </c>
      <c r="G505" s="2731">
        <f t="shared" si="29"/>
        <v>0</v>
      </c>
      <c r="H505" s="2736">
        <v>1</v>
      </c>
      <c r="I505" s="2740" t="s">
        <v>3965</v>
      </c>
      <c r="K505" s="2546" t="s">
        <v>2311</v>
      </c>
      <c r="L505" s="1679" t="s">
        <v>2314</v>
      </c>
      <c r="M505" s="540">
        <v>1</v>
      </c>
      <c r="N505" s="383">
        <f>IF('Elan y Personalización'!$AC$29=L505,1,0)+IF('Elan y Personalización'!$AE$29=L505,1,0)</f>
        <v>0</v>
      </c>
      <c r="O505" s="540">
        <v>2</v>
      </c>
      <c r="P505" s="383">
        <f>IF('Elan y Personalización'!$AC$30=L505,1,0)+IF('Elan y Personalización'!$AE$30=L505,1,0)</f>
        <v>0</v>
      </c>
      <c r="Q505" s="540">
        <v>3</v>
      </c>
      <c r="R505" s="147">
        <f>IF('Elan y Personalización'!$AC$31=L505,1,0)+IF('Elan y Personalización'!$AE$31=L505,1,0)</f>
        <v>0</v>
      </c>
      <c r="S505" s="540">
        <v>1</v>
      </c>
      <c r="T505" s="383">
        <f>IF('Elan y Personalización'!$AC$32=L505,1,0)+IF('Elan y Personalización'!$AE$32=L505,1,0)</f>
        <v>0</v>
      </c>
      <c r="U505" s="540">
        <v>2</v>
      </c>
      <c r="V505" s="383">
        <f>IF('Elan y Personalización'!$AC$33=L505,1,0)+IF('Elan y Personalización'!$AE$33=L505,1,0)</f>
        <v>0</v>
      </c>
      <c r="W505" s="540">
        <v>3</v>
      </c>
      <c r="X505" s="1857">
        <f>IF('Elan y Personalización'!$AC$34=L505,1,0)+IF('Elan y Personalización'!$AE$34=L505,1,0)</f>
        <v>0</v>
      </c>
      <c r="Y505" s="1854">
        <f>10*Tablas!T505+20*Tablas!V505+30*Tablas!X505+5*VLOOKUP("Apr. natural (2): "&amp;K505,$D$501:$F$517,3,FALSE)+10*VLOOKUP("Apr. natural (3): "&amp;K505,$D$501:$F$517,3,FALSE)</f>
        <v>0</v>
      </c>
    </row>
    <row r="506" spans="2:25" ht="12.75" customHeight="1" x14ac:dyDescent="0.2">
      <c r="B506" s="2718" t="str">
        <f t="shared" si="27"/>
        <v>Apto en campo: Atléticas</v>
      </c>
      <c r="C506" s="2723">
        <f t="shared" si="28"/>
        <v>17</v>
      </c>
      <c r="D506" s="147" t="s">
        <v>3314</v>
      </c>
      <c r="E506" s="459">
        <v>2</v>
      </c>
      <c r="F506" s="459">
        <f>COUNTIF(Principal!$C$32:$J$50,Tablas!D506)</f>
        <v>0</v>
      </c>
      <c r="G506" s="2731">
        <f t="shared" si="29"/>
        <v>0</v>
      </c>
      <c r="H506" s="2736">
        <v>1</v>
      </c>
      <c r="I506" s="2740" t="s">
        <v>3965</v>
      </c>
      <c r="K506" s="2546" t="s">
        <v>2311</v>
      </c>
      <c r="L506" s="1679" t="s">
        <v>2316</v>
      </c>
      <c r="M506" s="540">
        <v>1</v>
      </c>
      <c r="N506" s="383">
        <f>IF('Elan y Personalización'!$AC$29=L506,1,0)+IF('Elan y Personalización'!$AE$29=L506,1,0)</f>
        <v>0</v>
      </c>
      <c r="O506" s="540">
        <v>2</v>
      </c>
      <c r="P506" s="383">
        <f>IF('Elan y Personalización'!$AC$30=L506,1,0)+IF('Elan y Personalización'!$AE$30=L506,1,0)</f>
        <v>0</v>
      </c>
      <c r="Q506" s="540">
        <v>3</v>
      </c>
      <c r="R506" s="147">
        <f>IF('Elan y Personalización'!$AC$31=L506,1,0)+IF('Elan y Personalización'!$AE$31=L506,1,0)</f>
        <v>0</v>
      </c>
      <c r="S506" s="540">
        <v>1</v>
      </c>
      <c r="T506" s="383">
        <f>IF('Elan y Personalización'!$AC$32=L506,1,0)+IF('Elan y Personalización'!$AE$32=L506,1,0)</f>
        <v>0</v>
      </c>
      <c r="U506" s="540">
        <v>2</v>
      </c>
      <c r="V506" s="383">
        <f>IF('Elan y Personalización'!$AC$33=L506,1,0)+IF('Elan y Personalización'!$AE$33=L506,1,0)</f>
        <v>0</v>
      </c>
      <c r="W506" s="540">
        <v>3</v>
      </c>
      <c r="X506" s="1857">
        <f>IF('Elan y Personalización'!$AC$34=L506,1,0)+IF('Elan y Personalización'!$AE$34=L506,1,0)</f>
        <v>0</v>
      </c>
      <c r="Y506" s="1854">
        <f>10*Tablas!T506+20*Tablas!V506+30*Tablas!X506+5*VLOOKUP("Apr. natural (2): "&amp;K506,$D$501:$F$517,3,FALSE)+10*VLOOKUP("Apr. natural (3): "&amp;K506,$D$501:$F$517,3,FALSE)</f>
        <v>0</v>
      </c>
    </row>
    <row r="507" spans="2:25" ht="12.75" customHeight="1" x14ac:dyDescent="0.2">
      <c r="B507" s="2718" t="str">
        <f t="shared" si="27"/>
        <v>Apto en campo: Creativas</v>
      </c>
      <c r="C507" s="2723">
        <f t="shared" si="28"/>
        <v>16</v>
      </c>
      <c r="D507" s="147" t="s">
        <v>3315</v>
      </c>
      <c r="E507" s="459">
        <v>2</v>
      </c>
      <c r="F507" s="459">
        <f>COUNTIF(Principal!$C$32:$J$50,Tablas!D507)</f>
        <v>0</v>
      </c>
      <c r="G507" s="2731">
        <f t="shared" si="29"/>
        <v>0</v>
      </c>
      <c r="H507" s="2736">
        <v>1</v>
      </c>
      <c r="I507" s="2740" t="s">
        <v>3965</v>
      </c>
      <c r="K507" s="2546" t="s">
        <v>2311</v>
      </c>
      <c r="L507" s="1679" t="s">
        <v>2318</v>
      </c>
      <c r="M507" s="540">
        <v>1</v>
      </c>
      <c r="N507" s="383">
        <f>IF('Elan y Personalización'!$AC$29=L507,1,0)+IF('Elan y Personalización'!$AE$29=L507,1,0)</f>
        <v>0</v>
      </c>
      <c r="O507" s="540">
        <v>2</v>
      </c>
      <c r="P507" s="383">
        <f>IF('Elan y Personalización'!$AC$30=L507,1,0)+IF('Elan y Personalización'!$AE$30=L507,1,0)</f>
        <v>0</v>
      </c>
      <c r="Q507" s="540">
        <v>3</v>
      </c>
      <c r="R507" s="147">
        <f>IF('Elan y Personalización'!$AC$31=L507,1,0)+IF('Elan y Personalización'!$AE$31=L507,1,0)</f>
        <v>0</v>
      </c>
      <c r="S507" s="540">
        <v>1</v>
      </c>
      <c r="T507" s="383">
        <f>IF('Elan y Personalización'!$AC$32=L507,1,0)+IF('Elan y Personalización'!$AE$32=L507,1,0)</f>
        <v>0</v>
      </c>
      <c r="U507" s="540">
        <v>2</v>
      </c>
      <c r="V507" s="383">
        <f>IF('Elan y Personalización'!$AC$33=L507,1,0)+IF('Elan y Personalización'!$AE$33=L507,1,0)</f>
        <v>0</v>
      </c>
      <c r="W507" s="540">
        <v>3</v>
      </c>
      <c r="X507" s="1857">
        <f>IF('Elan y Personalización'!$AC$34=L507,1,0)+IF('Elan y Personalización'!$AE$34=L507,1,0)</f>
        <v>0</v>
      </c>
      <c r="Y507" s="1854">
        <f>10*Tablas!T507+20*Tablas!V507+30*Tablas!X507+5*VLOOKUP("Apr. natural (2): "&amp;K507,$D$501:$F$517,3,FALSE)+10*VLOOKUP("Apr. natural (3): "&amp;K507,$D$501:$F$517,3,FALSE)</f>
        <v>0</v>
      </c>
    </row>
    <row r="508" spans="2:25" ht="12.75" customHeight="1" x14ac:dyDescent="0.2">
      <c r="B508" s="2718" t="str">
        <f t="shared" si="27"/>
        <v>Apto en campo: Intelectuales</v>
      </c>
      <c r="C508" s="2723">
        <f t="shared" si="28"/>
        <v>20</v>
      </c>
      <c r="D508" s="147" t="s">
        <v>3316</v>
      </c>
      <c r="E508" s="459">
        <v>2</v>
      </c>
      <c r="F508" s="459">
        <f>COUNTIF(Principal!$C$32:$J$50,Tablas!D508)</f>
        <v>0</v>
      </c>
      <c r="G508" s="2731">
        <f t="shared" si="29"/>
        <v>0</v>
      </c>
      <c r="H508" s="2736">
        <v>1</v>
      </c>
      <c r="I508" s="2740" t="s">
        <v>3965</v>
      </c>
      <c r="K508" s="2546" t="s">
        <v>2311</v>
      </c>
      <c r="L508" s="1679" t="s">
        <v>2320</v>
      </c>
      <c r="M508" s="540">
        <v>1</v>
      </c>
      <c r="N508" s="383">
        <f>IF('Elan y Personalización'!$AC$29=L508,1,0)+IF('Elan y Personalización'!$AE$29=L508,1,0)</f>
        <v>0</v>
      </c>
      <c r="O508" s="540">
        <v>2</v>
      </c>
      <c r="P508" s="383">
        <f>IF('Elan y Personalización'!$AC$30=L508,1,0)+IF('Elan y Personalización'!$AE$30=L508,1,0)</f>
        <v>0</v>
      </c>
      <c r="Q508" s="540">
        <v>3</v>
      </c>
      <c r="R508" s="147">
        <f>IF('Elan y Personalización'!$AC$31=L508,1,0)+IF('Elan y Personalización'!$AE$31=L508,1,0)</f>
        <v>0</v>
      </c>
      <c r="S508" s="540">
        <v>1</v>
      </c>
      <c r="T508" s="383">
        <f>IF('Elan y Personalización'!$AC$32=L508,1,0)+IF('Elan y Personalización'!$AE$32=L508,1,0)</f>
        <v>0</v>
      </c>
      <c r="U508" s="540">
        <v>2</v>
      </c>
      <c r="V508" s="383">
        <f>IF('Elan y Personalización'!$AC$33=L508,1,0)+IF('Elan y Personalización'!$AE$33=L508,1,0)</f>
        <v>0</v>
      </c>
      <c r="W508" s="540">
        <v>3</v>
      </c>
      <c r="X508" s="1857">
        <f>IF('Elan y Personalización'!$AC$34=L508,1,0)+IF('Elan y Personalización'!$AE$34=L508,1,0)</f>
        <v>0</v>
      </c>
      <c r="Y508" s="1854">
        <f>10*Tablas!T508+20*Tablas!V508+30*Tablas!X508+5*VLOOKUP("Apr. natural (2): "&amp;K508,$D$501:$F$517,3,FALSE)+10*VLOOKUP("Apr. natural (3): "&amp;K508,$D$501:$F$517,3,FALSE)</f>
        <v>0</v>
      </c>
    </row>
    <row r="509" spans="2:25" ht="12.75" customHeight="1" x14ac:dyDescent="0.2">
      <c r="B509" s="2718" t="str">
        <f t="shared" si="27"/>
        <v>Apto en campo: Perceptivas</v>
      </c>
      <c r="C509" s="2723">
        <f t="shared" si="28"/>
        <v>19</v>
      </c>
      <c r="D509" s="147" t="s">
        <v>3317</v>
      </c>
      <c r="E509" s="459">
        <v>2</v>
      </c>
      <c r="F509" s="459">
        <f>COUNTIF(Principal!$C$32:$J$50,Tablas!D509)</f>
        <v>0</v>
      </c>
      <c r="G509" s="2731">
        <f t="shared" si="29"/>
        <v>0</v>
      </c>
      <c r="H509" s="2736">
        <v>1</v>
      </c>
      <c r="I509" s="2740" t="s">
        <v>3965</v>
      </c>
      <c r="K509" s="2546" t="s">
        <v>2311</v>
      </c>
      <c r="L509" s="1679" t="s">
        <v>2322</v>
      </c>
      <c r="M509" s="540">
        <v>1</v>
      </c>
      <c r="N509" s="383">
        <f>IF('Elan y Personalización'!$AC$29=L509,1,0)+IF('Elan y Personalización'!$AE$29=L509,1,0)</f>
        <v>0</v>
      </c>
      <c r="O509" s="540">
        <v>2</v>
      </c>
      <c r="P509" s="383">
        <f>IF('Elan y Personalización'!$AC$30=L509,1,0)+IF('Elan y Personalización'!$AE$30=L509,1,0)</f>
        <v>0</v>
      </c>
      <c r="Q509" s="540">
        <v>3</v>
      </c>
      <c r="R509" s="147">
        <f>IF('Elan y Personalización'!$AC$31=L509,1,0)+IF('Elan y Personalización'!$AE$31=L509,1,0)</f>
        <v>0</v>
      </c>
      <c r="S509" s="540">
        <v>1</v>
      </c>
      <c r="T509" s="383">
        <f>IF('Elan y Personalización'!$AC$32=L509,1,0)+IF('Elan y Personalización'!$AE$32=L509,1,0)</f>
        <v>0</v>
      </c>
      <c r="U509" s="540">
        <v>2</v>
      </c>
      <c r="V509" s="383">
        <f>IF('Elan y Personalización'!$AC$33=L509,1,0)+IF('Elan y Personalización'!$AE$33=L509,1,0)</f>
        <v>0</v>
      </c>
      <c r="W509" s="540">
        <v>3</v>
      </c>
      <c r="X509" s="1857">
        <f>IF('Elan y Personalización'!$AC$34=L509,1,0)+IF('Elan y Personalización'!$AE$34=L509,1,0)</f>
        <v>0</v>
      </c>
      <c r="Y509" s="1854">
        <f>10*Tablas!T509+20*Tablas!V509+30*Tablas!X509+5*VLOOKUP("Apr. natural (2): "&amp;K509,$D$501:$F$517,3,FALSE)+10*VLOOKUP("Apr. natural (3): "&amp;K509,$D$501:$F$517,3,FALSE)</f>
        <v>0</v>
      </c>
    </row>
    <row r="510" spans="2:25" ht="12.75" customHeight="1" x14ac:dyDescent="0.2">
      <c r="B510" s="2718" t="str">
        <f t="shared" si="27"/>
        <v>Apto en campo: Sociales</v>
      </c>
      <c r="C510" s="2723">
        <f t="shared" si="28"/>
        <v>15</v>
      </c>
      <c r="D510" s="147" t="s">
        <v>3318</v>
      </c>
      <c r="E510" s="459">
        <v>2</v>
      </c>
      <c r="F510" s="459">
        <f>COUNTIF(Principal!$C$32:$J$50,Tablas!D510)</f>
        <v>0</v>
      </c>
      <c r="G510" s="2731">
        <f t="shared" si="29"/>
        <v>0</v>
      </c>
      <c r="H510" s="2736">
        <v>1</v>
      </c>
      <c r="I510" s="2740" t="s">
        <v>3965</v>
      </c>
      <c r="K510" s="2546" t="s">
        <v>2311</v>
      </c>
      <c r="L510" s="1679" t="s">
        <v>2323</v>
      </c>
      <c r="M510" s="540">
        <v>1</v>
      </c>
      <c r="N510" s="383">
        <f>IF('Elan y Personalización'!$AC$29=L510,1,0)+IF('Elan y Personalización'!$AE$29=L510,1,0)</f>
        <v>0</v>
      </c>
      <c r="O510" s="540">
        <v>2</v>
      </c>
      <c r="P510" s="383">
        <f>IF('Elan y Personalización'!$AC$30=L510,1,0)+IF('Elan y Personalización'!$AE$30=L510,1,0)</f>
        <v>0</v>
      </c>
      <c r="Q510" s="540">
        <v>3</v>
      </c>
      <c r="R510" s="147">
        <f>IF('Elan y Personalización'!$AC$31=L510,1,0)+IF('Elan y Personalización'!$AE$31=L510,1,0)</f>
        <v>0</v>
      </c>
      <c r="S510" s="540">
        <v>1</v>
      </c>
      <c r="T510" s="383">
        <f>IF('Elan y Personalización'!$AC$32=L510,1,0)+IF('Elan y Personalización'!$AE$32=L510,1,0)</f>
        <v>0</v>
      </c>
      <c r="U510" s="540">
        <v>2</v>
      </c>
      <c r="V510" s="383">
        <f>IF('Elan y Personalización'!$AC$33=L510,1,0)+IF('Elan y Personalización'!$AE$33=L510,1,0)</f>
        <v>0</v>
      </c>
      <c r="W510" s="540">
        <v>3</v>
      </c>
      <c r="X510" s="1857">
        <f>IF('Elan y Personalización'!$AC$34=L510,1,0)+IF('Elan y Personalización'!$AE$34=L510,1,0)</f>
        <v>0</v>
      </c>
      <c r="Y510" s="1854">
        <f>10*Tablas!T510+20*Tablas!V510+30*Tablas!X510+5*VLOOKUP("Apr. natural (2): "&amp;K510,$D$501:$F$517,3,FALSE)+10*VLOOKUP("Apr. natural (3): "&amp;K510,$D$501:$F$517,3,FALSE)</f>
        <v>0</v>
      </c>
    </row>
    <row r="511" spans="2:25" ht="12.75" customHeight="1" x14ac:dyDescent="0.2">
      <c r="B511" s="2718" t="str">
        <f t="shared" si="27"/>
        <v>Apto en campo: Subterfugio</v>
      </c>
      <c r="C511" s="2723">
        <f t="shared" si="28"/>
        <v>21</v>
      </c>
      <c r="D511" s="147" t="s">
        <v>3319</v>
      </c>
      <c r="E511" s="459">
        <v>3</v>
      </c>
      <c r="F511" s="459">
        <f>COUNTIF(Principal!$C$32:$J$50,Tablas!D511)</f>
        <v>0</v>
      </c>
      <c r="G511" s="2731">
        <f t="shared" si="29"/>
        <v>0</v>
      </c>
      <c r="H511" s="2736">
        <v>1</v>
      </c>
      <c r="I511" s="2740" t="s">
        <v>3965</v>
      </c>
      <c r="K511" s="2546" t="s">
        <v>2324</v>
      </c>
      <c r="L511" s="1679" t="s">
        <v>2325</v>
      </c>
      <c r="M511" s="540">
        <v>1</v>
      </c>
      <c r="N511" s="383">
        <f>IF('Elan y Personalización'!$AC$29=L511,1,0)+IF('Elan y Personalización'!$AE$29=L511,1,0)</f>
        <v>0</v>
      </c>
      <c r="O511" s="540">
        <v>2</v>
      </c>
      <c r="P511" s="383">
        <f>IF('Elan y Personalización'!$AC$30=L511,1,0)+IF('Elan y Personalización'!$AE$30=L511,1,0)</f>
        <v>0</v>
      </c>
      <c r="Q511" s="540">
        <v>3</v>
      </c>
      <c r="R511" s="147">
        <f>IF('Elan y Personalización'!$AC$31=L511,1,0)+IF('Elan y Personalización'!$AE$31=L511,1,0)</f>
        <v>0</v>
      </c>
      <c r="S511" s="540">
        <v>1</v>
      </c>
      <c r="T511" s="383">
        <f>IF('Elan y Personalización'!$AC$32=L511,1,0)+IF('Elan y Personalización'!$AE$32=L511,1,0)</f>
        <v>0</v>
      </c>
      <c r="U511" s="540">
        <v>2</v>
      </c>
      <c r="V511" s="383">
        <f>IF('Elan y Personalización'!$AC$33=L511,1,0)+IF('Elan y Personalización'!$AE$33=L511,1,0)</f>
        <v>0</v>
      </c>
      <c r="W511" s="540">
        <v>3</v>
      </c>
      <c r="X511" s="1857">
        <f>IF('Elan y Personalización'!$AC$34=L511,1,0)+IF('Elan y Personalización'!$AE$34=L511,1,0)</f>
        <v>0</v>
      </c>
      <c r="Y511" s="1854">
        <f>10*Tablas!T511+20*Tablas!V511+30*Tablas!X511+5*VLOOKUP("Apr. natural (2): "&amp;K511,$D$501:$F$517,3,FALSE)+10*VLOOKUP("Apr. natural (3): "&amp;K511,$D$501:$F$517,3,FALSE)</f>
        <v>0</v>
      </c>
    </row>
    <row r="512" spans="2:25" ht="12.75" customHeight="1" x14ac:dyDescent="0.2">
      <c r="B512" s="2718" t="str">
        <f t="shared" si="27"/>
        <v>Apto en campo: Vigor</v>
      </c>
      <c r="C512" s="2723">
        <f t="shared" si="28"/>
        <v>25</v>
      </c>
      <c r="D512" s="147" t="s">
        <v>3320</v>
      </c>
      <c r="E512" s="459">
        <v>3</v>
      </c>
      <c r="F512" s="459">
        <f>COUNTIF(Principal!$C$32:$J$50,Tablas!D512)</f>
        <v>0</v>
      </c>
      <c r="G512" s="2731">
        <f t="shared" si="29"/>
        <v>0</v>
      </c>
      <c r="H512" s="2736">
        <v>1</v>
      </c>
      <c r="I512" s="2740" t="s">
        <v>3965</v>
      </c>
      <c r="K512" s="2546" t="s">
        <v>2324</v>
      </c>
      <c r="L512" s="1679" t="s">
        <v>2326</v>
      </c>
      <c r="M512" s="540">
        <v>1</v>
      </c>
      <c r="N512" s="383">
        <f>IF('Elan y Personalización'!$AC$29=L512,1,0)+IF('Elan y Personalización'!$AE$29=L512,1,0)</f>
        <v>0</v>
      </c>
      <c r="O512" s="540">
        <v>2</v>
      </c>
      <c r="P512" s="383">
        <f>IF('Elan y Personalización'!$AC$30=L512,1,0)+IF('Elan y Personalización'!$AE$30=L512,1,0)</f>
        <v>0</v>
      </c>
      <c r="Q512" s="540">
        <v>3</v>
      </c>
      <c r="R512" s="147">
        <f>IF('Elan y Personalización'!$AC$31=L512,1,0)+IF('Elan y Personalización'!$AE$31=L512,1,0)</f>
        <v>0</v>
      </c>
      <c r="S512" s="540">
        <v>1</v>
      </c>
      <c r="T512" s="383">
        <f>IF('Elan y Personalización'!$AC$32=L512,1,0)+IF('Elan y Personalización'!$AE$32=L512,1,0)</f>
        <v>0</v>
      </c>
      <c r="U512" s="540">
        <v>2</v>
      </c>
      <c r="V512" s="383">
        <f>IF('Elan y Personalización'!$AC$33=L512,1,0)+IF('Elan y Personalización'!$AE$33=L512,1,0)</f>
        <v>0</v>
      </c>
      <c r="W512" s="540">
        <v>3</v>
      </c>
      <c r="X512" s="1857">
        <f>IF('Elan y Personalización'!$AC$34=L512,1,0)+IF('Elan y Personalización'!$AE$34=L512,1,0)</f>
        <v>0</v>
      </c>
      <c r="Y512" s="1854">
        <f>10*Tablas!T512+20*Tablas!V512+30*Tablas!X512+5*VLOOKUP("Apr. natural (2): "&amp;K512,$D$501:$F$517,3,FALSE)+10*VLOOKUP("Apr. natural (3): "&amp;K512,$D$501:$F$517,3,FALSE)</f>
        <v>0</v>
      </c>
    </row>
    <row r="513" spans="2:25" ht="12.75" customHeight="1" x14ac:dyDescent="0.2">
      <c r="B513" s="2718" t="str">
        <f t="shared" si="27"/>
        <v>Apto en una materia (1)</v>
      </c>
      <c r="C513" s="2723">
        <f t="shared" si="28"/>
        <v>24</v>
      </c>
      <c r="D513" s="147" t="s">
        <v>3321</v>
      </c>
      <c r="E513" s="459">
        <v>3</v>
      </c>
      <c r="F513" s="459">
        <f>COUNTIF(Principal!$C$32:$J$50,Tablas!D513)</f>
        <v>0</v>
      </c>
      <c r="G513" s="2731">
        <f t="shared" si="29"/>
        <v>0</v>
      </c>
      <c r="H513" s="2736">
        <v>1</v>
      </c>
      <c r="I513" s="2740" t="s">
        <v>3965</v>
      </c>
      <c r="K513" s="2546" t="s">
        <v>2324</v>
      </c>
      <c r="L513" s="1679" t="s">
        <v>2327</v>
      </c>
      <c r="M513" s="540">
        <v>1</v>
      </c>
      <c r="N513" s="383">
        <f>IF('Elan y Personalización'!$AC$29=L513,1,0)+IF('Elan y Personalización'!$AE$29=L513,1,0)</f>
        <v>0</v>
      </c>
      <c r="O513" s="540">
        <v>2</v>
      </c>
      <c r="P513" s="383">
        <f>IF('Elan y Personalización'!$AC$30=L513,1,0)+IF('Elan y Personalización'!$AE$30=L513,1,0)</f>
        <v>0</v>
      </c>
      <c r="Q513" s="540">
        <v>3</v>
      </c>
      <c r="R513" s="147">
        <f>IF('Elan y Personalización'!$AC$31=L513,1,0)+IF('Elan y Personalización'!$AE$31=L513,1,0)</f>
        <v>0</v>
      </c>
      <c r="S513" s="540">
        <v>1</v>
      </c>
      <c r="T513" s="383">
        <f>IF('Elan y Personalización'!$AC$32=L513,1,0)+IF('Elan y Personalización'!$AE$32=L513,1,0)</f>
        <v>0</v>
      </c>
      <c r="U513" s="540">
        <v>2</v>
      </c>
      <c r="V513" s="383">
        <f>IF('Elan y Personalización'!$AC$33=L513,1,0)+IF('Elan y Personalización'!$AE$33=L513,1,0)</f>
        <v>0</v>
      </c>
      <c r="W513" s="540">
        <v>3</v>
      </c>
      <c r="X513" s="1857">
        <f>IF('Elan y Personalización'!$AC$34=L513,1,0)+IF('Elan y Personalización'!$AE$34=L513,1,0)</f>
        <v>0</v>
      </c>
      <c r="Y513" s="1854">
        <f>10*Tablas!T513+20*Tablas!V513+30*Tablas!X513+5*VLOOKUP("Apr. natural (2): "&amp;K513,$D$501:$F$517,3,FALSE)+10*VLOOKUP("Apr. natural (3): "&amp;K513,$D$501:$F$517,3,FALSE)</f>
        <v>0</v>
      </c>
    </row>
    <row r="514" spans="2:25" ht="12.75" customHeight="1" x14ac:dyDescent="0.2">
      <c r="B514" s="2718" t="str">
        <f t="shared" si="27"/>
        <v>Apto en una materia (2)</v>
      </c>
      <c r="C514" s="2723">
        <f t="shared" si="28"/>
        <v>23</v>
      </c>
      <c r="D514" s="147" t="s">
        <v>3322</v>
      </c>
      <c r="E514" s="459">
        <v>3</v>
      </c>
      <c r="F514" s="459">
        <f>COUNTIF(Principal!$C$32:$J$50,Tablas!D514)</f>
        <v>0</v>
      </c>
      <c r="G514" s="2731">
        <f t="shared" si="29"/>
        <v>0</v>
      </c>
      <c r="H514" s="2736">
        <v>1</v>
      </c>
      <c r="I514" s="2740" t="s">
        <v>3965</v>
      </c>
      <c r="K514" s="2546" t="s">
        <v>2324</v>
      </c>
      <c r="L514" s="1679" t="s">
        <v>1279</v>
      </c>
      <c r="M514" s="540">
        <v>1</v>
      </c>
      <c r="N514" s="383">
        <f>IF('Elan y Personalización'!$AC$29=L514,1,0)+IF('Elan y Personalización'!$AE$29=L514,1,0)</f>
        <v>0</v>
      </c>
      <c r="O514" s="540">
        <v>2</v>
      </c>
      <c r="P514" s="383">
        <f>IF('Elan y Personalización'!$AC$30=L514,1,0)+IF('Elan y Personalización'!$AE$30=L514,1,0)</f>
        <v>0</v>
      </c>
      <c r="Q514" s="540">
        <v>3</v>
      </c>
      <c r="R514" s="147">
        <f>IF('Elan y Personalización'!$AC$31=L514,1,0)+IF('Elan y Personalización'!$AE$31=L514,1,0)</f>
        <v>0</v>
      </c>
      <c r="S514" s="540">
        <v>1</v>
      </c>
      <c r="T514" s="383">
        <f>IF('Elan y Personalización'!$AC$32=L514,1,0)+IF('Elan y Personalización'!$AE$32=L514,1,0)</f>
        <v>0</v>
      </c>
      <c r="U514" s="540">
        <v>2</v>
      </c>
      <c r="V514" s="383">
        <f>IF('Elan y Personalización'!$AC$33=L514,1,0)+IF('Elan y Personalización'!$AE$33=L514,1,0)</f>
        <v>0</v>
      </c>
      <c r="W514" s="540">
        <v>3</v>
      </c>
      <c r="X514" s="1857">
        <f>IF('Elan y Personalización'!$AC$34=L514,1,0)+IF('Elan y Personalización'!$AE$34=L514,1,0)</f>
        <v>0</v>
      </c>
      <c r="Y514" s="1854">
        <f>10*Tablas!T514+20*Tablas!V514+30*Tablas!X514+5*VLOOKUP("Apr. natural (2): "&amp;K514,$D$501:$F$517,3,FALSE)+10*VLOOKUP("Apr. natural (3): "&amp;K514,$D$501:$F$517,3,FALSE)</f>
        <v>0</v>
      </c>
    </row>
    <row r="515" spans="2:25" ht="12.75" customHeight="1" x14ac:dyDescent="0.2">
      <c r="B515" s="2718" t="str">
        <f t="shared" si="27"/>
        <v>Apto en una materia (3)</v>
      </c>
      <c r="C515" s="2723">
        <f t="shared" si="28"/>
        <v>27</v>
      </c>
      <c r="D515" s="147" t="s">
        <v>3323</v>
      </c>
      <c r="E515" s="459">
        <v>3</v>
      </c>
      <c r="F515" s="459">
        <f>COUNTIF(Principal!$C$32:$J$50,Tablas!D515)</f>
        <v>0</v>
      </c>
      <c r="G515" s="2731">
        <f t="shared" si="29"/>
        <v>0</v>
      </c>
      <c r="H515" s="2736">
        <v>1</v>
      </c>
      <c r="I515" s="2740" t="s">
        <v>3965</v>
      </c>
      <c r="K515" s="2546" t="s">
        <v>2324</v>
      </c>
      <c r="L515" s="1679" t="s">
        <v>1280</v>
      </c>
      <c r="M515" s="540">
        <v>1</v>
      </c>
      <c r="N515" s="383">
        <f>IF('Elan y Personalización'!$AC$29=L515,1,0)+IF('Elan y Personalización'!$AE$29=L515,1,0)</f>
        <v>0</v>
      </c>
      <c r="O515" s="540">
        <v>2</v>
      </c>
      <c r="P515" s="383">
        <f>IF('Elan y Personalización'!$AC$30=L515,1,0)+IF('Elan y Personalización'!$AE$30=L515,1,0)</f>
        <v>0</v>
      </c>
      <c r="Q515" s="540">
        <v>3</v>
      </c>
      <c r="R515" s="147">
        <f>IF('Elan y Personalización'!$AC$31=L515,1,0)+IF('Elan y Personalización'!$AE$31=L515,1,0)</f>
        <v>0</v>
      </c>
      <c r="S515" s="540">
        <v>1</v>
      </c>
      <c r="T515" s="383">
        <f>IF('Elan y Personalización'!$AC$32=L515,1,0)+IF('Elan y Personalización'!$AE$32=L515,1,0)</f>
        <v>0</v>
      </c>
      <c r="U515" s="540">
        <v>2</v>
      </c>
      <c r="V515" s="383">
        <f>IF('Elan y Personalización'!$AC$33=L515,1,0)+IF('Elan y Personalización'!$AE$33=L515,1,0)</f>
        <v>0</v>
      </c>
      <c r="W515" s="540">
        <v>3</v>
      </c>
      <c r="X515" s="1857">
        <f>IF('Elan y Personalización'!$AC$34=L515,1,0)+IF('Elan y Personalización'!$AE$34=L515,1,0)</f>
        <v>0</v>
      </c>
      <c r="Y515" s="1854">
        <f>10*Tablas!T515+20*Tablas!V515+30*Tablas!X515+5*VLOOKUP("Apr. natural (2): "&amp;K515,$D$501:$F$517,3,FALSE)+10*VLOOKUP("Apr. natural (3): "&amp;K515,$D$501:$F$517,3,FALSE)</f>
        <v>0</v>
      </c>
    </row>
    <row r="516" spans="2:25" ht="12.75" customHeight="1" x14ac:dyDescent="0.2">
      <c r="B516" s="2718" t="str">
        <f t="shared" si="27"/>
        <v>Armadura mística</v>
      </c>
      <c r="C516" s="2723">
        <f t="shared" si="28"/>
        <v>26</v>
      </c>
      <c r="D516" s="147" t="s">
        <v>3324</v>
      </c>
      <c r="E516" s="459">
        <v>3</v>
      </c>
      <c r="F516" s="459">
        <f>COUNTIF(Principal!$C$32:$J$50,Tablas!D516)</f>
        <v>0</v>
      </c>
      <c r="G516" s="2731">
        <f t="shared" si="29"/>
        <v>0</v>
      </c>
      <c r="H516" s="2736">
        <v>1</v>
      </c>
      <c r="I516" s="2740" t="s">
        <v>3965</v>
      </c>
      <c r="K516" s="2546" t="s">
        <v>2324</v>
      </c>
      <c r="L516" s="1679" t="s">
        <v>1281</v>
      </c>
      <c r="M516" s="540">
        <v>1</v>
      </c>
      <c r="N516" s="383">
        <f>IF('Elan y Personalización'!$AC$29=L516,1,0)+IF('Elan y Personalización'!$AE$29=L516,1,0)</f>
        <v>0</v>
      </c>
      <c r="O516" s="540">
        <v>2</v>
      </c>
      <c r="P516" s="383">
        <f>IF('Elan y Personalización'!$AC$30=L516,1,0)+IF('Elan y Personalización'!$AE$30=L516,1,0)</f>
        <v>0</v>
      </c>
      <c r="Q516" s="540">
        <v>3</v>
      </c>
      <c r="R516" s="147">
        <f>IF('Elan y Personalización'!$AC$31=L516,1,0)+IF('Elan y Personalización'!$AE$31=L516,1,0)</f>
        <v>0</v>
      </c>
      <c r="S516" s="540">
        <v>1</v>
      </c>
      <c r="T516" s="383">
        <f>IF('Elan y Personalización'!$AC$32=L516,1,0)+IF('Elan y Personalización'!$AE$32=L516,1,0)</f>
        <v>0</v>
      </c>
      <c r="U516" s="540">
        <v>2</v>
      </c>
      <c r="V516" s="383">
        <f>IF('Elan y Personalización'!$AC$33=L516,1,0)+IF('Elan y Personalización'!$AE$33=L516,1,0)</f>
        <v>0</v>
      </c>
      <c r="W516" s="540">
        <v>3</v>
      </c>
      <c r="X516" s="1857">
        <f>IF('Elan y Personalización'!$AC$34=L516,1,0)+IF('Elan y Personalización'!$AE$34=L516,1,0)</f>
        <v>0</v>
      </c>
      <c r="Y516" s="1854">
        <f>10*Tablas!T516+20*Tablas!V516+30*Tablas!X516+5*VLOOKUP("Apr. natural (2): "&amp;K516,$D$501:$F$517,3,FALSE)+10*VLOOKUP("Apr. natural (3): "&amp;K516,$D$501:$F$517,3,FALSE)</f>
        <v>0</v>
      </c>
    </row>
    <row r="517" spans="2:25" ht="12.75" customHeight="1" x14ac:dyDescent="0.2">
      <c r="B517" s="2718" t="str">
        <f t="shared" si="27"/>
        <v>Armadura natural</v>
      </c>
      <c r="C517" s="2723">
        <f t="shared" si="28"/>
        <v>22</v>
      </c>
      <c r="D517" s="147" t="s">
        <v>3325</v>
      </c>
      <c r="E517" s="459">
        <v>3</v>
      </c>
      <c r="F517" s="459">
        <f>COUNTIF(Principal!$C$32:$J$50,Tablas!D517)</f>
        <v>0</v>
      </c>
      <c r="G517" s="2731">
        <f t="shared" si="29"/>
        <v>0</v>
      </c>
      <c r="H517" s="2736">
        <v>1</v>
      </c>
      <c r="I517" s="2740" t="s">
        <v>3965</v>
      </c>
      <c r="K517" s="2546" t="s">
        <v>2324</v>
      </c>
      <c r="L517" s="1679" t="s">
        <v>2328</v>
      </c>
      <c r="M517" s="540">
        <v>1</v>
      </c>
      <c r="N517" s="383">
        <f>IF('Elan y Personalización'!$AC$29=L517,1,0)+IF('Elan y Personalización'!$AE$29=L517,1,0)</f>
        <v>0</v>
      </c>
      <c r="O517" s="540">
        <v>2</v>
      </c>
      <c r="P517" s="383">
        <f>IF('Elan y Personalización'!$AC$30=L517,1,0)+IF('Elan y Personalización'!$AE$30=L517,1,0)</f>
        <v>0</v>
      </c>
      <c r="Q517" s="540">
        <v>3</v>
      </c>
      <c r="R517" s="147">
        <f>IF('Elan y Personalización'!$AC$31=L517,1,0)+IF('Elan y Personalización'!$AE$31=L517,1,0)</f>
        <v>0</v>
      </c>
      <c r="S517" s="540">
        <v>1</v>
      </c>
      <c r="T517" s="383">
        <f>IF('Elan y Personalización'!$AC$32=L517,1,0)+IF('Elan y Personalización'!$AE$32=L517,1,0)</f>
        <v>0</v>
      </c>
      <c r="U517" s="540">
        <v>2</v>
      </c>
      <c r="V517" s="383">
        <f>IF('Elan y Personalización'!$AC$33=L517,1,0)+IF('Elan y Personalización'!$AE$33=L517,1,0)</f>
        <v>0</v>
      </c>
      <c r="W517" s="540">
        <v>3</v>
      </c>
      <c r="X517" s="1857">
        <f>IF('Elan y Personalización'!$AC$34=L517,1,0)+IF('Elan y Personalización'!$AE$34=L517,1,0)</f>
        <v>0</v>
      </c>
      <c r="Y517" s="1854">
        <f>10*Tablas!T517+20*Tablas!V517+30*Tablas!X517+5*VLOOKUP("Apr. natural (2): "&amp;K517,$D$501:$F$517,3,FALSE)+10*VLOOKUP("Apr. natural (3): "&amp;K517,$D$501:$F$517,3,FALSE)</f>
        <v>0</v>
      </c>
    </row>
    <row r="518" spans="2:25" ht="12.75" customHeight="1" x14ac:dyDescent="0.2">
      <c r="B518" s="2718" t="str">
        <f t="shared" si="27"/>
        <v>Bono natural incrementado</v>
      </c>
      <c r="C518" s="2723">
        <f t="shared" si="28"/>
        <v>49</v>
      </c>
      <c r="D518" s="147" t="s">
        <v>3326</v>
      </c>
      <c r="E518" s="459">
        <v>2</v>
      </c>
      <c r="F518" s="459">
        <f>COUNTIF(Principal!$C$32:$J$50,Tablas!D518)</f>
        <v>0</v>
      </c>
      <c r="G518" s="2731">
        <f t="shared" si="29"/>
        <v>0</v>
      </c>
      <c r="H518" s="2736">
        <v>1</v>
      </c>
      <c r="I518" s="2740" t="s">
        <v>3965</v>
      </c>
      <c r="K518" s="2546" t="s">
        <v>2324</v>
      </c>
      <c r="L518" s="1679" t="s">
        <v>2331</v>
      </c>
      <c r="M518" s="540">
        <v>1</v>
      </c>
      <c r="N518" s="383">
        <f>IF('Elan y Personalización'!$AC$29=L518,1,0)+IF('Elan y Personalización'!$AE$29=L518,1,0)</f>
        <v>0</v>
      </c>
      <c r="O518" s="540">
        <v>2</v>
      </c>
      <c r="P518" s="383">
        <f>IF('Elan y Personalización'!$AC$30=L518,1,0)+IF('Elan y Personalización'!$AE$30=L518,1,0)</f>
        <v>0</v>
      </c>
      <c r="Q518" s="540">
        <v>3</v>
      </c>
      <c r="R518" s="147">
        <f>IF('Elan y Personalización'!$AC$31=L518,1,0)+IF('Elan y Personalización'!$AE$31=L518,1,0)</f>
        <v>0</v>
      </c>
      <c r="S518" s="540">
        <v>1</v>
      </c>
      <c r="T518" s="383">
        <f>IF('Elan y Personalización'!$AC$32=L518,1,0)+IF('Elan y Personalización'!$AE$32=L518,1,0)</f>
        <v>0</v>
      </c>
      <c r="U518" s="540">
        <v>2</v>
      </c>
      <c r="V518" s="383">
        <f>IF('Elan y Personalización'!$AC$33=L518,1,0)+IF('Elan y Personalización'!$AE$33=L518,1,0)</f>
        <v>0</v>
      </c>
      <c r="W518" s="540">
        <v>3</v>
      </c>
      <c r="X518" s="1857">
        <f>IF('Elan y Personalización'!$AC$34=L518,1,0)+IF('Elan y Personalización'!$AE$34=L518,1,0)</f>
        <v>0</v>
      </c>
      <c r="Y518" s="1854">
        <f>10*Tablas!T518+20*Tablas!V518+30*Tablas!X518+5*VLOOKUP("Apr. natural (2): "&amp;K518,$D$501:$F$517,3,FALSE)+10*VLOOKUP("Apr. natural (3): "&amp;K518,$D$501:$F$517,3,FALSE)</f>
        <v>0</v>
      </c>
    </row>
    <row r="519" spans="2:25" ht="12.75" customHeight="1" x14ac:dyDescent="0.2">
      <c r="B519" s="2718" t="str">
        <f t="shared" si="27"/>
        <v>Buena suerte</v>
      </c>
      <c r="C519" s="2723">
        <f t="shared" si="28"/>
        <v>112</v>
      </c>
      <c r="D519" s="147" t="s">
        <v>3327</v>
      </c>
      <c r="E519" s="459">
        <v>1</v>
      </c>
      <c r="F519" s="459">
        <f>COUNTIF(Principal!$C$32:$J$50,Tablas!D519)</f>
        <v>0</v>
      </c>
      <c r="G519" s="2731">
        <f t="shared" si="29"/>
        <v>0</v>
      </c>
      <c r="H519" s="2736"/>
      <c r="I519" s="2740" t="s">
        <v>3965</v>
      </c>
      <c r="K519" s="2546" t="s">
        <v>2324</v>
      </c>
      <c r="L519" s="1679" t="s">
        <v>8783</v>
      </c>
      <c r="M519" s="540">
        <v>1</v>
      </c>
      <c r="N519" s="383">
        <f>IF('Elan y Personalización'!$AC$29=L519,1,0)+IF('Elan y Personalización'!$AE$29=L519,1,0)</f>
        <v>0</v>
      </c>
      <c r="O519" s="540">
        <v>2</v>
      </c>
      <c r="P519" s="383">
        <f>IF('Elan y Personalización'!$AC$30=L519,1,0)+IF('Elan y Personalización'!$AE$30=L519,1,0)</f>
        <v>0</v>
      </c>
      <c r="Q519" s="540">
        <v>3</v>
      </c>
      <c r="R519" s="147">
        <f>IF('Elan y Personalización'!$AC$31=L519,1,0)+IF('Elan y Personalización'!$AE$31=L519,1,0)</f>
        <v>0</v>
      </c>
      <c r="S519" s="540">
        <v>1</v>
      </c>
      <c r="T519" s="383">
        <f>IF('Elan y Personalización'!$AC$32=L519,1,0)+IF('Elan y Personalización'!$AE$32=L519,1,0)</f>
        <v>0</v>
      </c>
      <c r="U519" s="540">
        <v>2</v>
      </c>
      <c r="V519" s="383">
        <f>IF('Elan y Personalización'!$AC$33=L519,1,0)+IF('Elan y Personalización'!$AE$33=L519,1,0)</f>
        <v>0</v>
      </c>
      <c r="W519" s="540">
        <v>3</v>
      </c>
      <c r="X519" s="1857">
        <f>IF('Elan y Personalización'!$AC$34=L519,1,0)+IF('Elan y Personalización'!$AE$34=L519,1,0)</f>
        <v>0</v>
      </c>
      <c r="Y519" s="1854">
        <f>10*Tablas!T519+20*Tablas!V519+30*Tablas!X519+5*VLOOKUP("Apr. natural (2): "&amp;K519,$D$501:$F$517,3,FALSE)+10*VLOOKUP("Apr. natural (3): "&amp;K519,$D$501:$F$517,3,FALSE)</f>
        <v>0</v>
      </c>
    </row>
    <row r="520" spans="2:25" ht="12.75" customHeight="1" x14ac:dyDescent="0.2">
      <c r="B520" s="2718" t="str">
        <f t="shared" si="27"/>
        <v>Con. de todas las materias</v>
      </c>
      <c r="C520" s="2723">
        <f t="shared" si="28"/>
        <v>62</v>
      </c>
      <c r="D520" s="147" t="s">
        <v>3328</v>
      </c>
      <c r="E520" s="459">
        <v>1</v>
      </c>
      <c r="F520" s="459">
        <f>COUNTIF(Principal!$C$32:$J$50,Tablas!D520)</f>
        <v>0</v>
      </c>
      <c r="G520" s="2731">
        <f t="shared" si="29"/>
        <v>0</v>
      </c>
      <c r="H520" s="2736"/>
      <c r="I520" s="2740" t="s">
        <v>3965</v>
      </c>
      <c r="K520" s="2546" t="s">
        <v>2324</v>
      </c>
      <c r="L520" s="1679" t="s">
        <v>8784</v>
      </c>
      <c r="M520" s="540">
        <v>1</v>
      </c>
      <c r="N520" s="383">
        <f>IF('Elan y Personalización'!$AC$29=L520,1,0)+IF('Elan y Personalización'!$AE$29=L520,1,0)</f>
        <v>0</v>
      </c>
      <c r="O520" s="540">
        <v>2</v>
      </c>
      <c r="P520" s="383">
        <f>IF('Elan y Personalización'!$AC$30=L520,1,0)+IF('Elan y Personalización'!$AE$30=L520,1,0)</f>
        <v>0</v>
      </c>
      <c r="Q520" s="540">
        <v>3</v>
      </c>
      <c r="R520" s="147">
        <f>IF('Elan y Personalización'!$AC$31=L520,1,0)+IF('Elan y Personalización'!$AE$31=L520,1,0)</f>
        <v>0</v>
      </c>
      <c r="S520" s="540">
        <v>1</v>
      </c>
      <c r="T520" s="383">
        <f>IF('Elan y Personalización'!$AC$32=L520,1,0)+IF('Elan y Personalización'!$AE$32=L520,1,0)</f>
        <v>0</v>
      </c>
      <c r="U520" s="540">
        <v>2</v>
      </c>
      <c r="V520" s="383">
        <f>IF('Elan y Personalización'!$AC$33=L520,1,0)+IF('Elan y Personalización'!$AE$33=L520,1,0)</f>
        <v>0</v>
      </c>
      <c r="W520" s="540">
        <v>3</v>
      </c>
      <c r="X520" s="1857">
        <f>IF('Elan y Personalización'!$AC$34=L520,1,0)+IF('Elan y Personalización'!$AE$34=L520,1,0)</f>
        <v>0</v>
      </c>
      <c r="Y520" s="1854">
        <f>10*Tablas!T520+20*Tablas!V520+30*Tablas!X520+5*VLOOKUP("Apr. natural (2): "&amp;K520,$D$501:$F$517,3,FALSE)+10*VLOOKUP("Apr. natural (3): "&amp;K520,$D$501:$F$517,3,FALSE)</f>
        <v>0</v>
      </c>
    </row>
    <row r="521" spans="2:25" ht="12.75" customHeight="1" x14ac:dyDescent="0.2">
      <c r="B521" s="2718" t="str">
        <f t="shared" si="27"/>
        <v>Convocador de masas (1)</v>
      </c>
      <c r="C521" s="2723">
        <f t="shared" si="28"/>
        <v>48</v>
      </c>
      <c r="D521" s="147" t="s">
        <v>3329</v>
      </c>
      <c r="E521" s="459">
        <v>1</v>
      </c>
      <c r="F521" s="459">
        <f>COUNTIF(Principal!$C$32:$J$50,Tablas!D521)</f>
        <v>0</v>
      </c>
      <c r="G521" s="2731">
        <f t="shared" si="29"/>
        <v>0</v>
      </c>
      <c r="H521" s="2736"/>
      <c r="I521" s="2740" t="s">
        <v>3965</v>
      </c>
      <c r="K521" s="2546" t="s">
        <v>2324</v>
      </c>
      <c r="L521" s="1679" t="s">
        <v>8785</v>
      </c>
      <c r="M521" s="540">
        <v>1</v>
      </c>
      <c r="N521" s="383">
        <f>IF('Elan y Personalización'!$AC$29=L521,1,0)+IF('Elan y Personalización'!$AE$29=L521,1,0)</f>
        <v>0</v>
      </c>
      <c r="O521" s="540">
        <v>2</v>
      </c>
      <c r="P521" s="383">
        <f>IF('Elan y Personalización'!$AC$30=L521,1,0)+IF('Elan y Personalización'!$AE$30=L521,1,0)</f>
        <v>0</v>
      </c>
      <c r="Q521" s="540">
        <v>3</v>
      </c>
      <c r="R521" s="147">
        <f>IF('Elan y Personalización'!$AC$31=L521,1,0)+IF('Elan y Personalización'!$AE$31=L521,1,0)</f>
        <v>0</v>
      </c>
      <c r="S521" s="540">
        <v>1</v>
      </c>
      <c r="T521" s="383">
        <f>IF('Elan y Personalización'!$AC$32=L521,1,0)+IF('Elan y Personalización'!$AE$32=L521,1,0)</f>
        <v>0</v>
      </c>
      <c r="U521" s="540">
        <v>2</v>
      </c>
      <c r="V521" s="383">
        <f>IF('Elan y Personalización'!$AC$33=L521,1,0)+IF('Elan y Personalización'!$AE$33=L521,1,0)</f>
        <v>0</v>
      </c>
      <c r="W521" s="540">
        <v>3</v>
      </c>
      <c r="X521" s="1857">
        <f>IF('Elan y Personalización'!$AC$34=L521,1,0)+IF('Elan y Personalización'!$AE$34=L521,1,0)</f>
        <v>0</v>
      </c>
      <c r="Y521" s="1854">
        <f>10*Tablas!T521+20*Tablas!V521+30*Tablas!X521+5*VLOOKUP("Apr. natural (2): "&amp;K521,$D$501:$F$517,3,FALSE)+10*VLOOKUP("Apr. natural (3): "&amp;K521,$D$501:$F$517,3,FALSE)</f>
        <v>0</v>
      </c>
    </row>
    <row r="522" spans="2:25" ht="12.75" customHeight="1" x14ac:dyDescent="0.2">
      <c r="B522" s="2718" t="str">
        <f t="shared" si="27"/>
        <v>Convocador de masas (2)</v>
      </c>
      <c r="C522" s="2723">
        <f t="shared" si="28"/>
        <v>11</v>
      </c>
      <c r="D522" s="147" t="s">
        <v>3330</v>
      </c>
      <c r="E522" s="459">
        <v>1</v>
      </c>
      <c r="F522" s="459">
        <f>COUNTIF(Principal!$C$32:$J$50,Tablas!D522)</f>
        <v>0</v>
      </c>
      <c r="G522" s="2731">
        <f t="shared" si="29"/>
        <v>0</v>
      </c>
      <c r="H522" s="2736"/>
      <c r="I522" s="2740" t="s">
        <v>3965</v>
      </c>
      <c r="K522" s="2546" t="s">
        <v>2324</v>
      </c>
      <c r="L522" s="1679" t="s">
        <v>8786</v>
      </c>
      <c r="M522" s="540">
        <v>1</v>
      </c>
      <c r="N522" s="383">
        <f>IF('Elan y Personalización'!$AC$29=L522,1,0)+IF('Elan y Personalización'!$AE$29=L522,1,0)</f>
        <v>0</v>
      </c>
      <c r="O522" s="540">
        <v>2</v>
      </c>
      <c r="P522" s="383">
        <f>IF('Elan y Personalización'!$AC$30=L522,1,0)+IF('Elan y Personalización'!$AE$30=L522,1,0)</f>
        <v>0</v>
      </c>
      <c r="Q522" s="540">
        <v>3</v>
      </c>
      <c r="R522" s="147">
        <f>IF('Elan y Personalización'!$AC$31=L522,1,0)+IF('Elan y Personalización'!$AE$31=L522,1,0)</f>
        <v>0</v>
      </c>
      <c r="S522" s="540">
        <v>1</v>
      </c>
      <c r="T522" s="383">
        <f>IF('Elan y Personalización'!$AC$32=L522,1,0)+IF('Elan y Personalización'!$AE$32=L522,1,0)</f>
        <v>0</v>
      </c>
      <c r="U522" s="540">
        <v>2</v>
      </c>
      <c r="V522" s="383">
        <f>IF('Elan y Personalización'!$AC$33=L522,1,0)+IF('Elan y Personalización'!$AE$33=L522,1,0)</f>
        <v>0</v>
      </c>
      <c r="W522" s="540">
        <v>3</v>
      </c>
      <c r="X522" s="1857">
        <f>IF('Elan y Personalización'!$AC$34=L522,1,0)+IF('Elan y Personalización'!$AE$34=L522,1,0)</f>
        <v>1</v>
      </c>
      <c r="Y522" s="1854">
        <f>10*Tablas!T522+20*Tablas!V522+30*Tablas!X522+5*VLOOKUP("Apr. natural (2): "&amp;K522,$D$501:$F$517,3,FALSE)+10*VLOOKUP("Apr. natural (3): "&amp;K522,$D$501:$F$517,3,FALSE)</f>
        <v>30</v>
      </c>
    </row>
    <row r="523" spans="2:25" ht="12.75" customHeight="1" x14ac:dyDescent="0.2">
      <c r="B523" s="2718" t="str">
        <f t="shared" si="27"/>
        <v>Convocador de masas (3)</v>
      </c>
      <c r="C523" s="2723">
        <f t="shared" si="28"/>
        <v>91</v>
      </c>
      <c r="D523" s="147" t="s">
        <v>3331</v>
      </c>
      <c r="E523" s="459">
        <v>1</v>
      </c>
      <c r="F523" s="459">
        <f>COUNTIF(Principal!$C$32:$J$50,Tablas!D523)</f>
        <v>0</v>
      </c>
      <c r="G523" s="2731">
        <f t="shared" si="29"/>
        <v>0</v>
      </c>
      <c r="H523" s="2736">
        <v>1</v>
      </c>
      <c r="I523" s="2740" t="s">
        <v>3965</v>
      </c>
      <c r="K523" s="2547" t="e">
        <f>VLOOKUP(PDs!D177,PDs!AH178:AI184,2,FALSE)</f>
        <v>#N/A</v>
      </c>
      <c r="L523" s="1679" t="str">
        <f>IF(PDs!E177=0,"#1",PDs!E177)</f>
        <v>#1</v>
      </c>
      <c r="M523" s="540">
        <v>1</v>
      </c>
      <c r="N523" s="383">
        <f>IF('Elan y Personalización'!$AC$29=L523,1,0)+IF('Elan y Personalización'!$AE$29=L523,1,0)</f>
        <v>0</v>
      </c>
      <c r="O523" s="540">
        <v>2</v>
      </c>
      <c r="P523" s="383">
        <f>IF('Elan y Personalización'!$AC$30=L523,1,0)+IF('Elan y Personalización'!$AE$30=L523,1,0)</f>
        <v>0</v>
      </c>
      <c r="Q523" s="540">
        <v>3</v>
      </c>
      <c r="R523" s="147">
        <f>IF('Elan y Personalización'!$AC$31=L523,1,0)+IF('Elan y Personalización'!$AE$31=L523,1,0)</f>
        <v>0</v>
      </c>
      <c r="S523" s="540">
        <v>1</v>
      </c>
      <c r="T523" s="383">
        <f>IF('Elan y Personalización'!$AC$32=L523,1,0)+IF('Elan y Personalización'!$AE$32=L523,1,0)</f>
        <v>0</v>
      </c>
      <c r="U523" s="540">
        <v>2</v>
      </c>
      <c r="V523" s="383">
        <f>IF('Elan y Personalización'!$AC$33=L523,1,0)+IF('Elan y Personalización'!$AE$33=L523,1,0)</f>
        <v>0</v>
      </c>
      <c r="W523" s="540">
        <v>3</v>
      </c>
      <c r="X523" s="1857">
        <f>IF('Elan y Personalización'!$AC$34=L523,1,0)+IF('Elan y Personalización'!$AE$34=L523,1,0)</f>
        <v>0</v>
      </c>
      <c r="Y523" s="1854">
        <f>IF(ISNA(K523),0,10*Tablas!T523+20*Tablas!V523+30*Tablas!X523+5*VLOOKUP("Apr. natural (2): "&amp;K523,$D$501:$F$517,3,FALSE)+10*VLOOKUP("Apr. natural (3): "&amp;K523,$D$501:$F$517,3,FALSE))</f>
        <v>0</v>
      </c>
    </row>
    <row r="524" spans="2:25" ht="12.75" customHeight="1" x14ac:dyDescent="0.2">
      <c r="B524" s="2718" t="str">
        <f t="shared" si="27"/>
        <v>Desplazamiento rápido</v>
      </c>
      <c r="C524" s="2723">
        <f t="shared" si="28"/>
        <v>92</v>
      </c>
      <c r="D524" s="147" t="s">
        <v>3332</v>
      </c>
      <c r="E524" s="459">
        <v>2</v>
      </c>
      <c r="F524" s="459">
        <f>COUNTIF(Principal!$C$32:$J$50,Tablas!D524)</f>
        <v>0</v>
      </c>
      <c r="G524" s="2731">
        <f t="shared" si="29"/>
        <v>0</v>
      </c>
      <c r="H524" s="2736">
        <v>1</v>
      </c>
      <c r="I524" s="2740" t="s">
        <v>3965</v>
      </c>
      <c r="K524" s="2547" t="e">
        <f>VLOOKUP(PDs!D178,PDs!AH179:AI184,2,FALSE)</f>
        <v>#N/A</v>
      </c>
      <c r="L524" s="1679" t="str">
        <f>IF(PDs!E178=0,"#2",PDs!E178)</f>
        <v>#2</v>
      </c>
      <c r="M524" s="540">
        <v>1</v>
      </c>
      <c r="N524" s="383">
        <f>IF('Elan y Personalización'!$AC$29=L524,1,0)+IF('Elan y Personalización'!$AE$29=L524,1,0)</f>
        <v>0</v>
      </c>
      <c r="O524" s="540">
        <v>2</v>
      </c>
      <c r="P524" s="383">
        <f>IF('Elan y Personalización'!$AC$30=L524,1,0)+IF('Elan y Personalización'!$AE$30=L524,1,0)</f>
        <v>0</v>
      </c>
      <c r="Q524" s="540">
        <v>3</v>
      </c>
      <c r="R524" s="147">
        <f>IF('Elan y Personalización'!$AC$31=L524,1,0)+IF('Elan y Personalización'!$AE$31=L524,1,0)</f>
        <v>0</v>
      </c>
      <c r="S524" s="540">
        <v>1</v>
      </c>
      <c r="T524" s="383">
        <f>IF('Elan y Personalización'!$AC$32=L524,1,0)+IF('Elan y Personalización'!$AE$32=L524,1,0)</f>
        <v>0</v>
      </c>
      <c r="U524" s="540">
        <v>2</v>
      </c>
      <c r="V524" s="383">
        <f>IF('Elan y Personalización'!$AC$33=L524,1,0)+IF('Elan y Personalización'!$AE$33=L524,1,0)</f>
        <v>0</v>
      </c>
      <c r="W524" s="540">
        <v>3</v>
      </c>
      <c r="X524" s="1857">
        <f>IF('Elan y Personalización'!$AC$34=L524,1,0)+IF('Elan y Personalización'!$AE$34=L524,1,0)</f>
        <v>0</v>
      </c>
      <c r="Y524" s="1854">
        <f>IF(ISNA(K524),0,10*Tablas!T524+20*Tablas!V524+30*Tablas!X524+5*VLOOKUP("Apr. natural (2): "&amp;K524,$D$501:$F$517,3,FALSE)+10*VLOOKUP("Apr. natural (3): "&amp;K524,$D$501:$F$517,3,FALSE))</f>
        <v>0</v>
      </c>
    </row>
    <row r="525" spans="2:25" ht="12.75" customHeight="1" x14ac:dyDescent="0.2">
      <c r="B525" s="2718" t="str">
        <f t="shared" si="27"/>
        <v>Difícil de matar (1)</v>
      </c>
      <c r="C525" s="2723">
        <f t="shared" si="28"/>
        <v>93</v>
      </c>
      <c r="D525" s="147" t="s">
        <v>3333</v>
      </c>
      <c r="E525" s="459">
        <v>3</v>
      </c>
      <c r="F525" s="459">
        <f>COUNTIF(Principal!$C$32:$J$50,Tablas!D525)</f>
        <v>0</v>
      </c>
      <c r="G525" s="2731">
        <f t="shared" si="29"/>
        <v>0</v>
      </c>
      <c r="H525" s="2736">
        <v>1</v>
      </c>
      <c r="I525" s="2740" t="s">
        <v>3965</v>
      </c>
      <c r="K525" s="2547" t="e">
        <f>VLOOKUP(PDs!D179,PDs!AH180:AI185,2,FALSE)</f>
        <v>#N/A</v>
      </c>
      <c r="L525" s="1679" t="str">
        <f>IF(PDs!E179=0,"#3",PDs!E179)</f>
        <v>#3</v>
      </c>
      <c r="M525" s="540">
        <v>1</v>
      </c>
      <c r="N525" s="383">
        <f>IF('Elan y Personalización'!$AC$29=L525,1,0)+IF('Elan y Personalización'!$AE$29=L525,1,0)</f>
        <v>0</v>
      </c>
      <c r="O525" s="540">
        <v>2</v>
      </c>
      <c r="P525" s="383">
        <f>IF('Elan y Personalización'!$AC$30=L525,1,0)+IF('Elan y Personalización'!$AE$30=L525,1,0)</f>
        <v>0</v>
      </c>
      <c r="Q525" s="540">
        <v>3</v>
      </c>
      <c r="R525" s="147">
        <f>IF('Elan y Personalización'!$AC$31=L525,1,0)+IF('Elan y Personalización'!$AE$31=L525,1,0)</f>
        <v>0</v>
      </c>
      <c r="S525" s="540">
        <v>1</v>
      </c>
      <c r="T525" s="383">
        <f>IF('Elan y Personalización'!$AC$32=L525,1,0)+IF('Elan y Personalización'!$AE$32=L525,1,0)</f>
        <v>0</v>
      </c>
      <c r="U525" s="540">
        <v>2</v>
      </c>
      <c r="V525" s="383">
        <f>IF('Elan y Personalización'!$AC$33=L525,1,0)+IF('Elan y Personalización'!$AE$33=L525,1,0)</f>
        <v>0</v>
      </c>
      <c r="W525" s="540">
        <v>3</v>
      </c>
      <c r="X525" s="1857">
        <f>IF('Elan y Personalización'!$AC$34=L525,1,0)+IF('Elan y Personalización'!$AE$34=L525,1,0)</f>
        <v>0</v>
      </c>
      <c r="Y525" s="1854">
        <f>IF(ISNA(K525),0,10*Tablas!T525+20*Tablas!V525+30*Tablas!X525+5*VLOOKUP("Apr. natural (2): "&amp;K525,$D$501:$F$517,3,FALSE)+10*VLOOKUP("Apr. natural (3): "&amp;K525,$D$501:$F$517,3,FALSE))</f>
        <v>0</v>
      </c>
    </row>
    <row r="526" spans="2:25" ht="12.75" customHeight="1" x14ac:dyDescent="0.2">
      <c r="B526" s="2718" t="str">
        <f t="shared" si="27"/>
        <v>Difícil de matar (2)</v>
      </c>
      <c r="C526" s="2723">
        <f t="shared" si="28"/>
        <v>115</v>
      </c>
      <c r="D526" s="147" t="s">
        <v>3334</v>
      </c>
      <c r="E526" s="459">
        <v>1</v>
      </c>
      <c r="F526" s="459">
        <f>COUNTIF(Principal!$C$32:$J$50,Tablas!D526)</f>
        <v>0</v>
      </c>
      <c r="G526" s="2731">
        <f t="shared" si="29"/>
        <v>0</v>
      </c>
      <c r="H526" s="2736">
        <v>1</v>
      </c>
      <c r="I526" s="2740" t="s">
        <v>3965</v>
      </c>
      <c r="K526" s="2547" t="e">
        <f>VLOOKUP(PDs!D180,PDs!AH181:AI186,2,FALSE)</f>
        <v>#N/A</v>
      </c>
      <c r="L526" s="1679" t="str">
        <f>IF(PDs!E180=0,"#4",PDs!E180)</f>
        <v>#4</v>
      </c>
      <c r="M526" s="540">
        <v>1</v>
      </c>
      <c r="N526" s="383">
        <f>IF('Elan y Personalización'!$AC$29=L526,1,0)+IF('Elan y Personalización'!$AE$29=L526,1,0)</f>
        <v>0</v>
      </c>
      <c r="O526" s="540">
        <v>2</v>
      </c>
      <c r="P526" s="383">
        <f>IF('Elan y Personalización'!$AC$30=L526,1,0)+IF('Elan y Personalización'!$AE$30=L526,1,0)</f>
        <v>0</v>
      </c>
      <c r="Q526" s="540">
        <v>3</v>
      </c>
      <c r="R526" s="147">
        <f>IF('Elan y Personalización'!$AC$31=L526,1,0)+IF('Elan y Personalización'!$AE$31=L526,1,0)</f>
        <v>0</v>
      </c>
      <c r="S526" s="540">
        <v>1</v>
      </c>
      <c r="T526" s="383">
        <f>IF('Elan y Personalización'!$AC$32=L526,1,0)+IF('Elan y Personalización'!$AE$32=L526,1,0)</f>
        <v>0</v>
      </c>
      <c r="U526" s="540">
        <v>2</v>
      </c>
      <c r="V526" s="383">
        <f>IF('Elan y Personalización'!$AC$33=L526,1,0)+IF('Elan y Personalización'!$AE$33=L526,1,0)</f>
        <v>0</v>
      </c>
      <c r="W526" s="540">
        <v>3</v>
      </c>
      <c r="X526" s="1857">
        <f>IF('Elan y Personalización'!$AC$34=L526,1,0)+IF('Elan y Personalización'!$AE$34=L526,1,0)</f>
        <v>0</v>
      </c>
      <c r="Y526" s="1854">
        <f>IF(ISNA(K526),0,10*Tablas!T526+20*Tablas!V526+30*Tablas!X526+5*VLOOKUP("Apr. natural (2): "&amp;K526,$D$501:$F$517,3,FALSE)+10*VLOOKUP("Apr. natural (3): "&amp;K526,$D$501:$F$517,3,FALSE))</f>
        <v>0</v>
      </c>
    </row>
    <row r="527" spans="2:25" ht="12.75" customHeight="1" thickBot="1" x14ac:dyDescent="0.25">
      <c r="B527" s="2718" t="str">
        <f t="shared" si="27"/>
        <v>Difícil de matar (3)</v>
      </c>
      <c r="C527" s="2723">
        <f t="shared" si="28"/>
        <v>116</v>
      </c>
      <c r="D527" s="147" t="s">
        <v>3335</v>
      </c>
      <c r="E527" s="459">
        <v>1</v>
      </c>
      <c r="F527" s="459">
        <f>COUNTIF(Principal!$C$32:$J$50,Tablas!D527)</f>
        <v>0</v>
      </c>
      <c r="G527" s="2731">
        <f t="shared" si="29"/>
        <v>0</v>
      </c>
      <c r="H527" s="2736">
        <v>1</v>
      </c>
      <c r="I527" s="2740" t="s">
        <v>3965</v>
      </c>
      <c r="K527" s="2547" t="e">
        <f>VLOOKUP(PDs!D181,PDs!AH182:AI187,2,FALSE)</f>
        <v>#N/A</v>
      </c>
      <c r="L527" s="1681" t="str">
        <f>IF(PDs!E181=0,"#5",PDs!E181)</f>
        <v>#5</v>
      </c>
      <c r="M527" s="1682">
        <v>1</v>
      </c>
      <c r="N527" s="1683">
        <f>IF('Elan y Personalización'!$AC$29=L527,1,0)+IF('Elan y Personalización'!$AE$29=L527,1,0)</f>
        <v>0</v>
      </c>
      <c r="O527" s="1682">
        <v>2</v>
      </c>
      <c r="P527" s="1684">
        <f>IF('Elan y Personalización'!$AC$30=L527,1,0)+IF('Elan y Personalización'!$AE$30=L527,1,0)</f>
        <v>0</v>
      </c>
      <c r="Q527" s="1682">
        <v>3</v>
      </c>
      <c r="R527" s="1987">
        <f>IF('Elan y Personalización'!$AC$31=L527,1,0)+IF('Elan y Personalización'!$AE$31=L527,1,0)</f>
        <v>0</v>
      </c>
      <c r="S527" s="1682">
        <v>1</v>
      </c>
      <c r="T527" s="1684">
        <f>IF('Elan y Personalización'!$AC$32=L527,1,0)+IF('Elan y Personalización'!$AE$32=L527,1,0)</f>
        <v>0</v>
      </c>
      <c r="U527" s="1682">
        <v>2</v>
      </c>
      <c r="V527" s="1684">
        <f>IF('Elan y Personalización'!$AC$33=L527,1,0)+IF('Elan y Personalización'!$AE$33=L527,1,0)</f>
        <v>0</v>
      </c>
      <c r="W527" s="1682">
        <v>3</v>
      </c>
      <c r="X527" s="1859">
        <f>IF('Elan y Personalización'!$AC$34=L527,1,0)+IF('Elan y Personalización'!$AE$34=L527,1,0)</f>
        <v>0</v>
      </c>
      <c r="Y527" s="1854">
        <f>IF(ISNA(K527),0,10*Tablas!T527+20*Tablas!V527+30*Tablas!X527+5*VLOOKUP("Apr. natural (2): "&amp;K527,$D$501:$F$517,3,FALSE)+10*VLOOKUP("Apr. natural (3): "&amp;K527,$D$501:$F$517,3,FALSE))</f>
        <v>0</v>
      </c>
    </row>
    <row r="528" spans="2:25" ht="12.75" customHeight="1" x14ac:dyDescent="0.2">
      <c r="B528" s="2718" t="str">
        <f t="shared" si="27"/>
        <v>Don</v>
      </c>
      <c r="C528" s="2723">
        <f t="shared" si="28"/>
        <v>117</v>
      </c>
      <c r="D528" s="147" t="s">
        <v>3336</v>
      </c>
      <c r="E528" s="459">
        <v>1</v>
      </c>
      <c r="F528" s="459">
        <f>COUNTIF(Principal!$C$32:$J$50,Tablas!D528)</f>
        <v>0</v>
      </c>
      <c r="G528" s="2731">
        <f t="shared" si="29"/>
        <v>0</v>
      </c>
      <c r="H528" s="2736">
        <v>1</v>
      </c>
      <c r="I528" s="2740" t="s">
        <v>3965</v>
      </c>
      <c r="N528" s="447"/>
      <c r="W528" s="2284"/>
      <c r="Y528" s="1854"/>
    </row>
    <row r="529" spans="2:25" ht="12.75" customHeight="1" thickBot="1" x14ac:dyDescent="0.25">
      <c r="B529" s="2718" t="str">
        <f t="shared" si="27"/>
        <v>Don incompleto</v>
      </c>
      <c r="C529" s="2723">
        <f t="shared" si="28"/>
        <v>118</v>
      </c>
      <c r="D529" s="147" t="s">
        <v>3337</v>
      </c>
      <c r="E529" s="459">
        <v>1</v>
      </c>
      <c r="F529" s="459">
        <f>COUNTIF(Principal!$C$32:$J$50,Tablas!D529)</f>
        <v>0</v>
      </c>
      <c r="G529" s="2731">
        <f t="shared" si="29"/>
        <v>0</v>
      </c>
      <c r="H529" s="2736">
        <v>1</v>
      </c>
      <c r="I529" s="2740" t="s">
        <v>3965</v>
      </c>
      <c r="N529" s="447"/>
      <c r="W529" s="2284"/>
    </row>
    <row r="530" spans="2:25" ht="12.75" customHeight="1" thickBot="1" x14ac:dyDescent="0.25">
      <c r="B530" s="2718" t="str">
        <f t="shared" si="27"/>
        <v>Elan (1)</v>
      </c>
      <c r="C530" s="2723">
        <f t="shared" si="28"/>
        <v>119</v>
      </c>
      <c r="D530" s="147" t="s">
        <v>3338</v>
      </c>
      <c r="E530" s="459">
        <v>1</v>
      </c>
      <c r="F530" s="459">
        <f>COUNTIF(Principal!$C$32:$J$50,Tablas!D530)</f>
        <v>0</v>
      </c>
      <c r="G530" s="2731">
        <f t="shared" si="29"/>
        <v>0</v>
      </c>
      <c r="H530" s="2736">
        <v>1</v>
      </c>
      <c r="I530" s="2740" t="s">
        <v>3965</v>
      </c>
      <c r="K530" s="4752" t="s">
        <v>3564</v>
      </c>
      <c r="L530" s="4752"/>
      <c r="M530" s="4752"/>
      <c r="N530" s="4752"/>
      <c r="O530" s="4752"/>
      <c r="P530" s="4752"/>
      <c r="Q530" s="4752"/>
      <c r="R530" s="4752"/>
      <c r="S530" s="4752"/>
      <c r="T530" s="4752"/>
      <c r="U530" s="4752"/>
      <c r="V530" s="4752"/>
      <c r="W530" s="4752"/>
      <c r="X530" s="4752"/>
      <c r="Y530" s="4752"/>
    </row>
    <row r="531" spans="2:25" ht="12.75" customHeight="1" x14ac:dyDescent="0.2">
      <c r="B531" s="2718" t="str">
        <f t="shared" si="27"/>
        <v>Elan (2)</v>
      </c>
      <c r="C531" s="2723">
        <f t="shared" si="28"/>
        <v>120</v>
      </c>
      <c r="D531" s="147" t="s">
        <v>3339</v>
      </c>
      <c r="E531" s="459">
        <v>1</v>
      </c>
      <c r="F531" s="459">
        <f>COUNTIF(Principal!$C$32:$J$50,Tablas!D531)</f>
        <v>0</v>
      </c>
      <c r="G531" s="2731">
        <f t="shared" si="29"/>
        <v>0</v>
      </c>
      <c r="H531" s="2736">
        <v>1</v>
      </c>
      <c r="I531" s="2740" t="s">
        <v>3965</v>
      </c>
      <c r="K531" s="4752"/>
      <c r="L531" s="4752"/>
      <c r="M531" s="4752"/>
      <c r="N531" s="4752"/>
      <c r="O531" s="4752"/>
      <c r="P531" s="4752"/>
      <c r="Q531" s="4752"/>
      <c r="R531" s="4752"/>
      <c r="S531" s="4752"/>
      <c r="T531" s="4752"/>
      <c r="U531" s="4752"/>
      <c r="V531" s="4752"/>
      <c r="W531" s="4752"/>
      <c r="X531" s="4752"/>
      <c r="Y531" s="4752"/>
    </row>
    <row r="532" spans="2:25" ht="12.75" customHeight="1" thickBot="1" x14ac:dyDescent="0.25">
      <c r="B532" s="2718" t="str">
        <f t="shared" si="27"/>
        <v>Elan (3)</v>
      </c>
      <c r="C532" s="2723">
        <f t="shared" si="28"/>
        <v>121</v>
      </c>
      <c r="D532" s="147" t="s">
        <v>3340</v>
      </c>
      <c r="E532" s="459">
        <v>1</v>
      </c>
      <c r="F532" s="459">
        <f>COUNTIF(Principal!$C$32:$J$50,Tablas!D532)</f>
        <v>0</v>
      </c>
      <c r="G532" s="2731">
        <f t="shared" si="29"/>
        <v>0</v>
      </c>
      <c r="H532" s="2736">
        <v>1</v>
      </c>
      <c r="I532" s="2740" t="s">
        <v>3965</v>
      </c>
      <c r="K532" s="2343"/>
      <c r="L532" s="453"/>
      <c r="M532" s="453" t="s">
        <v>2295</v>
      </c>
      <c r="N532" s="453" t="s">
        <v>2345</v>
      </c>
      <c r="O532" s="453" t="s">
        <v>3283</v>
      </c>
      <c r="P532" s="453" t="s">
        <v>3284</v>
      </c>
      <c r="Q532" s="4822" t="s">
        <v>2789</v>
      </c>
      <c r="R532" s="4822"/>
      <c r="S532" s="453" t="s">
        <v>2790</v>
      </c>
      <c r="T532" s="4822" t="s">
        <v>2791</v>
      </c>
      <c r="U532" s="4822"/>
      <c r="V532" s="453" t="s">
        <v>2790</v>
      </c>
      <c r="W532" s="4822" t="s">
        <v>2792</v>
      </c>
      <c r="X532" s="4822"/>
      <c r="Y532" s="454" t="s">
        <v>2790</v>
      </c>
    </row>
    <row r="533" spans="2:25" ht="12.75" customHeight="1" x14ac:dyDescent="0.2">
      <c r="B533" s="2718" t="str">
        <f t="shared" si="27"/>
        <v>Encanto</v>
      </c>
      <c r="C533" s="2723">
        <f t="shared" si="28"/>
        <v>122</v>
      </c>
      <c r="D533" s="147" t="s">
        <v>3341</v>
      </c>
      <c r="E533" s="459">
        <v>1</v>
      </c>
      <c r="F533" s="459">
        <f>COUNTIF(Principal!$C$32:$J$50,Tablas!D533)</f>
        <v>0</v>
      </c>
      <c r="G533" s="2731">
        <f t="shared" si="29"/>
        <v>0</v>
      </c>
      <c r="H533" s="2736">
        <v>1</v>
      </c>
      <c r="I533" s="2740" t="s">
        <v>3965</v>
      </c>
      <c r="K533" s="1860" t="str">
        <f>M533</f>
        <v>&gt; LEGADOS DE SANGRE</v>
      </c>
      <c r="L533" s="2746">
        <f>COUNTIF($M$534:$M$559,"&lt;="&amp;M533)</f>
        <v>0</v>
      </c>
      <c r="M533" s="147" t="s">
        <v>3565</v>
      </c>
      <c r="N533" s="543"/>
      <c r="O533" s="540"/>
      <c r="P533" s="532"/>
      <c r="Q533" s="2346"/>
      <c r="R533" s="2347"/>
      <c r="S533" s="460"/>
      <c r="T533" s="2346"/>
      <c r="U533" s="2347"/>
      <c r="V533" s="460"/>
      <c r="W533" s="199"/>
      <c r="X533" s="199"/>
      <c r="Y533" s="75"/>
    </row>
    <row r="534" spans="2:25" ht="12.75" customHeight="1" x14ac:dyDescent="0.2">
      <c r="B534" s="2718" t="str">
        <f t="shared" si="27"/>
        <v>Esencia Sheele</v>
      </c>
      <c r="C534" s="2723">
        <f t="shared" si="28"/>
        <v>123</v>
      </c>
      <c r="D534" s="147" t="s">
        <v>3342</v>
      </c>
      <c r="E534" s="459">
        <v>1</v>
      </c>
      <c r="F534" s="459">
        <f>COUNTIF(Principal!$C$32:$J$50,Tablas!D534)</f>
        <v>0</v>
      </c>
      <c r="G534" s="2731">
        <f t="shared" si="29"/>
        <v>0</v>
      </c>
      <c r="H534" s="2736">
        <v>1</v>
      </c>
      <c r="I534" s="2740" t="s">
        <v>3965</v>
      </c>
      <c r="K534" s="2704" t="str">
        <f>VLOOKUP(A1,$L$533:$M$559,2,0)</f>
        <v>Armas Naturales</v>
      </c>
      <c r="L534" s="2723">
        <f t="shared" ref="L534:L559" si="30">COUNTIF($M$534:$M$559,"&lt;="&amp;M534)</f>
        <v>11</v>
      </c>
      <c r="M534" s="147" t="s">
        <v>3566</v>
      </c>
      <c r="N534" s="543">
        <f>1+IF(Principal!$Y$24="No",1,0)</f>
        <v>1</v>
      </c>
      <c r="O534" s="540">
        <f>COUNTIF(Principal!$C$32:$J$50,Tablas!M534)</f>
        <v>0</v>
      </c>
      <c r="P534" s="533">
        <f t="shared" ref="P534:P559" si="31">O534*N534</f>
        <v>0</v>
      </c>
      <c r="Q534" s="2345" t="s">
        <v>3567</v>
      </c>
      <c r="R534" s="199"/>
      <c r="S534" s="460">
        <v>1</v>
      </c>
      <c r="T534" s="199" t="s">
        <v>3568</v>
      </c>
      <c r="U534" s="199"/>
      <c r="V534" s="460">
        <v>1</v>
      </c>
      <c r="W534" s="199"/>
      <c r="X534" s="199"/>
      <c r="Y534" s="312"/>
    </row>
    <row r="535" spans="2:25" ht="12.75" customHeight="1" x14ac:dyDescent="0.2">
      <c r="B535" s="2718" t="str">
        <f t="shared" si="27"/>
        <v>Familiar (2)</v>
      </c>
      <c r="C535" s="2723">
        <f t="shared" si="28"/>
        <v>124</v>
      </c>
      <c r="D535" s="147" t="s">
        <v>3343</v>
      </c>
      <c r="E535" s="459">
        <v>1</v>
      </c>
      <c r="F535" s="459">
        <f>COUNTIF(Principal!$C$32:$J$50,Tablas!D535)</f>
        <v>0</v>
      </c>
      <c r="G535" s="2731">
        <f t="shared" si="29"/>
        <v>0</v>
      </c>
      <c r="H535" s="2736">
        <v>1</v>
      </c>
      <c r="I535" s="2740" t="s">
        <v>3965</v>
      </c>
      <c r="K535" s="2704" t="str">
        <f t="shared" ref="K535:K559" si="32">VLOOKUP(A2,$L$533:$M$559,2,0)</f>
        <v>Devorador de Existencia</v>
      </c>
      <c r="L535" s="2723">
        <f t="shared" si="30"/>
        <v>10</v>
      </c>
      <c r="M535" s="147" t="s">
        <v>3569</v>
      </c>
      <c r="N535" s="543">
        <f>1+IF(Principal!$Y$24="No",1,0)</f>
        <v>1</v>
      </c>
      <c r="O535" s="540">
        <f>COUNTIF(Principal!$C$32:$J$50,Tablas!M535)</f>
        <v>0</v>
      </c>
      <c r="P535" s="533">
        <f t="shared" si="31"/>
        <v>0</v>
      </c>
      <c r="Q535" s="2345" t="s">
        <v>3570</v>
      </c>
      <c r="R535" s="199"/>
      <c r="S535" s="460">
        <v>1</v>
      </c>
      <c r="T535" s="2345" t="s">
        <v>3571</v>
      </c>
      <c r="U535" s="199"/>
      <c r="V535" s="460">
        <v>1</v>
      </c>
      <c r="W535" s="199"/>
      <c r="X535" s="199"/>
      <c r="Y535" s="312"/>
    </row>
    <row r="536" spans="2:25" ht="12.75" customHeight="1" x14ac:dyDescent="0.2">
      <c r="B536" s="2718" t="str">
        <f t="shared" si="27"/>
        <v>Familiar (3)</v>
      </c>
      <c r="C536" s="2723">
        <f t="shared" si="28"/>
        <v>109</v>
      </c>
      <c r="D536" s="147" t="s">
        <v>3344</v>
      </c>
      <c r="E536" s="459">
        <v>2</v>
      </c>
      <c r="F536" s="459">
        <f>COUNTIF(Principal!$C$32:$J$50,Tablas!D536)</f>
        <v>0</v>
      </c>
      <c r="G536" s="2731">
        <f t="shared" ref="G536:G558" si="33">F536*E536</f>
        <v>0</v>
      </c>
      <c r="H536" s="2736"/>
      <c r="I536" s="2740" t="s">
        <v>3965</v>
      </c>
      <c r="K536" s="2704" t="str">
        <f t="shared" si="32"/>
        <v>Esencia Venenosa</v>
      </c>
      <c r="L536" s="2723">
        <f t="shared" si="30"/>
        <v>12</v>
      </c>
      <c r="M536" s="147" t="s">
        <v>3572</v>
      </c>
      <c r="N536" s="543">
        <f>1+IF(Principal!$Y$24="No",1,0)</f>
        <v>1</v>
      </c>
      <c r="O536" s="540">
        <f>COUNTIF(Principal!$C$32:$J$50,Tablas!M536)</f>
        <v>0</v>
      </c>
      <c r="P536" s="533">
        <f t="shared" si="31"/>
        <v>0</v>
      </c>
      <c r="Q536" s="2345" t="s">
        <v>3573</v>
      </c>
      <c r="R536" s="199"/>
      <c r="S536" s="460"/>
      <c r="T536" s="2345" t="s">
        <v>3574</v>
      </c>
      <c r="U536" s="199"/>
      <c r="V536" s="460"/>
      <c r="W536" s="199" t="s">
        <v>3575</v>
      </c>
      <c r="X536" s="199"/>
      <c r="Y536" s="312">
        <v>1</v>
      </c>
    </row>
    <row r="537" spans="2:25" ht="12.75" customHeight="1" x14ac:dyDescent="0.2">
      <c r="B537" s="2718" t="str">
        <f t="shared" ref="B537:B600" si="34">VLOOKUP(A66,$C$472:$D$612,2,0)</f>
        <v>Habilidoso</v>
      </c>
      <c r="C537" s="2723">
        <f t="shared" ref="C537:C600" si="35">COUNTIF($D$471:$D$607,"&lt;="&amp;D537)-COUNTIF($D$471:$D$607,"*&gt;*")</f>
        <v>46</v>
      </c>
      <c r="D537" s="147" t="s">
        <v>3345</v>
      </c>
      <c r="E537" s="459">
        <v>1</v>
      </c>
      <c r="F537" s="459">
        <f>COUNTIF(Principal!$C$32:$J$50,Tablas!D537)</f>
        <v>1</v>
      </c>
      <c r="G537" s="2731">
        <f t="shared" si="33"/>
        <v>1</v>
      </c>
      <c r="H537" s="2736">
        <v>1</v>
      </c>
      <c r="I537" s="2740" t="s">
        <v>3965</v>
      </c>
      <c r="K537" s="2704" t="str">
        <f t="shared" si="32"/>
        <v>La Sangre de Orochi</v>
      </c>
      <c r="L537" s="2723">
        <f t="shared" si="30"/>
        <v>15</v>
      </c>
      <c r="M537" s="147" t="s">
        <v>3576</v>
      </c>
      <c r="N537" s="543">
        <f>1+IF(Principal!$Y$24="No",1,0)</f>
        <v>1</v>
      </c>
      <c r="O537" s="540">
        <f>COUNTIF(Principal!$C$32:$J$50,Tablas!M537)</f>
        <v>0</v>
      </c>
      <c r="P537" s="533">
        <f t="shared" si="31"/>
        <v>0</v>
      </c>
      <c r="Q537" s="2345" t="s">
        <v>3577</v>
      </c>
      <c r="R537" s="199"/>
      <c r="S537" s="460"/>
      <c r="T537" s="2345" t="s">
        <v>3578</v>
      </c>
      <c r="U537" s="199"/>
      <c r="V537" s="460"/>
      <c r="W537" s="199"/>
      <c r="X537" s="199"/>
      <c r="Y537" s="312"/>
    </row>
    <row r="538" spans="2:25" ht="12.75" customHeight="1" x14ac:dyDescent="0.2">
      <c r="B538" s="2718" t="str">
        <f t="shared" si="34"/>
        <v>Infatigable (1)</v>
      </c>
      <c r="C538" s="2723">
        <f t="shared" si="35"/>
        <v>45</v>
      </c>
      <c r="D538" s="147" t="s">
        <v>3346</v>
      </c>
      <c r="E538" s="459">
        <v>1</v>
      </c>
      <c r="F538" s="459">
        <f>COUNTIF(Principal!$C$32:$J$50,Tablas!D538)</f>
        <v>0</v>
      </c>
      <c r="G538" s="2731">
        <f t="shared" si="33"/>
        <v>0</v>
      </c>
      <c r="H538" s="2736">
        <v>1</v>
      </c>
      <c r="I538" s="2740" t="s">
        <v>3965</v>
      </c>
      <c r="K538" s="2704" t="str">
        <f t="shared" si="32"/>
        <v>La Sangre de Uroboros</v>
      </c>
      <c r="L538" s="2723">
        <f t="shared" si="30"/>
        <v>14</v>
      </c>
      <c r="M538" s="147" t="s">
        <v>3579</v>
      </c>
      <c r="N538" s="543">
        <f>1+IF(Principal!$Y$24="No",1,0)</f>
        <v>1</v>
      </c>
      <c r="O538" s="540">
        <f>COUNTIF(Principal!$C$32:$J$50,Tablas!M538)</f>
        <v>0</v>
      </c>
      <c r="P538" s="533">
        <f t="shared" si="31"/>
        <v>0</v>
      </c>
      <c r="Q538" s="2345" t="s">
        <v>3580</v>
      </c>
      <c r="R538" s="199"/>
      <c r="S538" s="460"/>
      <c r="T538" s="2345" t="s">
        <v>3581</v>
      </c>
      <c r="U538" s="199"/>
      <c r="V538" s="460">
        <v>1</v>
      </c>
      <c r="W538" s="199" t="s">
        <v>9789</v>
      </c>
      <c r="X538" s="199"/>
      <c r="Y538" s="312">
        <v>1</v>
      </c>
    </row>
    <row r="539" spans="2:25" ht="12.75" customHeight="1" x14ac:dyDescent="0.2">
      <c r="B539" s="2718" t="str">
        <f t="shared" si="34"/>
        <v>Infatigable (2)</v>
      </c>
      <c r="C539" s="2723">
        <f t="shared" si="35"/>
        <v>3</v>
      </c>
      <c r="D539" s="147" t="s">
        <v>3347</v>
      </c>
      <c r="E539" s="459">
        <v>1</v>
      </c>
      <c r="F539" s="459">
        <f>COUNTIF(Principal!$C$32:$J$50,Tablas!D539)</f>
        <v>0</v>
      </c>
      <c r="G539" s="2731">
        <f t="shared" si="33"/>
        <v>0</v>
      </c>
      <c r="H539" s="2736"/>
      <c r="I539" s="2740" t="s">
        <v>3965</v>
      </c>
      <c r="K539" s="2704" t="str">
        <f t="shared" si="32"/>
        <v>Legado de la Luna (Tsukiyomi)</v>
      </c>
      <c r="L539" s="2723">
        <f t="shared" si="30"/>
        <v>17</v>
      </c>
      <c r="M539" s="147" t="s">
        <v>3582</v>
      </c>
      <c r="N539" s="543">
        <f>1+IF(Principal!$Y$24="No",1,0)</f>
        <v>1</v>
      </c>
      <c r="O539" s="540">
        <f>COUNTIF(Principal!$C$32:$J$50,Tablas!M539)</f>
        <v>0</v>
      </c>
      <c r="P539" s="533">
        <f t="shared" si="31"/>
        <v>0</v>
      </c>
      <c r="Q539" s="2345" t="s">
        <v>2221</v>
      </c>
      <c r="R539" s="199"/>
      <c r="S539" s="460">
        <v>1</v>
      </c>
      <c r="T539" s="2345" t="s">
        <v>3583</v>
      </c>
      <c r="U539" s="199"/>
      <c r="V539" s="460">
        <v>1</v>
      </c>
      <c r="W539" s="199" t="s">
        <v>3584</v>
      </c>
      <c r="X539" s="199"/>
      <c r="Y539" s="312">
        <v>1</v>
      </c>
    </row>
    <row r="540" spans="2:25" ht="12.75" customHeight="1" x14ac:dyDescent="0.2">
      <c r="B540" s="2718" t="str">
        <f t="shared" si="34"/>
        <v>Infatigable (3)</v>
      </c>
      <c r="C540" s="2723">
        <f t="shared" si="35"/>
        <v>4</v>
      </c>
      <c r="D540" s="147" t="s">
        <v>3348</v>
      </c>
      <c r="E540" s="459">
        <v>2</v>
      </c>
      <c r="F540" s="459">
        <f>COUNTIF(Principal!$C$32:$J$50,Tablas!D540)</f>
        <v>0</v>
      </c>
      <c r="G540" s="2731">
        <f t="shared" si="33"/>
        <v>0</v>
      </c>
      <c r="H540" s="2736"/>
      <c r="I540" s="2740" t="s">
        <v>3965</v>
      </c>
      <c r="K540" s="2704" t="str">
        <f t="shared" si="32"/>
        <v>Los Ojos de la Muerte</v>
      </c>
      <c r="L540" s="2723">
        <f t="shared" si="30"/>
        <v>13</v>
      </c>
      <c r="M540" s="147" t="s">
        <v>9759</v>
      </c>
      <c r="N540" s="543">
        <f>1+IF(Principal!$Y$24="No",1,0)</f>
        <v>1</v>
      </c>
      <c r="O540" s="540">
        <f>COUNTIF(Principal!$C$32:$J$50,Tablas!M540)</f>
        <v>0</v>
      </c>
      <c r="P540" s="533">
        <f t="shared" si="31"/>
        <v>0</v>
      </c>
      <c r="Q540" s="2345" t="s">
        <v>3585</v>
      </c>
      <c r="R540" s="199"/>
      <c r="S540" s="460">
        <v>1</v>
      </c>
      <c r="T540" s="2345" t="s">
        <v>3586</v>
      </c>
      <c r="U540" s="199"/>
      <c r="V540" s="460">
        <v>1</v>
      </c>
      <c r="W540" s="199"/>
      <c r="X540" s="199"/>
      <c r="Y540" s="312"/>
    </row>
    <row r="541" spans="2:25" ht="12.75" customHeight="1" x14ac:dyDescent="0.2">
      <c r="B541" s="2718" t="str">
        <f t="shared" si="34"/>
        <v>Inm. al dolor y al cansancio</v>
      </c>
      <c r="C541" s="2723">
        <f t="shared" si="35"/>
        <v>5</v>
      </c>
      <c r="D541" s="147" t="s">
        <v>3349</v>
      </c>
      <c r="E541" s="459">
        <v>3</v>
      </c>
      <c r="F541" s="459">
        <f>COUNTIF(Principal!$C$32:$J$50,Tablas!D541)</f>
        <v>0</v>
      </c>
      <c r="G541" s="2731">
        <f t="shared" si="33"/>
        <v>0</v>
      </c>
      <c r="H541" s="2736"/>
      <c r="I541" s="2740" t="s">
        <v>3965</v>
      </c>
      <c r="K541" s="2704" t="str">
        <f t="shared" si="32"/>
        <v>Ojos del Alma</v>
      </c>
      <c r="L541" s="2723">
        <f t="shared" si="30"/>
        <v>16</v>
      </c>
      <c r="M541" s="147" t="s">
        <v>3587</v>
      </c>
      <c r="N541" s="543">
        <f>1+IF(Principal!$Y$24="No",1,0)</f>
        <v>1</v>
      </c>
      <c r="O541" s="540">
        <f>COUNTIF(Principal!$C$32:$J$50,Tablas!M541)</f>
        <v>0</v>
      </c>
      <c r="P541" s="533">
        <f t="shared" si="31"/>
        <v>0</v>
      </c>
      <c r="Q541" s="2345" t="s">
        <v>3588</v>
      </c>
      <c r="R541" s="199"/>
      <c r="S541" s="460">
        <v>1</v>
      </c>
      <c r="T541" s="2345" t="s">
        <v>3589</v>
      </c>
      <c r="U541" s="199"/>
      <c r="V541" s="460">
        <v>1</v>
      </c>
      <c r="W541" s="199"/>
      <c r="X541" s="199"/>
      <c r="Y541" s="312"/>
    </row>
    <row r="542" spans="2:25" ht="12.75" customHeight="1" x14ac:dyDescent="0.2">
      <c r="B542" s="2718" t="str">
        <f t="shared" si="34"/>
        <v>Inmunidad psíquica</v>
      </c>
      <c r="C542" s="2723">
        <f t="shared" si="35"/>
        <v>70</v>
      </c>
      <c r="D542" s="147" t="s">
        <v>3350</v>
      </c>
      <c r="E542" s="459">
        <v>1</v>
      </c>
      <c r="F542" s="459">
        <f>COUNTIF(Principal!$C$32:$J$50,Tablas!D542)</f>
        <v>0</v>
      </c>
      <c r="G542" s="2731">
        <f t="shared" si="33"/>
        <v>0</v>
      </c>
      <c r="H542" s="2736">
        <v>1</v>
      </c>
      <c r="I542" s="2740" t="s">
        <v>3965</v>
      </c>
      <c r="K542" s="2704" t="str">
        <f t="shared" si="32"/>
        <v>Ojos del Destino</v>
      </c>
      <c r="L542" s="2723">
        <f t="shared" si="30"/>
        <v>7</v>
      </c>
      <c r="M542" s="147" t="s">
        <v>3590</v>
      </c>
      <c r="N542" s="543">
        <f>2+IF(Principal!$Y$24="No",1,0)</f>
        <v>2</v>
      </c>
      <c r="O542" s="540">
        <f>COUNTIF(Principal!$C$32:$J$50,Tablas!M542)</f>
        <v>0</v>
      </c>
      <c r="P542" s="533">
        <f t="shared" si="31"/>
        <v>0</v>
      </c>
      <c r="Q542" s="2345" t="s">
        <v>3591</v>
      </c>
      <c r="R542" s="199"/>
      <c r="S542" s="460"/>
      <c r="T542" s="2345"/>
      <c r="U542" s="199"/>
      <c r="V542" s="460"/>
      <c r="W542" s="199"/>
      <c r="X542" s="199"/>
      <c r="Y542" s="312"/>
    </row>
    <row r="543" spans="2:25" ht="12.75" customHeight="1" x14ac:dyDescent="0.2">
      <c r="B543" s="2718" t="str">
        <f t="shared" si="34"/>
        <v>Inmunidad sobrenatural (1)</v>
      </c>
      <c r="C543" s="2723">
        <f t="shared" si="35"/>
        <v>130</v>
      </c>
      <c r="D543" s="147" t="s">
        <v>3351</v>
      </c>
      <c r="E543" s="459">
        <v>1</v>
      </c>
      <c r="F543" s="459">
        <f>COUNTIF(Principal!$C$32:$J$50,Tablas!D543)</f>
        <v>0</v>
      </c>
      <c r="G543" s="2731">
        <f t="shared" si="33"/>
        <v>0</v>
      </c>
      <c r="H543" s="2736"/>
      <c r="I543" s="2740" t="s">
        <v>3965</v>
      </c>
      <c r="K543" s="2704" t="str">
        <f t="shared" si="32"/>
        <v>Sangre de Aeon: Boreas</v>
      </c>
      <c r="L543" s="2723">
        <f t="shared" si="30"/>
        <v>8</v>
      </c>
      <c r="M543" s="147" t="s">
        <v>3592</v>
      </c>
      <c r="N543" s="543">
        <f>1+IF(Principal!$Y$24="No",1,0)</f>
        <v>1</v>
      </c>
      <c r="O543" s="540">
        <f>COUNTIF(Principal!$C$32:$J$50,Tablas!M543)</f>
        <v>0</v>
      </c>
      <c r="P543" s="533">
        <f t="shared" si="31"/>
        <v>0</v>
      </c>
      <c r="Q543" s="2345" t="s">
        <v>3592</v>
      </c>
      <c r="R543" s="199"/>
      <c r="S543" s="460"/>
      <c r="T543" s="2345"/>
      <c r="U543" s="199"/>
      <c r="V543" s="460"/>
      <c r="W543" s="199"/>
      <c r="X543" s="199"/>
      <c r="Y543" s="312"/>
    </row>
    <row r="544" spans="2:25" ht="12.75" customHeight="1" x14ac:dyDescent="0.2">
      <c r="B544" s="2718" t="str">
        <f t="shared" si="34"/>
        <v>Inmunidad sobrenatural (2)</v>
      </c>
      <c r="C544" s="2723">
        <f t="shared" si="35"/>
        <v>80</v>
      </c>
      <c r="D544" s="147" t="s">
        <v>3352</v>
      </c>
      <c r="E544" s="459">
        <v>1</v>
      </c>
      <c r="F544" s="459">
        <f>COUNTIF(Principal!$C$32:$J$50,Tablas!D544)</f>
        <v>0</v>
      </c>
      <c r="G544" s="2731">
        <f t="shared" si="33"/>
        <v>0</v>
      </c>
      <c r="H544" s="2736">
        <v>1</v>
      </c>
      <c r="I544" s="2740" t="s">
        <v>3965</v>
      </c>
      <c r="K544" s="2704" t="str">
        <f t="shared" si="32"/>
        <v>Sangre de Aeon: Kagutsuchi</v>
      </c>
      <c r="L544" s="2723">
        <f t="shared" si="30"/>
        <v>6</v>
      </c>
      <c r="M544" s="147" t="s">
        <v>3593</v>
      </c>
      <c r="N544" s="543">
        <f>1+IF(Principal!$Y$24="No",1,0)</f>
        <v>1</v>
      </c>
      <c r="O544" s="540">
        <f>COUNTIF(Principal!$C$32:$J$50,Tablas!M544)</f>
        <v>0</v>
      </c>
      <c r="P544" s="533">
        <f t="shared" si="31"/>
        <v>0</v>
      </c>
      <c r="Q544" s="2345" t="s">
        <v>3594</v>
      </c>
      <c r="R544" s="199"/>
      <c r="S544" s="460"/>
      <c r="T544" s="2345"/>
      <c r="U544" s="199"/>
      <c r="V544" s="460"/>
      <c r="W544" s="199"/>
      <c r="X544" s="199"/>
      <c r="Y544" s="312"/>
    </row>
    <row r="545" spans="2:25" ht="12.75" customHeight="1" x14ac:dyDescent="0.2">
      <c r="B545" s="2718" t="str">
        <f t="shared" si="34"/>
        <v>Inmunidad sobrenatural (3)</v>
      </c>
      <c r="C545" s="2723">
        <f t="shared" si="35"/>
        <v>81</v>
      </c>
      <c r="D545" s="147" t="s">
        <v>3353</v>
      </c>
      <c r="E545" s="459">
        <v>2</v>
      </c>
      <c r="F545" s="459">
        <f>COUNTIF(Principal!$C$32:$J$50,Tablas!D545)</f>
        <v>0</v>
      </c>
      <c r="G545" s="2731">
        <f t="shared" si="33"/>
        <v>0</v>
      </c>
      <c r="H545" s="2736">
        <v>1</v>
      </c>
      <c r="I545" s="2740" t="s">
        <v>3965</v>
      </c>
      <c r="K545" s="2704" t="str">
        <f t="shared" si="32"/>
        <v>Sangre de Aeon: Niflheim</v>
      </c>
      <c r="L545" s="2723">
        <f t="shared" si="30"/>
        <v>5</v>
      </c>
      <c r="M545" s="147" t="s">
        <v>3595</v>
      </c>
      <c r="N545" s="543">
        <f>1+IF(Principal!$Y$24="No",1,0)</f>
        <v>1</v>
      </c>
      <c r="O545" s="540">
        <f>COUNTIF(Principal!$C$32:$J$50,Tablas!M545)</f>
        <v>0</v>
      </c>
      <c r="P545" s="533">
        <f t="shared" si="31"/>
        <v>0</v>
      </c>
      <c r="Q545" s="2345" t="s">
        <v>3595</v>
      </c>
      <c r="R545" s="199"/>
      <c r="S545" s="460"/>
      <c r="T545" s="2345"/>
      <c r="U545" s="199"/>
      <c r="V545" s="545"/>
      <c r="W545" s="199"/>
      <c r="X545" s="199"/>
      <c r="Y545" s="312"/>
    </row>
    <row r="546" spans="2:25" ht="12.75" customHeight="1" x14ac:dyDescent="0.2">
      <c r="B546" s="2718" t="str">
        <f t="shared" si="34"/>
        <v>Inquietante</v>
      </c>
      <c r="C546" s="2723">
        <f t="shared" si="35"/>
        <v>82</v>
      </c>
      <c r="D546" s="147" t="s">
        <v>3354</v>
      </c>
      <c r="E546" s="459">
        <v>3</v>
      </c>
      <c r="F546" s="459">
        <f>COUNTIF(Principal!$C$32:$J$50,Tablas!D546)</f>
        <v>0</v>
      </c>
      <c r="G546" s="2731">
        <f t="shared" si="33"/>
        <v>0</v>
      </c>
      <c r="H546" s="2736">
        <v>1</v>
      </c>
      <c r="I546" s="2740" t="s">
        <v>3965</v>
      </c>
      <c r="K546" s="2704" t="str">
        <f t="shared" si="32"/>
        <v>Sangre de Aeon: Phandemonium</v>
      </c>
      <c r="L546" s="2723">
        <f t="shared" si="30"/>
        <v>19</v>
      </c>
      <c r="M546" s="147" t="s">
        <v>3596</v>
      </c>
      <c r="N546" s="543">
        <f>1+IF(Principal!$Y$24="No",1,0)</f>
        <v>1</v>
      </c>
      <c r="O546" s="540">
        <f>COUNTIF(Principal!$C$32:$J$50,Tablas!M546)</f>
        <v>0</v>
      </c>
      <c r="P546" s="533">
        <f t="shared" si="31"/>
        <v>0</v>
      </c>
      <c r="Q546" s="2345" t="s">
        <v>3597</v>
      </c>
      <c r="R546" s="199"/>
      <c r="S546" s="460">
        <v>1</v>
      </c>
      <c r="T546" s="2345"/>
      <c r="U546" s="199"/>
      <c r="V546" s="545"/>
      <c r="W546" s="199"/>
      <c r="X546" s="199"/>
      <c r="Y546" s="312"/>
    </row>
    <row r="547" spans="2:25" ht="12.75" customHeight="1" x14ac:dyDescent="0.2">
      <c r="B547" s="2718" t="str">
        <f t="shared" si="34"/>
        <v>Inutilidad gestual</v>
      </c>
      <c r="C547" s="2723">
        <f t="shared" si="35"/>
        <v>67</v>
      </c>
      <c r="D547" s="147" t="s">
        <v>3355</v>
      </c>
      <c r="E547" s="459">
        <v>1</v>
      </c>
      <c r="F547" s="459">
        <f>COUNTIF(Principal!$C$32:$J$50,Tablas!D547)</f>
        <v>0</v>
      </c>
      <c r="G547" s="2731">
        <f t="shared" si="33"/>
        <v>0</v>
      </c>
      <c r="H547" s="2736">
        <v>1</v>
      </c>
      <c r="I547" s="2740" t="s">
        <v>3965</v>
      </c>
      <c r="K547" s="2704" t="str">
        <f t="shared" si="32"/>
        <v>Sangre de Aeon: Ran</v>
      </c>
      <c r="L547" s="2723">
        <f t="shared" si="30"/>
        <v>20</v>
      </c>
      <c r="M547" s="147" t="s">
        <v>3598</v>
      </c>
      <c r="N547" s="543">
        <f>2+IF(Principal!$Y$24="No",1,0)</f>
        <v>2</v>
      </c>
      <c r="O547" s="540">
        <f>COUNTIF(Principal!$C$32:$J$50,Tablas!M547)</f>
        <v>1</v>
      </c>
      <c r="P547" s="533">
        <f t="shared" si="31"/>
        <v>2</v>
      </c>
      <c r="Q547" s="2345" t="s">
        <v>3599</v>
      </c>
      <c r="R547" s="199"/>
      <c r="S547" s="460">
        <v>1</v>
      </c>
      <c r="T547" s="2345"/>
      <c r="U547" s="199"/>
      <c r="V547" s="545"/>
      <c r="W547" s="199"/>
      <c r="X547" s="199"/>
      <c r="Y547" s="312"/>
    </row>
    <row r="548" spans="2:25" ht="12.75" customHeight="1" x14ac:dyDescent="0.2">
      <c r="B548" s="2718" t="str">
        <f t="shared" si="34"/>
        <v>Ki imperceptible</v>
      </c>
      <c r="C548" s="2723">
        <f t="shared" si="35"/>
        <v>68</v>
      </c>
      <c r="D548" s="147" t="s">
        <v>3356</v>
      </c>
      <c r="E548" s="459">
        <v>2</v>
      </c>
      <c r="F548" s="459">
        <f>COUNTIF(Principal!$C$32:$J$50,Tablas!D548)</f>
        <v>0</v>
      </c>
      <c r="G548" s="2731">
        <f t="shared" si="33"/>
        <v>0</v>
      </c>
      <c r="H548" s="2736">
        <v>1</v>
      </c>
      <c r="I548" s="2740" t="s">
        <v>3965</v>
      </c>
      <c r="K548" s="2704" t="str">
        <f t="shared" si="32"/>
        <v>Sangre de Aeon: Rudraksha</v>
      </c>
      <c r="L548" s="2723">
        <f t="shared" si="30"/>
        <v>21</v>
      </c>
      <c r="M548" s="147" t="s">
        <v>3600</v>
      </c>
      <c r="N548" s="543">
        <f>3+IF(Principal!$Y$24="No",1,0)</f>
        <v>3</v>
      </c>
      <c r="O548" s="540">
        <f>COUNTIF(Principal!$C$32:$J$50,Tablas!M548)</f>
        <v>0</v>
      </c>
      <c r="P548" s="533">
        <f t="shared" si="31"/>
        <v>0</v>
      </c>
      <c r="Q548" s="2345" t="s">
        <v>3601</v>
      </c>
      <c r="R548" s="199"/>
      <c r="S548" s="460">
        <v>1</v>
      </c>
      <c r="T548" s="2345"/>
      <c r="U548" s="199"/>
      <c r="V548" s="545"/>
      <c r="W548" s="199"/>
      <c r="X548" s="199"/>
      <c r="Y548" s="312"/>
    </row>
    <row r="549" spans="2:25" ht="12.75" customHeight="1" x14ac:dyDescent="0.2">
      <c r="B549" s="2718" t="str">
        <f t="shared" si="34"/>
        <v>Libre albedrío</v>
      </c>
      <c r="C549" s="2723">
        <f t="shared" si="35"/>
        <v>69</v>
      </c>
      <c r="D549" s="147" t="s">
        <v>3357</v>
      </c>
      <c r="E549" s="459">
        <v>3</v>
      </c>
      <c r="F549" s="459">
        <f>COUNTIF(Principal!$C$32:$J$50,Tablas!D549)</f>
        <v>0</v>
      </c>
      <c r="G549" s="2731">
        <f t="shared" si="33"/>
        <v>0</v>
      </c>
      <c r="H549" s="2736">
        <v>1</v>
      </c>
      <c r="I549" s="2740" t="s">
        <v>3965</v>
      </c>
      <c r="K549" s="2704" t="str">
        <f t="shared" si="32"/>
        <v>Sangre de Aeon: Shephirah</v>
      </c>
      <c r="L549" s="2723">
        <f t="shared" si="30"/>
        <v>9</v>
      </c>
      <c r="M549" s="147" t="s">
        <v>3602</v>
      </c>
      <c r="N549" s="543">
        <f>2+IF(Principal!$Y$24="No",1,0)</f>
        <v>2</v>
      </c>
      <c r="O549" s="540">
        <f>COUNTIF(Principal!$C$32:$J$50,Tablas!M549)</f>
        <v>0</v>
      </c>
      <c r="P549" s="533">
        <f t="shared" si="31"/>
        <v>0</v>
      </c>
      <c r="Q549" s="2345" t="s">
        <v>3602</v>
      </c>
      <c r="R549" s="199"/>
      <c r="S549" s="460"/>
      <c r="T549" s="2345"/>
      <c r="U549" s="199"/>
      <c r="V549" s="545"/>
      <c r="W549" s="199"/>
      <c r="X549" s="199"/>
      <c r="Y549" s="312"/>
    </row>
    <row r="550" spans="2:25" ht="12.75" customHeight="1" x14ac:dyDescent="0.2">
      <c r="B550" s="2718" t="str">
        <f t="shared" si="34"/>
        <v>Límite dual</v>
      </c>
      <c r="C550" s="2723">
        <f t="shared" si="35"/>
        <v>53</v>
      </c>
      <c r="D550" s="147" t="s">
        <v>3358</v>
      </c>
      <c r="E550" s="459">
        <v>1</v>
      </c>
      <c r="F550" s="459">
        <f>COUNTIF(Principal!$C$32:$J$50,Tablas!D550)</f>
        <v>0</v>
      </c>
      <c r="G550" s="2731">
        <f t="shared" si="33"/>
        <v>0</v>
      </c>
      <c r="H550" s="2736">
        <v>1</v>
      </c>
      <c r="I550" s="2740" t="s">
        <v>3965</v>
      </c>
      <c r="K550" s="2704" t="str">
        <f t="shared" si="32"/>
        <v>Sangre de Aeon: Toa</v>
      </c>
      <c r="L550" s="2723">
        <f t="shared" si="30"/>
        <v>24</v>
      </c>
      <c r="M550" s="147" t="s">
        <v>3603</v>
      </c>
      <c r="N550" s="543">
        <f>1+IF(Principal!$Y$24="No",1,0)</f>
        <v>1</v>
      </c>
      <c r="O550" s="540">
        <f>COUNTIF(Principal!$C$32:$J$50,Tablas!M550)</f>
        <v>0</v>
      </c>
      <c r="P550" s="533">
        <f t="shared" si="31"/>
        <v>0</v>
      </c>
      <c r="Q550" s="2345" t="s">
        <v>3604</v>
      </c>
      <c r="R550" s="199"/>
      <c r="S550" s="460"/>
      <c r="T550" s="2345" t="s">
        <v>2834</v>
      </c>
      <c r="U550" s="199"/>
      <c r="V550" s="545"/>
      <c r="W550" s="199"/>
      <c r="X550" s="199"/>
      <c r="Y550" s="312"/>
    </row>
    <row r="551" spans="2:25" ht="12.75" customHeight="1" x14ac:dyDescent="0.2">
      <c r="B551" s="2718" t="str">
        <f t="shared" si="34"/>
        <v>Maestro marcial (1)</v>
      </c>
      <c r="C551" s="2723">
        <f t="shared" si="35"/>
        <v>88</v>
      </c>
      <c r="D551" s="147" t="s">
        <v>3359</v>
      </c>
      <c r="E551" s="459">
        <v>1</v>
      </c>
      <c r="F551" s="459">
        <f>COUNTIF(Principal!$C$32:$J$50,Tablas!D551)</f>
        <v>0</v>
      </c>
      <c r="G551" s="2731">
        <f t="shared" si="33"/>
        <v>0</v>
      </c>
      <c r="H551" s="2736"/>
      <c r="I551" s="2740" t="s">
        <v>3965</v>
      </c>
      <c r="K551" s="2704" t="str">
        <f t="shared" si="32"/>
        <v>Sangre de El Dragón</v>
      </c>
      <c r="L551" s="2723">
        <f t="shared" si="30"/>
        <v>4</v>
      </c>
      <c r="M551" s="147" t="s">
        <v>3605</v>
      </c>
      <c r="N551" s="543">
        <f>1+IF(Principal!$Y$24="No",1,0)</f>
        <v>1</v>
      </c>
      <c r="O551" s="540">
        <f>COUNTIF(Principal!$C$32:$J$50,Tablas!M551)</f>
        <v>0</v>
      </c>
      <c r="P551" s="533">
        <f t="shared" si="31"/>
        <v>0</v>
      </c>
      <c r="Q551" s="2345" t="s">
        <v>3606</v>
      </c>
      <c r="R551" s="199"/>
      <c r="S551" s="460"/>
      <c r="T551" s="2345" t="s">
        <v>3607</v>
      </c>
      <c r="U551" s="199"/>
      <c r="V551" s="545"/>
      <c r="W551" s="199"/>
      <c r="X551" s="199"/>
      <c r="Y551" s="312"/>
    </row>
    <row r="552" spans="2:25" ht="12.75" customHeight="1" x14ac:dyDescent="0.2">
      <c r="B552" s="2718" t="str">
        <f t="shared" si="34"/>
        <v>Maestro marcial (2)</v>
      </c>
      <c r="C552" s="2723">
        <f t="shared" si="35"/>
        <v>89</v>
      </c>
      <c r="D552" s="147" t="s">
        <v>3360</v>
      </c>
      <c r="E552" s="459">
        <v>2</v>
      </c>
      <c r="F552" s="459">
        <f>COUNTIF(Principal!$C$32:$J$50,Tablas!D552)</f>
        <v>0</v>
      </c>
      <c r="G552" s="2731">
        <f t="shared" si="33"/>
        <v>0</v>
      </c>
      <c r="H552" s="2736"/>
      <c r="I552" s="2740" t="s">
        <v>3965</v>
      </c>
      <c r="K552" s="2704" t="str">
        <f t="shared" si="32"/>
        <v>Sangre de Grandes Bestias (1)</v>
      </c>
      <c r="L552" s="2723">
        <f t="shared" si="30"/>
        <v>2</v>
      </c>
      <c r="M552" s="147" t="s">
        <v>3608</v>
      </c>
      <c r="N552" s="543">
        <f>2+IF(Principal!$Y$24="No",1,0)</f>
        <v>2</v>
      </c>
      <c r="O552" s="540">
        <f>COUNTIF(Principal!$C$32:$J$50,Tablas!M552)</f>
        <v>0</v>
      </c>
      <c r="P552" s="533">
        <f t="shared" si="31"/>
        <v>0</v>
      </c>
      <c r="Q552" s="2345" t="s">
        <v>3608</v>
      </c>
      <c r="R552" s="199"/>
      <c r="S552" s="460"/>
      <c r="T552" s="2345"/>
      <c r="U552" s="199"/>
      <c r="V552" s="545"/>
      <c r="W552" s="199"/>
      <c r="X552" s="199"/>
      <c r="Y552" s="312"/>
    </row>
    <row r="553" spans="2:25" ht="12.75" customHeight="1" x14ac:dyDescent="0.2">
      <c r="B553" s="2718" t="str">
        <f t="shared" si="34"/>
        <v>Maestro marcial (3)</v>
      </c>
      <c r="C553" s="2723">
        <f t="shared" si="35"/>
        <v>90</v>
      </c>
      <c r="D553" s="147" t="s">
        <v>3361</v>
      </c>
      <c r="E553" s="459">
        <v>3</v>
      </c>
      <c r="F553" s="459">
        <f>COUNTIF(Principal!$C$32:$J$50,Tablas!D553)</f>
        <v>0</v>
      </c>
      <c r="G553" s="2731">
        <f t="shared" si="33"/>
        <v>0</v>
      </c>
      <c r="H553" s="2736"/>
      <c r="I553" s="2740" t="s">
        <v>3965</v>
      </c>
      <c r="K553" s="2704" t="str">
        <f t="shared" si="32"/>
        <v>Sangre de Grandes Bestias (2)</v>
      </c>
      <c r="L553" s="2723">
        <f t="shared" si="30"/>
        <v>3</v>
      </c>
      <c r="M553" s="147" t="s">
        <v>3609</v>
      </c>
      <c r="N553" s="543">
        <f>1+IF(Principal!$Y$24="No",1,0)</f>
        <v>1</v>
      </c>
      <c r="O553" s="540">
        <f>COUNTIF(Principal!$C$32:$J$50,Tablas!M553)</f>
        <v>0</v>
      </c>
      <c r="P553" s="533">
        <f t="shared" si="31"/>
        <v>0</v>
      </c>
      <c r="Q553" s="2345" t="s">
        <v>3609</v>
      </c>
      <c r="R553" s="199"/>
      <c r="S553" s="460">
        <v>2</v>
      </c>
      <c r="T553" s="2345"/>
      <c r="U553" s="199"/>
      <c r="V553" s="545"/>
      <c r="W553" s="199"/>
      <c r="X553" s="199"/>
      <c r="Y553" s="312"/>
    </row>
    <row r="554" spans="2:25" ht="12.75" customHeight="1" x14ac:dyDescent="0.2">
      <c r="B554" s="2718" t="str">
        <f t="shared" si="34"/>
        <v>Mutación (1)</v>
      </c>
      <c r="C554" s="2723">
        <f t="shared" si="35"/>
        <v>59</v>
      </c>
      <c r="D554" s="147" t="s">
        <v>3362</v>
      </c>
      <c r="E554" s="459">
        <v>1</v>
      </c>
      <c r="F554" s="459">
        <f>COUNTIF(Principal!$C$32:$J$50,Tablas!D554)</f>
        <v>0</v>
      </c>
      <c r="G554" s="2731">
        <f t="shared" si="33"/>
        <v>0</v>
      </c>
      <c r="H554" s="2736"/>
      <c r="I554" s="2740" t="s">
        <v>3965</v>
      </c>
      <c r="K554" s="2704" t="str">
        <f t="shared" si="32"/>
        <v>Sangre de Grandes Bestias (3)</v>
      </c>
      <c r="L554" s="2723">
        <f t="shared" si="30"/>
        <v>1</v>
      </c>
      <c r="M554" s="147" t="s">
        <v>3610</v>
      </c>
      <c r="N554" s="543">
        <f>1+IF(Principal!$Y$24="No",1,0)</f>
        <v>1</v>
      </c>
      <c r="O554" s="540">
        <f>COUNTIF(Principal!$C$32:$J$50,Tablas!M554)</f>
        <v>0</v>
      </c>
      <c r="P554" s="533">
        <f t="shared" si="31"/>
        <v>0</v>
      </c>
      <c r="Q554" s="2345" t="s">
        <v>3610</v>
      </c>
      <c r="R554" s="199"/>
      <c r="S554" s="460">
        <v>2</v>
      </c>
      <c r="T554" s="2345"/>
      <c r="U554" s="199"/>
      <c r="V554" s="545"/>
      <c r="W554" s="199"/>
      <c r="X554" s="199"/>
      <c r="Y554" s="312"/>
    </row>
    <row r="555" spans="2:25" ht="12.75" customHeight="1" x14ac:dyDescent="0.2">
      <c r="B555" s="2718" t="str">
        <f t="shared" si="34"/>
        <v>Mutación (2)</v>
      </c>
      <c r="C555" s="2723">
        <f t="shared" si="35"/>
        <v>60</v>
      </c>
      <c r="D555" s="147" t="s">
        <v>3363</v>
      </c>
      <c r="E555" s="459">
        <v>2</v>
      </c>
      <c r="F555" s="459">
        <f>COUNTIF(Principal!$C$32:$J$50,Tablas!D555)</f>
        <v>0</v>
      </c>
      <c r="G555" s="2731">
        <f t="shared" si="33"/>
        <v>0</v>
      </c>
      <c r="H555" s="2736"/>
      <c r="I555" s="2740" t="s">
        <v>3965</v>
      </c>
      <c r="K555" s="2704" t="str">
        <f t="shared" si="32"/>
        <v>Sangre de Kami: Genus Loci</v>
      </c>
      <c r="L555" s="2723">
        <f t="shared" si="30"/>
        <v>23</v>
      </c>
      <c r="M555" s="147" t="s">
        <v>3611</v>
      </c>
      <c r="N555" s="543">
        <f>1+IF(Principal!$Y$24="No",1,0)</f>
        <v>1</v>
      </c>
      <c r="O555" s="540">
        <f>COUNTIF(Principal!$C$32:$J$50,Tablas!M555)</f>
        <v>0</v>
      </c>
      <c r="P555" s="533">
        <f t="shared" si="31"/>
        <v>0</v>
      </c>
      <c r="Q555" s="2345" t="s">
        <v>3612</v>
      </c>
      <c r="R555" s="199"/>
      <c r="S555" s="460"/>
      <c r="T555" s="2345" t="s">
        <v>3613</v>
      </c>
      <c r="U555" s="199"/>
      <c r="V555" s="545"/>
      <c r="W555" s="199" t="s">
        <v>3614</v>
      </c>
      <c r="X555" s="199"/>
      <c r="Y555" s="312"/>
    </row>
    <row r="556" spans="2:25" ht="12.75" customHeight="1" x14ac:dyDescent="0.2">
      <c r="B556" s="2718" t="str">
        <f t="shared" si="34"/>
        <v>Mutación (3)</v>
      </c>
      <c r="C556" s="2723">
        <f t="shared" si="35"/>
        <v>61</v>
      </c>
      <c r="D556" s="147" t="s">
        <v>3364</v>
      </c>
      <c r="E556" s="459">
        <v>3</v>
      </c>
      <c r="F556" s="459">
        <f>COUNTIF(Principal!$C$32:$J$50,Tablas!D556)</f>
        <v>0</v>
      </c>
      <c r="G556" s="2731">
        <f t="shared" si="33"/>
        <v>0</v>
      </c>
      <c r="H556" s="2736"/>
      <c r="I556" s="2740" t="s">
        <v>3965</v>
      </c>
      <c r="K556" s="2704" t="str">
        <f t="shared" si="32"/>
        <v>Sangre de los Muertos</v>
      </c>
      <c r="L556" s="2723">
        <f t="shared" si="30"/>
        <v>22</v>
      </c>
      <c r="M556" s="147" t="s">
        <v>3615</v>
      </c>
      <c r="N556" s="543">
        <f>1+IF(Principal!$Y$24="No",1,0)</f>
        <v>1</v>
      </c>
      <c r="O556" s="540">
        <f>COUNTIF(Principal!$C$32:$J$50,Tablas!M556)</f>
        <v>0</v>
      </c>
      <c r="P556" s="533">
        <f t="shared" si="31"/>
        <v>0</v>
      </c>
      <c r="Q556" s="2345" t="s">
        <v>3616</v>
      </c>
      <c r="R556" s="199"/>
      <c r="S556" s="460"/>
      <c r="T556" s="2345" t="s">
        <v>3617</v>
      </c>
      <c r="U556" s="199"/>
      <c r="V556" s="545"/>
      <c r="W556" s="199"/>
      <c r="X556" s="199"/>
      <c r="Y556" s="312"/>
    </row>
    <row r="557" spans="2:25" ht="12.75" customHeight="1" x14ac:dyDescent="0.2">
      <c r="B557" s="2718" t="str">
        <f t="shared" si="34"/>
        <v>Percepción del Ki</v>
      </c>
      <c r="C557" s="2723">
        <f t="shared" si="35"/>
        <v>28</v>
      </c>
      <c r="D557" s="147" t="s">
        <v>3365</v>
      </c>
      <c r="E557" s="459">
        <v>1</v>
      </c>
      <c r="F557" s="459">
        <f>COUNTIF(Principal!$C$32:$J$50,Tablas!D557)</f>
        <v>0</v>
      </c>
      <c r="G557" s="2731">
        <f t="shared" si="33"/>
        <v>0</v>
      </c>
      <c r="H557" s="2736"/>
      <c r="I557" s="2740" t="s">
        <v>3965</v>
      </c>
      <c r="K557" s="2704" t="str">
        <f t="shared" si="32"/>
        <v>Sangre Eterna</v>
      </c>
      <c r="L557" s="2723">
        <f t="shared" si="30"/>
        <v>25</v>
      </c>
      <c r="M557" s="147" t="s">
        <v>3618</v>
      </c>
      <c r="N557" s="543">
        <f>1+IF(Principal!$Y$24="No",1,0)</f>
        <v>1</v>
      </c>
      <c r="O557" s="540">
        <f>COUNTIF(Principal!$C$32:$J$50,Tablas!M557)</f>
        <v>0</v>
      </c>
      <c r="P557" s="533">
        <f t="shared" si="31"/>
        <v>0</v>
      </c>
      <c r="Q557" s="2345" t="s">
        <v>3616</v>
      </c>
      <c r="R557" s="199"/>
      <c r="S557" s="460"/>
      <c r="T557" s="2345" t="s">
        <v>3619</v>
      </c>
      <c r="U557" s="199"/>
      <c r="V557" s="545"/>
      <c r="W557" s="199"/>
      <c r="X557" s="199"/>
      <c r="Y557" s="312"/>
    </row>
    <row r="558" spans="2:25" ht="12.75" customHeight="1" x14ac:dyDescent="0.2">
      <c r="B558" s="2718" t="str">
        <f t="shared" si="34"/>
        <v>Poder innato</v>
      </c>
      <c r="C558" s="2723">
        <f t="shared" si="35"/>
        <v>29</v>
      </c>
      <c r="D558" s="147" t="s">
        <v>3366</v>
      </c>
      <c r="E558" s="459">
        <v>2</v>
      </c>
      <c r="F558" s="459">
        <f>COUNTIF(Principal!$C$32:$J$50,Tablas!D558)</f>
        <v>0</v>
      </c>
      <c r="G558" s="2731">
        <f t="shared" si="33"/>
        <v>0</v>
      </c>
      <c r="H558" s="2736"/>
      <c r="I558" s="2740" t="s">
        <v>3965</v>
      </c>
      <c r="K558" s="2704" t="str">
        <f t="shared" si="32"/>
        <v>Sangre Kami: Sr. de la Guerra</v>
      </c>
      <c r="L558" s="2723">
        <f t="shared" si="30"/>
        <v>18</v>
      </c>
      <c r="M558" s="147" t="s">
        <v>3620</v>
      </c>
      <c r="N558" s="543">
        <f>1+IF(Principal!$Y$24="No",1,0)</f>
        <v>1</v>
      </c>
      <c r="O558" s="540">
        <f>COUNTIF(Principal!$C$32:$J$50,Tablas!M558)</f>
        <v>0</v>
      </c>
      <c r="P558" s="533">
        <f t="shared" si="31"/>
        <v>0</v>
      </c>
      <c r="Q558" s="2345" t="s">
        <v>3620</v>
      </c>
      <c r="R558" s="199"/>
      <c r="S558" s="460"/>
      <c r="T558" s="2345"/>
      <c r="U558" s="199"/>
      <c r="V558" s="545"/>
      <c r="W558" s="199"/>
      <c r="X558" s="199"/>
      <c r="Y558" s="312"/>
    </row>
    <row r="559" spans="2:25" ht="12.75" customHeight="1" thickBot="1" x14ac:dyDescent="0.25">
      <c r="B559" s="2718" t="str">
        <f t="shared" si="34"/>
        <v>Recuperación de Ki (1)</v>
      </c>
      <c r="C559" s="2723">
        <f t="shared" si="35"/>
        <v>30</v>
      </c>
      <c r="D559" s="147" t="s">
        <v>3367</v>
      </c>
      <c r="E559" s="459">
        <v>3</v>
      </c>
      <c r="F559" s="459">
        <f>COUNTIF(Principal!$C$32:$J$50,Tablas!D559)</f>
        <v>0</v>
      </c>
      <c r="G559" s="2731">
        <f t="shared" ref="G559:G562" si="36">F559*E559</f>
        <v>0</v>
      </c>
      <c r="H559" s="2736"/>
      <c r="I559" s="2740" t="s">
        <v>3965</v>
      </c>
      <c r="K559" s="563" t="str">
        <f t="shared" si="32"/>
        <v>Sangre Latente</v>
      </c>
      <c r="L559" s="2747">
        <f t="shared" si="30"/>
        <v>26</v>
      </c>
      <c r="M559" s="1980" t="s">
        <v>3621</v>
      </c>
      <c r="N559" s="546">
        <f>1+IF(Principal!$Y$24="No",1,0)</f>
        <v>1</v>
      </c>
      <c r="O559" s="541">
        <f>COUNTIF(Principal!$C$32:$J$50,Tablas!M559)</f>
        <v>0</v>
      </c>
      <c r="P559" s="536">
        <f t="shared" si="31"/>
        <v>0</v>
      </c>
      <c r="Q559" s="2344" t="s">
        <v>3621</v>
      </c>
      <c r="R559" s="201"/>
      <c r="S559" s="542">
        <v>1</v>
      </c>
      <c r="T559" s="2344"/>
      <c r="U559" s="201"/>
      <c r="V559" s="548"/>
      <c r="W559" s="201"/>
      <c r="X559" s="201"/>
      <c r="Y559" s="465"/>
    </row>
    <row r="560" spans="2:25" ht="12.75" customHeight="1" thickBot="1" x14ac:dyDescent="0.25">
      <c r="B560" s="2718" t="str">
        <f t="shared" si="34"/>
        <v>Recuperación de Ki (2)</v>
      </c>
      <c r="C560" s="2723">
        <f t="shared" si="35"/>
        <v>83</v>
      </c>
      <c r="D560" s="147" t="s">
        <v>9570</v>
      </c>
      <c r="E560" s="459">
        <v>1</v>
      </c>
      <c r="F560" s="459">
        <f>COUNTIF(Principal!$C$32:$J$50,Tablas!D560)</f>
        <v>0</v>
      </c>
      <c r="G560" s="2731">
        <f t="shared" si="36"/>
        <v>0</v>
      </c>
      <c r="H560" s="2736"/>
      <c r="I560" s="2740" t="s">
        <v>3965</v>
      </c>
      <c r="N560" s="447"/>
      <c r="P560" s="4753">
        <f>SUM(P534:P559)</f>
        <v>2</v>
      </c>
      <c r="Q560" s="2342"/>
      <c r="S560" s="537"/>
      <c r="T560" s="549"/>
      <c r="U560" s="550"/>
      <c r="V560" s="518"/>
      <c r="W560" s="2302"/>
    </row>
    <row r="561" spans="2:23" ht="12.75" customHeight="1" thickBot="1" x14ac:dyDescent="0.25">
      <c r="B561" s="2718" t="str">
        <f t="shared" si="34"/>
        <v>Recuperación de Ki (3)</v>
      </c>
      <c r="C561" s="2723">
        <f t="shared" si="35"/>
        <v>84</v>
      </c>
      <c r="D561" s="147" t="s">
        <v>9571</v>
      </c>
      <c r="E561" s="459">
        <v>2</v>
      </c>
      <c r="F561" s="459">
        <f>COUNTIF(Principal!$C$32:$J$50,Tablas!D561)</f>
        <v>0</v>
      </c>
      <c r="G561" s="2731">
        <f t="shared" si="36"/>
        <v>0</v>
      </c>
      <c r="H561" s="2736"/>
      <c r="I561" s="2740" t="s">
        <v>3965</v>
      </c>
      <c r="N561" s="447"/>
      <c r="P561" s="4753"/>
      <c r="Q561" s="1855"/>
      <c r="W561" s="2284"/>
    </row>
    <row r="562" spans="2:23" ht="12.75" customHeight="1" x14ac:dyDescent="0.2">
      <c r="B562" s="2718" t="str">
        <f t="shared" si="34"/>
        <v>Reflejos rápidos (1)</v>
      </c>
      <c r="C562" s="2723">
        <f t="shared" si="35"/>
        <v>85</v>
      </c>
      <c r="D562" s="147" t="s">
        <v>9572</v>
      </c>
      <c r="E562" s="459">
        <v>3</v>
      </c>
      <c r="F562" s="459">
        <f>COUNTIF(Principal!$C$32:$J$50,Tablas!D562)</f>
        <v>0</v>
      </c>
      <c r="G562" s="2731">
        <f t="shared" si="36"/>
        <v>0</v>
      </c>
      <c r="H562" s="2736"/>
      <c r="I562" s="2740" t="s">
        <v>3965</v>
      </c>
      <c r="N562" s="447"/>
    </row>
    <row r="563" spans="2:23" ht="12.75" customHeight="1" x14ac:dyDescent="0.2">
      <c r="B563" s="2718" t="str">
        <f t="shared" si="34"/>
        <v>Reflejos rápidos (2)</v>
      </c>
      <c r="C563" s="2723">
        <f t="shared" si="35"/>
        <v>-1</v>
      </c>
      <c r="D563" s="147" t="s">
        <v>3464</v>
      </c>
      <c r="E563" s="459"/>
      <c r="F563" s="459"/>
      <c r="G563" s="2731"/>
      <c r="H563" s="2736"/>
      <c r="I563" s="2740" t="s">
        <v>3965</v>
      </c>
      <c r="N563" s="447"/>
    </row>
    <row r="564" spans="2:23" ht="12.75" customHeight="1" x14ac:dyDescent="0.2">
      <c r="B564" s="2718" t="str">
        <f t="shared" si="34"/>
        <v>Reflejos rápidos (3)</v>
      </c>
      <c r="C564" s="2723">
        <f t="shared" si="35"/>
        <v>54</v>
      </c>
      <c r="D564" s="147" t="s">
        <v>3465</v>
      </c>
      <c r="E564" s="459">
        <v>1</v>
      </c>
      <c r="F564" s="459">
        <f>COUNTIF(Principal!$C$32:$J$50,Tablas!D564)</f>
        <v>0</v>
      </c>
      <c r="G564" s="2731">
        <f t="shared" ref="G564:G585" si="37">F564*E564</f>
        <v>0</v>
      </c>
      <c r="H564" s="2736">
        <v>2</v>
      </c>
      <c r="I564" s="2740" t="s">
        <v>3965</v>
      </c>
      <c r="N564" s="447"/>
    </row>
    <row r="565" spans="2:23" ht="12.75" customHeight="1" x14ac:dyDescent="0.2">
      <c r="B565" s="2718" t="str">
        <f t="shared" si="34"/>
        <v>Regeneración avanzada</v>
      </c>
      <c r="C565" s="2723">
        <f t="shared" si="35"/>
        <v>55</v>
      </c>
      <c r="D565" s="147" t="s">
        <v>3466</v>
      </c>
      <c r="E565" s="459">
        <v>2</v>
      </c>
      <c r="F565" s="459">
        <f>COUNTIF(Principal!$C$32:$J$50,Tablas!D565)</f>
        <v>0</v>
      </c>
      <c r="G565" s="2731">
        <f t="shared" si="37"/>
        <v>0</v>
      </c>
      <c r="H565" s="2736">
        <v>2</v>
      </c>
      <c r="I565" s="2740" t="s">
        <v>3965</v>
      </c>
      <c r="N565" s="447"/>
    </row>
    <row r="566" spans="2:23" ht="12.75" customHeight="1" x14ac:dyDescent="0.2">
      <c r="B566" s="2718" t="str">
        <f t="shared" si="34"/>
        <v>Regeneración básica</v>
      </c>
      <c r="C566" s="2723">
        <f t="shared" si="35"/>
        <v>56</v>
      </c>
      <c r="D566" s="147" t="s">
        <v>3467</v>
      </c>
      <c r="E566" s="459">
        <v>3</v>
      </c>
      <c r="F566" s="459">
        <f>COUNTIF(Principal!$C$32:$J$50,Tablas!D566)</f>
        <v>0</v>
      </c>
      <c r="G566" s="2731">
        <f t="shared" si="37"/>
        <v>0</v>
      </c>
      <c r="H566" s="2736">
        <v>2</v>
      </c>
      <c r="I566" s="2740" t="s">
        <v>3965</v>
      </c>
      <c r="N566" s="447"/>
    </row>
    <row r="567" spans="2:23" ht="12.75" customHeight="1" x14ac:dyDescent="0.2">
      <c r="B567" s="2718" t="str">
        <f t="shared" si="34"/>
        <v>Regeneración mayor</v>
      </c>
      <c r="C567" s="2723">
        <f t="shared" si="35"/>
        <v>12</v>
      </c>
      <c r="D567" s="147" t="s">
        <v>3468</v>
      </c>
      <c r="E567" s="459">
        <v>1</v>
      </c>
      <c r="F567" s="459">
        <f>COUNTIF(Principal!$C$32:$J$50,Tablas!D567)</f>
        <v>0</v>
      </c>
      <c r="G567" s="2731">
        <f t="shared" si="37"/>
        <v>0</v>
      </c>
      <c r="H567" s="2736"/>
      <c r="I567" s="2740" t="s">
        <v>3965</v>
      </c>
      <c r="N567" s="447"/>
    </row>
    <row r="568" spans="2:23" ht="12.75" customHeight="1" x14ac:dyDescent="0.2">
      <c r="B568" s="2718" t="str">
        <f t="shared" si="34"/>
        <v>Repetir tirada de características</v>
      </c>
      <c r="C568" s="2723">
        <f t="shared" si="35"/>
        <v>72</v>
      </c>
      <c r="D568" s="147" t="s">
        <v>3469</v>
      </c>
      <c r="E568" s="459">
        <v>1</v>
      </c>
      <c r="F568" s="459">
        <f>COUNTIF(Principal!$C$32:$J$50,Tablas!D568)</f>
        <v>0</v>
      </c>
      <c r="G568" s="2731">
        <f t="shared" si="37"/>
        <v>0</v>
      </c>
      <c r="H568" s="2736"/>
      <c r="I568" s="2740" t="s">
        <v>3965</v>
      </c>
      <c r="N568" s="447"/>
    </row>
    <row r="569" spans="2:23" ht="12.75" customHeight="1" x14ac:dyDescent="0.2">
      <c r="B569" s="2718" t="str">
        <f t="shared" si="34"/>
        <v>Res. física excepcional (1)</v>
      </c>
      <c r="C569" s="2723">
        <f t="shared" si="35"/>
        <v>73</v>
      </c>
      <c r="D569" s="147" t="s">
        <v>3470</v>
      </c>
      <c r="E569" s="459">
        <v>2</v>
      </c>
      <c r="F569" s="459">
        <f>COUNTIF(Principal!$C$32:$J$50,Tablas!D569)</f>
        <v>0</v>
      </c>
      <c r="G569" s="2731">
        <f t="shared" si="37"/>
        <v>0</v>
      </c>
      <c r="H569" s="2736"/>
      <c r="I569" s="2740" t="s">
        <v>3965</v>
      </c>
      <c r="N569" s="447"/>
    </row>
    <row r="570" spans="2:23" ht="12.75" customHeight="1" x14ac:dyDescent="0.2">
      <c r="B570" s="2718" t="str">
        <f t="shared" si="34"/>
        <v>Res. física excepcional (2)</v>
      </c>
      <c r="C570" s="2723">
        <f t="shared" si="35"/>
        <v>74</v>
      </c>
      <c r="D570" s="147" t="s">
        <v>3471</v>
      </c>
      <c r="E570" s="459">
        <v>3</v>
      </c>
      <c r="F570" s="459">
        <f>COUNTIF(Principal!$C$32:$J$50,Tablas!D570)</f>
        <v>0</v>
      </c>
      <c r="G570" s="2731">
        <f t="shared" si="37"/>
        <v>0</v>
      </c>
      <c r="H570" s="2736"/>
      <c r="I570" s="2740" t="s">
        <v>3965</v>
      </c>
      <c r="N570" s="447"/>
    </row>
    <row r="571" spans="2:23" ht="12.75" customHeight="1" x14ac:dyDescent="0.2">
      <c r="B571" s="2718" t="str">
        <f t="shared" si="34"/>
        <v>Res. mágica excepcional (1)</v>
      </c>
      <c r="C571" s="2723">
        <f t="shared" si="35"/>
        <v>111</v>
      </c>
      <c r="D571" s="147" t="s">
        <v>3472</v>
      </c>
      <c r="E571" s="459">
        <v>2</v>
      </c>
      <c r="F571" s="459">
        <f>COUNTIF(Principal!$C$32:$J$50,Tablas!D571)</f>
        <v>0</v>
      </c>
      <c r="G571" s="2731">
        <f t="shared" si="37"/>
        <v>0</v>
      </c>
      <c r="H571" s="2736"/>
      <c r="I571" s="2740" t="s">
        <v>3965</v>
      </c>
      <c r="N571" s="447"/>
    </row>
    <row r="572" spans="2:23" ht="12.75" customHeight="1" x14ac:dyDescent="0.2">
      <c r="B572" s="2718" t="str">
        <f t="shared" si="34"/>
        <v>Res. mágica excepcional (2)</v>
      </c>
      <c r="C572" s="2723">
        <f t="shared" si="35"/>
        <v>106</v>
      </c>
      <c r="D572" s="147" t="s">
        <v>3473</v>
      </c>
      <c r="E572" s="459">
        <v>3</v>
      </c>
      <c r="F572" s="459">
        <f>COUNTIF(Principal!$C$32:$J$50,Tablas!D572)</f>
        <v>0</v>
      </c>
      <c r="G572" s="2731">
        <f t="shared" si="37"/>
        <v>0</v>
      </c>
      <c r="H572" s="2736">
        <v>1</v>
      </c>
      <c r="I572" s="2740" t="s">
        <v>3965</v>
      </c>
      <c r="N572" s="447"/>
    </row>
    <row r="573" spans="2:23" ht="12.75" customHeight="1" x14ac:dyDescent="0.2">
      <c r="B573" s="2718" t="str">
        <f t="shared" si="34"/>
        <v>Res. psi. excepcional (1)</v>
      </c>
      <c r="C573" s="2723">
        <f t="shared" si="35"/>
        <v>108</v>
      </c>
      <c r="D573" s="147" t="s">
        <v>3474</v>
      </c>
      <c r="E573" s="459">
        <v>3</v>
      </c>
      <c r="F573" s="459">
        <f>COUNTIF(Principal!$C$32:$J$50,Tablas!D573)</f>
        <v>0</v>
      </c>
      <c r="G573" s="2731">
        <f t="shared" si="37"/>
        <v>0</v>
      </c>
      <c r="H573" s="2736">
        <v>1</v>
      </c>
      <c r="I573" s="2740" t="s">
        <v>3965</v>
      </c>
      <c r="N573" s="447"/>
    </row>
    <row r="574" spans="2:23" ht="12.75" customHeight="1" x14ac:dyDescent="0.2">
      <c r="B574" s="2718" t="str">
        <f t="shared" si="34"/>
        <v>Res. psi. excepcional (2)</v>
      </c>
      <c r="C574" s="2723">
        <f t="shared" si="35"/>
        <v>107</v>
      </c>
      <c r="D574" s="147" t="s">
        <v>3475</v>
      </c>
      <c r="E574" s="459">
        <v>3</v>
      </c>
      <c r="F574" s="459">
        <f>COUNTIF(Principal!$C$32:$J$50,Tablas!D574)</f>
        <v>0</v>
      </c>
      <c r="G574" s="2731">
        <f t="shared" si="37"/>
        <v>0</v>
      </c>
      <c r="H574" s="2736">
        <v>1</v>
      </c>
      <c r="I574" s="2740" t="s">
        <v>3965</v>
      </c>
      <c r="N574" s="447"/>
    </row>
    <row r="575" spans="2:23" ht="12.75" customHeight="1" x14ac:dyDescent="0.2">
      <c r="B575" s="2718" t="str">
        <f t="shared" si="34"/>
        <v>Seductor</v>
      </c>
      <c r="C575" s="2723">
        <f t="shared" si="35"/>
        <v>47</v>
      </c>
      <c r="D575" s="147" t="s">
        <v>3476</v>
      </c>
      <c r="E575" s="459">
        <v>2</v>
      </c>
      <c r="F575" s="459">
        <f>COUNTIF(Principal!$C$32:$J$50,Tablas!D575)</f>
        <v>0</v>
      </c>
      <c r="G575" s="2731">
        <f t="shared" si="37"/>
        <v>0</v>
      </c>
      <c r="H575" s="2736">
        <v>1</v>
      </c>
      <c r="I575" s="2740" t="s">
        <v>3965</v>
      </c>
      <c r="N575" s="447"/>
    </row>
    <row r="576" spans="2:23" ht="12.75" customHeight="1" x14ac:dyDescent="0.2">
      <c r="B576" s="2718" t="str">
        <f t="shared" si="34"/>
        <v>Sellos magistrales</v>
      </c>
      <c r="C576" s="2723">
        <f t="shared" si="35"/>
        <v>127</v>
      </c>
      <c r="D576" s="147" t="s">
        <v>3477</v>
      </c>
      <c r="E576" s="459">
        <v>1</v>
      </c>
      <c r="F576" s="459">
        <f>COUNTIF(Principal!$C$32:$J$50,Tablas!D576)</f>
        <v>0</v>
      </c>
      <c r="G576" s="2731">
        <f t="shared" si="37"/>
        <v>0</v>
      </c>
      <c r="H576" s="2736">
        <v>1</v>
      </c>
      <c r="I576" s="2740" t="s">
        <v>3965</v>
      </c>
      <c r="N576" s="447"/>
    </row>
    <row r="577" spans="2:14" ht="12.75" customHeight="1" x14ac:dyDescent="0.2">
      <c r="B577" s="2718" t="str">
        <f t="shared" si="34"/>
        <v>Sentido del combate: Ataque</v>
      </c>
      <c r="C577" s="2723">
        <f t="shared" si="35"/>
        <v>128</v>
      </c>
      <c r="D577" s="147" t="s">
        <v>3478</v>
      </c>
      <c r="E577" s="459">
        <v>2</v>
      </c>
      <c r="F577" s="459">
        <f>COUNTIF(Principal!$C$32:$J$50,Tablas!D577)</f>
        <v>0</v>
      </c>
      <c r="G577" s="2731">
        <f t="shared" si="37"/>
        <v>0</v>
      </c>
      <c r="H577" s="2736">
        <v>1</v>
      </c>
      <c r="I577" s="2740" t="s">
        <v>3965</v>
      </c>
      <c r="N577" s="447"/>
    </row>
    <row r="578" spans="2:14" ht="12.75" customHeight="1" x14ac:dyDescent="0.2">
      <c r="B578" s="2718" t="str">
        <f t="shared" si="34"/>
        <v>Sentido del combate: Esquiva</v>
      </c>
      <c r="C578" s="2723">
        <f t="shared" si="35"/>
        <v>129</v>
      </c>
      <c r="D578" s="147" t="s">
        <v>3479</v>
      </c>
      <c r="E578" s="459">
        <v>3</v>
      </c>
      <c r="F578" s="459">
        <f>COUNTIF(Principal!$C$32:$J$50,Tablas!D578)</f>
        <v>0</v>
      </c>
      <c r="G578" s="2731">
        <f t="shared" si="37"/>
        <v>0</v>
      </c>
      <c r="H578" s="2736">
        <v>1</v>
      </c>
      <c r="I578" s="2740" t="s">
        <v>3965</v>
      </c>
      <c r="N578" s="447"/>
    </row>
    <row r="579" spans="2:14" ht="12.75" customHeight="1" x14ac:dyDescent="0.2">
      <c r="B579" s="2718" t="str">
        <f t="shared" si="34"/>
        <v>Sentido del combate: Parada</v>
      </c>
      <c r="C579" s="2723">
        <f t="shared" si="35"/>
        <v>131</v>
      </c>
      <c r="D579" s="147" t="s">
        <v>3480</v>
      </c>
      <c r="E579" s="459">
        <v>1</v>
      </c>
      <c r="F579" s="459">
        <f>COUNTIF(Principal!$C$32:$J$50,Tablas!D579)</f>
        <v>0</v>
      </c>
      <c r="G579" s="2731">
        <f t="shared" si="37"/>
        <v>0</v>
      </c>
      <c r="H579" s="2736">
        <v>1</v>
      </c>
      <c r="I579" s="2740" t="s">
        <v>3965</v>
      </c>
      <c r="N579" s="447"/>
    </row>
    <row r="580" spans="2:14" ht="12.75" customHeight="1" x14ac:dyDescent="0.2">
      <c r="B580" s="2718" t="str">
        <f t="shared" si="34"/>
        <v>Sentido del peligro</v>
      </c>
      <c r="C580" s="2723">
        <f t="shared" si="35"/>
        <v>113</v>
      </c>
      <c r="D580" s="147" t="s">
        <v>3481</v>
      </c>
      <c r="E580" s="459">
        <v>1</v>
      </c>
      <c r="F580" s="459">
        <f>COUNTIF(Principal!$C$32:$J$50,Tablas!D580)</f>
        <v>0</v>
      </c>
      <c r="G580" s="2731">
        <f t="shared" si="37"/>
        <v>0</v>
      </c>
      <c r="H580" s="2736"/>
      <c r="I580" s="2740" t="s">
        <v>3965</v>
      </c>
      <c r="N580" s="447"/>
    </row>
    <row r="581" spans="2:14" ht="12.75" customHeight="1" x14ac:dyDescent="0.2">
      <c r="B581" s="2718" t="str">
        <f t="shared" si="34"/>
        <v>Sentidos agudos</v>
      </c>
      <c r="C581" s="2723">
        <f t="shared" si="35"/>
        <v>126</v>
      </c>
      <c r="D581" s="147" t="s">
        <v>3482</v>
      </c>
      <c r="E581" s="459">
        <v>1</v>
      </c>
      <c r="F581" s="459">
        <f>COUNTIF(Principal!$C$32:$J$50,Tablas!D581)</f>
        <v>0</v>
      </c>
      <c r="G581" s="2731">
        <f t="shared" si="37"/>
        <v>0</v>
      </c>
      <c r="H581" s="2736"/>
      <c r="I581" s="2740" t="s">
        <v>3965</v>
      </c>
      <c r="N581" s="447"/>
    </row>
    <row r="582" spans="2:14" ht="12.75" customHeight="1" x14ac:dyDescent="0.2">
      <c r="B582" s="2718" t="str">
        <f t="shared" si="34"/>
        <v>Sin límite de familiares</v>
      </c>
      <c r="C582" s="2723">
        <f t="shared" si="35"/>
        <v>71</v>
      </c>
      <c r="D582" s="147" t="s">
        <v>3483</v>
      </c>
      <c r="E582" s="459">
        <v>1</v>
      </c>
      <c r="F582" s="459">
        <f>COUNTIF(Principal!$C$32:$J$50,Tablas!D582)</f>
        <v>0</v>
      </c>
      <c r="G582" s="2731">
        <f t="shared" si="37"/>
        <v>0</v>
      </c>
      <c r="H582" s="2736"/>
      <c r="I582" s="2740" t="s">
        <v>3965</v>
      </c>
      <c r="N582" s="447"/>
    </row>
    <row r="583" spans="2:14" ht="12.75" customHeight="1" x14ac:dyDescent="0.2">
      <c r="B583" s="2718" t="str">
        <f t="shared" si="34"/>
        <v>Sueño ligero</v>
      </c>
      <c r="C583" s="2723">
        <f t="shared" si="35"/>
        <v>66</v>
      </c>
      <c r="D583" s="147" t="s">
        <v>3484</v>
      </c>
      <c r="E583" s="459">
        <v>1</v>
      </c>
      <c r="F583" s="459">
        <f>COUNTIF(Principal!$C$32:$J$50,Tablas!D583)</f>
        <v>0</v>
      </c>
      <c r="G583" s="2731">
        <f t="shared" si="37"/>
        <v>0</v>
      </c>
      <c r="H583" s="2736">
        <v>2</v>
      </c>
      <c r="I583" s="2740" t="s">
        <v>3965</v>
      </c>
      <c r="N583" s="447"/>
    </row>
    <row r="584" spans="2:14" ht="12.75" customHeight="1" x14ac:dyDescent="0.2">
      <c r="B584" s="2718" t="str">
        <f t="shared" si="34"/>
        <v>Superviviente</v>
      </c>
      <c r="C584" s="2723">
        <f t="shared" si="35"/>
        <v>78</v>
      </c>
      <c r="D584" s="147" t="s">
        <v>3485</v>
      </c>
      <c r="E584" s="459">
        <v>1</v>
      </c>
      <c r="F584" s="459">
        <f>COUNTIF(Principal!$C$32:$J$50,Tablas!D584)</f>
        <v>0</v>
      </c>
      <c r="G584" s="2731">
        <f t="shared" si="37"/>
        <v>0</v>
      </c>
      <c r="H584" s="2736"/>
      <c r="I584" s="2740" t="s">
        <v>3965</v>
      </c>
      <c r="N584" s="447"/>
    </row>
    <row r="585" spans="2:14" ht="12.75" customHeight="1" x14ac:dyDescent="0.2">
      <c r="B585" s="2720" t="str">
        <f t="shared" si="34"/>
        <v>Sustituir característica por 9</v>
      </c>
      <c r="C585" s="2723">
        <f t="shared" si="35"/>
        <v>104</v>
      </c>
      <c r="D585" s="147" t="s">
        <v>3486</v>
      </c>
      <c r="E585" s="459">
        <v>1</v>
      </c>
      <c r="F585" s="459">
        <f>COUNTIF(Principal!$C$32:$J$50,Tablas!D585)</f>
        <v>0</v>
      </c>
      <c r="G585" s="2731">
        <f t="shared" si="37"/>
        <v>0</v>
      </c>
      <c r="H585" s="2736"/>
      <c r="I585" s="2740" t="s">
        <v>3965</v>
      </c>
      <c r="N585" s="447"/>
    </row>
    <row r="586" spans="2:14" ht="12.75" customHeight="1" x14ac:dyDescent="0.2">
      <c r="B586" s="2720" t="str">
        <f t="shared" si="34"/>
        <v>Tamaño no natural +1</v>
      </c>
      <c r="C586" s="2723">
        <f t="shared" si="35"/>
        <v>-3</v>
      </c>
      <c r="D586" s="147" t="s">
        <v>3504</v>
      </c>
      <c r="E586" s="459"/>
      <c r="F586" s="459"/>
      <c r="G586" s="2731"/>
      <c r="H586" s="2736"/>
      <c r="I586" s="2740" t="s">
        <v>3965</v>
      </c>
      <c r="N586" s="447"/>
    </row>
    <row r="587" spans="2:14" ht="12.75" customHeight="1" x14ac:dyDescent="0.2">
      <c r="B587" s="2720" t="str">
        <f t="shared" si="34"/>
        <v>Tamaño no natural +2</v>
      </c>
      <c r="C587" s="2723">
        <f t="shared" si="35"/>
        <v>8</v>
      </c>
      <c r="D587" s="147" t="s">
        <v>3505</v>
      </c>
      <c r="E587" s="459">
        <v>2</v>
      </c>
      <c r="F587" s="459">
        <f>COUNTIF(Principal!$C$32:$J$50,Tablas!D587)</f>
        <v>0</v>
      </c>
      <c r="G587" s="2731">
        <f t="shared" ref="G587:G597" si="38">F587*E587</f>
        <v>0</v>
      </c>
      <c r="H587" s="2736"/>
      <c r="I587" s="2740" t="s">
        <v>3965</v>
      </c>
      <c r="N587" s="447"/>
    </row>
    <row r="588" spans="2:14" ht="12.75" customHeight="1" x14ac:dyDescent="0.2">
      <c r="B588" s="2720" t="str">
        <f t="shared" si="34"/>
        <v>Tamaño no natural +3</v>
      </c>
      <c r="C588" s="2723">
        <f t="shared" si="35"/>
        <v>31</v>
      </c>
      <c r="D588" s="147" t="s">
        <v>3506</v>
      </c>
      <c r="E588" s="459">
        <v>1</v>
      </c>
      <c r="F588" s="459">
        <f>COUNTIF(Principal!$C$32:$J$50,Tablas!D588)</f>
        <v>0</v>
      </c>
      <c r="G588" s="2731">
        <f t="shared" si="38"/>
        <v>0</v>
      </c>
      <c r="H588" s="2736"/>
      <c r="I588" s="2740" t="s">
        <v>3965</v>
      </c>
      <c r="N588" s="447"/>
    </row>
    <row r="589" spans="2:14" ht="12.75" customHeight="1" x14ac:dyDescent="0.2">
      <c r="B589" s="2720" t="str">
        <f t="shared" si="34"/>
        <v>Tamaño no natural +4</v>
      </c>
      <c r="C589" s="2723">
        <f t="shared" si="35"/>
        <v>77</v>
      </c>
      <c r="D589" s="147" t="s">
        <v>3507</v>
      </c>
      <c r="E589" s="459">
        <v>1</v>
      </c>
      <c r="F589" s="459">
        <f>COUNTIF(Principal!$C$32:$J$50,Tablas!D589)</f>
        <v>0</v>
      </c>
      <c r="G589" s="2731">
        <f t="shared" si="38"/>
        <v>0</v>
      </c>
      <c r="H589" s="2736">
        <v>1</v>
      </c>
      <c r="I589" s="2740" t="s">
        <v>3965</v>
      </c>
      <c r="N589" s="447"/>
    </row>
    <row r="590" spans="2:14" ht="12.75" customHeight="1" x14ac:dyDescent="0.2">
      <c r="B590" s="2720" t="str">
        <f t="shared" si="34"/>
        <v>Tamaño no natural +5</v>
      </c>
      <c r="C590" s="2723">
        <f t="shared" si="35"/>
        <v>87</v>
      </c>
      <c r="D590" s="147" t="s">
        <v>3508</v>
      </c>
      <c r="E590" s="459">
        <v>1</v>
      </c>
      <c r="F590" s="459">
        <f>COUNTIF(Principal!$C$32:$J$50,Tablas!D590)</f>
        <v>0</v>
      </c>
      <c r="G590" s="2731">
        <f t="shared" si="38"/>
        <v>0</v>
      </c>
      <c r="H590" s="2736">
        <v>1</v>
      </c>
      <c r="I590" s="2740" t="s">
        <v>3965</v>
      </c>
      <c r="N590" s="447"/>
    </row>
    <row r="591" spans="2:14" ht="12.75" customHeight="1" x14ac:dyDescent="0.2">
      <c r="B591" s="2720" t="str">
        <f t="shared" si="34"/>
        <v>Tamaño no natural -1</v>
      </c>
      <c r="C591" s="2723">
        <f t="shared" si="35"/>
        <v>125</v>
      </c>
      <c r="D591" s="147" t="s">
        <v>3509</v>
      </c>
      <c r="E591" s="459">
        <v>1</v>
      </c>
      <c r="F591" s="459">
        <f>COUNTIF(Principal!$C$32:$J$50,Tablas!D591)</f>
        <v>0</v>
      </c>
      <c r="G591" s="2731">
        <f t="shared" si="38"/>
        <v>0</v>
      </c>
      <c r="H591" s="2736"/>
      <c r="I591" s="2740" t="s">
        <v>3965</v>
      </c>
      <c r="N591" s="447"/>
    </row>
    <row r="592" spans="2:14" ht="12.75" customHeight="1" x14ac:dyDescent="0.2">
      <c r="B592" s="2720" t="str">
        <f t="shared" si="34"/>
        <v>Tamaño no natural -2</v>
      </c>
      <c r="C592" s="2723">
        <f t="shared" si="35"/>
        <v>1</v>
      </c>
      <c r="D592" s="147" t="s">
        <v>3510</v>
      </c>
      <c r="E592" s="459">
        <v>1</v>
      </c>
      <c r="F592" s="459">
        <f>COUNTIF(Principal!$C$32:$J$50,Tablas!D592)</f>
        <v>0</v>
      </c>
      <c r="G592" s="2731">
        <f t="shared" si="38"/>
        <v>0</v>
      </c>
      <c r="H592" s="2736"/>
      <c r="I592" s="2740" t="s">
        <v>3965</v>
      </c>
      <c r="N592" s="447"/>
    </row>
    <row r="593" spans="2:14" ht="12.75" customHeight="1" x14ac:dyDescent="0.2">
      <c r="B593" s="2720" t="str">
        <f t="shared" si="34"/>
        <v>Tamaño no natural -3</v>
      </c>
      <c r="C593" s="2723">
        <f t="shared" si="35"/>
        <v>2</v>
      </c>
      <c r="D593" s="147" t="s">
        <v>3511</v>
      </c>
      <c r="E593" s="459">
        <v>2</v>
      </c>
      <c r="F593" s="459">
        <f>COUNTIF(Principal!$C$32:$J$50,Tablas!D593)</f>
        <v>0</v>
      </c>
      <c r="G593" s="2731">
        <f t="shared" si="38"/>
        <v>0</v>
      </c>
      <c r="H593" s="2736"/>
      <c r="I593" s="2740" t="s">
        <v>3965</v>
      </c>
      <c r="N593" s="447"/>
    </row>
    <row r="594" spans="2:14" ht="12.75" customHeight="1" x14ac:dyDescent="0.2">
      <c r="B594" s="2720" t="str">
        <f t="shared" si="34"/>
        <v>Tamaño no natural -4</v>
      </c>
      <c r="C594" s="2723">
        <f t="shared" si="35"/>
        <v>86</v>
      </c>
      <c r="D594" s="147" t="s">
        <v>3512</v>
      </c>
      <c r="E594" s="459">
        <v>1</v>
      </c>
      <c r="F594" s="459">
        <f>COUNTIF(Principal!$C$32:$J$50,Tablas!D594)</f>
        <v>0</v>
      </c>
      <c r="G594" s="2731">
        <f t="shared" si="38"/>
        <v>0</v>
      </c>
      <c r="H594" s="2736">
        <v>1</v>
      </c>
      <c r="I594" s="2740" t="s">
        <v>3965</v>
      </c>
      <c r="N594" s="447"/>
    </row>
    <row r="595" spans="2:14" ht="12.75" customHeight="1" x14ac:dyDescent="0.2">
      <c r="B595" s="2720" t="str">
        <f t="shared" si="34"/>
        <v>Tamaño no natural -5</v>
      </c>
      <c r="C595" s="2723">
        <f t="shared" si="35"/>
        <v>79</v>
      </c>
      <c r="D595" s="147" t="s">
        <v>3513</v>
      </c>
      <c r="E595" s="459">
        <v>1</v>
      </c>
      <c r="F595" s="459">
        <f>COUNTIF(Principal!$C$32:$J$50,Tablas!D595)</f>
        <v>0</v>
      </c>
      <c r="G595" s="2731">
        <f t="shared" si="38"/>
        <v>0</v>
      </c>
      <c r="H595" s="2736">
        <v>1</v>
      </c>
      <c r="I595" s="2740" t="s">
        <v>3965</v>
      </c>
      <c r="N595" s="447"/>
    </row>
    <row r="596" spans="2:14" ht="12.75" customHeight="1" x14ac:dyDescent="0.2">
      <c r="B596" s="2720" t="str">
        <f t="shared" si="34"/>
        <v>Técnicas desvinculadas</v>
      </c>
      <c r="C596" s="2723">
        <f t="shared" si="35"/>
        <v>76</v>
      </c>
      <c r="D596" s="147" t="s">
        <v>3514</v>
      </c>
      <c r="E596" s="459">
        <v>1</v>
      </c>
      <c r="F596" s="459">
        <f>COUNTIF(Principal!$C$32:$J$50,Tablas!D596)</f>
        <v>0</v>
      </c>
      <c r="G596" s="2731">
        <f t="shared" si="38"/>
        <v>0</v>
      </c>
      <c r="H596" s="2736"/>
      <c r="I596" s="2740" t="s">
        <v>3965</v>
      </c>
      <c r="N596" s="447"/>
    </row>
    <row r="597" spans="2:14" ht="12.75" customHeight="1" x14ac:dyDescent="0.2">
      <c r="B597" s="2720" t="str">
        <f t="shared" si="34"/>
        <v>Tocado por el Destino</v>
      </c>
      <c r="C597" s="2723">
        <f t="shared" si="35"/>
        <v>105</v>
      </c>
      <c r="D597" s="147" t="s">
        <v>3515</v>
      </c>
      <c r="E597" s="459">
        <v>1</v>
      </c>
      <c r="F597" s="459">
        <f>COUNTIF(Principal!$C$32:$J$50,Tablas!D597)</f>
        <v>0</v>
      </c>
      <c r="G597" s="2731">
        <f t="shared" si="38"/>
        <v>0</v>
      </c>
      <c r="H597" s="2736"/>
      <c r="I597" s="2740" t="s">
        <v>3965</v>
      </c>
      <c r="N597" s="447"/>
    </row>
    <row r="598" spans="2:14" ht="12.75" customHeight="1" x14ac:dyDescent="0.2">
      <c r="B598" s="2720" t="str">
        <f t="shared" si="34"/>
        <v>Uso de armadura (1)</v>
      </c>
      <c r="C598" s="2723">
        <f t="shared" si="35"/>
        <v>-4</v>
      </c>
      <c r="D598" s="147" t="s">
        <v>3516</v>
      </c>
      <c r="E598" s="459"/>
      <c r="F598" s="459"/>
      <c r="G598" s="2731"/>
      <c r="H598" s="2736"/>
      <c r="I598" s="2740" t="s">
        <v>3965</v>
      </c>
      <c r="N598" s="447"/>
    </row>
    <row r="599" spans="2:14" ht="12.75" customHeight="1" x14ac:dyDescent="0.2">
      <c r="B599" s="2720" t="str">
        <f t="shared" si="34"/>
        <v>Uso de armadura (2)</v>
      </c>
      <c r="C599" s="2723">
        <f t="shared" si="35"/>
        <v>58</v>
      </c>
      <c r="D599" s="147" t="s">
        <v>3517</v>
      </c>
      <c r="E599" s="459">
        <v>1</v>
      </c>
      <c r="F599" s="459">
        <f>COUNTIF(Principal!$C$32:$J$50,Tablas!D599)</f>
        <v>0</v>
      </c>
      <c r="G599" s="2731">
        <f t="shared" ref="G599:G605" si="39">F599*E599</f>
        <v>0</v>
      </c>
      <c r="H599" s="2736"/>
      <c r="I599" s="2740" t="s">
        <v>3965</v>
      </c>
      <c r="N599" s="447"/>
    </row>
    <row r="600" spans="2:14" ht="12.75" customHeight="1" x14ac:dyDescent="0.2">
      <c r="B600" s="2720" t="str">
        <f t="shared" si="34"/>
        <v>Uso de armadura (3)</v>
      </c>
      <c r="C600" s="2723">
        <f t="shared" si="35"/>
        <v>63</v>
      </c>
      <c r="D600" s="147" t="s">
        <v>8724</v>
      </c>
      <c r="E600" s="459">
        <v>1</v>
      </c>
      <c r="F600" s="459">
        <f>COUNTIF(Principal!$C$32:$J$50,Tablas!D600)</f>
        <v>0</v>
      </c>
      <c r="G600" s="2731">
        <f t="shared" si="39"/>
        <v>0</v>
      </c>
      <c r="H600" s="2736"/>
      <c r="I600" s="2740" t="s">
        <v>3965</v>
      </c>
      <c r="N600" s="447"/>
    </row>
    <row r="601" spans="2:14" ht="12.75" customHeight="1" x14ac:dyDescent="0.2">
      <c r="B601" s="2720" t="str">
        <f t="shared" ref="B601:B603" si="40">VLOOKUP(A130,$C$472:$D$612,2,0)</f>
        <v>Ver lo sobrenatural</v>
      </c>
      <c r="C601" s="2723">
        <f t="shared" ref="C601:C608" si="41">COUNTIF($D$471:$D$607,"&lt;="&amp;D601)-COUNTIF($D$471:$D$607,"*&gt;*")</f>
        <v>64</v>
      </c>
      <c r="D601" s="147" t="s">
        <v>3518</v>
      </c>
      <c r="E601" s="459">
        <v>2</v>
      </c>
      <c r="F601" s="459">
        <f>COUNTIF(Principal!$C$32:$J$50,Tablas!D601)</f>
        <v>0</v>
      </c>
      <c r="G601" s="2731">
        <f t="shared" si="39"/>
        <v>0</v>
      </c>
      <c r="H601" s="2736"/>
      <c r="I601" s="2740" t="s">
        <v>3965</v>
      </c>
      <c r="N601" s="447"/>
    </row>
    <row r="602" spans="2:14" ht="12.75" customHeight="1" x14ac:dyDescent="0.2">
      <c r="B602" s="2720" t="str">
        <f t="shared" si="40"/>
        <v>Versátil</v>
      </c>
      <c r="C602" s="2723">
        <f t="shared" si="41"/>
        <v>65</v>
      </c>
      <c r="D602" s="147" t="s">
        <v>3519</v>
      </c>
      <c r="E602" s="459">
        <v>3</v>
      </c>
      <c r="F602" s="459">
        <f>COUNTIF(Principal!$C$32:$J$50,Tablas!D602)</f>
        <v>0</v>
      </c>
      <c r="G602" s="2731">
        <f t="shared" si="39"/>
        <v>0</v>
      </c>
      <c r="H602" s="2736"/>
      <c r="I602" s="2740" t="s">
        <v>3965</v>
      </c>
      <c r="N602" s="447"/>
    </row>
    <row r="603" spans="2:14" ht="12.75" customHeight="1" x14ac:dyDescent="0.2">
      <c r="B603" s="2720" t="str">
        <f t="shared" si="40"/>
        <v>Visión nocturna</v>
      </c>
      <c r="C603" s="2723">
        <f t="shared" si="41"/>
        <v>50</v>
      </c>
      <c r="D603" s="147" t="s">
        <v>3520</v>
      </c>
      <c r="E603" s="459">
        <v>1</v>
      </c>
      <c r="F603" s="459">
        <f>COUNTIF(Principal!$C$32:$J$50,Tablas!D603)</f>
        <v>0</v>
      </c>
      <c r="G603" s="2731">
        <f t="shared" si="39"/>
        <v>0</v>
      </c>
      <c r="H603" s="2736">
        <v>1</v>
      </c>
      <c r="I603" s="2740" t="s">
        <v>3965</v>
      </c>
      <c r="N603" s="447"/>
    </row>
    <row r="604" spans="2:14" ht="12.75" customHeight="1" x14ac:dyDescent="0.2">
      <c r="B604" s="2720" t="str">
        <f>D608</f>
        <v>&gt; VENTAJAS PRESONALIZADAS</v>
      </c>
      <c r="C604" s="2723">
        <f t="shared" si="41"/>
        <v>51</v>
      </c>
      <c r="D604" s="147" t="s">
        <v>3521</v>
      </c>
      <c r="E604" s="459">
        <v>2</v>
      </c>
      <c r="F604" s="459">
        <f>COUNTIF(Principal!$C$32:$J$50,Tablas!D604)</f>
        <v>0</v>
      </c>
      <c r="G604" s="2731">
        <f t="shared" si="39"/>
        <v>0</v>
      </c>
      <c r="H604" s="2736">
        <v>1</v>
      </c>
      <c r="I604" s="2740" t="s">
        <v>3965</v>
      </c>
      <c r="N604" s="447"/>
    </row>
    <row r="605" spans="2:14" ht="12.75" customHeight="1" x14ac:dyDescent="0.2">
      <c r="B605" s="2720" t="str">
        <f t="shared" ref="B605:B608" si="42">D609</f>
        <v>Ventaja #1</v>
      </c>
      <c r="C605" s="2723">
        <f t="shared" si="41"/>
        <v>52</v>
      </c>
      <c r="D605" s="147" t="s">
        <v>3522</v>
      </c>
      <c r="E605" s="459">
        <v>3</v>
      </c>
      <c r="F605" s="459">
        <f>COUNTIF(Principal!$C$32:$J$50,Tablas!D605)</f>
        <v>0</v>
      </c>
      <c r="G605" s="2731">
        <f t="shared" si="39"/>
        <v>0</v>
      </c>
      <c r="H605" s="2736">
        <v>1</v>
      </c>
      <c r="I605" s="2740" t="s">
        <v>3965</v>
      </c>
      <c r="N605" s="447"/>
    </row>
    <row r="606" spans="2:14" ht="12.75" customHeight="1" x14ac:dyDescent="0.2">
      <c r="B606" s="2720" t="str">
        <f t="shared" si="42"/>
        <v>Ventaja #2</v>
      </c>
      <c r="C606" s="2723">
        <f t="shared" si="41"/>
        <v>-2</v>
      </c>
      <c r="D606" s="147" t="s">
        <v>3527</v>
      </c>
      <c r="E606" s="459"/>
      <c r="F606" s="459"/>
      <c r="G606" s="2731"/>
      <c r="H606" s="2736"/>
      <c r="I606" s="2740" t="s">
        <v>3965</v>
      </c>
      <c r="N606" s="447"/>
    </row>
    <row r="607" spans="2:14" ht="12.75" customHeight="1" x14ac:dyDescent="0.2">
      <c r="B607" s="2720" t="str">
        <f t="shared" si="42"/>
        <v>Ventaja #3</v>
      </c>
      <c r="C607" s="2723">
        <f t="shared" si="41"/>
        <v>10</v>
      </c>
      <c r="D607" s="147" t="s">
        <v>3528</v>
      </c>
      <c r="E607" s="459">
        <v>1</v>
      </c>
      <c r="F607" s="459">
        <f>COUNTIF(Principal!$C$32:$J$50,Tablas!D607)</f>
        <v>0</v>
      </c>
      <c r="G607" s="2731">
        <f>F607*E607</f>
        <v>0</v>
      </c>
      <c r="H607" s="2736"/>
      <c r="I607" s="2740" t="s">
        <v>3965</v>
      </c>
      <c r="N607" s="447"/>
    </row>
    <row r="608" spans="2:14" ht="12.75" customHeight="1" x14ac:dyDescent="0.2">
      <c r="B608" s="2720" t="str">
        <f t="shared" si="42"/>
        <v>Ventaja #4</v>
      </c>
      <c r="C608" s="2723">
        <f t="shared" si="41"/>
        <v>0</v>
      </c>
      <c r="D608" s="147" t="s">
        <v>3529</v>
      </c>
      <c r="E608" s="459"/>
      <c r="F608" s="459"/>
      <c r="G608" s="2731"/>
      <c r="H608" s="2736"/>
      <c r="I608" s="2740" t="s">
        <v>3965</v>
      </c>
      <c r="N608" s="447"/>
    </row>
    <row r="609" spans="2:14" ht="12.75" customHeight="1" x14ac:dyDescent="0.2">
      <c r="B609" s="2720"/>
      <c r="C609" s="2723">
        <f>MAX(C472:C608)+1</f>
        <v>133</v>
      </c>
      <c r="D609" s="147" t="str">
        <f>IF('Elan y Personalización'!V16=0,"Ventaja #1",'Elan y Personalización'!V16)</f>
        <v>Ventaja #1</v>
      </c>
      <c r="E609" s="459">
        <f>'Elan y Personalización'!Z16</f>
        <v>0</v>
      </c>
      <c r="F609" s="459">
        <f>COUNTIF(Principal!$C$32:$J$50,Tablas!D609)</f>
        <v>0</v>
      </c>
      <c r="G609" s="2731">
        <f>F609*E609</f>
        <v>0</v>
      </c>
      <c r="H609" s="2736"/>
      <c r="I609" s="2740" t="s">
        <v>3965</v>
      </c>
      <c r="N609" s="447"/>
    </row>
    <row r="610" spans="2:14" ht="12.75" customHeight="1" x14ac:dyDescent="0.2">
      <c r="B610" s="2720"/>
      <c r="C610" s="2723">
        <f>C609+1</f>
        <v>134</v>
      </c>
      <c r="D610" s="147" t="str">
        <f>IF('Elan y Personalización'!V17=0,"Ventaja #2",'Elan y Personalización'!V17)</f>
        <v>Ventaja #2</v>
      </c>
      <c r="E610" s="459">
        <f>'Elan y Personalización'!Z17</f>
        <v>0</v>
      </c>
      <c r="F610" s="459">
        <f>COUNTIF(Principal!$C$32:$J$50,Tablas!D610)</f>
        <v>0</v>
      </c>
      <c r="G610" s="2731">
        <f>F610*E610</f>
        <v>0</v>
      </c>
      <c r="H610" s="2736"/>
      <c r="I610" s="2740" t="s">
        <v>3965</v>
      </c>
      <c r="N610" s="447"/>
    </row>
    <row r="611" spans="2:14" ht="12.75" customHeight="1" x14ac:dyDescent="0.2">
      <c r="B611" s="2720"/>
      <c r="C611" s="2723">
        <f>C610+1</f>
        <v>135</v>
      </c>
      <c r="D611" s="147" t="str">
        <f>IF('Elan y Personalización'!V18=0,"Ventaja #3",'Elan y Personalización'!V18)</f>
        <v>Ventaja #3</v>
      </c>
      <c r="E611" s="459">
        <f>'Elan y Personalización'!Z18</f>
        <v>0</v>
      </c>
      <c r="F611" s="459">
        <f>COUNTIF(Principal!$C$32:$J$50,Tablas!D611)</f>
        <v>0</v>
      </c>
      <c r="G611" s="2731">
        <f>F611*E611</f>
        <v>0</v>
      </c>
      <c r="H611" s="2736"/>
      <c r="I611" s="2740" t="s">
        <v>3965</v>
      </c>
      <c r="N611" s="447"/>
    </row>
    <row r="612" spans="2:14" ht="12.75" customHeight="1" x14ac:dyDescent="0.2">
      <c r="B612" s="2722"/>
      <c r="C612" s="2723">
        <f>C611+1</f>
        <v>136</v>
      </c>
      <c r="D612" s="147" t="str">
        <f>IF('Elan y Personalización'!V19=0,"Ventaja #4",'Elan y Personalización'!V19)</f>
        <v>Ventaja #4</v>
      </c>
      <c r="E612" s="459">
        <f>'Elan y Personalización'!Z19</f>
        <v>0</v>
      </c>
      <c r="F612" s="459">
        <f>COUNTIF(Principal!$C$32:$J$50,Tablas!D612)</f>
        <v>0</v>
      </c>
      <c r="G612" s="2731">
        <f>F612*E612</f>
        <v>0</v>
      </c>
      <c r="H612" s="2736"/>
      <c r="I612" s="2740" t="s">
        <v>3965</v>
      </c>
      <c r="N612" s="447"/>
    </row>
    <row r="613" spans="2:14" ht="12.75" customHeight="1" x14ac:dyDescent="0.2">
      <c r="B613" s="1860"/>
      <c r="C613" s="2724"/>
      <c r="D613" s="2719" t="s">
        <v>3368</v>
      </c>
      <c r="E613" s="2271"/>
      <c r="F613" s="2271"/>
      <c r="G613" s="2732"/>
      <c r="H613" s="2735"/>
      <c r="I613" s="2739" t="s">
        <v>3303</v>
      </c>
      <c r="N613" s="447"/>
    </row>
    <row r="614" spans="2:14" ht="12.75" customHeight="1" x14ac:dyDescent="0.2">
      <c r="B614" s="1860"/>
      <c r="C614" s="2723">
        <f>COUNTIF($D$614:$D$657,"&lt;="&amp;D614)-COUNTIF($D$614:$D$657,"*&gt;*")</f>
        <v>39</v>
      </c>
      <c r="D614" s="147" t="s">
        <v>3369</v>
      </c>
      <c r="E614" s="459">
        <v>1</v>
      </c>
      <c r="F614" s="459">
        <f>COUNTIF(Principal!$C$32:$J$50,Tablas!D614)</f>
        <v>0</v>
      </c>
      <c r="G614" s="2731">
        <f t="shared" ref="G614:G646" si="43">F614*E614</f>
        <v>0</v>
      </c>
      <c r="H614" s="2736">
        <v>1</v>
      </c>
      <c r="I614" s="2740" t="s">
        <v>3303</v>
      </c>
      <c r="N614" s="447"/>
    </row>
    <row r="615" spans="2:14" ht="12.75" customHeight="1" x14ac:dyDescent="0.2">
      <c r="B615" s="1860" t="str">
        <f>D613</f>
        <v>&gt; VENTAJAS: DON</v>
      </c>
      <c r="C615" s="2723">
        <f t="shared" ref="C615:C657" si="44">COUNTIF($D$614:$D$657,"&lt;="&amp;D615)-COUNTIF($D$614:$D$657,"*&gt;*")</f>
        <v>40</v>
      </c>
      <c r="D615" s="147" t="s">
        <v>3370</v>
      </c>
      <c r="E615" s="459">
        <v>2</v>
      </c>
      <c r="F615" s="459">
        <f>COUNTIF(Principal!$C$32:$J$50,Tablas!D615)</f>
        <v>0</v>
      </c>
      <c r="G615" s="2731">
        <f t="shared" si="43"/>
        <v>0</v>
      </c>
      <c r="H615" s="2736">
        <v>1</v>
      </c>
      <c r="I615" s="2740" t="s">
        <v>3303</v>
      </c>
      <c r="N615" s="447"/>
    </row>
    <row r="616" spans="2:14" ht="12.75" customHeight="1" x14ac:dyDescent="0.2">
      <c r="B616" s="2720" t="str">
        <f t="shared" ref="B616:B657" si="45">VLOOKUP(A1,$C$614:$D$657,2,0)</f>
        <v>Aprendizaje mágico gradual</v>
      </c>
      <c r="C616" s="2723">
        <f t="shared" si="44"/>
        <v>41</v>
      </c>
      <c r="D616" s="147" t="s">
        <v>3371</v>
      </c>
      <c r="E616" s="459">
        <v>3</v>
      </c>
      <c r="F616" s="459">
        <f>COUNTIF(Principal!$C$32:$J$50,Tablas!D616)</f>
        <v>0</v>
      </c>
      <c r="G616" s="2731">
        <f t="shared" si="43"/>
        <v>0</v>
      </c>
      <c r="H616" s="2736">
        <v>1</v>
      </c>
      <c r="I616" s="2740" t="s">
        <v>3303</v>
      </c>
      <c r="N616" s="447"/>
    </row>
    <row r="617" spans="2:14" ht="12.75" customHeight="1" x14ac:dyDescent="0.2">
      <c r="B617" s="2720" t="str">
        <f t="shared" si="45"/>
        <v>Apto desarrollo de la magia</v>
      </c>
      <c r="C617" s="2723">
        <f t="shared" si="44"/>
        <v>2</v>
      </c>
      <c r="D617" s="147" t="s">
        <v>3372</v>
      </c>
      <c r="E617" s="459">
        <v>1</v>
      </c>
      <c r="F617" s="459">
        <f>COUNTIF(Principal!$C$32:$J$50,Tablas!D617)</f>
        <v>0</v>
      </c>
      <c r="G617" s="2731">
        <f t="shared" si="43"/>
        <v>0</v>
      </c>
      <c r="H617" s="2736">
        <v>1</v>
      </c>
      <c r="I617" s="2740" t="s">
        <v>3303</v>
      </c>
      <c r="N617" s="447"/>
    </row>
    <row r="618" spans="2:14" ht="12.75" customHeight="1" x14ac:dyDescent="0.2">
      <c r="B618" s="2720" t="str">
        <f t="shared" si="45"/>
        <v>Con. natural de Vía: Agua</v>
      </c>
      <c r="C618" s="2723">
        <f t="shared" si="44"/>
        <v>10</v>
      </c>
      <c r="D618" s="147" t="s">
        <v>3373</v>
      </c>
      <c r="E618" s="459">
        <v>1</v>
      </c>
      <c r="F618" s="459">
        <f>COUNTIF(Principal!$C$32:$J$50,Tablas!D618)</f>
        <v>0</v>
      </c>
      <c r="G618" s="2731">
        <f t="shared" si="43"/>
        <v>0</v>
      </c>
      <c r="H618" s="2736">
        <v>1</v>
      </c>
      <c r="I618" s="2740" t="s">
        <v>3303</v>
      </c>
      <c r="N618" s="447"/>
    </row>
    <row r="619" spans="2:14" ht="12.75" customHeight="1" x14ac:dyDescent="0.2">
      <c r="B619" s="2720" t="str">
        <f t="shared" si="45"/>
        <v>Con. natural de Vía: Aire</v>
      </c>
      <c r="C619" s="2723">
        <f t="shared" si="44"/>
        <v>12</v>
      </c>
      <c r="D619" s="147" t="s">
        <v>3374</v>
      </c>
      <c r="E619" s="459">
        <v>1</v>
      </c>
      <c r="F619" s="459">
        <f>COUNTIF(Principal!$C$32:$J$50,Tablas!D619)</f>
        <v>0</v>
      </c>
      <c r="G619" s="2731">
        <f t="shared" si="43"/>
        <v>0</v>
      </c>
      <c r="H619" s="2736">
        <v>1</v>
      </c>
      <c r="I619" s="2740" t="s">
        <v>3303</v>
      </c>
      <c r="N619" s="447"/>
    </row>
    <row r="620" spans="2:14" ht="12.75" customHeight="1" x14ac:dyDescent="0.2">
      <c r="B620" s="2720" t="str">
        <f t="shared" si="45"/>
        <v>Con. natural de Vía: Creación</v>
      </c>
      <c r="C620" s="2723">
        <f t="shared" si="44"/>
        <v>8</v>
      </c>
      <c r="D620" s="147" t="s">
        <v>3375</v>
      </c>
      <c r="E620" s="459">
        <v>1</v>
      </c>
      <c r="F620" s="459">
        <f>COUNTIF(Principal!$C$32:$J$50,Tablas!D620)</f>
        <v>0</v>
      </c>
      <c r="G620" s="2731">
        <f t="shared" si="43"/>
        <v>0</v>
      </c>
      <c r="H620" s="2736">
        <v>1</v>
      </c>
      <c r="I620" s="2740" t="s">
        <v>3303</v>
      </c>
      <c r="N620" s="447"/>
    </row>
    <row r="621" spans="2:14" ht="12.75" customHeight="1" x14ac:dyDescent="0.2">
      <c r="B621" s="2720" t="str">
        <f t="shared" si="45"/>
        <v>Con. natural de Vía: Destruc.</v>
      </c>
      <c r="C621" s="2723">
        <f t="shared" si="44"/>
        <v>3</v>
      </c>
      <c r="D621" s="147" t="s">
        <v>3376</v>
      </c>
      <c r="E621" s="459">
        <v>1</v>
      </c>
      <c r="F621" s="459">
        <f>COUNTIF(Principal!$C$32:$J$50,Tablas!D621)</f>
        <v>0</v>
      </c>
      <c r="G621" s="2731">
        <f t="shared" si="43"/>
        <v>0</v>
      </c>
      <c r="H621" s="2736">
        <v>1</v>
      </c>
      <c r="I621" s="2740" t="s">
        <v>3303</v>
      </c>
      <c r="N621" s="447"/>
    </row>
    <row r="622" spans="2:14" ht="12.75" customHeight="1" x14ac:dyDescent="0.2">
      <c r="B622" s="2720" t="str">
        <f t="shared" si="45"/>
        <v>Con. natural de Vía: Esencia</v>
      </c>
      <c r="C622" s="2723">
        <f t="shared" si="44"/>
        <v>4</v>
      </c>
      <c r="D622" s="147" t="s">
        <v>3377</v>
      </c>
      <c r="E622" s="459">
        <v>1</v>
      </c>
      <c r="F622" s="459">
        <f>COUNTIF(Principal!$C$32:$J$50,Tablas!D622)</f>
        <v>0</v>
      </c>
      <c r="G622" s="2731">
        <f t="shared" si="43"/>
        <v>0</v>
      </c>
      <c r="H622" s="2736">
        <v>1</v>
      </c>
      <c r="I622" s="2740" t="s">
        <v>3303</v>
      </c>
      <c r="N622" s="447"/>
    </row>
    <row r="623" spans="2:14" ht="12.75" customHeight="1" x14ac:dyDescent="0.2">
      <c r="B623" s="2720" t="str">
        <f t="shared" si="45"/>
        <v>Con. natural de Vía: Fuego</v>
      </c>
      <c r="C623" s="2723">
        <f t="shared" si="44"/>
        <v>13</v>
      </c>
      <c r="D623" s="147" t="s">
        <v>3378</v>
      </c>
      <c r="E623" s="459">
        <v>1</v>
      </c>
      <c r="F623" s="459">
        <f>COUNTIF(Principal!$C$32:$J$50,Tablas!D623)</f>
        <v>0</v>
      </c>
      <c r="G623" s="2731">
        <f t="shared" si="43"/>
        <v>0</v>
      </c>
      <c r="H623" s="2736">
        <v>1</v>
      </c>
      <c r="I623" s="2740" t="s">
        <v>3303</v>
      </c>
      <c r="N623" s="447"/>
    </row>
    <row r="624" spans="2:14" ht="12.75" customHeight="1" x14ac:dyDescent="0.2">
      <c r="B624" s="2720" t="str">
        <f t="shared" si="45"/>
        <v>Con. natural de Vía: Ilusión</v>
      </c>
      <c r="C624" s="2723">
        <f t="shared" si="44"/>
        <v>5</v>
      </c>
      <c r="D624" s="147" t="s">
        <v>3379</v>
      </c>
      <c r="E624" s="459">
        <v>1</v>
      </c>
      <c r="F624" s="459">
        <f>COUNTIF(Principal!$C$32:$J$50,Tablas!D624)</f>
        <v>0</v>
      </c>
      <c r="G624" s="2731">
        <f t="shared" si="43"/>
        <v>0</v>
      </c>
      <c r="H624" s="2736">
        <v>1</v>
      </c>
      <c r="I624" s="2740" t="s">
        <v>3303</v>
      </c>
      <c r="N624" s="447"/>
    </row>
    <row r="625" spans="2:14" ht="12.75" customHeight="1" x14ac:dyDescent="0.2">
      <c r="B625" s="2720" t="str">
        <f t="shared" si="45"/>
        <v>Con. natural de Vía: Luz</v>
      </c>
      <c r="C625" s="2723">
        <f t="shared" si="44"/>
        <v>6</v>
      </c>
      <c r="D625" s="147" t="s">
        <v>3380</v>
      </c>
      <c r="E625" s="459">
        <v>1</v>
      </c>
      <c r="F625" s="459">
        <f>COUNTIF(Principal!$C$32:$J$50,Tablas!D625)</f>
        <v>0</v>
      </c>
      <c r="G625" s="2731">
        <f t="shared" si="43"/>
        <v>0</v>
      </c>
      <c r="H625" s="2736">
        <v>1</v>
      </c>
      <c r="I625" s="2740" t="s">
        <v>3303</v>
      </c>
      <c r="N625" s="447"/>
    </row>
    <row r="626" spans="2:14" ht="12.75" customHeight="1" x14ac:dyDescent="0.2">
      <c r="B626" s="2720" t="str">
        <f t="shared" si="45"/>
        <v>Con. natural de Vía: Nigro.</v>
      </c>
      <c r="C626" s="2723">
        <f t="shared" si="44"/>
        <v>7</v>
      </c>
      <c r="D626" s="147" t="s">
        <v>3381</v>
      </c>
      <c r="E626" s="459">
        <v>1</v>
      </c>
      <c r="F626" s="459">
        <f>COUNTIF(Principal!$C$32:$J$50,Tablas!D626)</f>
        <v>0</v>
      </c>
      <c r="G626" s="2731">
        <f t="shared" si="43"/>
        <v>0</v>
      </c>
      <c r="H626" s="2736">
        <v>1</v>
      </c>
      <c r="I626" s="2740" t="s">
        <v>3303</v>
      </c>
      <c r="N626" s="447"/>
    </row>
    <row r="627" spans="2:14" ht="12.75" customHeight="1" x14ac:dyDescent="0.2">
      <c r="B627" s="2720" t="str">
        <f t="shared" si="45"/>
        <v>Con. natural de Vía: Osc.</v>
      </c>
      <c r="C627" s="2723">
        <f t="shared" si="44"/>
        <v>9</v>
      </c>
      <c r="D627" s="147" t="s">
        <v>3382</v>
      </c>
      <c r="E627" s="459">
        <v>1</v>
      </c>
      <c r="F627" s="459">
        <f>COUNTIF(Principal!$C$32:$J$50,Tablas!D627)</f>
        <v>0</v>
      </c>
      <c r="G627" s="2731">
        <f t="shared" si="43"/>
        <v>0</v>
      </c>
      <c r="H627" s="2736">
        <v>1</v>
      </c>
      <c r="I627" s="2740" t="s">
        <v>3303</v>
      </c>
      <c r="N627" s="447"/>
    </row>
    <row r="628" spans="2:14" ht="12.75" customHeight="1" x14ac:dyDescent="0.2">
      <c r="B628" s="2720" t="str">
        <f t="shared" si="45"/>
        <v>Con. natural de Vía: Tierra</v>
      </c>
      <c r="C628" s="2723">
        <f t="shared" si="44"/>
        <v>11</v>
      </c>
      <c r="D628" s="147" t="s">
        <v>3383</v>
      </c>
      <c r="E628" s="459">
        <v>1</v>
      </c>
      <c r="F628" s="459">
        <f>COUNTIF(Principal!$C$32:$J$50,Tablas!D628)</f>
        <v>0</v>
      </c>
      <c r="G628" s="2731">
        <f t="shared" si="43"/>
        <v>0</v>
      </c>
      <c r="H628" s="2736">
        <v>1</v>
      </c>
      <c r="I628" s="2740" t="s">
        <v>3303</v>
      </c>
      <c r="N628" s="447"/>
    </row>
    <row r="629" spans="2:14" ht="12.75" customHeight="1" x14ac:dyDescent="0.2">
      <c r="B629" s="2720" t="str">
        <f t="shared" si="45"/>
        <v>Des. elemental: Agua</v>
      </c>
      <c r="C629" s="2723">
        <f t="shared" si="44"/>
        <v>30</v>
      </c>
      <c r="D629" s="147" t="s">
        <v>3384</v>
      </c>
      <c r="E629" s="459">
        <v>1</v>
      </c>
      <c r="F629" s="459">
        <f>COUNTIF(Principal!$C$32:$J$50,Tablas!D629)</f>
        <v>0</v>
      </c>
      <c r="G629" s="2731">
        <f t="shared" si="43"/>
        <v>0</v>
      </c>
      <c r="H629" s="2736">
        <v>1</v>
      </c>
      <c r="I629" s="2740" t="s">
        <v>3303</v>
      </c>
      <c r="N629" s="447"/>
    </row>
    <row r="630" spans="2:14" ht="12.75" customHeight="1" x14ac:dyDescent="0.2">
      <c r="B630" s="2720" t="str">
        <f t="shared" si="45"/>
        <v>Des. elemental: Aire</v>
      </c>
      <c r="C630" s="2723">
        <f t="shared" si="44"/>
        <v>31</v>
      </c>
      <c r="D630" s="147" t="s">
        <v>3385</v>
      </c>
      <c r="E630" s="459">
        <v>2</v>
      </c>
      <c r="F630" s="459">
        <f>COUNTIF(Principal!$C$32:$J$50,Tablas!D630)</f>
        <v>0</v>
      </c>
      <c r="G630" s="2731">
        <f t="shared" si="43"/>
        <v>0</v>
      </c>
      <c r="H630" s="2736">
        <v>1</v>
      </c>
      <c r="I630" s="2740" t="s">
        <v>3303</v>
      </c>
      <c r="N630" s="447"/>
    </row>
    <row r="631" spans="2:14" ht="12.75" customHeight="1" x14ac:dyDescent="0.2">
      <c r="B631" s="2720" t="str">
        <f t="shared" si="45"/>
        <v>Des. elemental: Creación</v>
      </c>
      <c r="C631" s="2723">
        <f t="shared" si="44"/>
        <v>32</v>
      </c>
      <c r="D631" s="147" t="s">
        <v>3386</v>
      </c>
      <c r="E631" s="459">
        <v>3</v>
      </c>
      <c r="F631" s="459">
        <f>COUNTIF(Principal!$C$32:$J$50,Tablas!D631)</f>
        <v>0</v>
      </c>
      <c r="G631" s="2731">
        <f t="shared" si="43"/>
        <v>0</v>
      </c>
      <c r="H631" s="2736">
        <v>1</v>
      </c>
      <c r="I631" s="2740" t="s">
        <v>3303</v>
      </c>
      <c r="N631" s="447"/>
    </row>
    <row r="632" spans="2:14" ht="12.75" customHeight="1" x14ac:dyDescent="0.2">
      <c r="B632" s="2720" t="str">
        <f t="shared" si="45"/>
        <v>Des. elemental: Destrucción</v>
      </c>
      <c r="C632" s="2723">
        <f t="shared" si="44"/>
        <v>38</v>
      </c>
      <c r="D632" s="147" t="s">
        <v>3387</v>
      </c>
      <c r="E632" s="459">
        <v>1</v>
      </c>
      <c r="F632" s="459">
        <f>COUNTIF(Principal!$C$32:$J$50,Tablas!D632)</f>
        <v>0</v>
      </c>
      <c r="G632" s="2731">
        <f t="shared" si="43"/>
        <v>0</v>
      </c>
      <c r="H632" s="2736"/>
      <c r="I632" s="2740" t="s">
        <v>3303</v>
      </c>
      <c r="N632" s="447"/>
    </row>
    <row r="633" spans="2:14" ht="12.75" customHeight="1" x14ac:dyDescent="0.2">
      <c r="B633" s="2720" t="str">
        <f t="shared" si="45"/>
        <v>Des. elemental: Esencia</v>
      </c>
      <c r="C633" s="2723">
        <f t="shared" si="44"/>
        <v>29</v>
      </c>
      <c r="D633" s="147" t="s">
        <v>3388</v>
      </c>
      <c r="E633" s="459">
        <v>1</v>
      </c>
      <c r="F633" s="459">
        <f>COUNTIF(Principal!$C$32:$J$50,Tablas!D633)</f>
        <v>0</v>
      </c>
      <c r="G633" s="2731">
        <f t="shared" si="43"/>
        <v>0</v>
      </c>
      <c r="H633" s="2736"/>
      <c r="I633" s="2740" t="s">
        <v>3303</v>
      </c>
      <c r="N633" s="447"/>
    </row>
    <row r="634" spans="2:14" ht="12.75" customHeight="1" x14ac:dyDescent="0.2">
      <c r="B634" s="2720" t="str">
        <f t="shared" si="45"/>
        <v>Des. elemental: Fuego</v>
      </c>
      <c r="C634" s="2723">
        <f t="shared" si="44"/>
        <v>28</v>
      </c>
      <c r="D634" s="147" t="s">
        <v>3389</v>
      </c>
      <c r="E634" s="459">
        <v>1</v>
      </c>
      <c r="F634" s="459">
        <f>COUNTIF(Principal!$C$32:$J$50,Tablas!D634)</f>
        <v>0</v>
      </c>
      <c r="G634" s="2731">
        <f t="shared" si="43"/>
        <v>0</v>
      </c>
      <c r="H634" s="2736"/>
      <c r="I634" s="2740" t="s">
        <v>3303</v>
      </c>
      <c r="N634" s="447"/>
    </row>
    <row r="635" spans="2:14" ht="12.75" customHeight="1" x14ac:dyDescent="0.2">
      <c r="B635" s="2720" t="str">
        <f t="shared" si="45"/>
        <v>Des. elemental: Ilusión</v>
      </c>
      <c r="C635" s="2723">
        <f t="shared" si="44"/>
        <v>21</v>
      </c>
      <c r="D635" s="147" t="s">
        <v>3390</v>
      </c>
      <c r="E635" s="459">
        <v>1</v>
      </c>
      <c r="F635" s="459">
        <f>COUNTIF(Principal!$C$32:$J$50,Tablas!D635)</f>
        <v>0</v>
      </c>
      <c r="G635" s="2731">
        <f t="shared" si="43"/>
        <v>0</v>
      </c>
      <c r="H635" s="2736">
        <v>1</v>
      </c>
      <c r="I635" s="2740" t="s">
        <v>3303</v>
      </c>
      <c r="N635" s="447"/>
    </row>
    <row r="636" spans="2:14" ht="12.75" customHeight="1" x14ac:dyDescent="0.2">
      <c r="B636" s="2720" t="str">
        <f t="shared" si="45"/>
        <v>Des. elemental: Luz</v>
      </c>
      <c r="C636" s="2723">
        <f t="shared" si="44"/>
        <v>23</v>
      </c>
      <c r="D636" s="147" t="s">
        <v>3391</v>
      </c>
      <c r="E636" s="459">
        <v>1</v>
      </c>
      <c r="F636" s="459">
        <f>COUNTIF(Principal!$C$32:$J$50,Tablas!D636)</f>
        <v>0</v>
      </c>
      <c r="G636" s="2731">
        <f t="shared" si="43"/>
        <v>0</v>
      </c>
      <c r="H636" s="2736">
        <v>1</v>
      </c>
      <c r="I636" s="2740" t="s">
        <v>3303</v>
      </c>
      <c r="N636" s="447"/>
    </row>
    <row r="637" spans="2:14" ht="12.75" customHeight="1" x14ac:dyDescent="0.2">
      <c r="B637" s="2720" t="str">
        <f t="shared" si="45"/>
        <v>Des. elemental: Nigromancia</v>
      </c>
      <c r="C637" s="2723">
        <f t="shared" si="44"/>
        <v>19</v>
      </c>
      <c r="D637" s="147" t="s">
        <v>3392</v>
      </c>
      <c r="E637" s="459">
        <v>1</v>
      </c>
      <c r="F637" s="459">
        <f>COUNTIF(Principal!$C$32:$J$50,Tablas!D637)</f>
        <v>0</v>
      </c>
      <c r="G637" s="2731">
        <f t="shared" si="43"/>
        <v>0</v>
      </c>
      <c r="H637" s="2736">
        <v>1</v>
      </c>
      <c r="I637" s="2740" t="s">
        <v>3303</v>
      </c>
      <c r="N637" s="447"/>
    </row>
    <row r="638" spans="2:14" ht="12.75" customHeight="1" x14ac:dyDescent="0.2">
      <c r="B638" s="2720" t="str">
        <f t="shared" si="45"/>
        <v>Des. elemental: Oscuridad</v>
      </c>
      <c r="C638" s="2723">
        <f t="shared" si="44"/>
        <v>14</v>
      </c>
      <c r="D638" s="147" t="s">
        <v>3393</v>
      </c>
      <c r="E638" s="459">
        <v>1</v>
      </c>
      <c r="F638" s="459">
        <f>COUNTIF(Principal!$C$32:$J$50,Tablas!D638)</f>
        <v>0</v>
      </c>
      <c r="G638" s="2731">
        <f t="shared" si="43"/>
        <v>0</v>
      </c>
      <c r="H638" s="2736">
        <v>1</v>
      </c>
      <c r="I638" s="2740" t="s">
        <v>3303</v>
      </c>
      <c r="N638" s="447"/>
    </row>
    <row r="639" spans="2:14" ht="12.75" customHeight="1" x14ac:dyDescent="0.2">
      <c r="B639" s="2720" t="str">
        <f t="shared" si="45"/>
        <v>Des. elemental: Tierra</v>
      </c>
      <c r="C639" s="2723">
        <f t="shared" si="44"/>
        <v>15</v>
      </c>
      <c r="D639" s="147" t="s">
        <v>3394</v>
      </c>
      <c r="E639" s="459">
        <v>1</v>
      </c>
      <c r="F639" s="459">
        <f>COUNTIF(Principal!$C$32:$J$50,Tablas!D639)</f>
        <v>0</v>
      </c>
      <c r="G639" s="2731">
        <f t="shared" si="43"/>
        <v>0</v>
      </c>
      <c r="H639" s="2736">
        <v>1</v>
      </c>
      <c r="I639" s="2740" t="s">
        <v>3303</v>
      </c>
      <c r="N639" s="447"/>
    </row>
    <row r="640" spans="2:14" ht="12.75" customHeight="1" x14ac:dyDescent="0.2">
      <c r="B640" s="2720" t="str">
        <f t="shared" si="45"/>
        <v>Desequilibrio sephirótico</v>
      </c>
      <c r="C640" s="2723">
        <f t="shared" si="44"/>
        <v>24</v>
      </c>
      <c r="D640" s="147" t="s">
        <v>3395</v>
      </c>
      <c r="E640" s="459">
        <v>1</v>
      </c>
      <c r="F640" s="459">
        <f>COUNTIF(Principal!$C$32:$J$50,Tablas!D640)</f>
        <v>0</v>
      </c>
      <c r="G640" s="2731">
        <f t="shared" si="43"/>
        <v>0</v>
      </c>
      <c r="H640" s="2736">
        <v>1</v>
      </c>
      <c r="I640" s="2740" t="s">
        <v>3303</v>
      </c>
      <c r="N640" s="447"/>
    </row>
    <row r="641" spans="2:14" ht="12.75" customHeight="1" x14ac:dyDescent="0.2">
      <c r="B641" s="2720" t="str">
        <f t="shared" si="45"/>
        <v>Dicción mágica</v>
      </c>
      <c r="C641" s="2723">
        <f t="shared" si="44"/>
        <v>16</v>
      </c>
      <c r="D641" s="147" t="s">
        <v>3396</v>
      </c>
      <c r="E641" s="459">
        <v>1</v>
      </c>
      <c r="F641" s="459">
        <f>COUNTIF(Principal!$C$32:$J$50,Tablas!D641)</f>
        <v>0</v>
      </c>
      <c r="G641" s="2731">
        <f t="shared" si="43"/>
        <v>0</v>
      </c>
      <c r="H641" s="2736">
        <v>1</v>
      </c>
      <c r="I641" s="2740" t="s">
        <v>3303</v>
      </c>
      <c r="N641" s="447"/>
    </row>
    <row r="642" spans="2:14" ht="12.75" customHeight="1" x14ac:dyDescent="0.2">
      <c r="B642" s="2720" t="str">
        <f t="shared" si="45"/>
        <v>Hechicero nato</v>
      </c>
      <c r="C642" s="2723">
        <f t="shared" si="44"/>
        <v>17</v>
      </c>
      <c r="D642" s="147" t="s">
        <v>3397</v>
      </c>
      <c r="E642" s="459">
        <v>1</v>
      </c>
      <c r="F642" s="459">
        <f>COUNTIF(Principal!$C$32:$J$50,Tablas!D642)</f>
        <v>0</v>
      </c>
      <c r="G642" s="2731">
        <f t="shared" si="43"/>
        <v>0</v>
      </c>
      <c r="H642" s="2736">
        <v>1</v>
      </c>
      <c r="I642" s="2740" t="s">
        <v>3303</v>
      </c>
      <c r="N642" s="447"/>
    </row>
    <row r="643" spans="2:14" ht="12.75" customHeight="1" x14ac:dyDescent="0.2">
      <c r="B643" s="2720" t="str">
        <f t="shared" si="45"/>
        <v>Inutilidad oral</v>
      </c>
      <c r="C643" s="2723">
        <f t="shared" si="44"/>
        <v>18</v>
      </c>
      <c r="D643" s="147" t="s">
        <v>3398</v>
      </c>
      <c r="E643" s="459">
        <v>1</v>
      </c>
      <c r="F643" s="459">
        <f>COUNTIF(Principal!$C$32:$J$50,Tablas!D643)</f>
        <v>0</v>
      </c>
      <c r="G643" s="2731">
        <f t="shared" si="43"/>
        <v>0</v>
      </c>
      <c r="H643" s="2736">
        <v>1</v>
      </c>
      <c r="I643" s="2740" t="s">
        <v>3303</v>
      </c>
      <c r="N643" s="447"/>
    </row>
    <row r="644" spans="2:14" ht="12.75" customHeight="1" x14ac:dyDescent="0.2">
      <c r="B644" s="2720" t="str">
        <f t="shared" si="45"/>
        <v>Inutilidad somática</v>
      </c>
      <c r="C644" s="2723">
        <f t="shared" si="44"/>
        <v>20</v>
      </c>
      <c r="D644" s="147" t="s">
        <v>3399</v>
      </c>
      <c r="E644" s="459">
        <v>1</v>
      </c>
      <c r="F644" s="459">
        <f>COUNTIF(Principal!$C$32:$J$50,Tablas!D644)</f>
        <v>0</v>
      </c>
      <c r="G644" s="2731">
        <f t="shared" si="43"/>
        <v>0</v>
      </c>
      <c r="H644" s="2736">
        <v>1</v>
      </c>
      <c r="I644" s="2740" t="s">
        <v>3303</v>
      </c>
      <c r="N644" s="447"/>
    </row>
    <row r="645" spans="2:14" ht="12.75" customHeight="1" x14ac:dyDescent="0.2">
      <c r="B645" s="2720" t="str">
        <f t="shared" si="45"/>
        <v>Magia innata mejorada (1)</v>
      </c>
      <c r="C645" s="2723">
        <f t="shared" si="44"/>
        <v>22</v>
      </c>
      <c r="D645" s="147" t="s">
        <v>3400</v>
      </c>
      <c r="E645" s="459">
        <v>1</v>
      </c>
      <c r="F645" s="459">
        <f>COUNTIF(Principal!$C$32:$J$50,Tablas!D645)</f>
        <v>0</v>
      </c>
      <c r="G645" s="2731">
        <f t="shared" si="43"/>
        <v>0</v>
      </c>
      <c r="H645" s="2736">
        <v>1</v>
      </c>
      <c r="I645" s="2740" t="s">
        <v>3303</v>
      </c>
      <c r="N645" s="447"/>
    </row>
    <row r="646" spans="2:14" ht="12.75" customHeight="1" x14ac:dyDescent="0.2">
      <c r="B646" s="2720" t="str">
        <f t="shared" si="45"/>
        <v>Magia innata mejorada (2)</v>
      </c>
      <c r="C646" s="2723">
        <f t="shared" si="44"/>
        <v>25</v>
      </c>
      <c r="D646" s="147" t="s">
        <v>3401</v>
      </c>
      <c r="E646" s="459">
        <v>2</v>
      </c>
      <c r="F646" s="459">
        <f>COUNTIF(Principal!$C$32:$J$50,Tablas!D646)</f>
        <v>0</v>
      </c>
      <c r="G646" s="2731">
        <f t="shared" si="43"/>
        <v>0</v>
      </c>
      <c r="H646" s="2736">
        <v>1</v>
      </c>
      <c r="I646" s="2740" t="s">
        <v>3303</v>
      </c>
      <c r="N646" s="447"/>
    </row>
    <row r="647" spans="2:14" ht="12.75" customHeight="1" x14ac:dyDescent="0.2">
      <c r="B647" s="2720" t="str">
        <f t="shared" si="45"/>
        <v>Magia innata mejorada (3)</v>
      </c>
      <c r="C647" s="2723">
        <f t="shared" si="44"/>
        <v>0</v>
      </c>
      <c r="D647" s="147" t="s">
        <v>3487</v>
      </c>
      <c r="E647" s="459"/>
      <c r="F647" s="459"/>
      <c r="G647" s="2731"/>
      <c r="H647" s="2736"/>
      <c r="I647" s="2740" t="s">
        <v>3303</v>
      </c>
      <c r="N647" s="447"/>
    </row>
    <row r="648" spans="2:14" ht="12.75" customHeight="1" x14ac:dyDescent="0.2">
      <c r="B648" s="2720" t="str">
        <f t="shared" si="45"/>
        <v>Magia opuesta</v>
      </c>
      <c r="C648" s="2723">
        <f t="shared" si="44"/>
        <v>33</v>
      </c>
      <c r="D648" s="147" t="s">
        <v>3488</v>
      </c>
      <c r="E648" s="459">
        <v>1</v>
      </c>
      <c r="F648" s="459">
        <f>COUNTIF(Principal!$C$32:$J$50,Tablas!D648)</f>
        <v>0</v>
      </c>
      <c r="G648" s="2731">
        <f t="shared" ref="G648:G653" si="46">F648*E648</f>
        <v>0</v>
      </c>
      <c r="H648" s="2736">
        <v>1</v>
      </c>
      <c r="I648" s="2740" t="s">
        <v>3303</v>
      </c>
      <c r="N648" s="447"/>
    </row>
    <row r="649" spans="2:14" ht="12.75" customHeight="1" x14ac:dyDescent="0.2">
      <c r="B649" s="2720" t="str">
        <f t="shared" si="45"/>
        <v>Naturaleza mágica (1)</v>
      </c>
      <c r="C649" s="2723">
        <f t="shared" si="44"/>
        <v>34</v>
      </c>
      <c r="D649" s="147" t="s">
        <v>3489</v>
      </c>
      <c r="E649" s="459">
        <v>1</v>
      </c>
      <c r="F649" s="459">
        <f>COUNTIF(Principal!$C$32:$J$50,Tablas!D649)</f>
        <v>0</v>
      </c>
      <c r="G649" s="2731">
        <f t="shared" si="46"/>
        <v>0</v>
      </c>
      <c r="H649" s="2736">
        <v>1</v>
      </c>
      <c r="I649" s="2740" t="s">
        <v>3303</v>
      </c>
      <c r="N649" s="447"/>
    </row>
    <row r="650" spans="2:14" ht="12.75" customHeight="1" x14ac:dyDescent="0.2">
      <c r="B650" s="2720" t="str">
        <f t="shared" si="45"/>
        <v>Naturaleza mágica (2)</v>
      </c>
      <c r="C650" s="2723">
        <f t="shared" si="44"/>
        <v>35</v>
      </c>
      <c r="D650" s="147" t="s">
        <v>3490</v>
      </c>
      <c r="E650" s="459">
        <v>2</v>
      </c>
      <c r="F650" s="459">
        <f>COUNTIF(Principal!$C$32:$J$50,Tablas!D650)</f>
        <v>0</v>
      </c>
      <c r="G650" s="2731">
        <f t="shared" si="46"/>
        <v>0</v>
      </c>
      <c r="H650" s="2736">
        <v>1</v>
      </c>
      <c r="I650" s="2740" t="s">
        <v>3303</v>
      </c>
      <c r="N650" s="447"/>
    </row>
    <row r="651" spans="2:14" ht="12.75" customHeight="1" x14ac:dyDescent="0.2">
      <c r="B651" s="2720" t="str">
        <f t="shared" si="45"/>
        <v>Naturaleza mágica (3)</v>
      </c>
      <c r="C651" s="2723">
        <f t="shared" si="44"/>
        <v>36</v>
      </c>
      <c r="D651" s="147" t="s">
        <v>3491</v>
      </c>
      <c r="E651" s="459">
        <v>3</v>
      </c>
      <c r="F651" s="459">
        <f>COUNTIF(Principal!$C$32:$J$50,Tablas!D651)</f>
        <v>0</v>
      </c>
      <c r="G651" s="2731">
        <f t="shared" si="46"/>
        <v>0</v>
      </c>
      <c r="H651" s="2736">
        <v>1</v>
      </c>
      <c r="I651" s="2740" t="s">
        <v>3303</v>
      </c>
      <c r="N651" s="447"/>
    </row>
    <row r="652" spans="2:14" ht="12.75" customHeight="1" x14ac:dyDescent="0.2">
      <c r="B652" s="2720" t="str">
        <f t="shared" si="45"/>
        <v>Poder natural</v>
      </c>
      <c r="C652" s="2723">
        <f t="shared" si="44"/>
        <v>37</v>
      </c>
      <c r="D652" s="147" t="s">
        <v>3492</v>
      </c>
      <c r="E652" s="459">
        <v>1</v>
      </c>
      <c r="F652" s="459">
        <f>COUNTIF(Principal!$C$32:$J$50,Tablas!D652)</f>
        <v>0</v>
      </c>
      <c r="G652" s="2731">
        <f t="shared" si="46"/>
        <v>0</v>
      </c>
      <c r="H652" s="2736"/>
      <c r="I652" s="2740" t="s">
        <v>3303</v>
      </c>
      <c r="N652" s="447"/>
    </row>
    <row r="653" spans="2:14" ht="12.75" customHeight="1" x14ac:dyDescent="0.2">
      <c r="B653" s="2720" t="str">
        <f t="shared" si="45"/>
        <v>Potencial enfrentado</v>
      </c>
      <c r="C653" s="2723">
        <f t="shared" si="44"/>
        <v>26</v>
      </c>
      <c r="D653" s="147" t="s">
        <v>3493</v>
      </c>
      <c r="E653" s="459">
        <v>1</v>
      </c>
      <c r="F653" s="459">
        <f>COUNTIF(Principal!$C$32:$J$50,Tablas!D653)</f>
        <v>0</v>
      </c>
      <c r="G653" s="2731">
        <f t="shared" si="46"/>
        <v>0</v>
      </c>
      <c r="H653" s="2736"/>
      <c r="I653" s="2740" t="s">
        <v>3303</v>
      </c>
      <c r="N653" s="447"/>
    </row>
    <row r="654" spans="2:14" ht="12.75" customHeight="1" x14ac:dyDescent="0.2">
      <c r="B654" s="2720" t="str">
        <f t="shared" si="45"/>
        <v>Rec. superior de magia (1)</v>
      </c>
      <c r="C654" s="2723">
        <f t="shared" si="44"/>
        <v>-1</v>
      </c>
      <c r="D654" s="147" t="s">
        <v>3523</v>
      </c>
      <c r="E654" s="459"/>
      <c r="F654" s="459"/>
      <c r="G654" s="2731"/>
      <c r="H654" s="2736"/>
      <c r="I654" s="2740" t="s">
        <v>3303</v>
      </c>
      <c r="N654" s="447"/>
    </row>
    <row r="655" spans="2:14" ht="12.75" customHeight="1" x14ac:dyDescent="0.2">
      <c r="B655" s="2720" t="str">
        <f t="shared" si="45"/>
        <v>Rec. superior de magia (2)</v>
      </c>
      <c r="C655" s="2723">
        <f t="shared" si="44"/>
        <v>42</v>
      </c>
      <c r="D655" s="147" t="s">
        <v>3524</v>
      </c>
      <c r="E655" s="459">
        <v>1</v>
      </c>
      <c r="F655" s="459">
        <f>COUNTIF(Principal!$C$32:$J$50,Tablas!D655)</f>
        <v>0</v>
      </c>
      <c r="G655" s="2731">
        <f>F655*E655</f>
        <v>0</v>
      </c>
      <c r="H655" s="2736"/>
      <c r="I655" s="2740" t="s">
        <v>3303</v>
      </c>
      <c r="N655" s="447"/>
    </row>
    <row r="656" spans="2:14" ht="12.75" customHeight="1" x14ac:dyDescent="0.2">
      <c r="B656" s="2720" t="str">
        <f t="shared" si="45"/>
        <v>Rec. superior de magia (3)</v>
      </c>
      <c r="C656" s="2723">
        <f t="shared" si="44"/>
        <v>27</v>
      </c>
      <c r="D656" s="147" t="s">
        <v>3525</v>
      </c>
      <c r="E656" s="459">
        <v>1</v>
      </c>
      <c r="F656" s="459">
        <f>COUNTIF(Principal!$C$32:$J$50,Tablas!D656)</f>
        <v>0</v>
      </c>
      <c r="G656" s="2731">
        <f>F656*E656</f>
        <v>0</v>
      </c>
      <c r="H656" s="2736"/>
      <c r="I656" s="2740" t="s">
        <v>3303</v>
      </c>
      <c r="N656" s="447"/>
    </row>
    <row r="657" spans="2:14" ht="12.75" customHeight="1" x14ac:dyDescent="0.2">
      <c r="B657" s="2722" t="str">
        <f t="shared" si="45"/>
        <v>Versatilidad metamágica</v>
      </c>
      <c r="C657" s="2725">
        <f t="shared" si="44"/>
        <v>1</v>
      </c>
      <c r="D657" s="2726" t="s">
        <v>3526</v>
      </c>
      <c r="E657" s="2727">
        <v>2</v>
      </c>
      <c r="F657" s="2727">
        <f>COUNTIF(Principal!$C$32:$J$50,Tablas!D657)</f>
        <v>0</v>
      </c>
      <c r="G657" s="2733">
        <f>F657*E657</f>
        <v>0</v>
      </c>
      <c r="H657" s="2737">
        <v>1</v>
      </c>
      <c r="I657" s="2741" t="s">
        <v>3303</v>
      </c>
      <c r="N657" s="447"/>
    </row>
    <row r="658" spans="2:14" ht="12.75" customHeight="1" x14ac:dyDescent="0.2">
      <c r="B658" s="1860" t="str">
        <f>D658</f>
        <v>&gt; VENTAJAS: PSIQUICOS</v>
      </c>
      <c r="C658" s="2723">
        <f>COUNTIF($D$659:$D$682,"&lt;="&amp;D658)-COUNTIF($D$659:$D$682,"*&gt;*")</f>
        <v>0</v>
      </c>
      <c r="D658" s="147" t="s">
        <v>3402</v>
      </c>
      <c r="E658" s="459"/>
      <c r="F658" s="459"/>
      <c r="G658" s="2731"/>
      <c r="H658" s="2736"/>
      <c r="I658" s="2740" t="s">
        <v>9096</v>
      </c>
      <c r="N658" s="447"/>
    </row>
    <row r="659" spans="2:14" ht="12.75" customHeight="1" x14ac:dyDescent="0.2">
      <c r="B659" s="1860" t="str">
        <f>VLOOKUP(A1,$C$658:$D$682,2,0)</f>
        <v>Ambivalencia psíquica</v>
      </c>
      <c r="C659" s="2723">
        <f t="shared" ref="C659:C682" si="47">COUNTIF($D$659:$D$682,"&lt;="&amp;D659)-COUNTIF($D$659:$D$682,"*&gt;*")</f>
        <v>3</v>
      </c>
      <c r="D659" s="147" t="s">
        <v>3403</v>
      </c>
      <c r="E659" s="459">
        <v>2</v>
      </c>
      <c r="F659" s="459">
        <f>COUNTIF(Principal!$C$32:$J$50,Tablas!D659)</f>
        <v>0</v>
      </c>
      <c r="G659" s="2731">
        <f t="shared" ref="G659:G679" si="48">F659*E659</f>
        <v>0</v>
      </c>
      <c r="H659" s="2736">
        <v>1</v>
      </c>
      <c r="I659" s="2740" t="s">
        <v>9096</v>
      </c>
      <c r="N659" s="447"/>
    </row>
    <row r="660" spans="2:14" ht="12.75" customHeight="1" x14ac:dyDescent="0.2">
      <c r="B660" s="1860" t="str">
        <f t="shared" ref="B660:B681" si="49">VLOOKUP(A2,$C$658:$D$682,2,0)</f>
        <v>Calibre</v>
      </c>
      <c r="C660" s="2723">
        <f t="shared" si="47"/>
        <v>2</v>
      </c>
      <c r="D660" s="147" t="s">
        <v>3404</v>
      </c>
      <c r="E660" s="459">
        <v>1</v>
      </c>
      <c r="F660" s="459">
        <f>COUNTIF(Principal!$C$32:$J$50,Tablas!D660)</f>
        <v>0</v>
      </c>
      <c r="G660" s="2731">
        <f t="shared" si="48"/>
        <v>0</v>
      </c>
      <c r="H660" s="2736">
        <v>1</v>
      </c>
      <c r="I660" s="2740" t="s">
        <v>9096</v>
      </c>
      <c r="N660" s="447"/>
    </row>
    <row r="661" spans="2:14" ht="12.75" customHeight="1" x14ac:dyDescent="0.2">
      <c r="B661" s="1860" t="str">
        <f t="shared" si="49"/>
        <v>Concentración extrema</v>
      </c>
      <c r="C661" s="2723">
        <f t="shared" si="47"/>
        <v>18</v>
      </c>
      <c r="D661" s="147" t="s">
        <v>2645</v>
      </c>
      <c r="E661" s="459">
        <v>2</v>
      </c>
      <c r="F661" s="459">
        <f>COUNTIF(Principal!$C$32:$J$50,Tablas!D661)</f>
        <v>0</v>
      </c>
      <c r="G661" s="2731">
        <f t="shared" si="48"/>
        <v>0</v>
      </c>
      <c r="H661" s="2736"/>
      <c r="I661" s="2740" t="s">
        <v>9096</v>
      </c>
      <c r="N661" s="447"/>
    </row>
    <row r="662" spans="2:14" ht="12.75" customHeight="1" x14ac:dyDescent="0.2">
      <c r="B662" s="1860" t="str">
        <f t="shared" si="49"/>
        <v>Concentración pasiva</v>
      </c>
      <c r="C662" s="2723">
        <f t="shared" si="47"/>
        <v>23</v>
      </c>
      <c r="D662" s="147" t="s">
        <v>3405</v>
      </c>
      <c r="E662" s="459">
        <v>2</v>
      </c>
      <c r="F662" s="459">
        <f>COUNTIF(Principal!$C$32:$J$50,Tablas!D662)</f>
        <v>0</v>
      </c>
      <c r="G662" s="2731">
        <f t="shared" si="48"/>
        <v>0</v>
      </c>
      <c r="H662" s="2736"/>
      <c r="I662" s="2740" t="s">
        <v>9096</v>
      </c>
      <c r="N662" s="447"/>
    </row>
    <row r="663" spans="2:14" ht="12.75" customHeight="1" x14ac:dyDescent="0.2">
      <c r="B663" s="1860" t="str">
        <f t="shared" si="49"/>
        <v>Des. psí: Electromagnetismo</v>
      </c>
      <c r="C663" s="2723">
        <f t="shared" si="47"/>
        <v>20</v>
      </c>
      <c r="D663" s="147" t="s">
        <v>3406</v>
      </c>
      <c r="E663" s="459">
        <v>1</v>
      </c>
      <c r="F663" s="459">
        <f>COUNTIF(Principal!$C$32:$J$50,Tablas!D663)</f>
        <v>0</v>
      </c>
      <c r="G663" s="2731">
        <f t="shared" si="48"/>
        <v>0</v>
      </c>
      <c r="H663" s="2736"/>
      <c r="I663" s="2740" t="s">
        <v>9096</v>
      </c>
      <c r="N663" s="447"/>
    </row>
    <row r="664" spans="2:14" ht="12.75" customHeight="1" x14ac:dyDescent="0.2">
      <c r="B664" s="1860" t="str">
        <f t="shared" si="49"/>
        <v>Des. psí: Hipersensibilidad</v>
      </c>
      <c r="C664" s="2723">
        <f t="shared" si="47"/>
        <v>21</v>
      </c>
      <c r="D664" s="147" t="s">
        <v>3407</v>
      </c>
      <c r="E664" s="459">
        <v>2</v>
      </c>
      <c r="F664" s="459">
        <f>COUNTIF(Principal!$C$32:$J$50,Tablas!D664)</f>
        <v>0</v>
      </c>
      <c r="G664" s="2731">
        <f t="shared" si="48"/>
        <v>0</v>
      </c>
      <c r="H664" s="2736"/>
      <c r="I664" s="2740" t="s">
        <v>9096</v>
      </c>
      <c r="N664" s="447"/>
    </row>
    <row r="665" spans="2:14" ht="12.75" customHeight="1" x14ac:dyDescent="0.2">
      <c r="B665" s="1860" t="str">
        <f t="shared" si="49"/>
        <v>Des. psíquico: Causalidad</v>
      </c>
      <c r="C665" s="2723">
        <f t="shared" si="47"/>
        <v>22</v>
      </c>
      <c r="D665" s="147" t="s">
        <v>3408</v>
      </c>
      <c r="E665" s="459">
        <v>3</v>
      </c>
      <c r="F665" s="459">
        <f>COUNTIF(Principal!$C$32:$J$50,Tablas!D665)</f>
        <v>0</v>
      </c>
      <c r="G665" s="2731">
        <f t="shared" si="48"/>
        <v>0</v>
      </c>
      <c r="H665" s="2736"/>
      <c r="I665" s="2740" t="s">
        <v>9096</v>
      </c>
      <c r="N665" s="447"/>
    </row>
    <row r="666" spans="2:14" ht="12.75" customHeight="1" x14ac:dyDescent="0.2">
      <c r="B666" s="1860" t="str">
        <f t="shared" si="49"/>
        <v>Des. psíquico: Crioquinesis</v>
      </c>
      <c r="C666" s="2723">
        <f t="shared" si="47"/>
        <v>12</v>
      </c>
      <c r="D666" s="147" t="s">
        <v>3409</v>
      </c>
      <c r="E666" s="459">
        <v>2</v>
      </c>
      <c r="F666" s="459">
        <f>COUNTIF(Principal!$C$32:$J$50,Tablas!D666)</f>
        <v>0</v>
      </c>
      <c r="G666" s="2731">
        <f t="shared" si="48"/>
        <v>0</v>
      </c>
      <c r="H666" s="2736">
        <v>1</v>
      </c>
      <c r="I666" s="2740" t="s">
        <v>9096</v>
      </c>
      <c r="N666" s="447"/>
    </row>
    <row r="667" spans="2:14" ht="12.75" customHeight="1" x14ac:dyDescent="0.2">
      <c r="B667" s="1860" t="str">
        <f t="shared" si="49"/>
        <v>Des. psíquico: Energía</v>
      </c>
      <c r="C667" s="2723">
        <f t="shared" si="47"/>
        <v>8</v>
      </c>
      <c r="D667" s="147" t="s">
        <v>3410</v>
      </c>
      <c r="E667" s="459">
        <v>2</v>
      </c>
      <c r="F667" s="459">
        <f>COUNTIF(Principal!$C$32:$J$50,Tablas!D667)</f>
        <v>0</v>
      </c>
      <c r="G667" s="2731">
        <f t="shared" si="48"/>
        <v>0</v>
      </c>
      <c r="H667" s="2736">
        <v>1</v>
      </c>
      <c r="I667" s="2740" t="s">
        <v>9096</v>
      </c>
      <c r="N667" s="447"/>
    </row>
    <row r="668" spans="2:14" ht="12.75" customHeight="1" x14ac:dyDescent="0.2">
      <c r="B668" s="1860" t="str">
        <f t="shared" si="49"/>
        <v>Des. psíquico: Inc. Físico</v>
      </c>
      <c r="C668" s="2723">
        <f t="shared" si="47"/>
        <v>16</v>
      </c>
      <c r="D668" s="147" t="s">
        <v>3411</v>
      </c>
      <c r="E668" s="459">
        <v>2</v>
      </c>
      <c r="F668" s="459">
        <f>COUNTIF(Principal!$C$32:$J$50,Tablas!D668)</f>
        <v>0</v>
      </c>
      <c r="G668" s="2731">
        <f t="shared" si="48"/>
        <v>0</v>
      </c>
      <c r="H668" s="2736">
        <v>1</v>
      </c>
      <c r="I668" s="2740" t="s">
        <v>9096</v>
      </c>
      <c r="N668" s="447"/>
    </row>
    <row r="669" spans="2:14" ht="12.75" customHeight="1" x14ac:dyDescent="0.2">
      <c r="B669" s="1860" t="str">
        <f t="shared" si="49"/>
        <v>Des. psíquico: Luz</v>
      </c>
      <c r="C669" s="2723">
        <f t="shared" si="47"/>
        <v>15</v>
      </c>
      <c r="D669" s="147" t="s">
        <v>3412</v>
      </c>
      <c r="E669" s="459">
        <v>2</v>
      </c>
      <c r="F669" s="459">
        <f>COUNTIF(Principal!$C$32:$J$50,Tablas!D669)</f>
        <v>0</v>
      </c>
      <c r="G669" s="2731">
        <f t="shared" si="48"/>
        <v>0</v>
      </c>
      <c r="H669" s="2736">
        <v>1</v>
      </c>
      <c r="I669" s="2740" t="s">
        <v>9096</v>
      </c>
      <c r="N669" s="447"/>
    </row>
    <row r="670" spans="2:14" ht="12.75" customHeight="1" x14ac:dyDescent="0.2">
      <c r="B670" s="1860" t="str">
        <f t="shared" si="49"/>
        <v>Des. psíquico: Piroquinesis</v>
      </c>
      <c r="C670" s="2723">
        <f t="shared" si="47"/>
        <v>9</v>
      </c>
      <c r="D670" s="147" t="s">
        <v>3413</v>
      </c>
      <c r="E670" s="459">
        <v>2</v>
      </c>
      <c r="F670" s="459">
        <f>COUNTIF(Principal!$C$32:$J$50,Tablas!D670)</f>
        <v>0</v>
      </c>
      <c r="G670" s="2731">
        <f t="shared" si="48"/>
        <v>0</v>
      </c>
      <c r="H670" s="2736">
        <v>1</v>
      </c>
      <c r="I670" s="2740" t="s">
        <v>9096</v>
      </c>
      <c r="N670" s="447"/>
    </row>
    <row r="671" spans="2:14" ht="12.75" customHeight="1" x14ac:dyDescent="0.2">
      <c r="B671" s="1860" t="str">
        <f t="shared" si="49"/>
        <v>Des. psíquico: Sentiente</v>
      </c>
      <c r="C671" s="2723">
        <f t="shared" si="47"/>
        <v>10</v>
      </c>
      <c r="D671" s="147" t="s">
        <v>3414</v>
      </c>
      <c r="E671" s="459">
        <v>2</v>
      </c>
      <c r="F671" s="459">
        <f>COUNTIF(Principal!$C$32:$J$50,Tablas!D671)</f>
        <v>0</v>
      </c>
      <c r="G671" s="2731">
        <f t="shared" si="48"/>
        <v>0</v>
      </c>
      <c r="H671" s="2736">
        <v>1</v>
      </c>
      <c r="I671" s="2740" t="s">
        <v>9096</v>
      </c>
      <c r="N671" s="447"/>
    </row>
    <row r="672" spans="2:14" ht="12.75" customHeight="1" x14ac:dyDescent="0.2">
      <c r="B672" s="1860" t="str">
        <f t="shared" si="49"/>
        <v>Des. psíquico: Telemetría</v>
      </c>
      <c r="C672" s="2723">
        <f t="shared" si="47"/>
        <v>13</v>
      </c>
      <c r="D672" s="147" t="s">
        <v>3415</v>
      </c>
      <c r="E672" s="459">
        <v>2</v>
      </c>
      <c r="F672" s="459">
        <f>COUNTIF(Principal!$C$32:$J$50,Tablas!D672)</f>
        <v>0</v>
      </c>
      <c r="G672" s="2731">
        <f t="shared" si="48"/>
        <v>0</v>
      </c>
      <c r="H672" s="2736">
        <v>1</v>
      </c>
      <c r="I672" s="2740" t="s">
        <v>9096</v>
      </c>
      <c r="N672" s="447"/>
    </row>
    <row r="673" spans="2:14" ht="12.75" customHeight="1" x14ac:dyDescent="0.2">
      <c r="B673" s="1860" t="str">
        <f t="shared" si="49"/>
        <v>Des. psíquico: Telepatía</v>
      </c>
      <c r="C673" s="2723">
        <f t="shared" si="47"/>
        <v>14</v>
      </c>
      <c r="D673" s="147" t="s">
        <v>3416</v>
      </c>
      <c r="E673" s="459">
        <v>2</v>
      </c>
      <c r="F673" s="459">
        <f>COUNTIF(Principal!$C$32:$J$50,Tablas!D673)</f>
        <v>0</v>
      </c>
      <c r="G673" s="2731">
        <f t="shared" si="48"/>
        <v>0</v>
      </c>
      <c r="H673" s="2736">
        <v>1</v>
      </c>
      <c r="I673" s="2740" t="s">
        <v>9096</v>
      </c>
      <c r="N673" s="447"/>
    </row>
    <row r="674" spans="2:14" ht="12.75" customHeight="1" x14ac:dyDescent="0.2">
      <c r="B674" s="1860" t="str">
        <f t="shared" si="49"/>
        <v>Des. psíquico: Telequinesis</v>
      </c>
      <c r="C674" s="2723">
        <f t="shared" si="47"/>
        <v>7</v>
      </c>
      <c r="D674" s="147" t="s">
        <v>3417</v>
      </c>
      <c r="E674" s="459">
        <v>2</v>
      </c>
      <c r="F674" s="459">
        <f>COUNTIF(Principal!$C$32:$J$50,Tablas!D674)</f>
        <v>0</v>
      </c>
      <c r="G674" s="2731">
        <f t="shared" si="48"/>
        <v>0</v>
      </c>
      <c r="H674" s="2736">
        <v>1</v>
      </c>
      <c r="I674" s="2740" t="s">
        <v>9096</v>
      </c>
      <c r="N674" s="447"/>
    </row>
    <row r="675" spans="2:14" ht="12.75" customHeight="1" x14ac:dyDescent="0.2">
      <c r="B675" s="1860" t="str">
        <f t="shared" si="49"/>
        <v>Des. psíquico: Teletransporte</v>
      </c>
      <c r="C675" s="2723">
        <f t="shared" si="47"/>
        <v>5</v>
      </c>
      <c r="D675" s="147" t="s">
        <v>3418</v>
      </c>
      <c r="E675" s="459">
        <v>2</v>
      </c>
      <c r="F675" s="459">
        <f>COUNTIF(Principal!$C$32:$J$50,Tablas!D675)</f>
        <v>0</v>
      </c>
      <c r="G675" s="2731">
        <f t="shared" si="48"/>
        <v>0</v>
      </c>
      <c r="H675" s="2736">
        <v>1</v>
      </c>
      <c r="I675" s="2740" t="s">
        <v>9096</v>
      </c>
      <c r="N675" s="447"/>
    </row>
    <row r="676" spans="2:14" ht="12.75" customHeight="1" x14ac:dyDescent="0.2">
      <c r="B676" s="1860" t="str">
        <f t="shared" si="49"/>
        <v>Mantenimiento añadido</v>
      </c>
      <c r="C676" s="2723">
        <f t="shared" si="47"/>
        <v>17</v>
      </c>
      <c r="D676" s="147" t="s">
        <v>3419</v>
      </c>
      <c r="E676" s="459">
        <v>2</v>
      </c>
      <c r="F676" s="459">
        <f>COUNTIF(Principal!$C$32:$J$50,Tablas!D676)</f>
        <v>0</v>
      </c>
      <c r="G676" s="2731">
        <f t="shared" si="48"/>
        <v>0</v>
      </c>
      <c r="H676" s="2736">
        <v>1</v>
      </c>
      <c r="I676" s="2740" t="s">
        <v>9096</v>
      </c>
      <c r="N676" s="447"/>
    </row>
    <row r="677" spans="2:14" ht="12.75" customHeight="1" x14ac:dyDescent="0.2">
      <c r="B677" s="1860" t="str">
        <f t="shared" si="49"/>
        <v>Mod. psíquico incrementado</v>
      </c>
      <c r="C677" s="2723">
        <f t="shared" si="47"/>
        <v>11</v>
      </c>
      <c r="D677" s="147" t="s">
        <v>3420</v>
      </c>
      <c r="E677" s="459">
        <v>2</v>
      </c>
      <c r="F677" s="459">
        <f>COUNTIF(Principal!$C$32:$J$50,Tablas!D677)</f>
        <v>0</v>
      </c>
      <c r="G677" s="2731">
        <f t="shared" si="48"/>
        <v>0</v>
      </c>
      <c r="H677" s="2736">
        <v>1</v>
      </c>
      <c r="I677" s="2740" t="s">
        <v>9096</v>
      </c>
      <c r="N677" s="447"/>
    </row>
    <row r="678" spans="2:14" ht="12.75" customHeight="1" x14ac:dyDescent="0.2">
      <c r="B678" s="1860" t="str">
        <f t="shared" si="49"/>
        <v>Recuperación de CVs (1)</v>
      </c>
      <c r="C678" s="2723">
        <f t="shared" si="47"/>
        <v>6</v>
      </c>
      <c r="D678" s="147" t="s">
        <v>3421</v>
      </c>
      <c r="E678" s="459">
        <v>2</v>
      </c>
      <c r="F678" s="459">
        <f>COUNTIF(Principal!$C$32:$J$50,Tablas!D678)</f>
        <v>0</v>
      </c>
      <c r="G678" s="2731">
        <f t="shared" si="48"/>
        <v>0</v>
      </c>
      <c r="H678" s="2736">
        <v>1</v>
      </c>
      <c r="I678" s="2740" t="s">
        <v>9096</v>
      </c>
      <c r="N678" s="447"/>
    </row>
    <row r="679" spans="2:14" ht="12.75" customHeight="1" x14ac:dyDescent="0.2">
      <c r="B679" s="1860" t="str">
        <f t="shared" si="49"/>
        <v>Recuperación de CVs (2)</v>
      </c>
      <c r="C679" s="2723">
        <f t="shared" si="47"/>
        <v>4</v>
      </c>
      <c r="D679" s="147" t="s">
        <v>3422</v>
      </c>
      <c r="E679" s="459">
        <v>2</v>
      </c>
      <c r="F679" s="459">
        <f>COUNTIF(Principal!$C$32:$J$50,Tablas!D679)</f>
        <v>0</v>
      </c>
      <c r="G679" s="2731">
        <f t="shared" si="48"/>
        <v>0</v>
      </c>
      <c r="H679" s="2736"/>
      <c r="I679" s="2740" t="s">
        <v>9096</v>
      </c>
      <c r="N679" s="447"/>
    </row>
    <row r="680" spans="2:14" ht="12.75" customHeight="1" x14ac:dyDescent="0.2">
      <c r="B680" s="1860" t="str">
        <f t="shared" si="49"/>
        <v>Recuperación de CVs (3)</v>
      </c>
      <c r="C680" s="2723">
        <f t="shared" si="47"/>
        <v>0</v>
      </c>
      <c r="D680" s="147" t="s">
        <v>3494</v>
      </c>
      <c r="E680" s="459"/>
      <c r="F680" s="459"/>
      <c r="G680" s="2731"/>
      <c r="H680" s="2736"/>
      <c r="I680" s="2740" t="s">
        <v>9096</v>
      </c>
      <c r="N680" s="447"/>
    </row>
    <row r="681" spans="2:14" ht="12.75" customHeight="1" x14ac:dyDescent="0.2">
      <c r="B681" s="1860" t="str">
        <f t="shared" si="49"/>
        <v>Res. a la fatiga psíquica</v>
      </c>
      <c r="C681" s="2723">
        <f t="shared" si="47"/>
        <v>1</v>
      </c>
      <c r="D681" s="147" t="s">
        <v>3495</v>
      </c>
      <c r="E681" s="459">
        <v>1</v>
      </c>
      <c r="F681" s="459">
        <f>COUNTIF(Principal!$C$32:$J$50,Tablas!D681)</f>
        <v>0</v>
      </c>
      <c r="G681" s="2731">
        <f>F681*E681</f>
        <v>0</v>
      </c>
      <c r="H681" s="2736"/>
      <c r="I681" s="2740" t="s">
        <v>9096</v>
      </c>
      <c r="N681" s="447"/>
    </row>
    <row r="682" spans="2:14" ht="12.75" customHeight="1" x14ac:dyDescent="0.2">
      <c r="B682" s="2721"/>
      <c r="C682" s="2725">
        <f t="shared" si="47"/>
        <v>19</v>
      </c>
      <c r="D682" s="2726" t="s">
        <v>3496</v>
      </c>
      <c r="E682" s="2727">
        <v>1</v>
      </c>
      <c r="F682" s="2727">
        <f>COUNTIF(Principal!$C$32:$J$50,Tablas!D682)</f>
        <v>0</v>
      </c>
      <c r="G682" s="2733">
        <f>F682*E682</f>
        <v>0</v>
      </c>
      <c r="H682" s="2737"/>
      <c r="I682" s="2741" t="s">
        <v>9096</v>
      </c>
      <c r="N682" s="447"/>
    </row>
    <row r="683" spans="2:14" ht="12.75" customHeight="1" x14ac:dyDescent="0.2">
      <c r="B683" s="1860" t="str">
        <f>VLOOKUP(A1,$C$683:$D$705,2,0)</f>
        <v>&gt; VENTAJAS TRASFONDO</v>
      </c>
      <c r="C683" s="2723">
        <f>COUNTIF($D$683:$D$705,"&lt;="&amp;D683)</f>
        <v>1</v>
      </c>
      <c r="D683" s="147" t="s">
        <v>3531</v>
      </c>
      <c r="E683" s="532"/>
      <c r="F683" s="459"/>
      <c r="G683" s="290"/>
      <c r="H683" s="2729"/>
      <c r="I683" s="2740" t="s">
        <v>9097</v>
      </c>
      <c r="N683" s="447"/>
    </row>
    <row r="684" spans="2:14" ht="12.75" customHeight="1" x14ac:dyDescent="0.2">
      <c r="B684" s="1860" t="str">
        <f t="shared" ref="B684:B705" si="50">VLOOKUP(A2,$C$683:$D$705,2,0)</f>
        <v>Aliado poderoso (1)</v>
      </c>
      <c r="C684" s="2723">
        <f t="shared" ref="C684:C705" si="51">COUNTIF($D$683:$D$705,"&lt;="&amp;D684)</f>
        <v>17</v>
      </c>
      <c r="D684" s="147" t="s">
        <v>3532</v>
      </c>
      <c r="E684" s="538">
        <v>1</v>
      </c>
      <c r="F684" s="459">
        <f>COUNTIF(Principal!$C$32:$J$50,Tablas!D684)</f>
        <v>0</v>
      </c>
      <c r="G684" s="290">
        <f t="shared" ref="G684:G705" si="52">F684*E684</f>
        <v>0</v>
      </c>
      <c r="H684" s="2729"/>
      <c r="I684" s="2740" t="s">
        <v>9097</v>
      </c>
      <c r="N684" s="447"/>
    </row>
    <row r="685" spans="2:14" ht="12.75" customHeight="1" x14ac:dyDescent="0.2">
      <c r="B685" s="1860" t="str">
        <f t="shared" si="50"/>
        <v>Aliado poderoso (2)</v>
      </c>
      <c r="C685" s="2723">
        <f t="shared" si="51"/>
        <v>18</v>
      </c>
      <c r="D685" s="147" t="s">
        <v>3533</v>
      </c>
      <c r="E685" s="538">
        <v>2</v>
      </c>
      <c r="F685" s="459">
        <f>COUNTIF(Principal!$C$32:$J$50,Tablas!D685)</f>
        <v>0</v>
      </c>
      <c r="G685" s="290">
        <f t="shared" si="52"/>
        <v>0</v>
      </c>
      <c r="H685" s="2729"/>
      <c r="I685" s="2740" t="s">
        <v>9097</v>
      </c>
      <c r="N685" s="447"/>
    </row>
    <row r="686" spans="2:14" ht="12.75" customHeight="1" x14ac:dyDescent="0.2">
      <c r="B686" s="1860" t="str">
        <f t="shared" si="50"/>
        <v>Aliado poderoso (3)</v>
      </c>
      <c r="C686" s="2723">
        <f t="shared" si="51"/>
        <v>16</v>
      </c>
      <c r="D686" s="147" t="s">
        <v>3534</v>
      </c>
      <c r="E686" s="538">
        <v>3</v>
      </c>
      <c r="F686" s="459">
        <f>COUNTIF(Principal!$C$32:$J$50,Tablas!D686)</f>
        <v>0</v>
      </c>
      <c r="G686" s="290">
        <f t="shared" si="52"/>
        <v>0</v>
      </c>
      <c r="H686" s="2729"/>
      <c r="I686" s="2740" t="s">
        <v>9097</v>
      </c>
      <c r="N686" s="447"/>
    </row>
    <row r="687" spans="2:14" ht="12.75" customHeight="1" x14ac:dyDescent="0.2">
      <c r="B687" s="1860" t="str">
        <f t="shared" si="50"/>
        <v>Artefacto (1)</v>
      </c>
      <c r="C687" s="2723">
        <f t="shared" si="51"/>
        <v>11</v>
      </c>
      <c r="D687" s="147" t="s">
        <v>3535</v>
      </c>
      <c r="E687" s="459">
        <v>1</v>
      </c>
      <c r="F687" s="459">
        <f>COUNTIF(Principal!$C$32:$J$50,Tablas!D687)</f>
        <v>0</v>
      </c>
      <c r="G687" s="290">
        <f t="shared" si="52"/>
        <v>0</v>
      </c>
      <c r="H687" s="2729"/>
      <c r="I687" s="2740" t="s">
        <v>9097</v>
      </c>
      <c r="N687" s="447"/>
    </row>
    <row r="688" spans="2:14" ht="12.75" customHeight="1" x14ac:dyDescent="0.2">
      <c r="B688" s="1860" t="str">
        <f t="shared" si="50"/>
        <v>Artefacto (2)</v>
      </c>
      <c r="C688" s="2723">
        <f t="shared" si="51"/>
        <v>12</v>
      </c>
      <c r="D688" s="147" t="s">
        <v>3536</v>
      </c>
      <c r="E688" s="459">
        <v>2</v>
      </c>
      <c r="F688" s="459">
        <f>COUNTIF(Principal!$C$32:$J$50,Tablas!D688)</f>
        <v>0</v>
      </c>
      <c r="G688" s="290">
        <f t="shared" si="52"/>
        <v>0</v>
      </c>
      <c r="H688" s="2729"/>
      <c r="I688" s="2740" t="s">
        <v>9097</v>
      </c>
      <c r="N688" s="447"/>
    </row>
    <row r="689" spans="2:14" ht="12.75" customHeight="1" x14ac:dyDescent="0.2">
      <c r="B689" s="1860" t="str">
        <f t="shared" si="50"/>
        <v>Artefacto (3)</v>
      </c>
      <c r="C689" s="2723">
        <f t="shared" si="51"/>
        <v>13</v>
      </c>
      <c r="D689" s="147" t="s">
        <v>3537</v>
      </c>
      <c r="E689" s="459">
        <v>3</v>
      </c>
      <c r="F689" s="459">
        <f>COUNTIF(Principal!$C$32:$J$50,Tablas!D689)</f>
        <v>0</v>
      </c>
      <c r="G689" s="290">
        <f t="shared" si="52"/>
        <v>0</v>
      </c>
      <c r="H689" s="2729"/>
      <c r="I689" s="2740" t="s">
        <v>9097</v>
      </c>
      <c r="N689" s="447"/>
    </row>
    <row r="690" spans="2:14" ht="12.75" customHeight="1" x14ac:dyDescent="0.2">
      <c r="B690" s="1860" t="str">
        <f t="shared" si="50"/>
        <v>Contactos (1)</v>
      </c>
      <c r="C690" s="2723">
        <f t="shared" si="51"/>
        <v>5</v>
      </c>
      <c r="D690" s="147" t="s">
        <v>3538</v>
      </c>
      <c r="E690" s="459">
        <v>1</v>
      </c>
      <c r="F690" s="459">
        <f>COUNTIF(Principal!$C$32:$J$50,Tablas!D690)</f>
        <v>0</v>
      </c>
      <c r="G690" s="290">
        <f t="shared" si="52"/>
        <v>0</v>
      </c>
      <c r="H690" s="2729"/>
      <c r="I690" s="2740" t="s">
        <v>9097</v>
      </c>
      <c r="N690" s="447"/>
    </row>
    <row r="691" spans="2:14" ht="12.75" customHeight="1" x14ac:dyDescent="0.2">
      <c r="B691" s="1860" t="str">
        <f t="shared" si="50"/>
        <v>Contactos (2)</v>
      </c>
      <c r="C691" s="2723">
        <f t="shared" si="51"/>
        <v>6</v>
      </c>
      <c r="D691" s="147" t="s">
        <v>3539</v>
      </c>
      <c r="E691" s="459">
        <v>2</v>
      </c>
      <c r="F691" s="459">
        <f>COUNTIF(Principal!$C$32:$J$50,Tablas!D691)</f>
        <v>0</v>
      </c>
      <c r="G691" s="290">
        <f t="shared" si="52"/>
        <v>0</v>
      </c>
      <c r="H691" s="2729"/>
      <c r="I691" s="2740" t="s">
        <v>9097</v>
      </c>
      <c r="N691" s="447"/>
    </row>
    <row r="692" spans="2:14" ht="12.75" customHeight="1" x14ac:dyDescent="0.2">
      <c r="B692" s="1860" t="str">
        <f t="shared" si="50"/>
        <v>Contactos (3)</v>
      </c>
      <c r="C692" s="2723">
        <f t="shared" si="51"/>
        <v>7</v>
      </c>
      <c r="D692" s="147" t="s">
        <v>3540</v>
      </c>
      <c r="E692" s="459">
        <v>3</v>
      </c>
      <c r="F692" s="459">
        <f>COUNTIF(Principal!$C$32:$J$50,Tablas!D692)</f>
        <v>0</v>
      </c>
      <c r="G692" s="290">
        <f t="shared" si="52"/>
        <v>0</v>
      </c>
      <c r="H692" s="2729"/>
      <c r="I692" s="2740" t="s">
        <v>9097</v>
      </c>
      <c r="N692" s="447"/>
    </row>
    <row r="693" spans="2:14" ht="12.75" customHeight="1" x14ac:dyDescent="0.2">
      <c r="B693" s="1860" t="str">
        <f t="shared" si="50"/>
        <v>Curtido (1)</v>
      </c>
      <c r="C693" s="2723">
        <f t="shared" si="51"/>
        <v>14</v>
      </c>
      <c r="D693" s="147" t="s">
        <v>3541</v>
      </c>
      <c r="E693" s="459">
        <v>1</v>
      </c>
      <c r="F693" s="459">
        <f>COUNTIF(Principal!$C$32:$J$50,Tablas!D693)</f>
        <v>0</v>
      </c>
      <c r="G693" s="290">
        <f t="shared" si="52"/>
        <v>0</v>
      </c>
      <c r="H693" s="2729"/>
      <c r="I693" s="2740" t="s">
        <v>9097</v>
      </c>
      <c r="N693" s="447"/>
    </row>
    <row r="694" spans="2:14" ht="12.75" customHeight="1" x14ac:dyDescent="0.2">
      <c r="B694" s="1860" t="str">
        <f t="shared" si="50"/>
        <v>Curtido (2)</v>
      </c>
      <c r="C694" s="2723">
        <f t="shared" si="51"/>
        <v>15</v>
      </c>
      <c r="D694" s="147" t="s">
        <v>3542</v>
      </c>
      <c r="E694" s="459">
        <v>2</v>
      </c>
      <c r="F694" s="459">
        <f>COUNTIF(Principal!$C$32:$J$50,Tablas!D694)</f>
        <v>0</v>
      </c>
      <c r="G694" s="290">
        <f t="shared" si="52"/>
        <v>0</v>
      </c>
      <c r="H694" s="2729"/>
      <c r="I694" s="2740" t="s">
        <v>9097</v>
      </c>
      <c r="N694" s="447"/>
    </row>
    <row r="695" spans="2:14" ht="12.75" customHeight="1" x14ac:dyDescent="0.2">
      <c r="B695" s="1860" t="str">
        <f t="shared" si="50"/>
        <v>Curtido (3)</v>
      </c>
      <c r="C695" s="2723">
        <f t="shared" si="51"/>
        <v>21</v>
      </c>
      <c r="D695" s="147" t="s">
        <v>3543</v>
      </c>
      <c r="E695" s="459">
        <v>1</v>
      </c>
      <c r="F695" s="459">
        <f>COUNTIF(Principal!$C$32:$J$50,Tablas!D695)</f>
        <v>0</v>
      </c>
      <c r="G695" s="290">
        <f t="shared" si="52"/>
        <v>0</v>
      </c>
      <c r="H695" s="2729"/>
      <c r="I695" s="2740" t="s">
        <v>9097</v>
      </c>
      <c r="N695" s="447"/>
    </row>
    <row r="696" spans="2:14" ht="12.75" customHeight="1" x14ac:dyDescent="0.2">
      <c r="B696" s="1860" t="str">
        <f t="shared" si="50"/>
        <v>Fama (1)</v>
      </c>
      <c r="C696" s="2723">
        <f t="shared" si="51"/>
        <v>23</v>
      </c>
      <c r="D696" s="147" t="s">
        <v>3544</v>
      </c>
      <c r="E696" s="459">
        <v>2</v>
      </c>
      <c r="F696" s="459">
        <f>COUNTIF(Principal!$C$32:$J$50,Tablas!D696)</f>
        <v>0</v>
      </c>
      <c r="G696" s="290">
        <f t="shared" si="52"/>
        <v>0</v>
      </c>
      <c r="H696" s="2729"/>
      <c r="I696" s="2740" t="s">
        <v>9097</v>
      </c>
      <c r="N696" s="447"/>
    </row>
    <row r="697" spans="2:14" ht="12.75" customHeight="1" x14ac:dyDescent="0.2">
      <c r="B697" s="1860" t="str">
        <f t="shared" si="50"/>
        <v>Fama (2)</v>
      </c>
      <c r="C697" s="2723">
        <f t="shared" si="51"/>
        <v>19</v>
      </c>
      <c r="D697" s="147" t="s">
        <v>3545</v>
      </c>
      <c r="E697" s="459">
        <v>1</v>
      </c>
      <c r="F697" s="459">
        <f>COUNTIF(Principal!$C$32:$J$50,Tablas!D697)</f>
        <v>0</v>
      </c>
      <c r="G697" s="290">
        <f t="shared" si="52"/>
        <v>0</v>
      </c>
      <c r="H697" s="2729"/>
      <c r="I697" s="2740" t="s">
        <v>9097</v>
      </c>
      <c r="N697" s="447"/>
    </row>
    <row r="698" spans="2:14" ht="12.75" customHeight="1" x14ac:dyDescent="0.2">
      <c r="B698" s="1860" t="str">
        <f t="shared" si="50"/>
        <v>Fondos iniciales (10 000 mo)</v>
      </c>
      <c r="C698" s="2723">
        <f t="shared" si="51"/>
        <v>20</v>
      </c>
      <c r="D698" s="147" t="s">
        <v>3546</v>
      </c>
      <c r="E698" s="459">
        <v>2</v>
      </c>
      <c r="F698" s="459">
        <f>COUNTIF(Principal!$C$32:$J$50,Tablas!D698)</f>
        <v>0</v>
      </c>
      <c r="G698" s="290">
        <f t="shared" si="52"/>
        <v>0</v>
      </c>
      <c r="H698" s="2729"/>
      <c r="I698" s="2740" t="s">
        <v>9097</v>
      </c>
      <c r="N698" s="447"/>
    </row>
    <row r="699" spans="2:14" ht="12.75" customHeight="1" x14ac:dyDescent="0.2">
      <c r="B699" s="1860" t="str">
        <f t="shared" si="50"/>
        <v>Fondos iniciales (2 000 mo)</v>
      </c>
      <c r="C699" s="2723">
        <f t="shared" si="51"/>
        <v>8</v>
      </c>
      <c r="D699" s="147" t="s">
        <v>3547</v>
      </c>
      <c r="E699" s="459">
        <v>1</v>
      </c>
      <c r="F699" s="459">
        <f>COUNTIF(Principal!$C$32:$J$50,Tablas!D699)</f>
        <v>0</v>
      </c>
      <c r="G699" s="290">
        <f t="shared" si="52"/>
        <v>0</v>
      </c>
      <c r="H699" s="2729"/>
      <c r="I699" s="2740" t="s">
        <v>9097</v>
      </c>
      <c r="N699" s="447"/>
    </row>
    <row r="700" spans="2:14" ht="12.75" customHeight="1" x14ac:dyDescent="0.2">
      <c r="B700" s="1860" t="str">
        <f t="shared" si="50"/>
        <v>Fondos iniciales (5 000 mo)</v>
      </c>
      <c r="C700" s="2723">
        <f t="shared" si="51"/>
        <v>9</v>
      </c>
      <c r="D700" s="147" t="s">
        <v>3548</v>
      </c>
      <c r="E700" s="459">
        <v>2</v>
      </c>
      <c r="F700" s="459">
        <f>COUNTIF(Principal!$C$32:$J$50,Tablas!D700)</f>
        <v>0</v>
      </c>
      <c r="G700" s="290">
        <f t="shared" si="52"/>
        <v>0</v>
      </c>
      <c r="H700" s="2729"/>
      <c r="I700" s="2740" t="s">
        <v>9097</v>
      </c>
      <c r="N700" s="447"/>
    </row>
    <row r="701" spans="2:14" ht="12.75" customHeight="1" x14ac:dyDescent="0.2">
      <c r="B701" s="1860" t="str">
        <f t="shared" si="50"/>
        <v>Posición social (1)</v>
      </c>
      <c r="C701" s="2723">
        <f t="shared" si="51"/>
        <v>10</v>
      </c>
      <c r="D701" s="147" t="s">
        <v>3549</v>
      </c>
      <c r="E701" s="459">
        <v>3</v>
      </c>
      <c r="F701" s="459">
        <f>COUNTIF(Principal!$C$32:$J$50,Tablas!D701)</f>
        <v>0</v>
      </c>
      <c r="G701" s="290">
        <f t="shared" si="52"/>
        <v>0</v>
      </c>
      <c r="H701" s="2729"/>
      <c r="I701" s="2740" t="s">
        <v>9097</v>
      </c>
      <c r="N701" s="447"/>
    </row>
    <row r="702" spans="2:14" ht="12.75" customHeight="1" x14ac:dyDescent="0.2">
      <c r="B702" s="1860" t="str">
        <f t="shared" si="50"/>
        <v>Posición social (2)</v>
      </c>
      <c r="C702" s="2723">
        <f t="shared" si="51"/>
        <v>2</v>
      </c>
      <c r="D702" s="147" t="s">
        <v>3550</v>
      </c>
      <c r="E702" s="459">
        <v>1</v>
      </c>
      <c r="F702" s="459">
        <f>COUNTIF(Principal!$C$32:$J$50,Tablas!D702)</f>
        <v>0</v>
      </c>
      <c r="G702" s="290">
        <f t="shared" si="52"/>
        <v>0</v>
      </c>
      <c r="H702" s="2729"/>
      <c r="I702" s="2740" t="s">
        <v>9097</v>
      </c>
      <c r="N702" s="447"/>
    </row>
    <row r="703" spans="2:14" ht="12.75" customHeight="1" x14ac:dyDescent="0.2">
      <c r="B703" s="1860" t="str">
        <f t="shared" si="50"/>
        <v>Raices culturales</v>
      </c>
      <c r="C703" s="2723">
        <f t="shared" si="51"/>
        <v>3</v>
      </c>
      <c r="D703" s="147" t="s">
        <v>3551</v>
      </c>
      <c r="E703" s="459">
        <v>2</v>
      </c>
      <c r="F703" s="459">
        <f>COUNTIF(Principal!$C$32:$J$50,Tablas!D703)</f>
        <v>0</v>
      </c>
      <c r="G703" s="290">
        <f t="shared" si="52"/>
        <v>0</v>
      </c>
      <c r="H703" s="2729"/>
      <c r="I703" s="2740" t="s">
        <v>9097</v>
      </c>
      <c r="N703" s="447"/>
    </row>
    <row r="704" spans="2:14" ht="12.75" customHeight="1" x14ac:dyDescent="0.2">
      <c r="B704" s="1860" t="str">
        <f t="shared" si="50"/>
        <v>Sangre Antigua</v>
      </c>
      <c r="C704" s="2723">
        <f t="shared" si="51"/>
        <v>4</v>
      </c>
      <c r="D704" s="147" t="s">
        <v>3552</v>
      </c>
      <c r="E704" s="459">
        <v>3</v>
      </c>
      <c r="F704" s="459">
        <f>COUNTIF(Principal!$C$32:$J$50,Tablas!D704)</f>
        <v>0</v>
      </c>
      <c r="G704" s="290">
        <f t="shared" si="52"/>
        <v>0</v>
      </c>
      <c r="H704" s="2729"/>
      <c r="I704" s="2740" t="s">
        <v>9097</v>
      </c>
      <c r="N704" s="447"/>
    </row>
    <row r="705" spans="2:14" ht="12.75" customHeight="1" x14ac:dyDescent="0.2">
      <c r="B705" s="2721" t="str">
        <f t="shared" si="50"/>
        <v>Santo</v>
      </c>
      <c r="C705" s="2725">
        <f t="shared" si="51"/>
        <v>22</v>
      </c>
      <c r="D705" s="2726" t="s">
        <v>3553</v>
      </c>
      <c r="E705" s="2727">
        <v>2</v>
      </c>
      <c r="F705" s="2727">
        <f>COUNTIF(Principal!$C$32:$J$50,Tablas!D705)</f>
        <v>0</v>
      </c>
      <c r="G705" s="2167">
        <f t="shared" si="52"/>
        <v>0</v>
      </c>
      <c r="H705" s="2730"/>
      <c r="I705" s="2741" t="s">
        <v>9097</v>
      </c>
      <c r="N705" s="447"/>
    </row>
    <row r="706" spans="2:14" ht="12.75" customHeight="1" x14ac:dyDescent="0.2">
      <c r="B706" s="1860"/>
      <c r="C706" s="2723">
        <f>COUNTIF($D$706:$D$750,"&lt;="&amp;D706)-COUNTIF($D$706:$D$750,"*&gt;*")</f>
        <v>0</v>
      </c>
      <c r="D706" s="147" t="s">
        <v>3423</v>
      </c>
      <c r="E706" s="459"/>
      <c r="F706" s="459"/>
      <c r="G706" s="2731"/>
      <c r="H706" s="2729"/>
      <c r="I706" s="2740" t="s">
        <v>3965</v>
      </c>
      <c r="N706" s="447"/>
    </row>
    <row r="707" spans="2:14" ht="12.75" customHeight="1" x14ac:dyDescent="0.2">
      <c r="B707" s="1860" t="str">
        <f>D706</f>
        <v>&gt; DESVENTAJAS COMUNES</v>
      </c>
      <c r="C707" s="2723">
        <f>COUNTIF($D$706:$D$750,"&lt;="&amp;D707)-COUNTIF($D$706:$D$750,"*&gt;*")</f>
        <v>1</v>
      </c>
      <c r="D707" s="2744" t="s">
        <v>9867</v>
      </c>
      <c r="E707" s="459">
        <v>-1</v>
      </c>
      <c r="F707" s="459">
        <f>COUNTIF(Principal!$C$32:$J$50,Tablas!D707)</f>
        <v>0</v>
      </c>
      <c r="G707" s="2731">
        <f t="shared" ref="G707:G741" si="53">F707*E707</f>
        <v>0</v>
      </c>
      <c r="H707" s="2736">
        <v>1</v>
      </c>
      <c r="I707" s="2740" t="s">
        <v>3965</v>
      </c>
      <c r="N707" s="447"/>
    </row>
    <row r="708" spans="2:14" ht="12.75" customHeight="1" x14ac:dyDescent="0.2">
      <c r="B708" s="1860" t="str">
        <f t="shared" ref="B708" si="54">VLOOKUP(A1,$C$706:$D$750,2,0)</f>
        <v>-2 a característica: AGI</v>
      </c>
      <c r="C708" s="2723">
        <f t="shared" ref="C708:C750" si="55">COUNTIF($D$706:$D$750,"&lt;="&amp;D708)-COUNTIF($D$706:$D$750,"*&gt;*")</f>
        <v>2</v>
      </c>
      <c r="D708" s="2744" t="s">
        <v>9868</v>
      </c>
      <c r="E708" s="459">
        <v>-1</v>
      </c>
      <c r="F708" s="459">
        <f>COUNTIF(Principal!$C$32:$J$50,Tablas!D708)</f>
        <v>0</v>
      </c>
      <c r="G708" s="2731">
        <f t="shared" si="53"/>
        <v>0</v>
      </c>
      <c r="H708" s="2736">
        <v>1</v>
      </c>
      <c r="I708" s="2740" t="s">
        <v>3965</v>
      </c>
      <c r="N708" s="447"/>
    </row>
    <row r="709" spans="2:14" ht="12.75" customHeight="1" x14ac:dyDescent="0.2">
      <c r="B709" s="1860" t="str">
        <f t="shared" ref="B709:B750" si="56">VLOOKUP(A2,$C$706:$D$750,2,0)</f>
        <v>-2 a característica: CON</v>
      </c>
      <c r="C709" s="2723">
        <f t="shared" si="55"/>
        <v>3</v>
      </c>
      <c r="D709" s="2744" t="s">
        <v>9869</v>
      </c>
      <c r="E709" s="459">
        <v>-1</v>
      </c>
      <c r="F709" s="459">
        <f>COUNTIF(Principal!$C$32:$J$50,Tablas!D709)</f>
        <v>0</v>
      </c>
      <c r="G709" s="2731">
        <f t="shared" si="53"/>
        <v>0</v>
      </c>
      <c r="H709" s="2736">
        <v>1</v>
      </c>
      <c r="I709" s="2740" t="s">
        <v>3965</v>
      </c>
      <c r="N709" s="447"/>
    </row>
    <row r="710" spans="2:14" ht="12.75" customHeight="1" x14ac:dyDescent="0.2">
      <c r="B710" s="1860" t="str">
        <f t="shared" si="56"/>
        <v>-2 a característica: DES</v>
      </c>
      <c r="C710" s="2723">
        <f t="shared" si="55"/>
        <v>4</v>
      </c>
      <c r="D710" s="2744" t="s">
        <v>9870</v>
      </c>
      <c r="E710" s="459">
        <v>-1</v>
      </c>
      <c r="F710" s="459">
        <f>COUNTIF(Principal!$C$32:$J$50,Tablas!D710)</f>
        <v>0</v>
      </c>
      <c r="G710" s="2731">
        <f t="shared" si="53"/>
        <v>0</v>
      </c>
      <c r="H710" s="2736">
        <v>1</v>
      </c>
      <c r="I710" s="2740" t="s">
        <v>3965</v>
      </c>
      <c r="N710" s="447"/>
    </row>
    <row r="711" spans="2:14" ht="12.75" customHeight="1" x14ac:dyDescent="0.2">
      <c r="B711" s="1860" t="str">
        <f t="shared" si="56"/>
        <v>-2 a característica: FUE</v>
      </c>
      <c r="C711" s="2723">
        <f t="shared" si="55"/>
        <v>5</v>
      </c>
      <c r="D711" s="2744" t="s">
        <v>9871</v>
      </c>
      <c r="E711" s="459">
        <v>-1</v>
      </c>
      <c r="F711" s="459">
        <f>COUNTIF(Principal!$C$32:$J$50,Tablas!D711)</f>
        <v>0</v>
      </c>
      <c r="G711" s="2731">
        <f t="shared" si="53"/>
        <v>0</v>
      </c>
      <c r="H711" s="2736">
        <v>1</v>
      </c>
      <c r="I711" s="2740" t="s">
        <v>3965</v>
      </c>
      <c r="N711" s="447"/>
    </row>
    <row r="712" spans="2:14" ht="12.75" customHeight="1" x14ac:dyDescent="0.2">
      <c r="B712" s="1860" t="str">
        <f t="shared" si="56"/>
        <v>-2 a característica: INT</v>
      </c>
      <c r="C712" s="2723">
        <f t="shared" si="55"/>
        <v>6</v>
      </c>
      <c r="D712" s="2744" t="s">
        <v>9872</v>
      </c>
      <c r="E712" s="459">
        <v>-1</v>
      </c>
      <c r="F712" s="459">
        <f>COUNTIF(Principal!$C$32:$J$50,Tablas!D712)</f>
        <v>0</v>
      </c>
      <c r="G712" s="2731">
        <f t="shared" si="53"/>
        <v>0</v>
      </c>
      <c r="H712" s="2736">
        <v>1</v>
      </c>
      <c r="I712" s="2740" t="s">
        <v>3965</v>
      </c>
      <c r="N712" s="447"/>
    </row>
    <row r="713" spans="2:14" ht="12.75" customHeight="1" x14ac:dyDescent="0.2">
      <c r="B713" s="1860" t="str">
        <f t="shared" si="56"/>
        <v>-2 a característica: PER</v>
      </c>
      <c r="C713" s="2723">
        <f t="shared" si="55"/>
        <v>7</v>
      </c>
      <c r="D713" s="2744" t="s">
        <v>9873</v>
      </c>
      <c r="E713" s="459">
        <v>-1</v>
      </c>
      <c r="F713" s="459">
        <f>COUNTIF(Principal!$C$32:$J$50,Tablas!D713)</f>
        <v>0</v>
      </c>
      <c r="G713" s="2731">
        <f t="shared" si="53"/>
        <v>0</v>
      </c>
      <c r="H713" s="2736">
        <v>1</v>
      </c>
      <c r="I713" s="2740" t="s">
        <v>3965</v>
      </c>
      <c r="N713" s="447"/>
    </row>
    <row r="714" spans="2:14" ht="12.75" customHeight="1" x14ac:dyDescent="0.2">
      <c r="B714" s="1860" t="str">
        <f t="shared" si="56"/>
        <v>-2 a característica: POD</v>
      </c>
      <c r="C714" s="2723">
        <f t="shared" si="55"/>
        <v>8</v>
      </c>
      <c r="D714" s="2744" t="s">
        <v>9874</v>
      </c>
      <c r="E714" s="459">
        <v>-1</v>
      </c>
      <c r="F714" s="459">
        <f>COUNTIF(Principal!$C$32:$J$50,Tablas!D714)</f>
        <v>0</v>
      </c>
      <c r="G714" s="2731">
        <f t="shared" si="53"/>
        <v>0</v>
      </c>
      <c r="H714" s="2736">
        <v>1</v>
      </c>
      <c r="I714" s="2740" t="s">
        <v>3965</v>
      </c>
      <c r="N714" s="447"/>
    </row>
    <row r="715" spans="2:14" ht="12.75" customHeight="1" x14ac:dyDescent="0.2">
      <c r="B715" s="1860" t="str">
        <f t="shared" si="56"/>
        <v>-2 a característica: VOL</v>
      </c>
      <c r="C715" s="2723">
        <f t="shared" si="55"/>
        <v>31</v>
      </c>
      <c r="D715" s="147" t="s">
        <v>3424</v>
      </c>
      <c r="E715" s="459">
        <v>-1</v>
      </c>
      <c r="F715" s="459">
        <f>COUNTIF(Principal!$C$32:$J$50,Tablas!D715)</f>
        <v>0</v>
      </c>
      <c r="G715" s="2731">
        <f t="shared" si="53"/>
        <v>0</v>
      </c>
      <c r="H715" s="2736">
        <v>2</v>
      </c>
      <c r="I715" s="2740" t="s">
        <v>3965</v>
      </c>
      <c r="N715" s="447"/>
    </row>
    <row r="716" spans="2:14" ht="12.75" customHeight="1" x14ac:dyDescent="0.2">
      <c r="B716" s="1860" t="str">
        <f t="shared" si="56"/>
        <v>Adicción o vicio grave</v>
      </c>
      <c r="C716" s="2723">
        <f t="shared" si="55"/>
        <v>36</v>
      </c>
      <c r="D716" s="147" t="s">
        <v>2851</v>
      </c>
      <c r="E716" s="459">
        <v>-1</v>
      </c>
      <c r="F716" s="459">
        <f>COUNTIF(Principal!$C$32:$J$50,Tablas!D716)</f>
        <v>0</v>
      </c>
      <c r="G716" s="2731">
        <f t="shared" si="53"/>
        <v>0</v>
      </c>
      <c r="H716" s="2736">
        <v>1</v>
      </c>
      <c r="I716" s="2740" t="s">
        <v>3965</v>
      </c>
      <c r="N716" s="447"/>
    </row>
    <row r="717" spans="2:14" ht="12.75" customHeight="1" x14ac:dyDescent="0.2">
      <c r="B717" s="1860" t="str">
        <f t="shared" si="56"/>
        <v>Alergia grave</v>
      </c>
      <c r="C717" s="2723">
        <f t="shared" si="55"/>
        <v>42</v>
      </c>
      <c r="D717" s="147" t="s">
        <v>3425</v>
      </c>
      <c r="E717" s="459">
        <v>-1</v>
      </c>
      <c r="F717" s="459">
        <f>COUNTIF(Principal!$C$32:$J$50,Tablas!D717)</f>
        <v>0</v>
      </c>
      <c r="G717" s="2731">
        <f t="shared" si="53"/>
        <v>0</v>
      </c>
      <c r="H717" s="2736">
        <v>1</v>
      </c>
      <c r="I717" s="2740" t="s">
        <v>3965</v>
      </c>
      <c r="N717" s="447"/>
    </row>
    <row r="718" spans="2:14" ht="12.75" customHeight="1" x14ac:dyDescent="0.2">
      <c r="B718" s="1860" t="str">
        <f t="shared" si="56"/>
        <v>Aprendizaje lento (1)</v>
      </c>
      <c r="C718" s="2723">
        <f t="shared" si="55"/>
        <v>24</v>
      </c>
      <c r="D718" s="147" t="s">
        <v>3426</v>
      </c>
      <c r="E718" s="459">
        <v>-1</v>
      </c>
      <c r="F718" s="459">
        <f>COUNTIF(Principal!$C$32:$J$50,Tablas!D718)</f>
        <v>0</v>
      </c>
      <c r="G718" s="2731">
        <f t="shared" si="53"/>
        <v>0</v>
      </c>
      <c r="H718" s="2736"/>
      <c r="I718" s="2740" t="s">
        <v>3965</v>
      </c>
      <c r="N718" s="447"/>
    </row>
    <row r="719" spans="2:14" ht="12.75" customHeight="1" x14ac:dyDescent="0.2">
      <c r="B719" s="1860" t="str">
        <f t="shared" si="56"/>
        <v>Aprendizaje lento (2)</v>
      </c>
      <c r="C719" s="2723">
        <f t="shared" si="55"/>
        <v>41</v>
      </c>
      <c r="D719" s="147" t="s">
        <v>3427</v>
      </c>
      <c r="E719" s="459">
        <v>-1</v>
      </c>
      <c r="F719" s="459">
        <f>COUNTIF(Principal!$C$32:$J$50,Tablas!D719)</f>
        <v>0</v>
      </c>
      <c r="G719" s="2731">
        <f t="shared" si="53"/>
        <v>0</v>
      </c>
      <c r="H719" s="2736">
        <v>1</v>
      </c>
      <c r="I719" s="2740" t="s">
        <v>3965</v>
      </c>
      <c r="N719" s="447"/>
    </row>
    <row r="720" spans="2:14" ht="12.75" customHeight="1" x14ac:dyDescent="0.2">
      <c r="B720" s="1860" t="str">
        <f t="shared" si="56"/>
        <v>Arma exclusiva</v>
      </c>
      <c r="C720" s="2723">
        <f t="shared" si="55"/>
        <v>40</v>
      </c>
      <c r="D720" s="147" t="s">
        <v>3428</v>
      </c>
      <c r="E720" s="459">
        <v>-1</v>
      </c>
      <c r="F720" s="459">
        <f>COUNTIF(Principal!$C$32:$J$50,Tablas!D720)</f>
        <v>0</v>
      </c>
      <c r="G720" s="2731">
        <f t="shared" si="53"/>
        <v>0</v>
      </c>
      <c r="H720" s="2736"/>
      <c r="I720" s="2740" t="s">
        <v>3965</v>
      </c>
      <c r="N720" s="447"/>
    </row>
    <row r="721" spans="2:14" ht="12.75" customHeight="1" x14ac:dyDescent="0.2">
      <c r="B721" s="1860" t="str">
        <f t="shared" si="56"/>
        <v>Aspecto desagradable</v>
      </c>
      <c r="C721" s="2723">
        <f t="shared" si="55"/>
        <v>23</v>
      </c>
      <c r="D721" s="147" t="s">
        <v>3429</v>
      </c>
      <c r="E721" s="459">
        <v>-1</v>
      </c>
      <c r="F721" s="459">
        <f>COUNTIF(Principal!$C$32:$J$50,Tablas!D721)</f>
        <v>0</v>
      </c>
      <c r="G721" s="2731">
        <f t="shared" si="53"/>
        <v>0</v>
      </c>
      <c r="H721" s="2736"/>
      <c r="I721" s="2740" t="s">
        <v>3965</v>
      </c>
      <c r="N721" s="447"/>
    </row>
    <row r="722" spans="2:14" ht="12.75" customHeight="1" x14ac:dyDescent="0.2">
      <c r="B722" s="1860" t="str">
        <f t="shared" si="56"/>
        <v>Ciego</v>
      </c>
      <c r="C722" s="2723">
        <f t="shared" si="55"/>
        <v>17</v>
      </c>
      <c r="D722" s="147" t="s">
        <v>3430</v>
      </c>
      <c r="E722" s="459">
        <v>-1</v>
      </c>
      <c r="F722" s="459">
        <f>COUNTIF(Principal!$C$32:$J$50,Tablas!D722)</f>
        <v>0</v>
      </c>
      <c r="G722" s="2731">
        <f t="shared" si="53"/>
        <v>0</v>
      </c>
      <c r="H722" s="2736">
        <v>1</v>
      </c>
      <c r="I722" s="2740" t="s">
        <v>3965</v>
      </c>
      <c r="N722" s="447"/>
    </row>
    <row r="723" spans="2:14" ht="12.75" customHeight="1" x14ac:dyDescent="0.2">
      <c r="B723" s="1860" t="str">
        <f t="shared" si="56"/>
        <v>Cobardía</v>
      </c>
      <c r="C723" s="2723">
        <f t="shared" si="55"/>
        <v>14</v>
      </c>
      <c r="D723" s="147" t="s">
        <v>3431</v>
      </c>
      <c r="E723" s="459">
        <v>-1</v>
      </c>
      <c r="F723" s="459">
        <f>COUNTIF(Principal!$C$32:$J$50,Tablas!D723)</f>
        <v>0</v>
      </c>
      <c r="G723" s="2731">
        <f t="shared" si="53"/>
        <v>0</v>
      </c>
      <c r="H723" s="2736"/>
      <c r="I723" s="2740" t="s">
        <v>3965</v>
      </c>
      <c r="N723" s="447"/>
    </row>
    <row r="724" spans="2:14" ht="12.75" customHeight="1" x14ac:dyDescent="0.2">
      <c r="B724" s="1860" t="str">
        <f t="shared" si="56"/>
        <v>Debilidad física</v>
      </c>
      <c r="C724" s="2723">
        <f t="shared" si="55"/>
        <v>27</v>
      </c>
      <c r="D724" s="147" t="s">
        <v>3432</v>
      </c>
      <c r="E724" s="459">
        <v>-1</v>
      </c>
      <c r="F724" s="459">
        <f>COUNTIF(Principal!$C$32:$J$50,Tablas!D724)</f>
        <v>0</v>
      </c>
      <c r="G724" s="2731">
        <f t="shared" si="53"/>
        <v>0</v>
      </c>
      <c r="H724" s="2736"/>
      <c r="I724" s="2740" t="s">
        <v>3965</v>
      </c>
      <c r="N724" s="447"/>
    </row>
    <row r="725" spans="2:14" ht="12.75" customHeight="1" x14ac:dyDescent="0.2">
      <c r="B725" s="1860" t="str">
        <f t="shared" si="56"/>
        <v>Desafortunado</v>
      </c>
      <c r="C725" s="2723">
        <f t="shared" si="55"/>
        <v>21</v>
      </c>
      <c r="D725" s="147" t="s">
        <v>3433</v>
      </c>
      <c r="E725" s="459">
        <v>-2</v>
      </c>
      <c r="F725" s="459">
        <f>COUNTIF(Principal!$C$32:$J$50,Tablas!D725)</f>
        <v>0</v>
      </c>
      <c r="G725" s="2731">
        <f t="shared" si="53"/>
        <v>0</v>
      </c>
      <c r="H725" s="2736"/>
      <c r="I725" s="2740" t="s">
        <v>3965</v>
      </c>
      <c r="N725" s="447"/>
    </row>
    <row r="726" spans="2:14" ht="12.75" customHeight="1" x14ac:dyDescent="0.2">
      <c r="B726" s="1860" t="str">
        <f t="shared" si="56"/>
        <v>Destino aciago</v>
      </c>
      <c r="C726" s="2723">
        <f t="shared" si="55"/>
        <v>10</v>
      </c>
      <c r="D726" s="147" t="s">
        <v>3434</v>
      </c>
      <c r="E726" s="459">
        <v>-1</v>
      </c>
      <c r="F726" s="459">
        <f>COUNTIF(Principal!$C$32:$J$50,Tablas!D726)</f>
        <v>0</v>
      </c>
      <c r="G726" s="2731">
        <f t="shared" si="53"/>
        <v>0</v>
      </c>
      <c r="H726" s="2736"/>
      <c r="I726" s="2740" t="s">
        <v>3965</v>
      </c>
      <c r="N726" s="447"/>
    </row>
    <row r="727" spans="2:14" ht="12.75" customHeight="1" x14ac:dyDescent="0.2">
      <c r="B727" s="1860" t="str">
        <f t="shared" si="56"/>
        <v>Endeble</v>
      </c>
      <c r="C727" s="2723">
        <f t="shared" si="55"/>
        <v>39</v>
      </c>
      <c r="D727" s="147" t="s">
        <v>3435</v>
      </c>
      <c r="E727" s="459">
        <v>-1</v>
      </c>
      <c r="F727" s="459">
        <f>COUNTIF(Principal!$C$32:$J$50,Tablas!D727)</f>
        <v>0</v>
      </c>
      <c r="G727" s="2731">
        <f t="shared" si="53"/>
        <v>0</v>
      </c>
      <c r="H727" s="2736"/>
      <c r="I727" s="2740" t="s">
        <v>3965</v>
      </c>
      <c r="N727" s="447"/>
    </row>
    <row r="728" spans="2:14" ht="12.75" customHeight="1" x14ac:dyDescent="0.2">
      <c r="B728" s="1860" t="str">
        <f t="shared" si="56"/>
        <v>Enfermedad grave</v>
      </c>
      <c r="C728" s="2723">
        <f t="shared" si="55"/>
        <v>25</v>
      </c>
      <c r="D728" s="147" t="s">
        <v>3436</v>
      </c>
      <c r="E728" s="459">
        <v>-1</v>
      </c>
      <c r="F728" s="459">
        <f>COUNTIF(Principal!$C$32:$J$50,Tablas!D728)</f>
        <v>0</v>
      </c>
      <c r="G728" s="2731">
        <f t="shared" si="53"/>
        <v>0</v>
      </c>
      <c r="H728" s="2736"/>
      <c r="I728" s="2740" t="s">
        <v>3965</v>
      </c>
      <c r="N728" s="447"/>
    </row>
    <row r="729" spans="2:14" ht="12.75" customHeight="1" x14ac:dyDescent="0.2">
      <c r="B729" s="1860" t="str">
        <f t="shared" si="56"/>
        <v>Exhausto</v>
      </c>
      <c r="C729" s="2723">
        <f t="shared" si="55"/>
        <v>28</v>
      </c>
      <c r="D729" s="147" t="s">
        <v>3437</v>
      </c>
      <c r="E729" s="459">
        <v>-1</v>
      </c>
      <c r="F729" s="459">
        <f>COUNTIF(Principal!$C$32:$J$50,Tablas!D729)</f>
        <v>0</v>
      </c>
      <c r="G729" s="2731">
        <f t="shared" si="53"/>
        <v>0</v>
      </c>
      <c r="H729" s="2736"/>
      <c r="I729" s="2740" t="s">
        <v>3965</v>
      </c>
      <c r="N729" s="447"/>
    </row>
    <row r="730" spans="2:14" ht="12.75" customHeight="1" x14ac:dyDescent="0.2">
      <c r="B730" s="1860" t="str">
        <f t="shared" si="56"/>
        <v>Extremidad atrofiada</v>
      </c>
      <c r="C730" s="2723">
        <f t="shared" si="55"/>
        <v>18</v>
      </c>
      <c r="D730" s="147" t="s">
        <v>3438</v>
      </c>
      <c r="E730" s="459">
        <v>-1</v>
      </c>
      <c r="F730" s="459">
        <f>COUNTIF(Principal!$C$32:$J$50,Tablas!D730)</f>
        <v>0</v>
      </c>
      <c r="G730" s="2731">
        <f t="shared" si="53"/>
        <v>0</v>
      </c>
      <c r="H730" s="2736"/>
      <c r="I730" s="2740" t="s">
        <v>3965</v>
      </c>
      <c r="N730" s="447"/>
    </row>
    <row r="731" spans="2:14" ht="12.75" customHeight="1" x14ac:dyDescent="0.2">
      <c r="B731" s="1860" t="str">
        <f t="shared" si="56"/>
        <v>Fácil posesión</v>
      </c>
      <c r="C731" s="2723">
        <f t="shared" si="55"/>
        <v>32</v>
      </c>
      <c r="D731" s="147" t="s">
        <v>3439</v>
      </c>
      <c r="E731" s="459">
        <v>-1</v>
      </c>
      <c r="F731" s="459">
        <f>COUNTIF(Principal!$C$32:$J$50,Tablas!D731)</f>
        <v>0</v>
      </c>
      <c r="G731" s="2731">
        <f t="shared" si="53"/>
        <v>0</v>
      </c>
      <c r="H731" s="2736"/>
      <c r="I731" s="2740" t="s">
        <v>3965</v>
      </c>
      <c r="N731" s="447"/>
    </row>
    <row r="732" spans="2:14" ht="12.75" customHeight="1" x14ac:dyDescent="0.2">
      <c r="B732" s="1860" t="str">
        <f t="shared" si="56"/>
        <v>Fobia grave</v>
      </c>
      <c r="C732" s="2723">
        <f t="shared" si="55"/>
        <v>15</v>
      </c>
      <c r="D732" s="147" t="s">
        <v>3440</v>
      </c>
      <c r="E732" s="459">
        <v>-2</v>
      </c>
      <c r="F732" s="459">
        <f>COUNTIF(Principal!$C$32:$J$50,Tablas!D732)</f>
        <v>0</v>
      </c>
      <c r="G732" s="2731">
        <f t="shared" si="53"/>
        <v>0</v>
      </c>
      <c r="H732" s="2736"/>
      <c r="I732" s="2740" t="s">
        <v>3965</v>
      </c>
      <c r="N732" s="447"/>
    </row>
    <row r="733" spans="2:14" ht="12.75" customHeight="1" x14ac:dyDescent="0.2">
      <c r="B733" s="1860" t="str">
        <f t="shared" si="56"/>
        <v>Insufrible</v>
      </c>
      <c r="C733" s="2723">
        <f t="shared" si="55"/>
        <v>38</v>
      </c>
      <c r="D733" s="147" t="s">
        <v>3441</v>
      </c>
      <c r="E733" s="459">
        <v>-1</v>
      </c>
      <c r="F733" s="459">
        <f>COUNTIF(Principal!$C$32:$J$50,Tablas!D733)</f>
        <v>0</v>
      </c>
      <c r="G733" s="2731">
        <f t="shared" si="53"/>
        <v>0</v>
      </c>
      <c r="H733" s="2736"/>
      <c r="I733" s="2740" t="s">
        <v>3965</v>
      </c>
      <c r="N733" s="447"/>
    </row>
    <row r="734" spans="2:14" ht="12.75" customHeight="1" x14ac:dyDescent="0.2">
      <c r="B734" s="1860" t="str">
        <f t="shared" si="56"/>
        <v>Lenta curación</v>
      </c>
      <c r="C734" s="2723">
        <f t="shared" si="55"/>
        <v>13</v>
      </c>
      <c r="D734" s="147" t="s">
        <v>3442</v>
      </c>
      <c r="E734" s="459">
        <v>-1</v>
      </c>
      <c r="F734" s="459">
        <f>COUNTIF(Principal!$C$32:$J$50,Tablas!D734)</f>
        <v>0</v>
      </c>
      <c r="G734" s="2731">
        <f t="shared" si="53"/>
        <v>0</v>
      </c>
      <c r="H734" s="2736">
        <v>1</v>
      </c>
      <c r="I734" s="2740" t="s">
        <v>3965</v>
      </c>
      <c r="N734" s="447"/>
    </row>
    <row r="735" spans="2:14" ht="12.75" customHeight="1" x14ac:dyDescent="0.2">
      <c r="B735" s="1860" t="str">
        <f t="shared" si="56"/>
        <v>Mala suerte</v>
      </c>
      <c r="C735" s="2723">
        <f t="shared" si="55"/>
        <v>34</v>
      </c>
      <c r="D735" s="147" t="s">
        <v>3443</v>
      </c>
      <c r="E735" s="459">
        <v>-1</v>
      </c>
      <c r="F735" s="459">
        <f>COUNTIF(Principal!$C$32:$J$50,Tablas!D735)</f>
        <v>0</v>
      </c>
      <c r="G735" s="2731">
        <f t="shared" si="53"/>
        <v>0</v>
      </c>
      <c r="H735" s="2736">
        <v>1</v>
      </c>
      <c r="I735" s="2740" t="s">
        <v>3965</v>
      </c>
      <c r="N735" s="447"/>
    </row>
    <row r="736" spans="2:14" ht="12.75" customHeight="1" x14ac:dyDescent="0.2">
      <c r="B736" s="1860" t="str">
        <f t="shared" si="56"/>
        <v>Maldito (1)</v>
      </c>
      <c r="C736" s="2723">
        <f t="shared" si="55"/>
        <v>35</v>
      </c>
      <c r="D736" s="147" t="s">
        <v>3444</v>
      </c>
      <c r="E736" s="459">
        <v>-2</v>
      </c>
      <c r="F736" s="459">
        <f>COUNTIF(Principal!$C$32:$J$50,Tablas!D736)</f>
        <v>0</v>
      </c>
      <c r="G736" s="2731">
        <f t="shared" si="53"/>
        <v>0</v>
      </c>
      <c r="H736" s="2736">
        <v>1</v>
      </c>
      <c r="I736" s="2740" t="s">
        <v>3965</v>
      </c>
      <c r="N736" s="447"/>
    </row>
    <row r="737" spans="2:14" ht="12.75" customHeight="1" x14ac:dyDescent="0.2">
      <c r="B737" s="1860" t="str">
        <f t="shared" si="56"/>
        <v>Maldito (2)</v>
      </c>
      <c r="C737" s="2723">
        <f t="shared" si="55"/>
        <v>9</v>
      </c>
      <c r="D737" s="147" t="s">
        <v>3445</v>
      </c>
      <c r="E737" s="459">
        <v>-1</v>
      </c>
      <c r="F737" s="459">
        <f>COUNTIF(Principal!$C$32:$J$50,Tablas!D737)</f>
        <v>0</v>
      </c>
      <c r="G737" s="2731">
        <f t="shared" si="53"/>
        <v>0</v>
      </c>
      <c r="H737" s="2736"/>
      <c r="I737" s="2740" t="s">
        <v>3965</v>
      </c>
      <c r="N737" s="447"/>
    </row>
    <row r="738" spans="2:14" ht="12.75" customHeight="1" x14ac:dyDescent="0.2">
      <c r="B738" s="1860" t="str">
        <f t="shared" si="56"/>
        <v>Miopía</v>
      </c>
      <c r="C738" s="2723">
        <f t="shared" si="55"/>
        <v>11</v>
      </c>
      <c r="D738" s="147" t="s">
        <v>3446</v>
      </c>
      <c r="E738" s="459">
        <v>-1</v>
      </c>
      <c r="F738" s="459">
        <f>COUNTIF(Principal!$C$32:$J$50,Tablas!D738)</f>
        <v>0</v>
      </c>
      <c r="G738" s="2731">
        <f t="shared" si="53"/>
        <v>0</v>
      </c>
      <c r="H738" s="2736"/>
      <c r="I738" s="2740" t="s">
        <v>3965</v>
      </c>
      <c r="N738" s="447"/>
    </row>
    <row r="739" spans="2:14" ht="12.75" customHeight="1" x14ac:dyDescent="0.2">
      <c r="B739" s="1860" t="str">
        <f t="shared" si="56"/>
        <v>Mudo</v>
      </c>
      <c r="C739" s="2723">
        <f t="shared" si="55"/>
        <v>12</v>
      </c>
      <c r="D739" s="147" t="s">
        <v>3447</v>
      </c>
      <c r="E739" s="459">
        <v>-2</v>
      </c>
      <c r="F739" s="459">
        <f>COUNTIF(Principal!$C$32:$J$50,Tablas!D739)</f>
        <v>0</v>
      </c>
      <c r="G739" s="2731">
        <f t="shared" si="53"/>
        <v>0</v>
      </c>
      <c r="H739" s="2736"/>
      <c r="I739" s="2740" t="s">
        <v>3965</v>
      </c>
      <c r="N739" s="447"/>
    </row>
    <row r="740" spans="2:14" ht="12.75" customHeight="1" x14ac:dyDescent="0.2">
      <c r="B740" s="1860" t="str">
        <f t="shared" si="56"/>
        <v>Patoso</v>
      </c>
      <c r="C740" s="2723">
        <f t="shared" si="55"/>
        <v>43</v>
      </c>
      <c r="D740" s="147" t="s">
        <v>3448</v>
      </c>
      <c r="E740" s="459">
        <v>-1</v>
      </c>
      <c r="F740" s="459">
        <f>COUNTIF(Principal!$C$32:$J$50,Tablas!D740)</f>
        <v>0</v>
      </c>
      <c r="G740" s="2731">
        <f t="shared" si="53"/>
        <v>0</v>
      </c>
      <c r="H740" s="2736">
        <v>1</v>
      </c>
      <c r="I740" s="2740" t="s">
        <v>3965</v>
      </c>
      <c r="N740" s="447"/>
    </row>
    <row r="741" spans="2:14" ht="12.75" customHeight="1" x14ac:dyDescent="0.2">
      <c r="B741" s="1860" t="str">
        <f t="shared" si="56"/>
        <v>Reacción lenta (1)</v>
      </c>
      <c r="C741" s="2723">
        <f t="shared" si="55"/>
        <v>22</v>
      </c>
      <c r="D741" s="147" t="s">
        <v>3449</v>
      </c>
      <c r="E741" s="459">
        <v>-1</v>
      </c>
      <c r="F741" s="459">
        <f>COUNTIF(Principal!$C$32:$J$50,Tablas!D741)</f>
        <v>0</v>
      </c>
      <c r="G741" s="2731">
        <f t="shared" si="53"/>
        <v>0</v>
      </c>
      <c r="H741" s="2736">
        <v>1</v>
      </c>
      <c r="I741" s="2740" t="s">
        <v>3965</v>
      </c>
      <c r="N741" s="447"/>
    </row>
    <row r="742" spans="2:14" ht="12.75" customHeight="1" x14ac:dyDescent="0.2">
      <c r="B742" s="1860" t="str">
        <f t="shared" si="56"/>
        <v>Reacción lenta (2)</v>
      </c>
      <c r="C742" s="2723">
        <f t="shared" si="55"/>
        <v>-1</v>
      </c>
      <c r="D742" s="147" t="s">
        <v>3497</v>
      </c>
      <c r="E742" s="459"/>
      <c r="F742" s="459"/>
      <c r="G742" s="2731"/>
      <c r="H742" s="2736"/>
      <c r="I742" s="2740" t="s">
        <v>3965</v>
      </c>
      <c r="N742" s="447"/>
    </row>
    <row r="743" spans="2:14" ht="12.75" customHeight="1" x14ac:dyDescent="0.2">
      <c r="B743" s="1860" t="str">
        <f t="shared" si="56"/>
        <v>Salud enfermiza</v>
      </c>
      <c r="C743" s="2723">
        <f t="shared" si="55"/>
        <v>20</v>
      </c>
      <c r="D743" s="147" t="s">
        <v>3498</v>
      </c>
      <c r="E743" s="459">
        <v>-1</v>
      </c>
      <c r="F743" s="459">
        <f>COUNTIF(Principal!$C$32:$J$50,Tablas!D743)</f>
        <v>0</v>
      </c>
      <c r="G743" s="2731">
        <f t="shared" ref="G743:G747" si="57">F743*E743</f>
        <v>0</v>
      </c>
      <c r="H743" s="2736"/>
      <c r="I743" s="2740" t="s">
        <v>3965</v>
      </c>
      <c r="N743" s="447"/>
    </row>
    <row r="744" spans="2:14" ht="12.75" customHeight="1" x14ac:dyDescent="0.2">
      <c r="B744" s="1860" t="str">
        <f t="shared" si="56"/>
        <v>Sin bonificador natural</v>
      </c>
      <c r="C744" s="2723">
        <f t="shared" si="55"/>
        <v>16</v>
      </c>
      <c r="D744" s="147" t="s">
        <v>3499</v>
      </c>
      <c r="E744" s="459">
        <v>-1</v>
      </c>
      <c r="F744" s="459">
        <f>COUNTIF(Principal!$C$32:$J$50,Tablas!D744)</f>
        <v>0</v>
      </c>
      <c r="G744" s="2731">
        <f t="shared" si="57"/>
        <v>0</v>
      </c>
      <c r="H744" s="2736"/>
      <c r="I744" s="2740" t="s">
        <v>3965</v>
      </c>
      <c r="N744" s="447"/>
    </row>
    <row r="745" spans="2:14" ht="12.75" customHeight="1" x14ac:dyDescent="0.2">
      <c r="B745" s="1860" t="str">
        <f t="shared" si="56"/>
        <v>Sordo</v>
      </c>
      <c r="C745" s="2723">
        <f t="shared" si="55"/>
        <v>33</v>
      </c>
      <c r="D745" s="147" t="s">
        <v>3500</v>
      </c>
      <c r="E745" s="459">
        <v>-1</v>
      </c>
      <c r="F745" s="459">
        <f>COUNTIF(Principal!$C$32:$J$50,Tablas!D745)</f>
        <v>0</v>
      </c>
      <c r="G745" s="2731">
        <f t="shared" si="57"/>
        <v>0</v>
      </c>
      <c r="H745" s="2736"/>
      <c r="I745" s="2740" t="s">
        <v>3965</v>
      </c>
      <c r="N745" s="447"/>
    </row>
    <row r="746" spans="2:14" ht="12.75" customHeight="1" x14ac:dyDescent="0.2">
      <c r="B746" s="1860" t="str">
        <f t="shared" si="56"/>
        <v>Sueño profundo</v>
      </c>
      <c r="C746" s="2723">
        <f t="shared" si="55"/>
        <v>37</v>
      </c>
      <c r="D746" s="147" t="s">
        <v>3501</v>
      </c>
      <c r="E746" s="459">
        <v>-1</v>
      </c>
      <c r="F746" s="459">
        <f>COUNTIF(Principal!$C$32:$J$50,Tablas!D746)</f>
        <v>0</v>
      </c>
      <c r="G746" s="2731">
        <f t="shared" si="57"/>
        <v>0</v>
      </c>
      <c r="H746" s="2736">
        <v>1</v>
      </c>
      <c r="I746" s="2740" t="s">
        <v>3965</v>
      </c>
      <c r="N746" s="447"/>
    </row>
    <row r="747" spans="2:14" ht="12.75" customHeight="1" x14ac:dyDescent="0.2">
      <c r="B747" s="1860" t="str">
        <f t="shared" si="56"/>
        <v>Vulnerable a frío o calor</v>
      </c>
      <c r="C747" s="2723">
        <f t="shared" si="55"/>
        <v>26</v>
      </c>
      <c r="D747" s="147" t="s">
        <v>3502</v>
      </c>
      <c r="E747" s="459">
        <v>-1</v>
      </c>
      <c r="F747" s="459">
        <f>COUNTIF(Principal!$C$32:$J$50,Tablas!D747)</f>
        <v>0</v>
      </c>
      <c r="G747" s="2731">
        <f t="shared" si="57"/>
        <v>0</v>
      </c>
      <c r="H747" s="2736"/>
      <c r="I747" s="2740" t="s">
        <v>3965</v>
      </c>
      <c r="N747" s="447"/>
    </row>
    <row r="748" spans="2:14" ht="12.75" customHeight="1" x14ac:dyDescent="0.2">
      <c r="B748" s="1860" t="str">
        <f t="shared" si="56"/>
        <v>Vulnerable a la magia</v>
      </c>
      <c r="C748" s="2723">
        <f t="shared" si="55"/>
        <v>29</v>
      </c>
      <c r="D748" s="147" t="s">
        <v>3556</v>
      </c>
      <c r="E748" s="459">
        <v>-1</v>
      </c>
      <c r="F748" s="459">
        <f>COUNTIF(Principal!$C$32:$J$50,Tablas!D748)</f>
        <v>0</v>
      </c>
      <c r="G748" s="290">
        <f>F748*E748</f>
        <v>0</v>
      </c>
      <c r="H748" s="2729"/>
      <c r="I748" s="2740" t="s">
        <v>3965</v>
      </c>
      <c r="N748" s="447"/>
    </row>
    <row r="749" spans="2:14" ht="12.75" customHeight="1" x14ac:dyDescent="0.2">
      <c r="B749" s="1860" t="str">
        <f t="shared" si="56"/>
        <v>Vulnerable a los venenos</v>
      </c>
      <c r="C749" s="2723">
        <f t="shared" si="55"/>
        <v>30</v>
      </c>
      <c r="D749" s="147" t="s">
        <v>3557</v>
      </c>
      <c r="E749" s="459">
        <v>-2</v>
      </c>
      <c r="F749" s="459">
        <f>COUNTIF(Principal!$C$32:$J$50,Tablas!D749)</f>
        <v>0</v>
      </c>
      <c r="G749" s="290">
        <f>F749*E749</f>
        <v>0</v>
      </c>
      <c r="H749" s="2729"/>
      <c r="I749" s="2740" t="s">
        <v>3965</v>
      </c>
      <c r="N749" s="447"/>
    </row>
    <row r="750" spans="2:14" ht="12.75" customHeight="1" x14ac:dyDescent="0.2">
      <c r="B750" s="2721" t="str">
        <f t="shared" si="56"/>
        <v>Vulnerable al dolor</v>
      </c>
      <c r="C750" s="2725">
        <f t="shared" si="55"/>
        <v>19</v>
      </c>
      <c r="D750" s="2726" t="s">
        <v>3503</v>
      </c>
      <c r="E750" s="2727">
        <v>-2</v>
      </c>
      <c r="F750" s="2727">
        <f>COUNTIF(Principal!$C$32:$J$50,Tablas!D750)</f>
        <v>0</v>
      </c>
      <c r="G750" s="2733">
        <f>F750*E750</f>
        <v>0</v>
      </c>
      <c r="H750" s="2737"/>
      <c r="I750" s="2741" t="s">
        <v>3965</v>
      </c>
      <c r="N750" s="447"/>
    </row>
    <row r="751" spans="2:14" ht="12.75" customHeight="1" x14ac:dyDescent="0.2">
      <c r="B751" s="1860" t="str">
        <f>VLOOKUP(A1,$C$751:$D$759,2,0)</f>
        <v>&gt; DESVENTAJAS: DON</v>
      </c>
      <c r="C751" s="2723">
        <f>COUNTIF($D$751:$D$759,"&lt;="&amp;D751)</f>
        <v>1</v>
      </c>
      <c r="D751" s="147" t="s">
        <v>3450</v>
      </c>
      <c r="E751" s="459"/>
      <c r="F751" s="459"/>
      <c r="G751" s="2731"/>
      <c r="H751" s="2736"/>
      <c r="I751" s="2740" t="s">
        <v>3303</v>
      </c>
      <c r="N751" s="447"/>
    </row>
    <row r="752" spans="2:14" ht="12.75" customHeight="1" x14ac:dyDescent="0.2">
      <c r="B752" s="1860" t="str">
        <f t="shared" ref="B752:B759" si="58">VLOOKUP(A2,$C$751:$D$759,2,0)</f>
        <v>Brujería</v>
      </c>
      <c r="C752" s="2723">
        <f t="shared" ref="C752:C759" si="59">COUNTIF($D$751:$D$759,"&lt;="&amp;D752)</f>
        <v>8</v>
      </c>
      <c r="D752" s="147" t="s">
        <v>3451</v>
      </c>
      <c r="E752" s="459">
        <v>-1</v>
      </c>
      <c r="F752" s="459">
        <f>COUNTIF(Principal!$C$32:$J$50,Tablas!D752)</f>
        <v>0</v>
      </c>
      <c r="G752" s="2731">
        <f t="shared" ref="G752:G759" si="60">F752*E752</f>
        <v>0</v>
      </c>
      <c r="H752" s="2736"/>
      <c r="I752" s="2740" t="s">
        <v>3303</v>
      </c>
      <c r="N752" s="447"/>
    </row>
    <row r="753" spans="2:14" ht="12.75" customHeight="1" x14ac:dyDescent="0.2">
      <c r="B753" s="1860" t="str">
        <f t="shared" si="58"/>
        <v>Extenuación mágica</v>
      </c>
      <c r="C753" s="2723">
        <f t="shared" si="59"/>
        <v>9</v>
      </c>
      <c r="D753" s="147" t="s">
        <v>3452</v>
      </c>
      <c r="E753" s="459">
        <v>-1</v>
      </c>
      <c r="F753" s="459">
        <f>COUNTIF(Principal!$C$32:$J$50,Tablas!D753)</f>
        <v>0</v>
      </c>
      <c r="G753" s="2731">
        <f t="shared" si="60"/>
        <v>0</v>
      </c>
      <c r="H753" s="2736"/>
      <c r="I753" s="2740" t="s">
        <v>3303</v>
      </c>
      <c r="N753" s="447"/>
    </row>
    <row r="754" spans="2:14" ht="12.75" customHeight="1" x14ac:dyDescent="0.2">
      <c r="B754" s="1860" t="str">
        <f t="shared" si="58"/>
        <v>Lazo existencial</v>
      </c>
      <c r="C754" s="2723">
        <f t="shared" si="59"/>
        <v>3</v>
      </c>
      <c r="D754" s="147" t="s">
        <v>3453</v>
      </c>
      <c r="E754" s="459">
        <v>-1</v>
      </c>
      <c r="F754" s="459">
        <f>COUNTIF(Principal!$C$32:$J$50,Tablas!D754)</f>
        <v>0</v>
      </c>
      <c r="G754" s="2731">
        <f t="shared" si="60"/>
        <v>0</v>
      </c>
      <c r="H754" s="2736"/>
      <c r="I754" s="2740" t="s">
        <v>3303</v>
      </c>
      <c r="N754" s="447"/>
    </row>
    <row r="755" spans="2:14" ht="12.75" customHeight="1" x14ac:dyDescent="0.2">
      <c r="B755" s="1860" t="str">
        <f t="shared" si="58"/>
        <v>Lenta recuperación de magia</v>
      </c>
      <c r="C755" s="2723">
        <f t="shared" si="59"/>
        <v>6</v>
      </c>
      <c r="D755" s="147" t="s">
        <v>3454</v>
      </c>
      <c r="E755" s="459">
        <v>-1</v>
      </c>
      <c r="F755" s="459">
        <f>COUNTIF(Principal!$C$32:$J$50,Tablas!D755)</f>
        <v>0</v>
      </c>
      <c r="G755" s="2731">
        <f t="shared" si="60"/>
        <v>0</v>
      </c>
      <c r="H755" s="2736"/>
      <c r="I755" s="2740" t="s">
        <v>3303</v>
      </c>
      <c r="N755" s="447"/>
    </row>
    <row r="756" spans="2:14" ht="12.75" customHeight="1" x14ac:dyDescent="0.2">
      <c r="B756" s="1860" t="str">
        <f t="shared" si="58"/>
        <v>Magia atada a acción</v>
      </c>
      <c r="C756" s="2723">
        <f t="shared" si="59"/>
        <v>5</v>
      </c>
      <c r="D756" s="147" t="s">
        <v>3455</v>
      </c>
      <c r="E756" s="459">
        <v>-1</v>
      </c>
      <c r="F756" s="459">
        <f>COUNTIF(Principal!$C$32:$J$50,Tablas!D756)</f>
        <v>0</v>
      </c>
      <c r="G756" s="2731">
        <f t="shared" si="60"/>
        <v>0</v>
      </c>
      <c r="H756" s="2736">
        <v>1</v>
      </c>
      <c r="I756" s="2740" t="s">
        <v>3303</v>
      </c>
      <c r="N756" s="447"/>
    </row>
    <row r="757" spans="2:14" ht="12.75" customHeight="1" x14ac:dyDescent="0.2">
      <c r="B757" s="1860" t="str">
        <f t="shared" si="58"/>
        <v>Magia estanca</v>
      </c>
      <c r="C757" s="2723">
        <f t="shared" si="59"/>
        <v>7</v>
      </c>
      <c r="D757" s="147" t="s">
        <v>3456</v>
      </c>
      <c r="E757" s="459">
        <v>-2</v>
      </c>
      <c r="F757" s="459">
        <f>COUNTIF(Principal!$C$32:$J$50,Tablas!D757)</f>
        <v>0</v>
      </c>
      <c r="G757" s="2731">
        <f t="shared" si="60"/>
        <v>0</v>
      </c>
      <c r="H757" s="2736">
        <v>1</v>
      </c>
      <c r="I757" s="2740" t="s">
        <v>3303</v>
      </c>
      <c r="N757" s="447"/>
    </row>
    <row r="758" spans="2:14" ht="12.75" customHeight="1" x14ac:dyDescent="0.2">
      <c r="B758" s="1860" t="str">
        <f t="shared" si="58"/>
        <v>Obligación oral</v>
      </c>
      <c r="C758" s="2723">
        <f t="shared" si="59"/>
        <v>4</v>
      </c>
      <c r="D758" s="147" t="s">
        <v>3457</v>
      </c>
      <c r="E758" s="459">
        <v>-1</v>
      </c>
      <c r="F758" s="459">
        <f>COUNTIF(Principal!$C$32:$J$50,Tablas!D758)</f>
        <v>0</v>
      </c>
      <c r="G758" s="2731">
        <f t="shared" si="60"/>
        <v>0</v>
      </c>
      <c r="H758" s="2736">
        <v>2</v>
      </c>
      <c r="I758" s="2740" t="s">
        <v>3303</v>
      </c>
      <c r="N758" s="447"/>
    </row>
    <row r="759" spans="2:14" ht="12.75" customHeight="1" x14ac:dyDescent="0.2">
      <c r="B759" s="2721" t="str">
        <f t="shared" si="58"/>
        <v>Obligación somática</v>
      </c>
      <c r="C759" s="2725">
        <f t="shared" si="59"/>
        <v>2</v>
      </c>
      <c r="D759" s="147" t="s">
        <v>3458</v>
      </c>
      <c r="E759" s="459">
        <v>-2</v>
      </c>
      <c r="F759" s="459">
        <f>COUNTIF(Principal!$C$32:$J$50,Tablas!D759)</f>
        <v>0</v>
      </c>
      <c r="G759" s="2731">
        <f t="shared" si="60"/>
        <v>0</v>
      </c>
      <c r="H759" s="2736"/>
      <c r="I759" s="2740" t="s">
        <v>3303</v>
      </c>
      <c r="N759" s="447"/>
    </row>
    <row r="760" spans="2:14" ht="12.75" customHeight="1" x14ac:dyDescent="0.2">
      <c r="B760" s="1860" t="str">
        <f>VLOOKUP(A1,$C$760:$D$764,2,0)</f>
        <v>&gt; DESVENTAJAS: PSIQUICOS</v>
      </c>
      <c r="C760" s="2723">
        <f>COUNTIF($D$760:$D$764,"&lt;="&amp;D760)</f>
        <v>1</v>
      </c>
      <c r="D760" s="2719" t="s">
        <v>3459</v>
      </c>
      <c r="E760" s="2271"/>
      <c r="F760" s="2271"/>
      <c r="G760" s="2732"/>
      <c r="H760" s="2735"/>
      <c r="I760" s="2742" t="s">
        <v>9096</v>
      </c>
      <c r="N760" s="447"/>
    </row>
    <row r="761" spans="2:14" ht="12.75" customHeight="1" x14ac:dyDescent="0.2">
      <c r="B761" s="1860" t="str">
        <f t="shared" ref="B761:B764" si="61">VLOOKUP(A2,$C$760:$D$764,2,0)</f>
        <v>Consumición psíquica</v>
      </c>
      <c r="C761" s="2723">
        <f t="shared" ref="C761:C764" si="62">COUNTIF($D$760:$D$764,"&lt;="&amp;D761)</f>
        <v>5</v>
      </c>
      <c r="D761" s="147" t="s">
        <v>3460</v>
      </c>
      <c r="E761" s="459">
        <v>-1</v>
      </c>
      <c r="F761" s="459">
        <f>COUNTIF(Principal!$C$32:$J$50,Tablas!D761)</f>
        <v>0</v>
      </c>
      <c r="G761" s="2731">
        <f>F761*E761</f>
        <v>0</v>
      </c>
      <c r="H761" s="2736">
        <v>1</v>
      </c>
      <c r="I761" s="2743" t="s">
        <v>9096</v>
      </c>
      <c r="N761" s="447"/>
    </row>
    <row r="762" spans="2:14" ht="12.75" customHeight="1" x14ac:dyDescent="0.2">
      <c r="B762" s="1860" t="str">
        <f t="shared" si="61"/>
        <v>Extenuación psíquica</v>
      </c>
      <c r="C762" s="2723">
        <f t="shared" si="62"/>
        <v>3</v>
      </c>
      <c r="D762" s="147" t="s">
        <v>3461</v>
      </c>
      <c r="E762" s="459">
        <v>-1</v>
      </c>
      <c r="F762" s="459">
        <f>COUNTIF(Principal!$C$32:$J$50,Tablas!D762)</f>
        <v>0</v>
      </c>
      <c r="G762" s="2731">
        <f>F762*E762</f>
        <v>0</v>
      </c>
      <c r="H762" s="2736"/>
      <c r="I762" s="2743" t="s">
        <v>9096</v>
      </c>
      <c r="N762" s="447"/>
    </row>
    <row r="763" spans="2:14" ht="12.75" customHeight="1" x14ac:dyDescent="0.2">
      <c r="B763" s="1860" t="str">
        <f t="shared" si="61"/>
        <v>Poder único</v>
      </c>
      <c r="C763" s="2723">
        <f t="shared" si="62"/>
        <v>4</v>
      </c>
      <c r="D763" s="147" t="s">
        <v>3462</v>
      </c>
      <c r="E763" s="459">
        <v>-1</v>
      </c>
      <c r="F763" s="459">
        <f>COUNTIF(Principal!$C$32:$J$50,Tablas!D763)</f>
        <v>0</v>
      </c>
      <c r="G763" s="2731">
        <f>F763*E763</f>
        <v>0</v>
      </c>
      <c r="H763" s="2736"/>
      <c r="I763" s="2743" t="s">
        <v>9096</v>
      </c>
      <c r="N763" s="447"/>
    </row>
    <row r="764" spans="2:14" ht="12.75" customHeight="1" x14ac:dyDescent="0.2">
      <c r="B764" s="2721" t="str">
        <f t="shared" si="61"/>
        <v>Sin concentración</v>
      </c>
      <c r="C764" s="2725">
        <f t="shared" si="62"/>
        <v>2</v>
      </c>
      <c r="D764" s="147" t="s">
        <v>3463</v>
      </c>
      <c r="E764" s="459">
        <v>-2</v>
      </c>
      <c r="F764" s="459">
        <f>COUNTIF(Principal!$C$32:$J$50,Tablas!D764)</f>
        <v>0</v>
      </c>
      <c r="G764" s="2731">
        <f>F764*E764</f>
        <v>0</v>
      </c>
      <c r="H764" s="2736"/>
      <c r="I764" s="2740" t="s">
        <v>9096</v>
      </c>
      <c r="N764" s="447"/>
    </row>
    <row r="765" spans="2:14" ht="12.75" customHeight="1" x14ac:dyDescent="0.2">
      <c r="B765" s="1860" t="str">
        <f>VLOOKUP(A1,$C$765:$D$772,2,0)</f>
        <v>&gt; DESVENTAJAS TRASFONDO</v>
      </c>
      <c r="C765" s="2723">
        <f>COUNTIF($D$765:$D$772,"&lt;="&amp;D765)</f>
        <v>1</v>
      </c>
      <c r="D765" s="2719" t="s">
        <v>3554</v>
      </c>
      <c r="E765" s="2273"/>
      <c r="F765" s="2271"/>
      <c r="G765" s="2734"/>
      <c r="H765" s="2728"/>
      <c r="I765" s="2739" t="s">
        <v>9097</v>
      </c>
      <c r="N765" s="447"/>
    </row>
    <row r="766" spans="2:14" ht="12.75" customHeight="1" x14ac:dyDescent="0.2">
      <c r="B766" s="1860" t="str">
        <f t="shared" ref="B766:B772" si="63">VLOOKUP(A2,$C$765:$D$772,2,0)</f>
        <v>Código de conducta</v>
      </c>
      <c r="C766" s="2723">
        <f t="shared" ref="C766:C772" si="64">COUNTIF($D$765:$D$772,"&lt;="&amp;D766)</f>
        <v>6</v>
      </c>
      <c r="D766" s="147" t="s">
        <v>3555</v>
      </c>
      <c r="E766" s="459">
        <v>-1</v>
      </c>
      <c r="F766" s="459">
        <f>COUNTIF(Principal!$C$32:$J$50,Tablas!D766)</f>
        <v>0</v>
      </c>
      <c r="G766" s="290">
        <f>F766*E766</f>
        <v>0</v>
      </c>
      <c r="H766" s="2729"/>
      <c r="I766" s="2740" t="s">
        <v>9097</v>
      </c>
      <c r="N766" s="447"/>
    </row>
    <row r="767" spans="2:14" ht="12.75" customHeight="1" x14ac:dyDescent="0.2">
      <c r="B767" s="1860" t="str">
        <f t="shared" si="63"/>
        <v>Deudas</v>
      </c>
      <c r="C767" s="2723">
        <f t="shared" si="64"/>
        <v>7</v>
      </c>
      <c r="D767" s="147" t="s">
        <v>3558</v>
      </c>
      <c r="E767" s="459">
        <v>-1</v>
      </c>
      <c r="F767" s="459">
        <f>COUNTIF(Principal!$C$32:$J$50,Tablas!D767)</f>
        <v>0</v>
      </c>
      <c r="G767" s="290">
        <f t="shared" ref="G767:G771" si="65">F767*E767</f>
        <v>0</v>
      </c>
      <c r="H767" s="2729"/>
      <c r="I767" s="2740" t="s">
        <v>9097</v>
      </c>
      <c r="N767" s="447"/>
    </row>
    <row r="768" spans="2:14" ht="12.75" customHeight="1" x14ac:dyDescent="0.2">
      <c r="B768" s="1860" t="str">
        <f t="shared" si="63"/>
        <v>Enemigo poderoso (1)</v>
      </c>
      <c r="C768" s="2723">
        <f t="shared" si="64"/>
        <v>4</v>
      </c>
      <c r="D768" s="147" t="s">
        <v>3559</v>
      </c>
      <c r="E768" s="459">
        <v>-1</v>
      </c>
      <c r="F768" s="459">
        <f>COUNTIF(Principal!$C$32:$J$50,Tablas!D768)</f>
        <v>0</v>
      </c>
      <c r="G768" s="290">
        <f t="shared" si="65"/>
        <v>0</v>
      </c>
      <c r="H768" s="2738"/>
      <c r="I768" s="2740" t="s">
        <v>9097</v>
      </c>
      <c r="N768" s="447"/>
    </row>
    <row r="769" spans="2:14" ht="12.75" customHeight="1" x14ac:dyDescent="0.2">
      <c r="B769" s="1860" t="str">
        <f t="shared" si="63"/>
        <v>Enemigo poderoso (2)</v>
      </c>
      <c r="C769" s="2723">
        <f t="shared" si="64"/>
        <v>5</v>
      </c>
      <c r="D769" s="147" t="s">
        <v>3560</v>
      </c>
      <c r="E769" s="459">
        <v>-2</v>
      </c>
      <c r="F769" s="459">
        <f>COUNTIF(Principal!$C$32:$J$50,Tablas!D769)</f>
        <v>0</v>
      </c>
      <c r="G769" s="290">
        <f t="shared" si="65"/>
        <v>0</v>
      </c>
      <c r="H769" s="2738"/>
      <c r="I769" s="2740" t="s">
        <v>9097</v>
      </c>
      <c r="N769" s="447"/>
    </row>
    <row r="770" spans="2:14" ht="12.75" customHeight="1" x14ac:dyDescent="0.2">
      <c r="B770" s="1860" t="str">
        <f t="shared" si="63"/>
        <v>Novato</v>
      </c>
      <c r="C770" s="2723">
        <f t="shared" si="64"/>
        <v>3</v>
      </c>
      <c r="D770" s="147" t="s">
        <v>3561</v>
      </c>
      <c r="E770" s="459">
        <v>-1</v>
      </c>
      <c r="F770" s="459">
        <f>COUNTIF(Principal!$C$32:$J$50,Tablas!D770)</f>
        <v>0</v>
      </c>
      <c r="G770" s="290">
        <f t="shared" si="65"/>
        <v>0</v>
      </c>
      <c r="H770" s="2738"/>
      <c r="I770" s="2740" t="s">
        <v>9097</v>
      </c>
      <c r="N770" s="447"/>
    </row>
    <row r="771" spans="2:14" ht="12.75" customHeight="1" x14ac:dyDescent="0.2">
      <c r="B771" s="1860" t="str">
        <f t="shared" si="63"/>
        <v>Paria</v>
      </c>
      <c r="C771" s="2723">
        <f t="shared" si="64"/>
        <v>2</v>
      </c>
      <c r="D771" s="147" t="s">
        <v>3562</v>
      </c>
      <c r="E771" s="459">
        <v>-1</v>
      </c>
      <c r="F771" s="459">
        <f>COUNTIF(Principal!$C$32:$J$50,Tablas!D771)</f>
        <v>0</v>
      </c>
      <c r="G771" s="290">
        <f t="shared" si="65"/>
        <v>0</v>
      </c>
      <c r="H771" s="2738"/>
      <c r="I771" s="2740" t="s">
        <v>9097</v>
      </c>
      <c r="N771" s="447"/>
    </row>
    <row r="772" spans="2:14" ht="12.75" customHeight="1" x14ac:dyDescent="0.2">
      <c r="B772" s="1860" t="str">
        <f t="shared" si="63"/>
        <v>Secreto inconfesable</v>
      </c>
      <c r="C772" s="2723">
        <f t="shared" si="64"/>
        <v>8</v>
      </c>
      <c r="D772" s="147" t="s">
        <v>3563</v>
      </c>
      <c r="E772" s="459">
        <v>-1</v>
      </c>
      <c r="F772" s="459">
        <f>COUNTIF(Principal!$C$32:$J$50,Tablas!D772)</f>
        <v>0</v>
      </c>
      <c r="G772" s="290">
        <f>F772*E772</f>
        <v>0</v>
      </c>
      <c r="H772" s="2738"/>
      <c r="I772" s="2740" t="s">
        <v>9097</v>
      </c>
      <c r="N772" s="447"/>
    </row>
    <row r="773" spans="2:14" ht="12.75" customHeight="1" x14ac:dyDescent="0.2">
      <c r="B773" s="2816" t="str">
        <f>D773</f>
        <v>&gt; DESVENTAJAS PRESONALIZADAS</v>
      </c>
      <c r="C773" s="2817"/>
      <c r="D773" s="2827" t="s">
        <v>9902</v>
      </c>
      <c r="E773" s="2818"/>
      <c r="F773" s="2830"/>
      <c r="G773" s="2819"/>
      <c r="H773" s="2833"/>
      <c r="I773" s="2820" t="s">
        <v>3965</v>
      </c>
      <c r="N773" s="447"/>
    </row>
    <row r="774" spans="2:14" ht="12.75" customHeight="1" x14ac:dyDescent="0.2">
      <c r="B774" s="2821" t="str">
        <f t="shared" ref="B774:B777" si="66">D774</f>
        <v>Ventaja #1</v>
      </c>
      <c r="C774" s="555"/>
      <c r="D774" s="2828" t="str">
        <f>D609</f>
        <v>Ventaja #1</v>
      </c>
      <c r="E774" s="383">
        <f t="shared" ref="E774:G774" si="67">E609</f>
        <v>0</v>
      </c>
      <c r="F774" s="2831">
        <f t="shared" si="67"/>
        <v>0</v>
      </c>
      <c r="G774" s="383">
        <f t="shared" si="67"/>
        <v>0</v>
      </c>
      <c r="H774" s="2834"/>
      <c r="I774" s="2822" t="s">
        <v>3965</v>
      </c>
      <c r="N774" s="447"/>
    </row>
    <row r="775" spans="2:14" ht="12.75" customHeight="1" x14ac:dyDescent="0.2">
      <c r="B775" s="2821" t="str">
        <f t="shared" si="66"/>
        <v>Ventaja #2</v>
      </c>
      <c r="C775" s="555"/>
      <c r="D775" s="2828" t="str">
        <f t="shared" ref="D775:G777" si="68">D610</f>
        <v>Ventaja #2</v>
      </c>
      <c r="E775" s="383">
        <f t="shared" si="68"/>
        <v>0</v>
      </c>
      <c r="F775" s="2831">
        <f t="shared" si="68"/>
        <v>0</v>
      </c>
      <c r="G775" s="383">
        <f t="shared" si="68"/>
        <v>0</v>
      </c>
      <c r="H775" s="2834"/>
      <c r="I775" s="2822" t="s">
        <v>3965</v>
      </c>
      <c r="N775" s="447"/>
    </row>
    <row r="776" spans="2:14" ht="12.75" customHeight="1" x14ac:dyDescent="0.2">
      <c r="B776" s="2821" t="str">
        <f t="shared" si="66"/>
        <v>Ventaja #3</v>
      </c>
      <c r="C776" s="555"/>
      <c r="D776" s="2828" t="str">
        <f t="shared" si="68"/>
        <v>Ventaja #3</v>
      </c>
      <c r="E776" s="383">
        <f t="shared" si="68"/>
        <v>0</v>
      </c>
      <c r="F776" s="2831">
        <f t="shared" si="68"/>
        <v>0</v>
      </c>
      <c r="G776" s="383">
        <f t="shared" si="68"/>
        <v>0</v>
      </c>
      <c r="H776" s="2834"/>
      <c r="I776" s="2822" t="s">
        <v>3965</v>
      </c>
      <c r="N776" s="447"/>
    </row>
    <row r="777" spans="2:14" ht="12.75" customHeight="1" x14ac:dyDescent="0.2">
      <c r="B777" s="2823" t="str">
        <f t="shared" si="66"/>
        <v>Ventaja #4</v>
      </c>
      <c r="C777" s="2824"/>
      <c r="D777" s="2829" t="str">
        <f t="shared" si="68"/>
        <v>Ventaja #4</v>
      </c>
      <c r="E777" s="2825">
        <f t="shared" si="68"/>
        <v>0</v>
      </c>
      <c r="F777" s="2832">
        <f t="shared" si="68"/>
        <v>0</v>
      </c>
      <c r="G777" s="2825">
        <f t="shared" si="68"/>
        <v>0</v>
      </c>
      <c r="H777" s="2835"/>
      <c r="I777" s="2826" t="s">
        <v>3965</v>
      </c>
      <c r="N777" s="447"/>
    </row>
    <row r="821" spans="2:7" ht="12.75" customHeight="1" thickBot="1" x14ac:dyDescent="0.25"/>
    <row r="822" spans="2:7" ht="12.75" customHeight="1" thickBot="1" x14ac:dyDescent="0.25">
      <c r="B822" s="4752" t="s">
        <v>3622</v>
      </c>
      <c r="C822" s="4752"/>
      <c r="D822" s="4752"/>
      <c r="E822" s="4752"/>
      <c r="F822" s="4752"/>
      <c r="G822" s="4752"/>
    </row>
    <row r="823" spans="2:7" ht="12.75" customHeight="1" x14ac:dyDescent="0.2">
      <c r="B823" s="4752"/>
      <c r="C823" s="4752"/>
      <c r="D823" s="4752"/>
      <c r="E823" s="4752"/>
      <c r="F823" s="4752"/>
      <c r="G823" s="4752"/>
    </row>
    <row r="824" spans="2:7" ht="12.75" customHeight="1" thickBot="1" x14ac:dyDescent="0.25">
      <c r="B824" s="4839" t="s">
        <v>3623</v>
      </c>
      <c r="C824" s="4839"/>
      <c r="D824" s="4839"/>
      <c r="E824" s="453" t="s">
        <v>2345</v>
      </c>
      <c r="F824" s="4836" t="s">
        <v>2407</v>
      </c>
      <c r="G824" s="4836"/>
    </row>
    <row r="825" spans="2:7" ht="12.75" customHeight="1" x14ac:dyDescent="0.2">
      <c r="B825" s="70"/>
      <c r="C825" s="73"/>
      <c r="D825" s="502" t="s">
        <v>3624</v>
      </c>
      <c r="E825" s="290">
        <v>10</v>
      </c>
      <c r="F825" s="90" t="s">
        <v>3625</v>
      </c>
      <c r="G825" s="75"/>
    </row>
    <row r="826" spans="2:7" ht="12.75" customHeight="1" x14ac:dyDescent="0.2">
      <c r="B826" s="70"/>
      <c r="C826" s="73"/>
      <c r="D826" s="502" t="s">
        <v>3626</v>
      </c>
      <c r="E826" s="290">
        <v>15</v>
      </c>
      <c r="F826" s="90" t="s">
        <v>3627</v>
      </c>
      <c r="G826" s="75"/>
    </row>
    <row r="827" spans="2:7" ht="12.75" customHeight="1" x14ac:dyDescent="0.2">
      <c r="B827" s="70"/>
      <c r="C827" s="73"/>
      <c r="D827" s="502" t="s">
        <v>3628</v>
      </c>
      <c r="E827" s="290">
        <v>20</v>
      </c>
      <c r="F827" s="90" t="s">
        <v>3629</v>
      </c>
      <c r="G827" s="75"/>
    </row>
    <row r="828" spans="2:7" ht="12.75" customHeight="1" x14ac:dyDescent="0.2">
      <c r="B828" s="70"/>
      <c r="C828" s="73"/>
      <c r="D828" s="502" t="s">
        <v>3630</v>
      </c>
      <c r="E828" s="290">
        <v>50</v>
      </c>
      <c r="F828" s="90" t="s">
        <v>3631</v>
      </c>
      <c r="G828" s="75"/>
    </row>
    <row r="829" spans="2:7" ht="12.75" customHeight="1" x14ac:dyDescent="0.2">
      <c r="B829" s="70"/>
      <c r="C829" s="73"/>
      <c r="D829" s="525" t="s">
        <v>3632</v>
      </c>
      <c r="E829" s="290">
        <v>50</v>
      </c>
      <c r="F829" s="90" t="s">
        <v>3633</v>
      </c>
      <c r="G829" s="75"/>
    </row>
    <row r="830" spans="2:7" ht="12.75" customHeight="1" thickBot="1" x14ac:dyDescent="0.25">
      <c r="B830" s="221"/>
      <c r="C830" s="222"/>
      <c r="D830" s="534" t="s">
        <v>3634</v>
      </c>
      <c r="E830" s="473">
        <v>50</v>
      </c>
      <c r="F830" s="551" t="s">
        <v>3635</v>
      </c>
      <c r="G830" s="223"/>
    </row>
    <row r="831" spans="2:7" ht="12.75" customHeight="1" thickBot="1" x14ac:dyDescent="0.25"/>
    <row r="832" spans="2:7" ht="12.75" customHeight="1" thickBot="1" x14ac:dyDescent="0.25">
      <c r="B832" s="4" t="s">
        <v>3636</v>
      </c>
    </row>
    <row r="833" spans="2:12" ht="12.75" customHeight="1" x14ac:dyDescent="0.2">
      <c r="B833" s="552" t="s">
        <v>2310</v>
      </c>
    </row>
    <row r="834" spans="2:12" ht="12.75" customHeight="1" x14ac:dyDescent="0.2">
      <c r="B834" s="552" t="s">
        <v>3116</v>
      </c>
    </row>
    <row r="835" spans="2:12" ht="12.75" customHeight="1" x14ac:dyDescent="0.2">
      <c r="B835" s="552" t="s">
        <v>3130</v>
      </c>
    </row>
    <row r="836" spans="2:12" ht="12.75" customHeight="1" x14ac:dyDescent="0.2">
      <c r="B836" s="552" t="s">
        <v>3127</v>
      </c>
    </row>
    <row r="837" spans="2:12" ht="12.75" customHeight="1" x14ac:dyDescent="0.2">
      <c r="B837" s="552" t="s">
        <v>3187</v>
      </c>
    </row>
    <row r="838" spans="2:12" ht="12.75" customHeight="1" x14ac:dyDescent="0.2">
      <c r="B838" s="552" t="s">
        <v>3132</v>
      </c>
    </row>
    <row r="839" spans="2:12" ht="12.75" customHeight="1" x14ac:dyDescent="0.2">
      <c r="B839" s="552" t="s">
        <v>3156</v>
      </c>
    </row>
    <row r="840" spans="2:12" ht="12.75" customHeight="1" x14ac:dyDescent="0.2">
      <c r="B840" s="552" t="s">
        <v>3117</v>
      </c>
    </row>
    <row r="841" spans="2:12" ht="12.75" customHeight="1" x14ac:dyDescent="0.2">
      <c r="B841" s="552" t="s">
        <v>3152</v>
      </c>
    </row>
    <row r="842" spans="2:12" ht="12.75" customHeight="1" x14ac:dyDescent="0.2">
      <c r="B842" s="552" t="s">
        <v>3121</v>
      </c>
    </row>
    <row r="843" spans="2:12" ht="12.75" customHeight="1" x14ac:dyDescent="0.2">
      <c r="B843" s="552" t="s">
        <v>3220</v>
      </c>
    </row>
    <row r="844" spans="2:12" ht="12.75" customHeight="1" thickBot="1" x14ac:dyDescent="0.25">
      <c r="B844" s="553" t="s">
        <v>2449</v>
      </c>
    </row>
    <row r="845" spans="2:12" ht="12.75" customHeight="1" thickBot="1" x14ac:dyDescent="0.25"/>
    <row r="846" spans="2:12" ht="12.75" customHeight="1" thickBot="1" x14ac:dyDescent="0.25">
      <c r="B846" s="4837" t="s">
        <v>3637</v>
      </c>
      <c r="C846" s="4837"/>
      <c r="D846" s="4837"/>
      <c r="E846" s="4837"/>
      <c r="F846" s="4837"/>
      <c r="G846" s="4837"/>
      <c r="H846" s="4837"/>
      <c r="I846" s="4837"/>
      <c r="J846" s="4837"/>
      <c r="K846" s="4837"/>
      <c r="L846" s="4837"/>
    </row>
    <row r="847" spans="2:12" ht="12.75" customHeight="1" x14ac:dyDescent="0.2">
      <c r="B847" s="4837"/>
      <c r="C847" s="4837"/>
      <c r="D847" s="4837"/>
      <c r="E847" s="4837"/>
      <c r="F847" s="4837"/>
      <c r="G847" s="4837"/>
      <c r="H847" s="4837"/>
      <c r="I847" s="4837"/>
      <c r="J847" s="4837"/>
      <c r="K847" s="4837"/>
      <c r="L847" s="4837"/>
    </row>
    <row r="848" spans="2:12" ht="12.75" customHeight="1" thickBot="1" x14ac:dyDescent="0.25">
      <c r="B848" s="452" t="s">
        <v>3638</v>
      </c>
      <c r="C848" s="453" t="s">
        <v>2727</v>
      </c>
      <c r="D848" s="453" t="s">
        <v>2728</v>
      </c>
      <c r="E848" s="453" t="s">
        <v>2729</v>
      </c>
      <c r="F848" s="453" t="s">
        <v>2730</v>
      </c>
      <c r="G848" s="453" t="s">
        <v>2731</v>
      </c>
      <c r="H848" s="4836" t="s">
        <v>2407</v>
      </c>
      <c r="I848" s="4836"/>
      <c r="J848" s="4836"/>
      <c r="K848" s="4836"/>
      <c r="L848" s="4836"/>
    </row>
    <row r="849" spans="2:24" ht="12.75" customHeight="1" x14ac:dyDescent="0.2">
      <c r="B849" s="554" t="str">
        <f>IF('Elan y Personalización'!Y69=0,"Tabla personalizada #1",'Elan y Personalización'!Y69)</f>
        <v>Tabla personalizada #1</v>
      </c>
      <c r="C849" s="555">
        <f>'Elan y Personalización'!Y71</f>
        <v>0</v>
      </c>
      <c r="D849" s="555">
        <f>'Elan y Personalización'!Y72</f>
        <v>0</v>
      </c>
      <c r="E849" s="555">
        <f>'Elan y Personalización'!Y73</f>
        <v>0</v>
      </c>
      <c r="F849" s="555">
        <f>'Elan y Personalización'!Y74</f>
        <v>0</v>
      </c>
      <c r="G849" s="555">
        <f>'Elan y Personalización'!Y75</f>
        <v>0</v>
      </c>
      <c r="H849" s="555"/>
      <c r="I849" s="73"/>
      <c r="J849" s="73"/>
      <c r="K849" s="73"/>
      <c r="L849" s="75"/>
      <c r="N849" s="556"/>
      <c r="O849" s="557"/>
      <c r="P849" s="557"/>
      <c r="Q849" s="557"/>
      <c r="R849" s="557"/>
      <c r="S849" s="557"/>
      <c r="T849" s="558"/>
      <c r="U849" s="518"/>
      <c r="V849" s="518"/>
      <c r="W849" s="518"/>
      <c r="X849" s="518"/>
    </row>
    <row r="850" spans="2:24" ht="12.75" customHeight="1" x14ac:dyDescent="0.2">
      <c r="B850" s="554" t="str">
        <f>IF('Elan y Personalización'!AB69=0,"Tabla personalizada #2",'Elan y Personalización'!AB69)</f>
        <v>Tabla personalizada #2</v>
      </c>
      <c r="C850" s="555">
        <f>'Elan y Personalización'!AB71</f>
        <v>0</v>
      </c>
      <c r="D850" s="555">
        <f>'Elan y Personalización'!AB72</f>
        <v>0</v>
      </c>
      <c r="E850" s="555">
        <f>'Elan y Personalización'!AB73</f>
        <v>0</v>
      </c>
      <c r="F850" s="555">
        <f>'Elan y Personalización'!AB74</f>
        <v>0</v>
      </c>
      <c r="G850" s="555">
        <f>'Elan y Personalización'!AB75</f>
        <v>0</v>
      </c>
      <c r="H850" s="555"/>
      <c r="I850" s="73"/>
      <c r="J850" s="73"/>
      <c r="K850" s="73"/>
      <c r="L850" s="75"/>
      <c r="N850" s="556"/>
      <c r="O850" s="557"/>
      <c r="P850" s="557"/>
      <c r="Q850" s="557"/>
      <c r="R850" s="557"/>
      <c r="S850" s="557"/>
      <c r="T850" s="558"/>
      <c r="U850" s="518"/>
      <c r="V850" s="518"/>
      <c r="W850" s="518"/>
      <c r="X850" s="518"/>
    </row>
    <row r="851" spans="2:24" ht="12.75" customHeight="1" x14ac:dyDescent="0.2">
      <c r="B851" s="554" t="str">
        <f>IF('Elan y Personalización'!AE69=0,"Tabla personalizada #3",'Elan y Personalización'!AE69)</f>
        <v>Tabla personalizada #3</v>
      </c>
      <c r="C851" s="555">
        <f>'Elan y Personalización'!AE71</f>
        <v>0</v>
      </c>
      <c r="D851" s="555">
        <f>'Elan y Personalización'!AE72</f>
        <v>0</v>
      </c>
      <c r="E851" s="555">
        <f>'Elan y Personalización'!AE73</f>
        <v>0</v>
      </c>
      <c r="F851" s="555">
        <f>'Elan y Personalización'!AE74</f>
        <v>0</v>
      </c>
      <c r="G851" s="555">
        <f>'Elan y Personalización'!AE75</f>
        <v>0</v>
      </c>
      <c r="H851" s="555"/>
      <c r="I851" s="73"/>
      <c r="J851" s="73"/>
      <c r="K851" s="73"/>
      <c r="L851" s="75"/>
      <c r="N851" s="556"/>
      <c r="O851" s="557"/>
      <c r="P851" s="557"/>
      <c r="Q851" s="557"/>
      <c r="R851" s="557"/>
      <c r="S851" s="557"/>
      <c r="T851" s="558"/>
      <c r="U851" s="518"/>
      <c r="V851" s="518"/>
      <c r="W851" s="518"/>
      <c r="X851" s="518"/>
    </row>
    <row r="852" spans="2:24" ht="12.75" customHeight="1" x14ac:dyDescent="0.2">
      <c r="B852" s="554" t="str">
        <f>IF('Elan y Personalización'!AH69=0,"Tabla personalizada #4",'Elan y Personalización'!AH69)</f>
        <v>Tabla personalizada #4</v>
      </c>
      <c r="C852" s="555">
        <f>'Elan y Personalización'!AH71</f>
        <v>0</v>
      </c>
      <c r="D852" s="555">
        <f>'Elan y Personalización'!AH72</f>
        <v>0</v>
      </c>
      <c r="E852" s="555">
        <f>'Elan y Personalización'!AH73</f>
        <v>0</v>
      </c>
      <c r="F852" s="555">
        <f>'Elan y Personalización'!AH74</f>
        <v>0</v>
      </c>
      <c r="G852" s="555">
        <f>'Elan y Personalización'!AH75</f>
        <v>0</v>
      </c>
      <c r="H852" s="555"/>
      <c r="I852" s="73"/>
      <c r="J852" s="73"/>
      <c r="K852" s="73"/>
      <c r="L852" s="75"/>
      <c r="N852" s="556"/>
      <c r="O852" s="557"/>
      <c r="P852" s="557"/>
      <c r="Q852" s="557"/>
      <c r="R852" s="557"/>
      <c r="S852" s="557"/>
      <c r="T852" s="558"/>
      <c r="U852" s="518"/>
      <c r="V852" s="518"/>
      <c r="W852" s="518"/>
      <c r="X852" s="518"/>
    </row>
    <row r="853" spans="2:24" ht="12.75" customHeight="1" x14ac:dyDescent="0.2">
      <c r="B853" s="554" t="s">
        <v>3639</v>
      </c>
      <c r="C853" s="555" t="s">
        <v>3157</v>
      </c>
      <c r="D853" s="555" t="s">
        <v>3155</v>
      </c>
      <c r="E853" s="555" t="s">
        <v>3139</v>
      </c>
      <c r="F853" s="555" t="s">
        <v>3142</v>
      </c>
      <c r="G853" s="555" t="s">
        <v>3176</v>
      </c>
      <c r="H853" s="555" t="s">
        <v>3640</v>
      </c>
      <c r="I853" s="73"/>
      <c r="J853" s="73"/>
      <c r="K853" s="73"/>
      <c r="L853" s="75"/>
      <c r="N853" s="556"/>
      <c r="O853" s="557"/>
      <c r="P853" s="557"/>
      <c r="Q853" s="557"/>
      <c r="R853" s="557"/>
      <c r="S853" s="557"/>
      <c r="T853" s="558"/>
      <c r="U853" s="518"/>
      <c r="V853" s="518"/>
      <c r="W853" s="518"/>
      <c r="X853" s="518"/>
    </row>
    <row r="854" spans="2:24" ht="12.75" customHeight="1" x14ac:dyDescent="0.2">
      <c r="B854" s="554" t="s">
        <v>3641</v>
      </c>
      <c r="C854" s="555" t="s">
        <v>3145</v>
      </c>
      <c r="D854" s="555" t="s">
        <v>3165</v>
      </c>
      <c r="E854" s="555" t="s">
        <v>3175</v>
      </c>
      <c r="F854" s="555" t="s">
        <v>3142</v>
      </c>
      <c r="G854" s="555" t="s">
        <v>3188</v>
      </c>
      <c r="H854" s="555" t="s">
        <v>3642</v>
      </c>
      <c r="I854" s="73"/>
      <c r="J854" s="73"/>
      <c r="K854" s="73"/>
      <c r="L854" s="75"/>
      <c r="N854" s="556"/>
      <c r="O854" s="557"/>
      <c r="P854" s="557"/>
      <c r="Q854" s="557"/>
      <c r="R854" s="557"/>
      <c r="S854" s="557"/>
      <c r="T854" s="558"/>
      <c r="U854" s="518"/>
      <c r="V854" s="518"/>
      <c r="W854" s="518"/>
      <c r="X854" s="518"/>
    </row>
    <row r="855" spans="2:24" ht="12.75" customHeight="1" x14ac:dyDescent="0.2">
      <c r="B855" s="554" t="s">
        <v>3643</v>
      </c>
      <c r="C855" s="555" t="s">
        <v>3133</v>
      </c>
      <c r="D855" s="555" t="s">
        <v>3182</v>
      </c>
      <c r="E855" s="555" t="s">
        <v>3222</v>
      </c>
      <c r="F855" s="555" t="s">
        <v>3131</v>
      </c>
      <c r="G855" s="555" t="s">
        <v>3163</v>
      </c>
      <c r="H855" s="555" t="s">
        <v>3644</v>
      </c>
      <c r="I855" s="73"/>
      <c r="J855" s="73"/>
      <c r="K855" s="73"/>
      <c r="L855" s="75"/>
      <c r="N855" s="556"/>
      <c r="O855" s="557"/>
      <c r="P855" s="557"/>
      <c r="Q855" s="557"/>
      <c r="R855" s="557"/>
      <c r="S855" s="557"/>
      <c r="T855" s="558"/>
      <c r="U855" s="518"/>
      <c r="V855" s="518"/>
      <c r="W855" s="518"/>
      <c r="X855" s="518"/>
    </row>
    <row r="856" spans="2:24" ht="12.75" customHeight="1" x14ac:dyDescent="0.2">
      <c r="B856" s="554" t="s">
        <v>3645</v>
      </c>
      <c r="C856" s="555" t="s">
        <v>3143</v>
      </c>
      <c r="D856" s="555" t="s">
        <v>3177</v>
      </c>
      <c r="E856" s="555" t="s">
        <v>3189</v>
      </c>
      <c r="F856" s="555" t="s">
        <v>3180</v>
      </c>
      <c r="G856" s="555" t="s">
        <v>3167</v>
      </c>
      <c r="H856" s="555" t="s">
        <v>3646</v>
      </c>
      <c r="I856" s="73"/>
      <c r="J856" s="73"/>
      <c r="K856" s="73"/>
      <c r="L856" s="75"/>
      <c r="N856" s="556"/>
      <c r="O856" s="557"/>
      <c r="P856" s="557"/>
      <c r="Q856" s="557"/>
      <c r="R856" s="557"/>
      <c r="S856" s="557"/>
      <c r="T856" s="558"/>
      <c r="U856" s="518"/>
      <c r="V856" s="518"/>
      <c r="W856" s="518"/>
      <c r="X856" s="518"/>
    </row>
    <row r="857" spans="2:24" ht="12.75" customHeight="1" x14ac:dyDescent="0.2">
      <c r="B857" s="554" t="s">
        <v>3647</v>
      </c>
      <c r="C857" s="555" t="s">
        <v>3161</v>
      </c>
      <c r="D857" s="555" t="s">
        <v>3221</v>
      </c>
      <c r="E857" s="555" t="s">
        <v>3143</v>
      </c>
      <c r="F857" s="555" t="s">
        <v>3163</v>
      </c>
      <c r="G857" s="555" t="s">
        <v>3123</v>
      </c>
      <c r="H857" s="555" t="s">
        <v>3648</v>
      </c>
      <c r="I857" s="73"/>
      <c r="J857" s="73"/>
      <c r="K857" s="73"/>
      <c r="L857" s="75"/>
      <c r="N857" s="556"/>
      <c r="O857" s="557"/>
      <c r="P857" s="557"/>
      <c r="Q857" s="557"/>
      <c r="R857" s="557"/>
      <c r="S857" s="557"/>
      <c r="T857" s="558"/>
      <c r="U857" s="518"/>
      <c r="V857" s="518"/>
      <c r="W857" s="518"/>
      <c r="X857" s="518"/>
    </row>
    <row r="858" spans="2:24" ht="12.75" customHeight="1" x14ac:dyDescent="0.2">
      <c r="B858" s="554" t="s">
        <v>3649</v>
      </c>
      <c r="C858" s="555" t="s">
        <v>3200</v>
      </c>
      <c r="D858" s="555" t="s">
        <v>3216</v>
      </c>
      <c r="E858" s="555" t="s">
        <v>3199</v>
      </c>
      <c r="F858" s="555" t="s">
        <v>3214</v>
      </c>
      <c r="G858" s="555" t="s">
        <v>3205</v>
      </c>
      <c r="H858" s="555" t="s">
        <v>3650</v>
      </c>
      <c r="I858" s="73"/>
      <c r="J858" s="73"/>
      <c r="K858" s="73"/>
      <c r="L858" s="75"/>
      <c r="N858" s="556"/>
      <c r="O858" s="557"/>
      <c r="P858" s="557"/>
      <c r="Q858" s="557"/>
      <c r="R858" s="557"/>
      <c r="S858" s="557"/>
      <c r="T858" s="558"/>
      <c r="U858" s="518"/>
      <c r="V858" s="518"/>
      <c r="W858" s="518"/>
      <c r="X858" s="518"/>
    </row>
    <row r="859" spans="2:24" ht="12.75" customHeight="1" x14ac:dyDescent="0.2">
      <c r="B859" s="554" t="s">
        <v>3064</v>
      </c>
      <c r="C859" s="555" t="s">
        <v>3143</v>
      </c>
      <c r="D859" s="555" t="s">
        <v>3225</v>
      </c>
      <c r="E859" s="555" t="s">
        <v>3151</v>
      </c>
      <c r="F859" s="555" t="s">
        <v>3228</v>
      </c>
      <c r="G859" s="555" t="s">
        <v>3146</v>
      </c>
      <c r="H859" s="555" t="s">
        <v>3651</v>
      </c>
      <c r="I859" s="73"/>
      <c r="J859" s="73"/>
      <c r="K859" s="73"/>
      <c r="L859" s="75"/>
      <c r="N859" s="556"/>
      <c r="O859" s="557"/>
      <c r="P859" s="557"/>
      <c r="Q859" s="557"/>
      <c r="R859" s="557"/>
      <c r="S859" s="557"/>
      <c r="T859" s="558"/>
      <c r="U859" s="518"/>
      <c r="V859" s="518"/>
      <c r="W859" s="518"/>
      <c r="X859" s="518"/>
    </row>
    <row r="860" spans="2:24" ht="12.75" customHeight="1" x14ac:dyDescent="0.2">
      <c r="B860" s="554" t="s">
        <v>3652</v>
      </c>
      <c r="C860" s="555" t="s">
        <v>3223</v>
      </c>
      <c r="D860" s="555" t="s">
        <v>3145</v>
      </c>
      <c r="E860" s="555" t="s">
        <v>3115</v>
      </c>
      <c r="F860" s="555" t="s">
        <v>3653</v>
      </c>
      <c r="G860" s="555" t="s">
        <v>3188</v>
      </c>
      <c r="H860" s="555" t="s">
        <v>3654</v>
      </c>
      <c r="I860" s="73"/>
      <c r="J860" s="73"/>
      <c r="K860" s="73"/>
      <c r="L860" s="75"/>
      <c r="N860" s="556"/>
      <c r="O860" s="557"/>
      <c r="P860" s="557"/>
      <c r="Q860" s="557"/>
      <c r="R860" s="557"/>
      <c r="S860" s="557"/>
      <c r="T860" s="558"/>
      <c r="U860" s="518"/>
      <c r="V860" s="518"/>
      <c r="W860" s="518"/>
      <c r="X860" s="518"/>
    </row>
    <row r="861" spans="2:24" ht="12.75" customHeight="1" x14ac:dyDescent="0.2">
      <c r="B861" s="554" t="s">
        <v>3655</v>
      </c>
      <c r="C861" s="555" t="s">
        <v>3148</v>
      </c>
      <c r="D861" s="555" t="s">
        <v>3149</v>
      </c>
      <c r="E861" s="555" t="s">
        <v>3135</v>
      </c>
      <c r="F861" s="555" t="s">
        <v>3179</v>
      </c>
      <c r="G861" s="555" t="s">
        <v>3145</v>
      </c>
      <c r="H861" s="555" t="s">
        <v>3656</v>
      </c>
      <c r="I861" s="73"/>
      <c r="J861" s="73"/>
      <c r="K861" s="73"/>
      <c r="L861" s="75"/>
      <c r="N861" s="556"/>
      <c r="O861" s="557"/>
      <c r="P861" s="557"/>
      <c r="Q861" s="557"/>
      <c r="R861" s="557"/>
      <c r="S861" s="557"/>
      <c r="T861" s="558"/>
      <c r="U861" s="518"/>
      <c r="V861" s="518"/>
      <c r="W861" s="518"/>
      <c r="X861" s="518"/>
    </row>
    <row r="862" spans="2:24" ht="12.75" customHeight="1" x14ac:dyDescent="0.2">
      <c r="B862" s="554" t="s">
        <v>3657</v>
      </c>
      <c r="C862" s="555" t="s">
        <v>3161</v>
      </c>
      <c r="D862" s="555" t="s">
        <v>3163</v>
      </c>
      <c r="E862" s="555" t="s">
        <v>3186</v>
      </c>
      <c r="F862" s="555" t="s">
        <v>3221</v>
      </c>
      <c r="G862" s="555" t="s">
        <v>3228</v>
      </c>
      <c r="H862" s="555" t="s">
        <v>3658</v>
      </c>
      <c r="I862" s="73"/>
      <c r="J862" s="73"/>
      <c r="K862" s="73"/>
      <c r="L862" s="75"/>
      <c r="N862" s="556"/>
      <c r="O862" s="557"/>
      <c r="P862" s="557"/>
      <c r="Q862" s="557"/>
      <c r="R862" s="557"/>
      <c r="S862" s="557"/>
      <c r="T862" s="558"/>
      <c r="U862" s="518"/>
      <c r="V862" s="518"/>
      <c r="W862" s="518"/>
      <c r="X862" s="518"/>
    </row>
    <row r="863" spans="2:24" ht="12.75" customHeight="1" x14ac:dyDescent="0.2">
      <c r="B863" s="554" t="s">
        <v>3659</v>
      </c>
      <c r="C863" s="555" t="s">
        <v>3118</v>
      </c>
      <c r="D863" s="555" t="s">
        <v>3177</v>
      </c>
      <c r="E863" s="555" t="s">
        <v>3150</v>
      </c>
      <c r="F863" s="555" t="s">
        <v>3179</v>
      </c>
      <c r="G863" s="555" t="s">
        <v>3159</v>
      </c>
      <c r="H863" s="555" t="s">
        <v>3660</v>
      </c>
      <c r="I863" s="73"/>
      <c r="J863" s="73"/>
      <c r="K863" s="73"/>
      <c r="L863" s="75"/>
      <c r="N863" s="559"/>
      <c r="O863" s="557"/>
      <c r="P863" s="557"/>
      <c r="Q863" s="557"/>
      <c r="R863" s="557"/>
      <c r="S863" s="557"/>
      <c r="T863" s="558"/>
      <c r="U863" s="518"/>
      <c r="V863" s="518"/>
      <c r="W863" s="518"/>
      <c r="X863" s="518"/>
    </row>
    <row r="864" spans="2:24" ht="12.75" customHeight="1" thickBot="1" x14ac:dyDescent="0.25">
      <c r="B864" s="560" t="s">
        <v>3661</v>
      </c>
      <c r="C864" s="561" t="s">
        <v>3133</v>
      </c>
      <c r="D864" s="561" t="s">
        <v>3223</v>
      </c>
      <c r="E864" s="561" t="s">
        <v>3143</v>
      </c>
      <c r="F864" s="561" t="s">
        <v>3175</v>
      </c>
      <c r="G864" s="561" t="s">
        <v>3151</v>
      </c>
      <c r="H864" s="561" t="s">
        <v>3662</v>
      </c>
      <c r="I864" s="222"/>
      <c r="J864" s="222"/>
      <c r="K864" s="222"/>
      <c r="L864" s="223"/>
      <c r="N864" s="559"/>
      <c r="O864" s="557"/>
      <c r="P864" s="557"/>
      <c r="Q864" s="557"/>
      <c r="R864" s="557"/>
      <c r="S864" s="557"/>
      <c r="T864" s="558"/>
      <c r="U864" s="518"/>
      <c r="V864" s="518"/>
      <c r="W864" s="518"/>
      <c r="X864" s="518"/>
    </row>
    <row r="865" spans="2:7" ht="12.75" customHeight="1" thickBot="1" x14ac:dyDescent="0.25"/>
    <row r="866" spans="2:7" ht="12.75" customHeight="1" thickBot="1" x14ac:dyDescent="0.25">
      <c r="B866" s="4837" t="s">
        <v>3663</v>
      </c>
      <c r="C866" s="4837"/>
      <c r="D866" s="4837"/>
      <c r="E866" s="4837"/>
      <c r="F866" s="4837"/>
      <c r="G866" s="4837"/>
    </row>
    <row r="867" spans="2:7" ht="12.75" customHeight="1" x14ac:dyDescent="0.2">
      <c r="B867" s="4837"/>
      <c r="C867" s="4837"/>
      <c r="D867" s="4837"/>
      <c r="E867" s="4837"/>
      <c r="F867" s="4837"/>
      <c r="G867" s="4837"/>
    </row>
    <row r="868" spans="2:7" ht="12.75" customHeight="1" thickBot="1" x14ac:dyDescent="0.25">
      <c r="B868" s="452" t="s">
        <v>2269</v>
      </c>
      <c r="C868" s="453" t="s">
        <v>3664</v>
      </c>
      <c r="D868" s="453" t="s">
        <v>3665</v>
      </c>
      <c r="E868" s="453" t="s">
        <v>3666</v>
      </c>
      <c r="F868" s="453" t="s">
        <v>3667</v>
      </c>
      <c r="G868" s="454" t="s">
        <v>3668</v>
      </c>
    </row>
    <row r="869" spans="2:7" ht="12.75" customHeight="1" x14ac:dyDescent="0.2">
      <c r="B869" s="402" t="str">
        <f>Arma_Desarrollada</f>
        <v>Desarmado</v>
      </c>
      <c r="C869" s="555" t="str">
        <f t="shared" ref="C869:C899" si="69">IF(B869=0,"",VLOOKUP(B869,$C$282:$X$286,8,FALSE))</f>
        <v>Natural</v>
      </c>
      <c r="D869" s="555" t="str">
        <f t="shared" ref="D869:D899" si="70">IF(B869=0,"",VLOOKUP(B869,$C$282:$X$286,9,FALSE))</f>
        <v>-</v>
      </c>
      <c r="E869" s="555"/>
      <c r="F869" s="73" t="str">
        <f t="shared" ref="F869:F899" si="71">CONCATENATE(C869,D869)</f>
        <v>Natural-</v>
      </c>
      <c r="G869" s="562"/>
    </row>
    <row r="870" spans="2:7" ht="12.75" customHeight="1" x14ac:dyDescent="0.2">
      <c r="B870" s="402">
        <f>IF(PDs!E40="Tabla de tipología",0,IF(PDs!E40="Tabla de armas arquetípicas",VLOOKUP(PDs!Y40,Tabla_ArmasArquetípicas,2,FALSE),PDs!Y40))</f>
        <v>0</v>
      </c>
      <c r="C870" s="555" t="str">
        <f t="shared" si="69"/>
        <v/>
      </c>
      <c r="D870" s="555" t="str">
        <f t="shared" si="70"/>
        <v/>
      </c>
      <c r="E870" s="555">
        <f>IF(PDs!E40="Tabla de tipología",PDs!Y40,0)</f>
        <v>0</v>
      </c>
      <c r="F870" s="73" t="str">
        <f t="shared" si="71"/>
        <v/>
      </c>
      <c r="G870" s="562">
        <f>IF(PDs!E75=0,0,VLOOKUP(PDs!E75,Tablas!$D$1027:$L$1057,5,FALSE))</f>
        <v>0</v>
      </c>
    </row>
    <row r="871" spans="2:7" ht="12.75" customHeight="1" x14ac:dyDescent="0.2">
      <c r="B871" s="402">
        <f>IF(PDs!E40="Tabla de tipología",0,IF(PDs!E40="Tabla de armas arquetípicas",VLOOKUP(PDs!Y40,Tabla_ArmasArquetípicas,3,FALSE),PDs!Y40))</f>
        <v>0</v>
      </c>
      <c r="C871" s="555" t="str">
        <f t="shared" si="69"/>
        <v/>
      </c>
      <c r="D871" s="555" t="str">
        <f t="shared" si="70"/>
        <v/>
      </c>
      <c r="E871" s="555">
        <f>IF(PDs!E41="Tabla de tipología",PDs!Y41,0)</f>
        <v>0</v>
      </c>
      <c r="F871" s="73" t="str">
        <f t="shared" si="71"/>
        <v/>
      </c>
      <c r="G871" s="562">
        <f>IF(PDs!E75=0,0,VLOOKUP(PDs!E75,Tablas!$D$1027:$L$1057,6,FALSE))</f>
        <v>0</v>
      </c>
    </row>
    <row r="872" spans="2:7" ht="12.75" customHeight="1" x14ac:dyDescent="0.2">
      <c r="B872" s="402">
        <f>IF(PDs!E40="Tabla de tipología",0,IF(PDs!E40="Tabla de armas arquetípicas",VLOOKUP(PDs!Y40,Tabla_ArmasArquetípicas,4,FALSE),PDs!Y40))</f>
        <v>0</v>
      </c>
      <c r="C872" s="555" t="str">
        <f t="shared" si="69"/>
        <v/>
      </c>
      <c r="D872" s="555" t="str">
        <f t="shared" si="70"/>
        <v/>
      </c>
      <c r="E872" s="555">
        <f>IF(PDs!E42="Tabla de tipología",PDs!Y42,0)</f>
        <v>0</v>
      </c>
      <c r="F872" s="73" t="str">
        <f t="shared" si="71"/>
        <v/>
      </c>
      <c r="G872" s="562">
        <f>IF(PDs!E75=0,0,VLOOKUP(PDs!E75,Tablas!$D$1027:$L$1057,7,FALSE))</f>
        <v>0</v>
      </c>
    </row>
    <row r="873" spans="2:7" ht="12.75" customHeight="1" x14ac:dyDescent="0.2">
      <c r="B873" s="402">
        <f>IF(PDs!E40="Tabla de tipología",0,IF(PDs!E40="Tabla de armas arquetípicas",VLOOKUP(PDs!Y40,Tabla_ArmasArquetípicas,5,FALSE),PDs!Y40))</f>
        <v>0</v>
      </c>
      <c r="C873" s="555" t="str">
        <f t="shared" si="69"/>
        <v/>
      </c>
      <c r="D873" s="555" t="str">
        <f t="shared" si="70"/>
        <v/>
      </c>
      <c r="E873" s="555">
        <f>IF(PDs!E43="Tabla de tipología",PDs!Y43,0)</f>
        <v>0</v>
      </c>
      <c r="F873" s="73" t="str">
        <f t="shared" si="71"/>
        <v/>
      </c>
      <c r="G873" s="562">
        <f>IF(PDs!E75=0,0,VLOOKUP(PDs!E75,Tablas!$D$1027:$L$1057,8,FALSE))</f>
        <v>0</v>
      </c>
    </row>
    <row r="874" spans="2:7" ht="12.75" customHeight="1" x14ac:dyDescent="0.2">
      <c r="B874" s="402">
        <f>IF(PDs!E40="Tabla de tipología",0,IF(PDs!E40="Tabla de armas arquetípicas",VLOOKUP(PDs!Y40,Tabla_ArmasArquetípicas,6,FALSE),PDs!Y40))</f>
        <v>0</v>
      </c>
      <c r="C874" s="555" t="str">
        <f t="shared" si="69"/>
        <v/>
      </c>
      <c r="D874" s="555" t="str">
        <f t="shared" si="70"/>
        <v/>
      </c>
      <c r="E874" s="555">
        <f>IF(PDs!E44="Tabla de tipología",PDs!Y44,0)</f>
        <v>0</v>
      </c>
      <c r="F874" s="73" t="str">
        <f t="shared" si="71"/>
        <v/>
      </c>
      <c r="G874" s="562"/>
    </row>
    <row r="875" spans="2:7" ht="12.75" customHeight="1" x14ac:dyDescent="0.2">
      <c r="B875" s="402">
        <f>IF(PDs!E41="Tabla de tipología",0,IF(PDs!E41="Tabla de armas arquetípicas",VLOOKUP(PDs!Y41,Tabla_ArmasArquetípicas,2,FALSE),PDs!Y41))</f>
        <v>0</v>
      </c>
      <c r="C875" s="555" t="str">
        <f t="shared" si="69"/>
        <v/>
      </c>
      <c r="D875" s="555" t="str">
        <f t="shared" si="70"/>
        <v/>
      </c>
      <c r="E875" s="555">
        <f>IF(PDs!E45="Tabla de tipología",PDs!Y45,0)</f>
        <v>0</v>
      </c>
      <c r="F875" s="73" t="str">
        <f t="shared" si="71"/>
        <v/>
      </c>
      <c r="G875" s="562">
        <f>IF(PDs!E76=0,0,VLOOKUP(PDs!E76,Tablas!$D$1027:$L$1057,5,FALSE))</f>
        <v>0</v>
      </c>
    </row>
    <row r="876" spans="2:7" ht="12.75" customHeight="1" x14ac:dyDescent="0.2">
      <c r="B876" s="402">
        <f>IF(PDs!E41="Tabla de tipología",0,IF(PDs!E41="Tabla de armas arquetípicas",VLOOKUP(PDs!Y41,Tabla_ArmasArquetípicas,3,FALSE),PDs!Y41))</f>
        <v>0</v>
      </c>
      <c r="C876" s="555" t="str">
        <f t="shared" si="69"/>
        <v/>
      </c>
      <c r="D876" s="555" t="str">
        <f t="shared" si="70"/>
        <v/>
      </c>
      <c r="E876" s="555">
        <f>IF(PDs!E46="Tabla de tipología",PDs!Y46,0)</f>
        <v>0</v>
      </c>
      <c r="F876" s="73" t="str">
        <f t="shared" si="71"/>
        <v/>
      </c>
      <c r="G876" s="562">
        <f>IF(PDs!E76=0,0,VLOOKUP(PDs!E76,Tablas!$D$1027:$L$1057,6,FALSE))</f>
        <v>0</v>
      </c>
    </row>
    <row r="877" spans="2:7" ht="12.75" customHeight="1" x14ac:dyDescent="0.2">
      <c r="B877" s="402">
        <f>IF(PDs!E41="Tabla de tipología",0,IF(PDs!E41="Tabla de armas arquetípicas",VLOOKUP(PDs!Y41,Tabla_ArmasArquetípicas,4,FALSE),PDs!Y41))</f>
        <v>0</v>
      </c>
      <c r="C877" s="555" t="str">
        <f t="shared" si="69"/>
        <v/>
      </c>
      <c r="D877" s="555" t="str">
        <f t="shared" si="70"/>
        <v/>
      </c>
      <c r="E877" s="555">
        <f>IF(PDs!E47="Tabla de tipología",PDs!Y47,0)</f>
        <v>0</v>
      </c>
      <c r="F877" s="73" t="str">
        <f t="shared" si="71"/>
        <v/>
      </c>
      <c r="G877" s="562">
        <f>IF(PDs!E76=0,0,VLOOKUP(PDs!E76,Tablas!$D$1027:$L$1057,7,FALSE))</f>
        <v>0</v>
      </c>
    </row>
    <row r="878" spans="2:7" ht="12.75" customHeight="1" x14ac:dyDescent="0.2">
      <c r="B878" s="402">
        <f>IF(PDs!E41="Tabla de tipología",0,IF(PDs!E41="Tabla de armas arquetípicas",VLOOKUP(PDs!Y41,Tabla_ArmasArquetípicas,5,FALSE),PDs!Y41))</f>
        <v>0</v>
      </c>
      <c r="C878" s="555" t="str">
        <f t="shared" si="69"/>
        <v/>
      </c>
      <c r="D878" s="555" t="str">
        <f t="shared" si="70"/>
        <v/>
      </c>
      <c r="E878" s="555">
        <f>IF(PDs!E48="Tabla de tipología",PDs!Y48,0)</f>
        <v>0</v>
      </c>
      <c r="F878" s="73" t="str">
        <f t="shared" si="71"/>
        <v/>
      </c>
      <c r="G878" s="562">
        <f>IF(PDs!E76=0,0,VLOOKUP(PDs!E76,Tablas!$D$1027:$L$1057,8,FALSE))</f>
        <v>0</v>
      </c>
    </row>
    <row r="879" spans="2:7" ht="12.75" customHeight="1" x14ac:dyDescent="0.2">
      <c r="B879" s="402">
        <f>IF(PDs!E41="Tabla de tipología",0,IF(PDs!E41="Tabla de armas arquetípicas",VLOOKUP(PDs!Y41,Tabla_ArmasArquetípicas,6,FALSE),PDs!Y41))</f>
        <v>0</v>
      </c>
      <c r="C879" s="555" t="str">
        <f t="shared" si="69"/>
        <v/>
      </c>
      <c r="D879" s="555" t="str">
        <f t="shared" si="70"/>
        <v/>
      </c>
      <c r="E879" s="555">
        <f>IF(PDs!E49="Tabla de tipología",PDs!Y49,0)</f>
        <v>0</v>
      </c>
      <c r="F879" s="73" t="str">
        <f t="shared" si="71"/>
        <v/>
      </c>
      <c r="G879" s="562"/>
    </row>
    <row r="880" spans="2:7" ht="12.75" customHeight="1" x14ac:dyDescent="0.2">
      <c r="B880" s="402">
        <f>IF(PDs!E42="Tabla de tipología",0,IF(PDs!E42="Tabla de armas arquetípicas",VLOOKUP(PDs!Y42,Tabla_ArmasArquetípicas,2,FALSE),PDs!Y42))</f>
        <v>0</v>
      </c>
      <c r="C880" s="555" t="str">
        <f t="shared" si="69"/>
        <v/>
      </c>
      <c r="D880" s="555" t="str">
        <f t="shared" si="70"/>
        <v/>
      </c>
      <c r="E880" s="555">
        <f>IF(PDs!E50="Tabla de tipología",PDs!Y50,0)</f>
        <v>0</v>
      </c>
      <c r="F880" s="73" t="str">
        <f t="shared" si="71"/>
        <v/>
      </c>
      <c r="G880" s="562">
        <f>IF(PDs!E77=0,0,VLOOKUP(PDs!E77,Tablas!$D$1027:$L$1057,5,FALSE))</f>
        <v>0</v>
      </c>
    </row>
    <row r="881" spans="2:14" ht="12.75" customHeight="1" x14ac:dyDescent="0.2">
      <c r="B881" s="402">
        <f>IF(PDs!E42="Tabla de tipología",0,IF(PDs!E42="Tabla de armas arquetípicas",VLOOKUP(PDs!Y42,Tabla_ArmasArquetípicas,3,FALSE),PDs!Y42))</f>
        <v>0</v>
      </c>
      <c r="C881" s="555" t="str">
        <f t="shared" si="69"/>
        <v/>
      </c>
      <c r="D881" s="555" t="str">
        <f t="shared" si="70"/>
        <v/>
      </c>
      <c r="E881" s="555">
        <f>IF(PDs!E51="Tabla de tipología",PDs!Y51,0)</f>
        <v>0</v>
      </c>
      <c r="F881" s="73" t="str">
        <f t="shared" si="71"/>
        <v/>
      </c>
      <c r="G881" s="562">
        <f>IF(PDs!E77=0,0,VLOOKUP(PDs!E77,Tablas!$D$1027:$L$1057,6,FALSE))</f>
        <v>0</v>
      </c>
    </row>
    <row r="882" spans="2:14" ht="12.75" customHeight="1" x14ac:dyDescent="0.2">
      <c r="B882" s="402">
        <f>IF(PDs!E42="Tabla de tipología",0,IF(PDs!E42="Tabla de armas arquetípicas",VLOOKUP(PDs!Y42,Tabla_ArmasArquetípicas,4,FALSE),PDs!Y42))</f>
        <v>0</v>
      </c>
      <c r="C882" s="555" t="str">
        <f t="shared" si="69"/>
        <v/>
      </c>
      <c r="D882" s="555" t="str">
        <f t="shared" si="70"/>
        <v/>
      </c>
      <c r="E882" s="555">
        <f>IF(PDs!E52="Tabla de tipología",PDs!Y52,0)</f>
        <v>0</v>
      </c>
      <c r="F882" s="73" t="str">
        <f t="shared" si="71"/>
        <v/>
      </c>
      <c r="G882" s="562">
        <f>IF(PDs!E77=0,0,VLOOKUP(PDs!E77,Tablas!$D$1027:$L$1057,7,FALSE))</f>
        <v>0</v>
      </c>
    </row>
    <row r="883" spans="2:14" ht="12.75" customHeight="1" x14ac:dyDescent="0.2">
      <c r="B883" s="402">
        <f>IF(PDs!E42="Tabla de tipología",0,IF(PDs!E42="Tabla de armas arquetípicas",VLOOKUP(PDs!Y42,Tabla_ArmasArquetípicas,5,FALSE),PDs!Y42))</f>
        <v>0</v>
      </c>
      <c r="C883" s="555" t="str">
        <f t="shared" si="69"/>
        <v/>
      </c>
      <c r="D883" s="555" t="str">
        <f t="shared" si="70"/>
        <v/>
      </c>
      <c r="E883" s="555">
        <f>IF(PDs!E53="Tabla de tipología",PDs!Y53,0)</f>
        <v>0</v>
      </c>
      <c r="F883" s="73" t="str">
        <f t="shared" si="71"/>
        <v/>
      </c>
      <c r="G883" s="562">
        <f>IF(PDs!E77=0,0,VLOOKUP(PDs!E77,Tablas!$D$1027:$L$1057,8,FALSE))</f>
        <v>0</v>
      </c>
    </row>
    <row r="884" spans="2:14" ht="12.75" customHeight="1" x14ac:dyDescent="0.2">
      <c r="B884" s="402">
        <f>IF(PDs!E42="Tabla de tipología",0,IF(PDs!E42="Tabla de armas arquetípicas",VLOOKUP(PDs!Y42,Tabla_ArmasArquetípicas,6,FALSE),PDs!Y42))</f>
        <v>0</v>
      </c>
      <c r="C884" s="555" t="str">
        <f t="shared" si="69"/>
        <v/>
      </c>
      <c r="D884" s="555" t="str">
        <f t="shared" si="70"/>
        <v/>
      </c>
      <c r="E884" s="555">
        <f>IF(PDs!E54="Tabla de tipología",PDs!Y54,0)</f>
        <v>0</v>
      </c>
      <c r="F884" s="73" t="str">
        <f t="shared" si="71"/>
        <v/>
      </c>
      <c r="G884" s="562"/>
    </row>
    <row r="885" spans="2:14" ht="12.75" customHeight="1" x14ac:dyDescent="0.2">
      <c r="B885" s="402">
        <f>IF(PDs!E43="Tabla de tipología",0,IF(PDs!E43="Tabla de armas arquetípicas",VLOOKUP(PDs!Y43,Tabla_ArmasArquetípicas,2,FALSE),PDs!Y43))</f>
        <v>0</v>
      </c>
      <c r="C885" s="555" t="str">
        <f t="shared" si="69"/>
        <v/>
      </c>
      <c r="D885" s="555" t="str">
        <f t="shared" si="70"/>
        <v/>
      </c>
      <c r="E885" s="555">
        <f>IF(PDs!E55="Tabla de tipología",PDs!Y55,0)</f>
        <v>0</v>
      </c>
      <c r="F885" s="73" t="str">
        <f t="shared" si="71"/>
        <v/>
      </c>
      <c r="G885" s="562"/>
    </row>
    <row r="886" spans="2:14" ht="12.75" customHeight="1" thickBot="1" x14ac:dyDescent="0.25">
      <c r="B886" s="402">
        <f>IF(PDs!E43="Tabla de tipología",0,IF(PDs!E43="Tabla de armas arquetípicas",VLOOKUP(PDs!Y43,Tabla_ArmasArquetípicas,3,FALSE),PDs!Y43))</f>
        <v>0</v>
      </c>
      <c r="C886" s="555" t="str">
        <f t="shared" si="69"/>
        <v/>
      </c>
      <c r="D886" s="555" t="str">
        <f t="shared" si="70"/>
        <v/>
      </c>
      <c r="E886" s="555">
        <f>IF(PDs!E56="Tabla de tipología",PDs!Y56,0)</f>
        <v>0</v>
      </c>
      <c r="F886" s="73" t="str">
        <f t="shared" si="71"/>
        <v/>
      </c>
      <c r="G886" s="562"/>
    </row>
    <row r="887" spans="2:14" ht="12.75" customHeight="1" thickBot="1" x14ac:dyDescent="0.25">
      <c r="B887" s="402">
        <f>IF(PDs!E43="Tabla de tipología",0,IF(PDs!E43="Tabla de armas arquetípicas",VLOOKUP(PDs!Y43,Tabla_ArmasArquetípicas,4,FALSE),PDs!Y43))</f>
        <v>0</v>
      </c>
      <c r="C887" s="555" t="str">
        <f t="shared" si="69"/>
        <v/>
      </c>
      <c r="D887" s="555" t="str">
        <f t="shared" si="70"/>
        <v/>
      </c>
      <c r="E887" s="555">
        <f>IF(PDs!E57="Tabla de tipología",PDs!Y57,0)</f>
        <v>0</v>
      </c>
      <c r="F887" s="73" t="str">
        <f t="shared" si="71"/>
        <v/>
      </c>
      <c r="G887" s="562"/>
      <c r="L887" s="4918" t="s">
        <v>9853</v>
      </c>
    </row>
    <row r="888" spans="2:14" ht="12.75" customHeight="1" thickBot="1" x14ac:dyDescent="0.25">
      <c r="B888" s="402">
        <f>IF(PDs!E43="Tabla de tipología",0,IF(PDs!E43="Tabla de armas arquetípicas",VLOOKUP(PDs!Y43,Tabla_ArmasArquetípicas,5,FALSE),PDs!Y43))</f>
        <v>0</v>
      </c>
      <c r="C888" s="555" t="str">
        <f t="shared" si="69"/>
        <v/>
      </c>
      <c r="D888" s="555" t="str">
        <f t="shared" si="70"/>
        <v/>
      </c>
      <c r="E888" s="555">
        <f>IF(PDs!E58="Tabla de tipología",PDs!Y58,0)</f>
        <v>0</v>
      </c>
      <c r="F888" s="73" t="str">
        <f t="shared" si="71"/>
        <v/>
      </c>
      <c r="G888" s="562"/>
      <c r="L888" s="4919"/>
      <c r="M888" s="2689" t="s">
        <v>9855</v>
      </c>
      <c r="N888" s="2689" t="s">
        <v>9856</v>
      </c>
    </row>
    <row r="889" spans="2:14" ht="12.75" customHeight="1" x14ac:dyDescent="0.2">
      <c r="B889" s="402">
        <f>IF(PDs!E43="Tabla de tipología",0,IF(PDs!E43="Tabla de armas arquetípicas",VLOOKUP(PDs!Y43,Tabla_ArmasArquetípicas,6,FALSE),PDs!Y43))</f>
        <v>0</v>
      </c>
      <c r="C889" s="555" t="str">
        <f t="shared" si="69"/>
        <v/>
      </c>
      <c r="D889" s="555" t="str">
        <f t="shared" si="70"/>
        <v/>
      </c>
      <c r="E889" s="555">
        <f>IF(PDs!E59="Tabla de tipología",PDs!Y59,0)</f>
        <v>0</v>
      </c>
      <c r="F889" s="73" t="str">
        <f t="shared" si="71"/>
        <v/>
      </c>
      <c r="G889" s="562"/>
      <c r="L889" s="569" t="s">
        <v>1332</v>
      </c>
      <c r="M889" s="2685" t="s">
        <v>2218</v>
      </c>
      <c r="N889" s="2685" t="s">
        <v>2218</v>
      </c>
    </row>
    <row r="890" spans="2:14" ht="12.75" customHeight="1" thickBot="1" x14ac:dyDescent="0.25">
      <c r="B890" s="402">
        <f>IF(PDs!E44="Tabla de tipología",0,IF(PDs!E44="Tabla de armas arquetípicas",VLOOKUP(PDs!Y44,Tabla_ArmasArquetípicas,2,FALSE),PDs!Y44))</f>
        <v>0</v>
      </c>
      <c r="C890" s="555" t="str">
        <f t="shared" si="69"/>
        <v/>
      </c>
      <c r="D890" s="555" t="str">
        <f t="shared" si="70"/>
        <v/>
      </c>
      <c r="E890" s="555">
        <f>IF(PDs!E60="Tabla de tipología",PDs!Y60,0)</f>
        <v>0</v>
      </c>
      <c r="F890" s="73" t="str">
        <f t="shared" si="71"/>
        <v/>
      </c>
      <c r="G890" s="562"/>
      <c r="L890" s="2686" t="s">
        <v>9818</v>
      </c>
      <c r="M890" s="2686" t="s">
        <v>5259</v>
      </c>
      <c r="N890" s="2687" t="s">
        <v>5260</v>
      </c>
    </row>
    <row r="891" spans="2:14" ht="12.75" customHeight="1" thickBot="1" x14ac:dyDescent="0.25">
      <c r="B891" s="402">
        <f>IF(PDs!E44="Tabla de tipología",0,IF(PDs!E44="Tabla de armas arquetípicas",VLOOKUP(PDs!Y44,Tabla_ArmasArquetípicas,3,FALSE),PDs!Y44))</f>
        <v>0</v>
      </c>
      <c r="C891" s="555" t="str">
        <f t="shared" si="69"/>
        <v/>
      </c>
      <c r="D891" s="555" t="str">
        <f t="shared" si="70"/>
        <v/>
      </c>
      <c r="E891" s="555">
        <f>IF(PDs!E61="Tabla de tipología",PDs!Y61,0)</f>
        <v>0</v>
      </c>
      <c r="F891" s="73" t="str">
        <f t="shared" si="71"/>
        <v/>
      </c>
      <c r="G891" s="562"/>
      <c r="L891" s="2686" t="s">
        <v>9819</v>
      </c>
      <c r="M891" s="2687" t="s">
        <v>9854</v>
      </c>
    </row>
    <row r="892" spans="2:14" ht="12.75" customHeight="1" x14ac:dyDescent="0.2">
      <c r="B892" s="402">
        <f>IF(PDs!E44="Tabla de tipología",0,IF(PDs!E44="Tabla de armas arquetípicas",VLOOKUP(PDs!Y44,Tabla_ArmasArquetípicas,4,FALSE),PDs!Y44))</f>
        <v>0</v>
      </c>
      <c r="C892" s="555" t="str">
        <f t="shared" si="69"/>
        <v/>
      </c>
      <c r="D892" s="555" t="str">
        <f t="shared" si="70"/>
        <v/>
      </c>
      <c r="E892" s="555">
        <f>IF(PDs!E62="Tabla de tipología",PDs!Y62,0)</f>
        <v>0</v>
      </c>
      <c r="F892" s="73" t="str">
        <f t="shared" si="71"/>
        <v/>
      </c>
      <c r="G892" s="562"/>
      <c r="L892" s="2686" t="s">
        <v>9820</v>
      </c>
    </row>
    <row r="893" spans="2:14" ht="12.75" customHeight="1" x14ac:dyDescent="0.2">
      <c r="B893" s="402">
        <f>IF(PDs!E44="Tabla de tipología",0,IF(PDs!E44="Tabla de armas arquetípicas",VLOOKUP(PDs!Y44,Tabla_ArmasArquetípicas,5,FALSE),PDs!Y44))</f>
        <v>0</v>
      </c>
      <c r="C893" s="555" t="str">
        <f t="shared" si="69"/>
        <v/>
      </c>
      <c r="D893" s="555" t="str">
        <f t="shared" si="70"/>
        <v/>
      </c>
      <c r="E893" s="555">
        <f>IF(PDs!E63="Tabla de tipología",PDs!Y63,0)</f>
        <v>0</v>
      </c>
      <c r="F893" s="73" t="str">
        <f t="shared" si="71"/>
        <v/>
      </c>
      <c r="G893" s="562"/>
      <c r="L893" s="2686" t="s">
        <v>9821</v>
      </c>
    </row>
    <row r="894" spans="2:14" ht="12.75" customHeight="1" x14ac:dyDescent="0.2">
      <c r="B894" s="402">
        <f>IF(PDs!E44="Tabla de tipología",0,IF(PDs!E44="Tabla de armas arquetípicas",VLOOKUP(PDs!Y44,Tabla_ArmasArquetípicas,6,FALSE),PDs!Y44))</f>
        <v>0</v>
      </c>
      <c r="C894" s="555" t="str">
        <f t="shared" si="69"/>
        <v/>
      </c>
      <c r="D894" s="555" t="str">
        <f t="shared" si="70"/>
        <v/>
      </c>
      <c r="E894" s="555">
        <f>IF(PDs!E64="Tabla de tipología",PDs!Y64,0)</f>
        <v>0</v>
      </c>
      <c r="F894" s="73" t="str">
        <f t="shared" si="71"/>
        <v/>
      </c>
      <c r="G894" s="562"/>
      <c r="L894" s="2686" t="s">
        <v>9822</v>
      </c>
    </row>
    <row r="895" spans="2:14" ht="12.75" customHeight="1" x14ac:dyDescent="0.2">
      <c r="B895" s="402">
        <f>IF(PDs!E45="Tabla de tipología",0,IF(PDs!E45="Tabla de armas arquetípicas",VLOOKUP(PDs!Y45,Tabla_ArmasArquetípicas,2,FALSE),PDs!Y45))</f>
        <v>0</v>
      </c>
      <c r="C895" s="555" t="str">
        <f t="shared" si="69"/>
        <v/>
      </c>
      <c r="D895" s="555" t="str">
        <f t="shared" si="70"/>
        <v/>
      </c>
      <c r="E895" s="555">
        <f>IF(PDs!E65="Tabla de tipología",PDs!Y65,0)</f>
        <v>0</v>
      </c>
      <c r="F895" s="73" t="str">
        <f t="shared" si="71"/>
        <v/>
      </c>
      <c r="G895" s="562">
        <f>IF('Elan y Personalización'!$X$47="Si",'Elan y Personalización'!$X$46,0)</f>
        <v>0</v>
      </c>
      <c r="L895" s="2686" t="s">
        <v>9823</v>
      </c>
    </row>
    <row r="896" spans="2:14" ht="12.75" customHeight="1" x14ac:dyDescent="0.2">
      <c r="B896" s="402">
        <f>IF(PDs!E45="Tabla de tipología",0,IF(PDs!E45="Tabla de armas arquetípicas",VLOOKUP(PDs!Y45,Tabla_ArmasArquetípicas,3,FALSE),PDs!Y45))</f>
        <v>0</v>
      </c>
      <c r="C896" s="555" t="str">
        <f t="shared" si="69"/>
        <v/>
      </c>
      <c r="D896" s="555" t="str">
        <f t="shared" si="70"/>
        <v/>
      </c>
      <c r="E896" s="555">
        <f>IF(PDs!E66="Tabla de tipología",PDs!Y66,0)</f>
        <v>0</v>
      </c>
      <c r="F896" s="73" t="str">
        <f t="shared" si="71"/>
        <v/>
      </c>
      <c r="G896" s="562">
        <f>IF('Elan y Personalización'!$X$51="Si",'Elan y Personalización'!$X$50,0)</f>
        <v>0</v>
      </c>
      <c r="L896" s="2686" t="s">
        <v>9824</v>
      </c>
    </row>
    <row r="897" spans="2:12" ht="12.75" customHeight="1" x14ac:dyDescent="0.2">
      <c r="B897" s="402">
        <f>IF(PDs!E45="Tabla de tipología",0,IF(PDs!E45="Tabla de armas arquetípicas",VLOOKUP(PDs!Y45,Tabla_ArmasArquetípicas,4,FALSE),PDs!Y45))</f>
        <v>0</v>
      </c>
      <c r="C897" s="555" t="str">
        <f t="shared" si="69"/>
        <v/>
      </c>
      <c r="D897" s="555" t="str">
        <f t="shared" si="70"/>
        <v/>
      </c>
      <c r="E897" s="555">
        <f>IF(PDs!E67="Tabla de tipología",PDs!Y67,0)</f>
        <v>0</v>
      </c>
      <c r="F897" s="73" t="str">
        <f t="shared" si="71"/>
        <v/>
      </c>
      <c r="G897" s="562">
        <f>IF('Elan y Personalización'!$X$55="Si",'Elan y Personalización'!$X$54,0)</f>
        <v>0</v>
      </c>
      <c r="L897" s="2686" t="s">
        <v>9825</v>
      </c>
    </row>
    <row r="898" spans="2:12" ht="12.75" customHeight="1" x14ac:dyDescent="0.2">
      <c r="B898" s="402">
        <f>IF(PDs!E45="Tabla de tipología",0,IF(PDs!E45="Tabla de armas arquetípicas",VLOOKUP(PDs!Y45,Tabla_ArmasArquetípicas,5,FALSE),PDs!Y45))</f>
        <v>0</v>
      </c>
      <c r="C898" s="555" t="str">
        <f t="shared" si="69"/>
        <v/>
      </c>
      <c r="D898" s="555" t="str">
        <f t="shared" si="70"/>
        <v/>
      </c>
      <c r="E898" s="555">
        <f>IF(PDs!E68="Tabla de tipología",PDs!Y68,0)</f>
        <v>0</v>
      </c>
      <c r="F898" s="73" t="str">
        <f t="shared" si="71"/>
        <v/>
      </c>
      <c r="G898" s="562"/>
      <c r="L898" s="2686" t="s">
        <v>9826</v>
      </c>
    </row>
    <row r="899" spans="2:12" ht="12.75" customHeight="1" thickBot="1" x14ac:dyDescent="0.25">
      <c r="B899" s="563">
        <f>IF(PDs!E45="Tabla de tipología",0,IF(PDs!E45="Tabla de armas arquetípicas",VLOOKUP(PDs!Y45,Tabla_ArmasArquetípicas,6,FALSE),PDs!Y45))</f>
        <v>0</v>
      </c>
      <c r="C899" s="561" t="str">
        <f t="shared" si="69"/>
        <v/>
      </c>
      <c r="D899" s="561" t="str">
        <f t="shared" si="70"/>
        <v/>
      </c>
      <c r="E899" s="561">
        <f>IF(PDs!E69="Tabla de tipología",PDs!Y69,0)</f>
        <v>0</v>
      </c>
      <c r="F899" s="222" t="str">
        <f t="shared" si="71"/>
        <v/>
      </c>
      <c r="G899" s="564"/>
      <c r="L899" s="2686" t="s">
        <v>9827</v>
      </c>
    </row>
    <row r="900" spans="2:12" ht="12.75" customHeight="1" thickBot="1" x14ac:dyDescent="0.25">
      <c r="L900" s="2686" t="s">
        <v>9828</v>
      </c>
    </row>
    <row r="901" spans="2:12" ht="12.75" customHeight="1" thickBot="1" x14ac:dyDescent="0.25">
      <c r="B901" s="4752" t="s">
        <v>3669</v>
      </c>
      <c r="C901" s="4752"/>
      <c r="D901" s="4752"/>
      <c r="E901" s="4752"/>
      <c r="F901" s="4752"/>
      <c r="G901" s="4752"/>
      <c r="H901" s="4752"/>
      <c r="I901" s="4752"/>
      <c r="L901" s="2686" t="s">
        <v>9829</v>
      </c>
    </row>
    <row r="902" spans="2:12" ht="12.75" customHeight="1" x14ac:dyDescent="0.2">
      <c r="B902" s="4752"/>
      <c r="C902" s="4752"/>
      <c r="D902" s="4752"/>
      <c r="E902" s="4752"/>
      <c r="F902" s="4752"/>
      <c r="G902" s="4752"/>
      <c r="H902" s="4752"/>
      <c r="I902" s="4752"/>
      <c r="L902" s="2686" t="s">
        <v>9830</v>
      </c>
    </row>
    <row r="903" spans="2:12" ht="12.75" customHeight="1" thickBot="1" x14ac:dyDescent="0.25">
      <c r="B903" s="452"/>
      <c r="C903" s="453"/>
      <c r="D903" s="453" t="s">
        <v>2295</v>
      </c>
      <c r="E903" s="453" t="s">
        <v>2345</v>
      </c>
      <c r="F903" s="565" t="s">
        <v>2407</v>
      </c>
      <c r="G903" s="453"/>
      <c r="H903" s="1968"/>
      <c r="I903" s="454"/>
      <c r="L903" s="2686" t="s">
        <v>9831</v>
      </c>
    </row>
    <row r="904" spans="2:12" ht="12.75" customHeight="1" x14ac:dyDescent="0.2">
      <c r="B904" s="70"/>
      <c r="C904" s="73"/>
      <c r="D904" s="544" t="s">
        <v>3670</v>
      </c>
      <c r="E904" s="383">
        <v>30</v>
      </c>
      <c r="F904" s="23" t="s">
        <v>3671</v>
      </c>
      <c r="G904" s="73"/>
      <c r="H904" s="333"/>
      <c r="I904" s="75"/>
      <c r="L904" s="2686" t="s">
        <v>9832</v>
      </c>
    </row>
    <row r="905" spans="2:12" ht="12.75" customHeight="1" x14ac:dyDescent="0.2">
      <c r="B905" s="70"/>
      <c r="C905" s="73"/>
      <c r="D905" s="544" t="s">
        <v>3672</v>
      </c>
      <c r="E905" s="383">
        <v>50</v>
      </c>
      <c r="F905" s="23" t="s">
        <v>3673</v>
      </c>
      <c r="G905" s="73"/>
      <c r="H905" s="333"/>
      <c r="I905" s="75"/>
      <c r="L905" s="2686" t="s">
        <v>9833</v>
      </c>
    </row>
    <row r="906" spans="2:12" ht="12.75" customHeight="1" x14ac:dyDescent="0.2">
      <c r="B906" s="70"/>
      <c r="C906" s="73"/>
      <c r="D906" s="544" t="s">
        <v>3674</v>
      </c>
      <c r="E906" s="383">
        <v>50</v>
      </c>
      <c r="F906" s="23" t="s">
        <v>3675</v>
      </c>
      <c r="G906" s="73"/>
      <c r="H906" s="333"/>
      <c r="I906" s="75"/>
      <c r="L906" s="2686" t="s">
        <v>9834</v>
      </c>
    </row>
    <row r="907" spans="2:12" ht="12.75" customHeight="1" x14ac:dyDescent="0.2">
      <c r="B907" s="70"/>
      <c r="C907" s="73"/>
      <c r="D907" s="544" t="s">
        <v>3676</v>
      </c>
      <c r="E907" s="383">
        <v>40</v>
      </c>
      <c r="F907" s="23" t="s">
        <v>3677</v>
      </c>
      <c r="G907" s="73"/>
      <c r="H907" s="333"/>
      <c r="I907" s="75"/>
      <c r="L907" s="2686" t="s">
        <v>9835</v>
      </c>
    </row>
    <row r="908" spans="2:12" ht="12.75" customHeight="1" x14ac:dyDescent="0.2">
      <c r="B908" s="70"/>
      <c r="C908" s="73"/>
      <c r="D908" s="544" t="s">
        <v>3678</v>
      </c>
      <c r="E908" s="383">
        <v>50</v>
      </c>
      <c r="F908" s="23" t="s">
        <v>1286</v>
      </c>
      <c r="G908" s="73"/>
      <c r="H908" s="333"/>
      <c r="I908" s="75"/>
      <c r="L908" s="2688" t="s">
        <v>1429</v>
      </c>
    </row>
    <row r="909" spans="2:12" ht="12.75" customHeight="1" x14ac:dyDescent="0.2">
      <c r="B909" s="70"/>
      <c r="C909" s="73"/>
      <c r="D909" s="544" t="s">
        <v>1287</v>
      </c>
      <c r="E909" s="383">
        <v>30</v>
      </c>
      <c r="F909" s="23" t="s">
        <v>1288</v>
      </c>
      <c r="G909" s="73"/>
      <c r="H909" s="333"/>
      <c r="I909" s="75"/>
      <c r="L909" s="2686" t="s">
        <v>9836</v>
      </c>
    </row>
    <row r="910" spans="2:12" ht="12.75" customHeight="1" x14ac:dyDescent="0.2">
      <c r="B910" s="70"/>
      <c r="C910" s="73"/>
      <c r="D910" s="544" t="s">
        <v>1289</v>
      </c>
      <c r="E910" s="383">
        <v>40</v>
      </c>
      <c r="F910" s="23" t="s">
        <v>1290</v>
      </c>
      <c r="G910" s="73"/>
      <c r="H910" s="333"/>
      <c r="I910" s="75"/>
      <c r="L910" s="2686" t="s">
        <v>9837</v>
      </c>
    </row>
    <row r="911" spans="2:12" ht="12.75" customHeight="1" x14ac:dyDescent="0.2">
      <c r="B911" s="70"/>
      <c r="C911" s="73"/>
      <c r="D911" s="544" t="s">
        <v>1291</v>
      </c>
      <c r="E911" s="383">
        <v>40</v>
      </c>
      <c r="F911" s="23" t="s">
        <v>1292</v>
      </c>
      <c r="G911" s="73"/>
      <c r="H911" s="333"/>
      <c r="I911" s="75"/>
      <c r="L911" s="2686" t="s">
        <v>9838</v>
      </c>
    </row>
    <row r="912" spans="2:12" ht="12.75" customHeight="1" x14ac:dyDescent="0.2">
      <c r="B912" s="70"/>
      <c r="C912" s="73"/>
      <c r="D912" s="544" t="s">
        <v>1293</v>
      </c>
      <c r="E912" s="383">
        <v>40</v>
      </c>
      <c r="F912" s="23" t="s">
        <v>1294</v>
      </c>
      <c r="G912" s="73"/>
      <c r="H912" s="333"/>
      <c r="I912" s="75"/>
      <c r="L912" s="2686" t="s">
        <v>9839</v>
      </c>
    </row>
    <row r="913" spans="2:23" ht="12.75" customHeight="1" x14ac:dyDescent="0.2">
      <c r="B913" s="70"/>
      <c r="C913" s="73"/>
      <c r="D913" s="544" t="s">
        <v>1295</v>
      </c>
      <c r="E913" s="383">
        <v>50</v>
      </c>
      <c r="F913" s="23" t="s">
        <v>1296</v>
      </c>
      <c r="G913" s="73"/>
      <c r="H913" s="333"/>
      <c r="I913" s="75"/>
      <c r="L913" s="2686" t="s">
        <v>9840</v>
      </c>
    </row>
    <row r="914" spans="2:23" ht="12.75" customHeight="1" x14ac:dyDescent="0.2">
      <c r="B914" s="70"/>
      <c r="C914" s="73"/>
      <c r="D914" s="544" t="s">
        <v>1297</v>
      </c>
      <c r="E914" s="383">
        <v>40</v>
      </c>
      <c r="F914" s="23" t="s">
        <v>1298</v>
      </c>
      <c r="G914" s="73"/>
      <c r="H914" s="333"/>
      <c r="I914" s="75"/>
      <c r="L914" s="2686" t="s">
        <v>9841</v>
      </c>
    </row>
    <row r="915" spans="2:23" ht="12.75" customHeight="1" x14ac:dyDescent="0.2">
      <c r="B915" s="70"/>
      <c r="C915" s="73"/>
      <c r="D915" s="544" t="s">
        <v>1299</v>
      </c>
      <c r="E915" s="383">
        <v>40</v>
      </c>
      <c r="F915" s="23" t="s">
        <v>1300</v>
      </c>
      <c r="G915" s="73"/>
      <c r="H915" s="333"/>
      <c r="I915" s="75"/>
      <c r="L915" s="2686" t="s">
        <v>9842</v>
      </c>
    </row>
    <row r="916" spans="2:23" ht="12.75" customHeight="1" x14ac:dyDescent="0.2">
      <c r="B916" s="70"/>
      <c r="C916" s="73"/>
      <c r="D916" s="544" t="s">
        <v>1301</v>
      </c>
      <c r="E916" s="383">
        <v>40</v>
      </c>
      <c r="F916" s="23" t="s">
        <v>1302</v>
      </c>
      <c r="G916" s="73"/>
      <c r="H916" s="333"/>
      <c r="I916" s="75"/>
      <c r="L916" s="2686" t="s">
        <v>9843</v>
      </c>
    </row>
    <row r="917" spans="2:23" ht="12.75" customHeight="1" x14ac:dyDescent="0.2">
      <c r="B917" s="70"/>
      <c r="C917" s="73"/>
      <c r="D917" s="544" t="s">
        <v>1303</v>
      </c>
      <c r="E917" s="383">
        <v>20</v>
      </c>
      <c r="F917" s="23" t="s">
        <v>1304</v>
      </c>
      <c r="G917" s="73"/>
      <c r="H917" s="333"/>
      <c r="I917" s="75"/>
      <c r="L917" s="2686" t="s">
        <v>9844</v>
      </c>
    </row>
    <row r="918" spans="2:23" ht="12.75" customHeight="1" x14ac:dyDescent="0.2">
      <c r="B918" s="70"/>
      <c r="C918" s="73"/>
      <c r="D918" s="544" t="s">
        <v>1305</v>
      </c>
      <c r="E918" s="383">
        <v>30</v>
      </c>
      <c r="F918" s="23" t="s">
        <v>1306</v>
      </c>
      <c r="G918" s="73"/>
      <c r="H918" s="333"/>
      <c r="I918" s="75"/>
      <c r="L918" s="2686" t="s">
        <v>9845</v>
      </c>
    </row>
    <row r="919" spans="2:23" ht="12.75" customHeight="1" x14ac:dyDescent="0.2">
      <c r="B919" s="70"/>
      <c r="C919" s="73"/>
      <c r="D919" s="544" t="s">
        <v>1307</v>
      </c>
      <c r="E919" s="383">
        <v>20</v>
      </c>
      <c r="F919" s="23" t="s">
        <v>1308</v>
      </c>
      <c r="G919" s="73"/>
      <c r="H919" s="333"/>
      <c r="I919" s="75"/>
      <c r="L919" s="2686" t="s">
        <v>9846</v>
      </c>
    </row>
    <row r="920" spans="2:23" ht="12.75" customHeight="1" x14ac:dyDescent="0.2">
      <c r="B920" s="70"/>
      <c r="C920" s="73"/>
      <c r="D920" s="544" t="s">
        <v>1309</v>
      </c>
      <c r="E920" s="383">
        <v>20</v>
      </c>
      <c r="F920" s="23" t="s">
        <v>1310</v>
      </c>
      <c r="G920" s="73"/>
      <c r="H920" s="333"/>
      <c r="I920" s="75"/>
      <c r="L920" s="2686" t="s">
        <v>9847</v>
      </c>
    </row>
    <row r="921" spans="2:23" ht="12.75" customHeight="1" x14ac:dyDescent="0.2">
      <c r="B921" s="70"/>
      <c r="C921" s="73"/>
      <c r="D921" s="544" t="s">
        <v>1311</v>
      </c>
      <c r="E921" s="383">
        <v>40</v>
      </c>
      <c r="F921" s="23" t="s">
        <v>1312</v>
      </c>
      <c r="G921" s="73"/>
      <c r="H921" s="333"/>
      <c r="I921" s="75"/>
      <c r="L921" s="2686" t="s">
        <v>9848</v>
      </c>
    </row>
    <row r="922" spans="2:23" ht="12.75" customHeight="1" x14ac:dyDescent="0.2">
      <c r="B922" s="70"/>
      <c r="C922" s="73"/>
      <c r="D922" s="544" t="s">
        <v>1313</v>
      </c>
      <c r="E922" s="383">
        <v>30</v>
      </c>
      <c r="F922" s="23" t="s">
        <v>1314</v>
      </c>
      <c r="G922" s="73"/>
      <c r="H922" s="333"/>
      <c r="I922" s="75"/>
      <c r="L922" s="2686" t="s">
        <v>9849</v>
      </c>
    </row>
    <row r="923" spans="2:23" ht="12.75" customHeight="1" x14ac:dyDescent="0.2">
      <c r="B923" s="70"/>
      <c r="C923" s="73"/>
      <c r="D923" s="544" t="s">
        <v>1315</v>
      </c>
      <c r="E923" s="383">
        <v>30</v>
      </c>
      <c r="F923" s="23" t="s">
        <v>1316</v>
      </c>
      <c r="G923" s="73"/>
      <c r="H923" s="333"/>
      <c r="I923" s="75"/>
      <c r="L923" s="2686" t="s">
        <v>9850</v>
      </c>
    </row>
    <row r="924" spans="2:23" ht="12.75" customHeight="1" x14ac:dyDescent="0.2">
      <c r="B924" s="70"/>
      <c r="C924" s="73"/>
      <c r="D924" s="544" t="s">
        <v>1317</v>
      </c>
      <c r="E924" s="383">
        <v>30</v>
      </c>
      <c r="F924" s="23" t="s">
        <v>1318</v>
      </c>
      <c r="G924" s="73"/>
      <c r="H924" s="333"/>
      <c r="I924" s="75"/>
      <c r="L924" s="2686" t="s">
        <v>9851</v>
      </c>
    </row>
    <row r="925" spans="2:23" ht="12.75" customHeight="1" thickBot="1" x14ac:dyDescent="0.25">
      <c r="B925" s="221"/>
      <c r="C925" s="222"/>
      <c r="D925" s="547" t="s">
        <v>1319</v>
      </c>
      <c r="E925" s="473">
        <v>10</v>
      </c>
      <c r="F925" s="46" t="s">
        <v>1320</v>
      </c>
      <c r="G925" s="222"/>
      <c r="H925" s="1988"/>
      <c r="I925" s="223"/>
      <c r="L925" s="2687" t="s">
        <v>9852</v>
      </c>
    </row>
    <row r="926" spans="2:23" ht="12.75" customHeight="1" thickBot="1" x14ac:dyDescent="0.25"/>
    <row r="927" spans="2:23" ht="12.75" customHeight="1" thickBot="1" x14ac:dyDescent="0.25">
      <c r="B927" s="4838" t="s">
        <v>1321</v>
      </c>
      <c r="C927" s="4838"/>
      <c r="D927" s="4838"/>
      <c r="E927" s="4838"/>
      <c r="F927" s="4838"/>
      <c r="G927" s="4838"/>
      <c r="H927" s="4838"/>
      <c r="I927" s="4838"/>
      <c r="J927" s="4838"/>
      <c r="K927" s="4838"/>
      <c r="L927" s="4838"/>
      <c r="M927" s="4838"/>
      <c r="N927" s="4838"/>
      <c r="O927" s="4838"/>
      <c r="P927" s="4838"/>
      <c r="Q927" s="4838"/>
      <c r="R927" s="4838"/>
      <c r="S927" s="4838"/>
      <c r="T927" s="4838"/>
      <c r="U927" s="4838"/>
      <c r="V927" s="4838"/>
      <c r="W927" s="4838"/>
    </row>
    <row r="928" spans="2:23" ht="12.75" customHeight="1" x14ac:dyDescent="0.2">
      <c r="B928" s="4838"/>
      <c r="C928" s="4838"/>
      <c r="D928" s="4838"/>
      <c r="E928" s="4838"/>
      <c r="F928" s="4838"/>
      <c r="G928" s="4838"/>
      <c r="H928" s="4838"/>
      <c r="I928" s="4838"/>
      <c r="J928" s="4838"/>
      <c r="K928" s="4838"/>
      <c r="L928" s="4838"/>
      <c r="M928" s="4838"/>
      <c r="N928" s="4838"/>
      <c r="O928" s="4838"/>
      <c r="P928" s="4838"/>
      <c r="Q928" s="4838"/>
      <c r="R928" s="4838"/>
      <c r="S928" s="4838"/>
      <c r="T928" s="4838"/>
      <c r="U928" s="4838"/>
      <c r="V928" s="4838"/>
      <c r="W928" s="4838"/>
    </row>
    <row r="929" spans="1:24" ht="12.75" customHeight="1" x14ac:dyDescent="0.2">
      <c r="B929" s="4856">
        <v>1</v>
      </c>
      <c r="C929" s="4856"/>
      <c r="D929" s="2859">
        <v>2</v>
      </c>
      <c r="E929" s="2859">
        <v>3</v>
      </c>
      <c r="F929" s="2859">
        <v>4</v>
      </c>
      <c r="G929" s="2859">
        <v>5</v>
      </c>
      <c r="H929" s="2859">
        <v>6</v>
      </c>
      <c r="I929" s="2859">
        <v>7</v>
      </c>
      <c r="J929" s="566">
        <v>8</v>
      </c>
      <c r="K929" s="4857">
        <v>9</v>
      </c>
      <c r="L929" s="4857"/>
      <c r="M929" s="4857"/>
      <c r="N929" s="4857"/>
      <c r="O929" s="4857"/>
      <c r="P929" s="567">
        <v>14</v>
      </c>
      <c r="Q929" s="567">
        <v>15</v>
      </c>
      <c r="R929" s="567">
        <v>16</v>
      </c>
      <c r="S929" s="567">
        <v>17</v>
      </c>
      <c r="T929" s="567">
        <v>18</v>
      </c>
      <c r="U929" s="567">
        <v>19</v>
      </c>
      <c r="V929" s="567">
        <v>20</v>
      </c>
      <c r="W929" s="568">
        <v>21</v>
      </c>
    </row>
    <row r="930" spans="1:24" ht="12.75" customHeight="1" thickBot="1" x14ac:dyDescent="0.25">
      <c r="A930" s="2528">
        <v>1</v>
      </c>
      <c r="B930" s="4835" t="s">
        <v>1322</v>
      </c>
      <c r="C930" s="4835"/>
      <c r="D930" s="449" t="s">
        <v>1323</v>
      </c>
      <c r="E930" s="449" t="s">
        <v>1324</v>
      </c>
      <c r="F930" s="449" t="s">
        <v>2356</v>
      </c>
      <c r="G930" s="2858" t="s">
        <v>1325</v>
      </c>
      <c r="H930" s="2858" t="s">
        <v>9904</v>
      </c>
      <c r="I930" s="2858" t="s">
        <v>9905</v>
      </c>
      <c r="J930" s="449" t="s">
        <v>1326</v>
      </c>
      <c r="K930" s="3778" t="s">
        <v>2332</v>
      </c>
      <c r="L930" s="3778"/>
      <c r="M930" s="3778"/>
      <c r="N930" s="3778"/>
      <c r="O930" s="3778"/>
      <c r="P930" s="449" t="s">
        <v>1327</v>
      </c>
      <c r="Q930" s="449" t="s">
        <v>3283</v>
      </c>
      <c r="R930" s="449" t="s">
        <v>1328</v>
      </c>
      <c r="S930" s="449" t="s">
        <v>1328</v>
      </c>
      <c r="T930" s="449" t="s">
        <v>1329</v>
      </c>
      <c r="U930" s="449" t="s">
        <v>1330</v>
      </c>
      <c r="V930" s="449" t="s">
        <v>1331</v>
      </c>
      <c r="W930" s="488" t="s">
        <v>2345</v>
      </c>
    </row>
    <row r="931" spans="1:24" ht="12.75" customHeight="1" x14ac:dyDescent="0.2">
      <c r="A931" s="2528">
        <v>2</v>
      </c>
      <c r="B931" s="285"/>
      <c r="C931" s="569" t="s">
        <v>1332</v>
      </c>
      <c r="D931" s="492"/>
      <c r="E931" s="492"/>
      <c r="F931" s="492"/>
      <c r="G931" s="492"/>
      <c r="H931" s="492"/>
      <c r="I931" s="492"/>
      <c r="J931" s="492"/>
      <c r="K931" s="570" t="s">
        <v>2310</v>
      </c>
      <c r="L931" s="492"/>
      <c r="M931" s="492"/>
      <c r="N931" s="570"/>
      <c r="O931" s="492"/>
      <c r="P931" s="492" t="s">
        <v>2310</v>
      </c>
      <c r="Q931" s="492"/>
      <c r="R931" s="492"/>
      <c r="S931" s="492"/>
      <c r="T931" s="492"/>
      <c r="U931" s="492"/>
      <c r="V931" s="492">
        <f t="shared" ref="V931:V1020" si="72">Q931*D931</f>
        <v>0</v>
      </c>
      <c r="W931" s="513">
        <v>0</v>
      </c>
    </row>
    <row r="932" spans="1:24" ht="12.75" customHeight="1" x14ac:dyDescent="0.2">
      <c r="A932" s="2528">
        <v>3</v>
      </c>
      <c r="B932" s="70"/>
      <c r="C932" s="525" t="s">
        <v>1333</v>
      </c>
      <c r="D932" s="2860">
        <f>10+Bono_Fue</f>
        <v>20</v>
      </c>
      <c r="E932" s="2860"/>
      <c r="F932" s="2860">
        <v>0</v>
      </c>
      <c r="G932" s="2860"/>
      <c r="H932" s="2860"/>
      <c r="I932" s="2860"/>
      <c r="J932" s="2860"/>
      <c r="K932" s="181" t="s">
        <v>1334</v>
      </c>
      <c r="L932" s="199"/>
      <c r="M932" s="199"/>
      <c r="N932" s="555"/>
      <c r="O932" s="199"/>
      <c r="P932" s="2836" t="str">
        <f>IF(T.Manos_final&lt;20,"NO","-")</f>
        <v>NO</v>
      </c>
      <c r="Q932" s="240">
        <f>IF(COUNTIF(PDs!$AD$56:$AD$74,Tablas!C932)&gt;0,1,0)</f>
        <v>0</v>
      </c>
      <c r="R932" s="240"/>
      <c r="S932" s="240"/>
      <c r="T932" s="240"/>
      <c r="U932" s="240"/>
      <c r="V932" s="240">
        <f t="shared" si="72"/>
        <v>0</v>
      </c>
      <c r="W932" s="571">
        <f>20*IF(AND(Arma_Desarrollada="Desarmado",C932=PDs!$AD$56),0.5,1)</f>
        <v>20</v>
      </c>
      <c r="X932" s="447" t="s">
        <v>9535</v>
      </c>
    </row>
    <row r="933" spans="1:24" ht="12.75" customHeight="1" x14ac:dyDescent="0.2">
      <c r="A933" s="2528">
        <v>4</v>
      </c>
      <c r="B933" s="70"/>
      <c r="C933" s="525" t="s">
        <v>1335</v>
      </c>
      <c r="D933" s="2860">
        <f>10+Bono_Fue</f>
        <v>20</v>
      </c>
      <c r="E933" s="2860"/>
      <c r="F933" s="2860">
        <v>10</v>
      </c>
      <c r="G933" s="2860"/>
      <c r="H933" s="2860">
        <v>10</v>
      </c>
      <c r="I933" s="2860">
        <v>10</v>
      </c>
      <c r="J933" s="2860"/>
      <c r="K933" s="181" t="s">
        <v>1336</v>
      </c>
      <c r="L933" s="90"/>
      <c r="M933" s="90"/>
      <c r="N933" s="2287"/>
      <c r="O933" s="90"/>
      <c r="P933" s="2836" t="str">
        <f>IF(OR(T.Manos_final&lt;40,HA_SinArmas_final&lt;100,HD_SinArmas_final-10&lt;120,Q932=0),"NO","-")</f>
        <v>NO</v>
      </c>
      <c r="Q933" s="240">
        <f>IF(COUNTIF(PDs!$AD$56:$AD$74,Tablas!C933)&gt;0,1,0)</f>
        <v>0</v>
      </c>
      <c r="R933" s="240"/>
      <c r="S933" s="240"/>
      <c r="T933" s="240"/>
      <c r="U933" s="240"/>
      <c r="V933" s="240">
        <f t="shared" si="72"/>
        <v>0</v>
      </c>
      <c r="W933" s="571">
        <f>30*IF(Arma_Desarrollada="Desarmado",IF(C932=PDs!$AD$56,0.5,1),1)</f>
        <v>30</v>
      </c>
      <c r="X933" s="447" t="s">
        <v>9535</v>
      </c>
    </row>
    <row r="934" spans="1:24" ht="12.75" customHeight="1" x14ac:dyDescent="0.2">
      <c r="A934" s="2528">
        <v>5</v>
      </c>
      <c r="B934" s="70"/>
      <c r="C934" s="525" t="s">
        <v>1337</v>
      </c>
      <c r="D934" s="2860">
        <f>10+Bono_Fue</f>
        <v>20</v>
      </c>
      <c r="E934" s="2860"/>
      <c r="F934" s="2860">
        <v>10</v>
      </c>
      <c r="G934" s="2860"/>
      <c r="H934" s="2860">
        <v>10</v>
      </c>
      <c r="I934" s="2860">
        <v>10</v>
      </c>
      <c r="J934" s="2860"/>
      <c r="K934" s="181" t="s">
        <v>1338</v>
      </c>
      <c r="L934" s="90"/>
      <c r="M934" s="90"/>
      <c r="N934" s="2287"/>
      <c r="O934" s="90"/>
      <c r="P934" s="2836" t="str">
        <f>IF(OR(T.Manos_final&lt;80,HD_SinArmas_final-10&lt;200,Q933=0),"NO","-")</f>
        <v>NO</v>
      </c>
      <c r="Q934" s="240">
        <f>IF(COUNTIF(PDs!$AD$56:$AD$74,Tablas!C934)&gt;0,1,0)</f>
        <v>0</v>
      </c>
      <c r="R934" s="240"/>
      <c r="S934" s="240"/>
      <c r="T934" s="240"/>
      <c r="U934" s="240"/>
      <c r="V934" s="240">
        <f t="shared" si="72"/>
        <v>0</v>
      </c>
      <c r="W934" s="571">
        <f>50*IF(Arma_Desarrollada="Desarmado",IF(C932=PDs!$AD$56,0.5,1),1)</f>
        <v>50</v>
      </c>
    </row>
    <row r="935" spans="1:24" ht="12.75" customHeight="1" x14ac:dyDescent="0.2">
      <c r="A935" s="2528">
        <v>6</v>
      </c>
      <c r="B935" s="70"/>
      <c r="C935" s="525" t="s">
        <v>1339</v>
      </c>
      <c r="D935" s="2860">
        <f>10+2*Bono_Fue</f>
        <v>30</v>
      </c>
      <c r="E935" s="2860"/>
      <c r="F935" s="2860">
        <v>0</v>
      </c>
      <c r="G935" s="2860"/>
      <c r="H935" s="2860"/>
      <c r="I935" s="2860"/>
      <c r="J935" s="2860">
        <v>5</v>
      </c>
      <c r="K935" s="181" t="s">
        <v>2310</v>
      </c>
      <c r="L935" s="90"/>
      <c r="M935" s="90"/>
      <c r="N935" s="2287"/>
      <c r="O935" s="90"/>
      <c r="P935" s="2836" t="str">
        <f>IF(OR(P.Fuerza_final&lt;30),"NO","-")</f>
        <v>NO</v>
      </c>
      <c r="Q935" s="240">
        <f>IF(COUNTIF(PDs!$AD$56:$AD$74,Tablas!C935)&gt;0,1,0)</f>
        <v>0</v>
      </c>
      <c r="R935" s="240"/>
      <c r="S935" s="240"/>
      <c r="T935" s="240"/>
      <c r="U935" s="240"/>
      <c r="V935" s="240">
        <f t="shared" si="72"/>
        <v>0</v>
      </c>
      <c r="W935" s="571">
        <f>20*IF(AND(Arma_Desarrollada="Desarmado",C935=PDs!$AD$56),0.5,1)</f>
        <v>20</v>
      </c>
      <c r="X935" s="447" t="s">
        <v>9535</v>
      </c>
    </row>
    <row r="936" spans="1:24" ht="12.75" customHeight="1" x14ac:dyDescent="0.2">
      <c r="A936" s="2528">
        <v>7</v>
      </c>
      <c r="B936" s="70"/>
      <c r="C936" s="525" t="s">
        <v>1340</v>
      </c>
      <c r="D936" s="2860">
        <f>20+2*Bono_Fue</f>
        <v>40</v>
      </c>
      <c r="E936" s="2860"/>
      <c r="F936" s="2860">
        <v>10</v>
      </c>
      <c r="G936" s="2860"/>
      <c r="H936" s="2860"/>
      <c r="I936" s="2860"/>
      <c r="J936" s="2860">
        <v>5</v>
      </c>
      <c r="K936" s="181" t="s">
        <v>1341</v>
      </c>
      <c r="L936" s="90"/>
      <c r="M936" s="90"/>
      <c r="N936" s="2287"/>
      <c r="O936" s="90"/>
      <c r="P936" s="2836" t="str">
        <f>IF(OR(P.Fuerza_final&lt;60,HA_SinArmas_final&lt;120,HD_final&lt;120,Q935=0),"NO","-")</f>
        <v>NO</v>
      </c>
      <c r="Q936" s="240">
        <f>IF(COUNTIF(PDs!$AD$56:$AD$74,Tablas!C936)&gt;0,1,0)</f>
        <v>0</v>
      </c>
      <c r="R936" s="240"/>
      <c r="S936" s="240"/>
      <c r="T936" s="240"/>
      <c r="U936" s="240"/>
      <c r="V936" s="240">
        <f t="shared" si="72"/>
        <v>0</v>
      </c>
      <c r="W936" s="571">
        <f>30*IF(Arma_Desarrollada="Desarmado",IF(C935=PDs!$AD$56,0.5,1),1)</f>
        <v>30</v>
      </c>
    </row>
    <row r="937" spans="1:24" ht="12.75" customHeight="1" x14ac:dyDescent="0.2">
      <c r="A937" s="2528">
        <v>8</v>
      </c>
      <c r="B937" s="70"/>
      <c r="C937" s="525" t="s">
        <v>1342</v>
      </c>
      <c r="D937" s="2860">
        <f>30+2*Bono_Fue</f>
        <v>50</v>
      </c>
      <c r="E937" s="2860"/>
      <c r="F937" s="2860">
        <v>10</v>
      </c>
      <c r="G937" s="2860">
        <v>10</v>
      </c>
      <c r="H937" s="2860"/>
      <c r="I937" s="2860"/>
      <c r="J937" s="2860">
        <v>10</v>
      </c>
      <c r="K937" s="181" t="s">
        <v>2310</v>
      </c>
      <c r="L937" s="90"/>
      <c r="M937" s="90"/>
      <c r="N937" s="2287"/>
      <c r="O937" s="90"/>
      <c r="P937" s="2836" t="str">
        <f>IF(OR(P.Fuerza_final&lt;120,HA_SinArmas_final-10&lt;200,HD_SinArmas_final&lt;200,Q936=0),"NO","-")</f>
        <v>NO</v>
      </c>
      <c r="Q937" s="240">
        <f>IF(COUNTIF(PDs!$AD$56:$AD$74,Tablas!C937)&gt;0,1,0)</f>
        <v>0</v>
      </c>
      <c r="R937" s="240"/>
      <c r="S937" s="240"/>
      <c r="T937" s="240"/>
      <c r="U937" s="240"/>
      <c r="V937" s="240">
        <f t="shared" si="72"/>
        <v>0</v>
      </c>
      <c r="W937" s="571">
        <f>50*IF(Arma_Desarrollada="Desarmado",IF(C935=PDs!$AD$56,0.5,1),1)</f>
        <v>50</v>
      </c>
    </row>
    <row r="938" spans="1:24" ht="12.75" customHeight="1" x14ac:dyDescent="0.2">
      <c r="A938" s="2528">
        <v>9</v>
      </c>
      <c r="B938" s="70"/>
      <c r="C938" s="525" t="s">
        <v>1343</v>
      </c>
      <c r="D938" s="2860">
        <f>20+Bono_Fue</f>
        <v>30</v>
      </c>
      <c r="E938" s="2860"/>
      <c r="F938" s="2860">
        <v>0</v>
      </c>
      <c r="G938" s="2860"/>
      <c r="H938" s="2860"/>
      <c r="I938" s="2860"/>
      <c r="J938" s="2860"/>
      <c r="K938" s="181" t="s">
        <v>1344</v>
      </c>
      <c r="L938" s="90"/>
      <c r="M938" s="90"/>
      <c r="N938" s="2287"/>
      <c r="O938" s="90"/>
      <c r="P938" s="2836" t="str">
        <f>IF(OR(Baile_final&lt;20,Baile_final="-"),"NO","-")</f>
        <v>NO</v>
      </c>
      <c r="Q938" s="240">
        <f>IF(COUNTIF(PDs!$AD$56:$AD$74,Tablas!C938)&gt;0,1,0)</f>
        <v>0</v>
      </c>
      <c r="R938" s="240"/>
      <c r="S938" s="240"/>
      <c r="T938" s="240"/>
      <c r="U938" s="240"/>
      <c r="V938" s="240">
        <f t="shared" si="72"/>
        <v>0</v>
      </c>
      <c r="W938" s="571">
        <f>20*IF(AND(Arma_Desarrollada="Desarmado",C938=PDs!$AD$56),0.5,1)</f>
        <v>20</v>
      </c>
      <c r="X938" s="447" t="s">
        <v>9535</v>
      </c>
    </row>
    <row r="939" spans="1:24" ht="12.75" customHeight="1" x14ac:dyDescent="0.2">
      <c r="A939" s="2528">
        <v>10</v>
      </c>
      <c r="B939" s="70"/>
      <c r="C939" s="525" t="s">
        <v>1345</v>
      </c>
      <c r="D939" s="2860">
        <f>20+Bono_Fue</f>
        <v>30</v>
      </c>
      <c r="E939" s="2860"/>
      <c r="F939" s="2860">
        <v>10</v>
      </c>
      <c r="G939" s="2860"/>
      <c r="H939" s="2860">
        <v>10</v>
      </c>
      <c r="I939" s="2860"/>
      <c r="J939" s="2860"/>
      <c r="K939" s="181" t="s">
        <v>1346</v>
      </c>
      <c r="L939" s="199"/>
      <c r="M939" s="199"/>
      <c r="N939" s="555"/>
      <c r="O939" s="199"/>
      <c r="P939" s="240" t="str">
        <f>IF(OR(Baile_final&lt;40,Baile_final="-",$Q$938=0,HD_SinArmas_final-HLOOKUP(Par_Esq,$H$930:$I$1020,A939,FALSE)&lt;120),"NO","-")</f>
        <v>NO</v>
      </c>
      <c r="Q939" s="240">
        <f>IF(COUNTIF(PDs!$AD$56:$AD$74,Tablas!C939)&gt;0,1,0)</f>
        <v>0</v>
      </c>
      <c r="R939" s="240"/>
      <c r="S939" s="240"/>
      <c r="T939" s="240"/>
      <c r="U939" s="240"/>
      <c r="V939" s="240">
        <f t="shared" si="72"/>
        <v>0</v>
      </c>
      <c r="W939" s="571">
        <f>30*IF(Arma_Desarrollada="Desarmado",IF(C938=PDs!$AD$56,0.5,1),1)</f>
        <v>30</v>
      </c>
    </row>
    <row r="940" spans="1:24" ht="12.75" customHeight="1" x14ac:dyDescent="0.2">
      <c r="A940" s="2528">
        <v>11</v>
      </c>
      <c r="B940" s="70"/>
      <c r="C940" s="525" t="s">
        <v>1347</v>
      </c>
      <c r="D940" s="2860">
        <f>20+Bono_Fue</f>
        <v>30</v>
      </c>
      <c r="E940" s="2860"/>
      <c r="F940" s="2860">
        <v>10</v>
      </c>
      <c r="G940" s="2860"/>
      <c r="H940" s="2860">
        <v>10</v>
      </c>
      <c r="I940" s="2860"/>
      <c r="J940" s="2860"/>
      <c r="K940" s="181" t="s">
        <v>1348</v>
      </c>
      <c r="L940" s="90"/>
      <c r="M940" s="90"/>
      <c r="N940" s="2287"/>
      <c r="O940" s="90"/>
      <c r="P940" s="240" t="str">
        <f>IF(OR(Baile_final&lt;120,Baile_final="-",$Q$939=0,HD_SinArmas_final-HLOOKUP(Par_Esq,$H$930:$I$1020,A940,FALSE)&lt;200),"NO","-")</f>
        <v>NO</v>
      </c>
      <c r="Q940" s="240">
        <f>IF(COUNTIF(PDs!$AD$56:$AD$74,Tablas!C940)&gt;0,1,0)</f>
        <v>0</v>
      </c>
      <c r="R940" s="240"/>
      <c r="S940" s="240"/>
      <c r="T940" s="240"/>
      <c r="U940" s="240"/>
      <c r="V940" s="240">
        <f t="shared" si="72"/>
        <v>0</v>
      </c>
      <c r="W940" s="571">
        <f>50*IF(Arma_Desarrollada="Desarmado",IF(C938=PDs!$AD$56,0.5,1),1)</f>
        <v>50</v>
      </c>
    </row>
    <row r="941" spans="1:24" ht="12.75" customHeight="1" x14ac:dyDescent="0.2">
      <c r="A941" s="2528">
        <v>12</v>
      </c>
      <c r="B941" s="70"/>
      <c r="C941" s="525" t="s">
        <v>1349</v>
      </c>
      <c r="D941" s="2860">
        <f>10+Bono_Fue</f>
        <v>20</v>
      </c>
      <c r="E941" s="2860"/>
      <c r="F941" s="2860">
        <v>0</v>
      </c>
      <c r="G941" s="2860"/>
      <c r="H941" s="2860"/>
      <c r="I941" s="2860"/>
      <c r="J941" s="2860"/>
      <c r="K941" s="194" t="s">
        <v>1350</v>
      </c>
      <c r="L941" s="555"/>
      <c r="M941" s="555"/>
      <c r="N941" s="555"/>
      <c r="O941" s="555"/>
      <c r="P941" s="240" t="str">
        <f>IF(P.Fuerza_final&lt;20,"NO","-")</f>
        <v>NO</v>
      </c>
      <c r="Q941" s="240">
        <f>IF(COUNTIF(PDs!$AD$56:$AD$74,Tablas!C941)&gt;0,1,0)</f>
        <v>0</v>
      </c>
      <c r="R941" s="240"/>
      <c r="S941" s="240"/>
      <c r="T941" s="240"/>
      <c r="U941" s="240"/>
      <c r="V941" s="240">
        <f t="shared" si="72"/>
        <v>0</v>
      </c>
      <c r="W941" s="571">
        <f>20*IF(AND(Arma_Desarrollada="Desarmado",C941=PDs!$AD$56),0.5,1)</f>
        <v>20</v>
      </c>
    </row>
    <row r="942" spans="1:24" ht="12.75" customHeight="1" x14ac:dyDescent="0.2">
      <c r="A942" s="2528">
        <v>13</v>
      </c>
      <c r="B942" s="70"/>
      <c r="C942" s="525" t="s">
        <v>1351</v>
      </c>
      <c r="D942" s="2860">
        <f>20+Bono_Fue</f>
        <v>30</v>
      </c>
      <c r="E942" s="2860"/>
      <c r="F942" s="2860">
        <v>10</v>
      </c>
      <c r="G942" s="2860"/>
      <c r="H942" s="2860"/>
      <c r="I942" s="2860"/>
      <c r="J942" s="2860"/>
      <c r="K942" s="181" t="s">
        <v>1352</v>
      </c>
      <c r="L942" s="199"/>
      <c r="M942" s="199"/>
      <c r="N942" s="555"/>
      <c r="O942" s="199"/>
      <c r="P942" s="240" t="str">
        <f>IF(OR(P.Fuerza_final&lt;40,HA_SinArmas_final&lt;130,$Q$941=0),"NO","-")</f>
        <v>NO</v>
      </c>
      <c r="Q942" s="240">
        <f>IF(COUNTIF(PDs!$AD$56:$AD$74,Tablas!C942)&gt;0,1,0)</f>
        <v>0</v>
      </c>
      <c r="R942" s="240"/>
      <c r="S942" s="240"/>
      <c r="T942" s="240"/>
      <c r="U942" s="240"/>
      <c r="V942" s="240">
        <f t="shared" si="72"/>
        <v>0</v>
      </c>
      <c r="W942" s="571">
        <f>30*IF(Arma_Desarrollada="Desarmado",IF(C941=PDs!$AD$56,0.5,1),1)</f>
        <v>30</v>
      </c>
    </row>
    <row r="943" spans="1:24" ht="12.75" customHeight="1" x14ac:dyDescent="0.2">
      <c r="A943" s="2528">
        <v>14</v>
      </c>
      <c r="B943" s="70"/>
      <c r="C943" s="525" t="s">
        <v>1353</v>
      </c>
      <c r="D943" s="2860">
        <f>20+Bono_Fue</f>
        <v>30</v>
      </c>
      <c r="E943" s="2860"/>
      <c r="F943" s="2860">
        <v>10</v>
      </c>
      <c r="G943" s="2860"/>
      <c r="H943" s="2860"/>
      <c r="I943" s="2860"/>
      <c r="J943" s="2860"/>
      <c r="K943" s="194" t="s">
        <v>1354</v>
      </c>
      <c r="L943" s="555"/>
      <c r="M943" s="555"/>
      <c r="N943" s="555"/>
      <c r="O943" s="555"/>
      <c r="P943" s="240" t="str">
        <f>IF(OR(P.Fuerza_final&lt;120,HA_SinArmas_final&lt;200,$Q$942=0),"NO","-")</f>
        <v>NO</v>
      </c>
      <c r="Q943" s="240">
        <f>IF(COUNTIF(PDs!$AD$56:$AD$74,Tablas!C943)&gt;0,1,0)</f>
        <v>0</v>
      </c>
      <c r="R943" s="240"/>
      <c r="S943" s="240"/>
      <c r="T943" s="240"/>
      <c r="U943" s="240"/>
      <c r="V943" s="240">
        <f t="shared" si="72"/>
        <v>0</v>
      </c>
      <c r="W943" s="571">
        <f>50*IF(Arma_Desarrollada="Desarmado",IF(C941=PDs!$AD$56,0.5,1),1)</f>
        <v>50</v>
      </c>
    </row>
    <row r="944" spans="1:24" ht="12.75" customHeight="1" x14ac:dyDescent="0.2">
      <c r="A944" s="2528">
        <v>15</v>
      </c>
      <c r="B944" s="70"/>
      <c r="C944" s="525" t="s">
        <v>1355</v>
      </c>
      <c r="D944" s="2860">
        <f>10+Bono_Fue</f>
        <v>20</v>
      </c>
      <c r="E944" s="2860"/>
      <c r="F944" s="2860">
        <v>0</v>
      </c>
      <c r="G944" s="2860"/>
      <c r="H944" s="2860"/>
      <c r="I944" s="2860"/>
      <c r="J944" s="2860"/>
      <c r="K944" s="194" t="s">
        <v>1356</v>
      </c>
      <c r="L944" s="555"/>
      <c r="M944" s="555"/>
      <c r="N944" s="555"/>
      <c r="O944" s="555"/>
      <c r="P944" s="240" t="str">
        <f>IF(OR(T.Manos_final&lt;20,Atletismo_final&lt;40),"NO","-")</f>
        <v>NO</v>
      </c>
      <c r="Q944" s="240">
        <f>IF(COUNTIF(PDs!$AD$56:$AD$74,Tablas!C944)&gt;0,1,0)</f>
        <v>0</v>
      </c>
      <c r="R944" s="240"/>
      <c r="S944" s="240"/>
      <c r="T944" s="240"/>
      <c r="U944" s="240"/>
      <c r="V944" s="240">
        <f t="shared" si="72"/>
        <v>0</v>
      </c>
      <c r="W944" s="571">
        <f>20*IF(AND(Arma_Desarrollada="Desarmado",C944=PDs!$AD$56),0.5,1)</f>
        <v>20</v>
      </c>
    </row>
    <row r="945" spans="1:24" ht="12.75" customHeight="1" x14ac:dyDescent="0.2">
      <c r="A945" s="2528">
        <v>16</v>
      </c>
      <c r="B945" s="70"/>
      <c r="C945" s="525" t="s">
        <v>1357</v>
      </c>
      <c r="D945" s="2860">
        <f>20+Bono_Fue</f>
        <v>30</v>
      </c>
      <c r="E945" s="2860"/>
      <c r="F945" s="2860">
        <v>10</v>
      </c>
      <c r="G945" s="2860"/>
      <c r="H945" s="2860">
        <v>10</v>
      </c>
      <c r="I945" s="2860">
        <v>10</v>
      </c>
      <c r="J945" s="2860"/>
      <c r="K945" s="194" t="s">
        <v>1358</v>
      </c>
      <c r="L945" s="555"/>
      <c r="M945" s="555"/>
      <c r="N945" s="555"/>
      <c r="O945" s="555"/>
      <c r="P945" s="240" t="str">
        <f>IF(OR(T.Manos_final&lt;40,Atletismo_final&lt;60,HD_SinArmas_final-10&lt;120,$Q$944=0),"NO","-")</f>
        <v>NO</v>
      </c>
      <c r="Q945" s="240">
        <f>IF(COUNTIF(PDs!$AD$56:$AD$74,Tablas!C945)&gt;0,1,0)</f>
        <v>0</v>
      </c>
      <c r="R945" s="240"/>
      <c r="S945" s="240"/>
      <c r="T945" s="240"/>
      <c r="U945" s="240"/>
      <c r="V945" s="240">
        <f t="shared" si="72"/>
        <v>0</v>
      </c>
      <c r="W945" s="571">
        <f>30*IF(Arma_Desarrollada="Desarmado",IF(C944=PDs!$AD$56,0.5,1),1)</f>
        <v>30</v>
      </c>
      <c r="X945" s="447" t="s">
        <v>9535</v>
      </c>
    </row>
    <row r="946" spans="1:24" ht="12.75" customHeight="1" x14ac:dyDescent="0.2">
      <c r="A946" s="2528">
        <v>17</v>
      </c>
      <c r="B946" s="70"/>
      <c r="C946" s="525" t="s">
        <v>1359</v>
      </c>
      <c r="D946" s="2860">
        <f>30+Bono_Fue</f>
        <v>40</v>
      </c>
      <c r="E946" s="2860"/>
      <c r="F946" s="2860">
        <v>10</v>
      </c>
      <c r="G946" s="2860"/>
      <c r="H946" s="2860">
        <v>10</v>
      </c>
      <c r="I946" s="2860">
        <v>10</v>
      </c>
      <c r="J946" s="2860"/>
      <c r="K946" s="194" t="s">
        <v>1360</v>
      </c>
      <c r="L946" s="555"/>
      <c r="M946" s="555"/>
      <c r="N946" s="555"/>
      <c r="O946" s="555"/>
      <c r="P946" s="240" t="str">
        <f>IF(OR(T.Manos_final&lt;100,Atletismo_final&lt;120,$Q$945=0),"NO","-")</f>
        <v>NO</v>
      </c>
      <c r="Q946" s="240">
        <f>IF(COUNTIF(PDs!$AD$56:$AD$74,Tablas!C946)&gt;0,1,0)</f>
        <v>0</v>
      </c>
      <c r="R946" s="240"/>
      <c r="S946" s="240"/>
      <c r="T946" s="240"/>
      <c r="U946" s="240"/>
      <c r="V946" s="240">
        <f t="shared" si="72"/>
        <v>0</v>
      </c>
      <c r="W946" s="571">
        <f>50*IF(Arma_Desarrollada="Desarmado",IF(C944=PDs!$AD$56,0.5,1),1)</f>
        <v>50</v>
      </c>
    </row>
    <row r="947" spans="1:24" ht="12.75" customHeight="1" x14ac:dyDescent="0.2">
      <c r="A947" s="2528">
        <v>18</v>
      </c>
      <c r="B947" s="70"/>
      <c r="C947" s="525" t="s">
        <v>1361</v>
      </c>
      <c r="D947" s="2860">
        <f>10+Bono_Fue</f>
        <v>20</v>
      </c>
      <c r="E947" s="2860"/>
      <c r="F947" s="2860">
        <v>0</v>
      </c>
      <c r="G947" s="2860"/>
      <c r="H947" s="2860"/>
      <c r="I947" s="2860"/>
      <c r="J947" s="2860"/>
      <c r="K947" s="194" t="s">
        <v>1362</v>
      </c>
      <c r="L947" s="555"/>
      <c r="M947" s="555"/>
      <c r="N947" s="555"/>
      <c r="O947" s="555"/>
      <c r="P947" s="240" t="s">
        <v>2310</v>
      </c>
      <c r="Q947" s="240">
        <f>IF(COUNTIF(PDs!$AD$56:$AD$74,Tablas!C947)&gt;0,1,0)</f>
        <v>0</v>
      </c>
      <c r="R947" s="240"/>
      <c r="S947" s="240"/>
      <c r="T947" s="240"/>
      <c r="U947" s="240"/>
      <c r="V947" s="240">
        <f t="shared" si="72"/>
        <v>0</v>
      </c>
      <c r="W947" s="571">
        <f>20*IF(AND(Arma_Desarrollada="Desarmado",C947=PDs!$AD$56),0.5,1)</f>
        <v>20</v>
      </c>
      <c r="X947" s="447" t="s">
        <v>9535</v>
      </c>
    </row>
    <row r="948" spans="1:24" ht="12.75" customHeight="1" x14ac:dyDescent="0.2">
      <c r="A948" s="2528">
        <v>19</v>
      </c>
      <c r="B948" s="70"/>
      <c r="C948" s="525" t="s">
        <v>1363</v>
      </c>
      <c r="D948" s="2860">
        <f>20+Bono_Fue</f>
        <v>30</v>
      </c>
      <c r="E948" s="2860"/>
      <c r="F948" s="2860">
        <v>10</v>
      </c>
      <c r="G948" s="2860"/>
      <c r="H948" s="2860"/>
      <c r="I948" s="2860"/>
      <c r="J948" s="2860"/>
      <c r="K948" s="181" t="s">
        <v>1364</v>
      </c>
      <c r="L948" s="199"/>
      <c r="M948" s="199"/>
      <c r="N948" s="555"/>
      <c r="O948" s="199"/>
      <c r="P948" s="62" t="str">
        <f>IF(OR(HA_SinArmas_final&lt;120,$Q$947=0),"NO","-")</f>
        <v>NO</v>
      </c>
      <c r="Q948" s="240">
        <f>IF(COUNTIF(PDs!$AD$56:$AD$74,Tablas!C948)&gt;0,1,0)</f>
        <v>0</v>
      </c>
      <c r="R948" s="240"/>
      <c r="S948" s="240"/>
      <c r="T948" s="240"/>
      <c r="U948" s="240"/>
      <c r="V948" s="240">
        <f t="shared" si="72"/>
        <v>0</v>
      </c>
      <c r="W948" s="571">
        <f>30*IF(Arma_Desarrollada="Desarmado",IF(C947=PDs!$AD$56,0.5,1),1)</f>
        <v>30</v>
      </c>
      <c r="X948" s="447" t="s">
        <v>9535</v>
      </c>
    </row>
    <row r="949" spans="1:24" ht="12.75" customHeight="1" x14ac:dyDescent="0.2">
      <c r="A949" s="2528">
        <v>20</v>
      </c>
      <c r="B949" s="70"/>
      <c r="C949" s="525" t="s">
        <v>1365</v>
      </c>
      <c r="D949" s="2860">
        <f>20+Bono_Fue</f>
        <v>30</v>
      </c>
      <c r="E949" s="2860"/>
      <c r="F949" s="2860">
        <v>10</v>
      </c>
      <c r="G949" s="2860">
        <v>10</v>
      </c>
      <c r="H949" s="2860"/>
      <c r="I949" s="2860"/>
      <c r="J949" s="2860"/>
      <c r="K949" s="194" t="s">
        <v>1366</v>
      </c>
      <c r="L949" s="555"/>
      <c r="M949" s="555"/>
      <c r="N949" s="555"/>
      <c r="O949" s="555"/>
      <c r="P949" s="62" t="str">
        <f>IF(OR(HA_SinArmas_final-10&lt;200,$Q$948=0),"NO","-")</f>
        <v>NO</v>
      </c>
      <c r="Q949" s="240">
        <f>IF(COUNTIF(PDs!$AD$56:$AD$74,Tablas!C949)&gt;0,1,0)</f>
        <v>0</v>
      </c>
      <c r="R949" s="240"/>
      <c r="S949" s="240"/>
      <c r="T949" s="240"/>
      <c r="U949" s="240"/>
      <c r="V949" s="240">
        <f t="shared" si="72"/>
        <v>0</v>
      </c>
      <c r="W949" s="571">
        <f>50*IF(Arma_Desarrollada="Desarmado",IF(C947=PDs!$AD$56,0.5,1),1)</f>
        <v>50</v>
      </c>
    </row>
    <row r="950" spans="1:24" ht="12.75" customHeight="1" x14ac:dyDescent="0.2">
      <c r="A950" s="2528">
        <v>21</v>
      </c>
      <c r="B950" s="70"/>
      <c r="C950" s="525" t="s">
        <v>1367</v>
      </c>
      <c r="D950" s="2860">
        <f>10+Bono_Fue</f>
        <v>20</v>
      </c>
      <c r="E950" s="2860"/>
      <c r="F950" s="2860">
        <v>0</v>
      </c>
      <c r="G950" s="2860"/>
      <c r="H950" s="2860"/>
      <c r="I950" s="2860"/>
      <c r="J950" s="2860"/>
      <c r="K950" s="194" t="s">
        <v>1368</v>
      </c>
      <c r="L950" s="555"/>
      <c r="M950" s="555"/>
      <c r="N950" s="555"/>
      <c r="O950" s="555"/>
      <c r="P950" s="62" t="str">
        <f>IF(T.Manos_final&lt;40,"NO","-")</f>
        <v>NO</v>
      </c>
      <c r="Q950" s="240">
        <f>IF(COUNTIF(PDs!$AD$56:$AD$74,Tablas!C950)&gt;0,1,0)</f>
        <v>0</v>
      </c>
      <c r="R950" s="240"/>
      <c r="S950" s="240"/>
      <c r="T950" s="240"/>
      <c r="U950" s="240"/>
      <c r="V950" s="240">
        <f t="shared" si="72"/>
        <v>0</v>
      </c>
      <c r="W950" s="571">
        <f>20*IF(AND(Arma_Desarrollada="Desarmado",C950=PDs!$AD$56),0.5,1)</f>
        <v>20</v>
      </c>
    </row>
    <row r="951" spans="1:24" ht="12.75" customHeight="1" x14ac:dyDescent="0.2">
      <c r="A951" s="2528">
        <v>22</v>
      </c>
      <c r="B951" s="70"/>
      <c r="C951" s="525" t="s">
        <v>1369</v>
      </c>
      <c r="D951" s="2860">
        <f>20+Bono_Fue</f>
        <v>30</v>
      </c>
      <c r="E951" s="2860"/>
      <c r="F951" s="2860">
        <v>10</v>
      </c>
      <c r="G951" s="2860"/>
      <c r="H951" s="2860"/>
      <c r="I951" s="2860">
        <v>10</v>
      </c>
      <c r="J951" s="2860"/>
      <c r="K951" s="194" t="s">
        <v>1370</v>
      </c>
      <c r="L951" s="555"/>
      <c r="M951" s="555"/>
      <c r="N951" s="555"/>
      <c r="O951" s="555"/>
      <c r="P951" s="62" t="str">
        <f>IF(OR(T.Manos_final&lt;60,HD_SinArmas_final-HLOOKUP(Par_Esq,$H$930:$I$1020,A951,FALSE)&lt;120,$Q$950=0),"NO","-")</f>
        <v>NO</v>
      </c>
      <c r="Q951" s="240">
        <f>IF(COUNTIF(PDs!$AD$56:$AD$74,Tablas!C951)&gt;0,1,0)</f>
        <v>0</v>
      </c>
      <c r="R951" s="240"/>
      <c r="S951" s="240"/>
      <c r="T951" s="240"/>
      <c r="U951" s="240"/>
      <c r="V951" s="240">
        <f t="shared" si="72"/>
        <v>0</v>
      </c>
      <c r="W951" s="571">
        <f>30*IF(Arma_Desarrollada="Desarmado",IF(C950=PDs!$AD$56,0.5,1),1)</f>
        <v>30</v>
      </c>
    </row>
    <row r="952" spans="1:24" ht="12.75" customHeight="1" x14ac:dyDescent="0.2">
      <c r="A952" s="2528">
        <v>23</v>
      </c>
      <c r="B952" s="70"/>
      <c r="C952" s="525" t="s">
        <v>1371</v>
      </c>
      <c r="D952" s="2860">
        <f>20+Bono_Fue</f>
        <v>30</v>
      </c>
      <c r="E952" s="2860"/>
      <c r="F952" s="2860">
        <v>10</v>
      </c>
      <c r="G952" s="2860"/>
      <c r="H952" s="2860"/>
      <c r="I952" s="2860">
        <v>10</v>
      </c>
      <c r="J952" s="2860"/>
      <c r="K952" s="194" t="s">
        <v>1372</v>
      </c>
      <c r="L952" s="555"/>
      <c r="M952" s="555"/>
      <c r="N952" s="555"/>
      <c r="O952" s="555"/>
      <c r="P952" s="62" t="str">
        <f>IF(OR(T.Manos_final&lt;140,HD_SinArmas_final-HLOOKUP(Par_Esq,$H$930:$I$1020,A952,FALSE)&lt;200,$Q$951=0),"NO","-")</f>
        <v>NO</v>
      </c>
      <c r="Q952" s="240">
        <f>IF(COUNTIF(PDs!$AD$56:$AD$74,Tablas!C952)&gt;0,1,0)</f>
        <v>0</v>
      </c>
      <c r="R952" s="240"/>
      <c r="S952" s="240"/>
      <c r="T952" s="240"/>
      <c r="U952" s="240"/>
      <c r="V952" s="240">
        <f t="shared" si="72"/>
        <v>0</v>
      </c>
      <c r="W952" s="571">
        <f>50*IF(Arma_Desarrollada="Desarmado",IF(C950=PDs!$AD$56,0.5,1),1)</f>
        <v>50</v>
      </c>
    </row>
    <row r="953" spans="1:24" ht="12.75" customHeight="1" x14ac:dyDescent="0.2">
      <c r="A953" s="2528">
        <v>24</v>
      </c>
      <c r="B953" s="70"/>
      <c r="C953" s="525" t="s">
        <v>1373</v>
      </c>
      <c r="D953" s="2860">
        <f>20+Bono_Fue</f>
        <v>30</v>
      </c>
      <c r="E953" s="2860"/>
      <c r="F953" s="2860">
        <v>0</v>
      </c>
      <c r="G953" s="2860"/>
      <c r="H953" s="2860"/>
      <c r="I953" s="2860"/>
      <c r="J953" s="2860"/>
      <c r="K953" s="181" t="s">
        <v>2310</v>
      </c>
      <c r="L953" s="199"/>
      <c r="M953" s="199"/>
      <c r="N953" s="555"/>
      <c r="O953" s="199"/>
      <c r="P953" s="62" t="str">
        <f>IF(OR(Acrobacias_final&lt;20,Estilo_final&lt;10,T.Manos_final&lt;20),"NO","-")</f>
        <v>NO</v>
      </c>
      <c r="Q953" s="240">
        <f>IF(COUNTIF(PDs!$AD$56:$AD$74,Tablas!C953)&gt;0,1,0)</f>
        <v>0</v>
      </c>
      <c r="R953" s="240"/>
      <c r="S953" s="240"/>
      <c r="T953" s="240"/>
      <c r="U953" s="240"/>
      <c r="V953" s="240">
        <f t="shared" si="72"/>
        <v>0</v>
      </c>
      <c r="W953" s="571">
        <f>20*IF(AND(Arma_Desarrollada="Desarmado",C953=PDs!$AD$56),0.5,1)</f>
        <v>20</v>
      </c>
    </row>
    <row r="954" spans="1:24" ht="12.75" customHeight="1" x14ac:dyDescent="0.2">
      <c r="A954" s="2528">
        <v>25</v>
      </c>
      <c r="B954" s="70"/>
      <c r="C954" s="525" t="s">
        <v>1374</v>
      </c>
      <c r="D954" s="2860">
        <f>20+Bono_Fue</f>
        <v>30</v>
      </c>
      <c r="E954" s="2860"/>
      <c r="F954" s="2860">
        <v>10</v>
      </c>
      <c r="G954" s="2860"/>
      <c r="H954" s="2860"/>
      <c r="I954" s="2860"/>
      <c r="J954" s="2860"/>
      <c r="K954" s="194" t="s">
        <v>1375</v>
      </c>
      <c r="L954" s="555"/>
      <c r="M954" s="555"/>
      <c r="N954" s="555"/>
      <c r="O954" s="555"/>
      <c r="P954" s="62" t="str">
        <f>IF(OR(Acrobacias_final&lt;40,Estilo_final&lt;20,T.Manos_final&lt;40,HA_SinArmas_final&lt;120,HD_SinArmas_final&lt;120,$Q$953=0),"NO","-")</f>
        <v>NO</v>
      </c>
      <c r="Q954" s="240">
        <f>IF(COUNTIF(PDs!$AD$56:$AD$74,Tablas!C954)&gt;0,1,0)</f>
        <v>0</v>
      </c>
      <c r="R954" s="240"/>
      <c r="S954" s="240"/>
      <c r="T954" s="240"/>
      <c r="U954" s="240"/>
      <c r="V954" s="240">
        <f t="shared" si="72"/>
        <v>0</v>
      </c>
      <c r="W954" s="571">
        <f>30*IF(Arma_Desarrollada="Desarmado",IF(C953=PDs!$AD$56,0.5,1),1)</f>
        <v>30</v>
      </c>
    </row>
    <row r="955" spans="1:24" ht="12.75" customHeight="1" x14ac:dyDescent="0.2">
      <c r="A955" s="2528">
        <v>26</v>
      </c>
      <c r="B955" s="70"/>
      <c r="C955" s="525" t="s">
        <v>1376</v>
      </c>
      <c r="D955" s="2860">
        <f>20+Bono_Fue</f>
        <v>30</v>
      </c>
      <c r="E955" s="2860"/>
      <c r="F955" s="2860">
        <v>10</v>
      </c>
      <c r="G955" s="2860"/>
      <c r="H955" s="2860"/>
      <c r="I955" s="2860"/>
      <c r="J955" s="2860"/>
      <c r="K955" s="194" t="s">
        <v>1377</v>
      </c>
      <c r="L955" s="555"/>
      <c r="M955" s="555"/>
      <c r="N955" s="555"/>
      <c r="O955" s="555"/>
      <c r="P955" s="62" t="str">
        <f>IF(OR(Acrobacias_final&lt;120,Estilo_final&lt;100,T.Manos_final&lt;120,HA_SinArmas_final&lt;200,HD_SinArmas_final&lt;200,$Q$954=0),"NO","-")</f>
        <v>NO</v>
      </c>
      <c r="Q955" s="240">
        <f>IF(COUNTIF(PDs!$AD$56:$AD$74,Tablas!C955)&gt;0,1,0)</f>
        <v>0</v>
      </c>
      <c r="R955" s="240"/>
      <c r="S955" s="240" t="s">
        <v>2410</v>
      </c>
      <c r="T955" s="240"/>
      <c r="U955" s="240"/>
      <c r="V955" s="240">
        <f t="shared" si="72"/>
        <v>0</v>
      </c>
      <c r="W955" s="571">
        <f>50*IF(Arma_Desarrollada="Desarmado",IF(C953=PDs!$AD$56,0.5,1),1)</f>
        <v>50</v>
      </c>
    </row>
    <row r="956" spans="1:24" ht="12.75" customHeight="1" x14ac:dyDescent="0.2">
      <c r="A956" s="2528">
        <v>27</v>
      </c>
      <c r="B956" s="70"/>
      <c r="C956" s="525" t="s">
        <v>1378</v>
      </c>
      <c r="D956" s="2860">
        <f>10+Bono_Fue</f>
        <v>20</v>
      </c>
      <c r="E956" s="2860"/>
      <c r="F956" s="2860">
        <v>0</v>
      </c>
      <c r="G956" s="2860"/>
      <c r="H956" s="2860">
        <v>10</v>
      </c>
      <c r="I956" s="2860">
        <v>10</v>
      </c>
      <c r="J956" s="2860"/>
      <c r="K956" s="194" t="s">
        <v>2310</v>
      </c>
      <c r="L956" s="555"/>
      <c r="M956" s="555"/>
      <c r="N956" s="555"/>
      <c r="O956" s="555"/>
      <c r="P956" s="62" t="str">
        <f>IF(Estilo_final&lt;20,"NO","-")</f>
        <v>NO</v>
      </c>
      <c r="Q956" s="240">
        <f>IF(COUNTIF(PDs!$AD$56:$AD$74,Tablas!C956)&gt;0,1,0)</f>
        <v>0</v>
      </c>
      <c r="R956" s="240"/>
      <c r="S956" s="240"/>
      <c r="T956" s="240"/>
      <c r="U956" s="240"/>
      <c r="V956" s="240">
        <f t="shared" si="72"/>
        <v>0</v>
      </c>
      <c r="W956" s="571">
        <f>20*IF(AND(Arma_Desarrollada="Desarmado",C956=PDs!$AD$56),0.5,1)</f>
        <v>20</v>
      </c>
    </row>
    <row r="957" spans="1:24" ht="12.75" customHeight="1" x14ac:dyDescent="0.2">
      <c r="A957" s="2528">
        <v>28</v>
      </c>
      <c r="B957" s="70"/>
      <c r="C957" s="525" t="s">
        <v>1379</v>
      </c>
      <c r="D957" s="2860">
        <f>20+Bono_Fue</f>
        <v>30</v>
      </c>
      <c r="E957" s="2860"/>
      <c r="F957" s="2860">
        <v>10</v>
      </c>
      <c r="G957" s="2860"/>
      <c r="H957" s="2860"/>
      <c r="I957" s="2860"/>
      <c r="J957" s="2860"/>
      <c r="K957" s="194" t="s">
        <v>1380</v>
      </c>
      <c r="L957" s="555"/>
      <c r="M957" s="555"/>
      <c r="N957" s="555"/>
      <c r="O957" s="555"/>
      <c r="P957" s="62" t="str">
        <f>IF(OR(Estilo_final&lt;40,HD_SinArmas_final&lt;130,$Q$956=0),"NO","-")</f>
        <v>NO</v>
      </c>
      <c r="Q957" s="240">
        <f>IF(COUNTIF(PDs!$AD$56:$AD$74,Tablas!C957)&gt;0,1,0)</f>
        <v>0</v>
      </c>
      <c r="R957" s="240"/>
      <c r="S957" s="240"/>
      <c r="T957" s="240"/>
      <c r="U957" s="240"/>
      <c r="V957" s="240">
        <f t="shared" si="72"/>
        <v>0</v>
      </c>
      <c r="W957" s="571">
        <f>30*IF(Arma_Desarrollada="Desarmado",IF(C956=PDs!$AD$56,0.5,1),1)</f>
        <v>30</v>
      </c>
    </row>
    <row r="958" spans="1:24" ht="12.75" customHeight="1" x14ac:dyDescent="0.2">
      <c r="A958" s="2528">
        <v>29</v>
      </c>
      <c r="B958" s="70"/>
      <c r="C958" s="525" t="s">
        <v>1381</v>
      </c>
      <c r="D958" s="2860">
        <f>20+Bono_Fue</f>
        <v>30</v>
      </c>
      <c r="E958" s="2860"/>
      <c r="F958" s="2860">
        <v>10</v>
      </c>
      <c r="G958" s="2860"/>
      <c r="H958" s="2860">
        <v>10</v>
      </c>
      <c r="I958" s="2860">
        <v>10</v>
      </c>
      <c r="J958" s="2860"/>
      <c r="K958" s="194" t="s">
        <v>1382</v>
      </c>
      <c r="L958" s="555"/>
      <c r="M958" s="555"/>
      <c r="N958" s="555"/>
      <c r="O958" s="555"/>
      <c r="P958" s="62" t="str">
        <f>IF(OR(Estilo_final&lt;80,HD_SinArmas_final-10&lt;200,$Q$957=0),"NO","-")</f>
        <v>NO</v>
      </c>
      <c r="Q958" s="240">
        <f>IF(COUNTIF(PDs!$AD$56:$AD$74,Tablas!C958)&gt;0,1,0)</f>
        <v>0</v>
      </c>
      <c r="R958" s="240"/>
      <c r="S958" s="240"/>
      <c r="T958" s="240"/>
      <c r="U958" s="240"/>
      <c r="V958" s="240">
        <f t="shared" si="72"/>
        <v>0</v>
      </c>
      <c r="W958" s="571">
        <f>50*IF(Arma_Desarrollada="Desarmado",IF(C956=PDs!$AD$56,0.5,1),1)</f>
        <v>50</v>
      </c>
    </row>
    <row r="959" spans="1:24" ht="12.75" customHeight="1" x14ac:dyDescent="0.2">
      <c r="A959" s="2528">
        <v>30</v>
      </c>
      <c r="B959" s="70"/>
      <c r="C959" s="525" t="s">
        <v>1383</v>
      </c>
      <c r="D959" s="2860">
        <f>20+Bono_Fue</f>
        <v>30</v>
      </c>
      <c r="E959" s="2860"/>
      <c r="F959" s="2860">
        <v>0</v>
      </c>
      <c r="G959" s="2860"/>
      <c r="H959" s="2860"/>
      <c r="I959" s="2860"/>
      <c r="J959" s="2860"/>
      <c r="K959" s="194" t="s">
        <v>1384</v>
      </c>
      <c r="L959" s="555"/>
      <c r="M959" s="555"/>
      <c r="N959" s="555"/>
      <c r="O959" s="555"/>
      <c r="P959" s="62" t="str">
        <f>IF(T.Manos_final&lt;20,"NO","-")</f>
        <v>NO</v>
      </c>
      <c r="Q959" s="240">
        <f>IF(COUNTIF(PDs!$AD$56:$AD$74,Tablas!C959)&gt;0,1,0)</f>
        <v>0</v>
      </c>
      <c r="R959" s="240"/>
      <c r="S959" s="240"/>
      <c r="T959" s="240"/>
      <c r="U959" s="240"/>
      <c r="V959" s="240">
        <f t="shared" si="72"/>
        <v>0</v>
      </c>
      <c r="W959" s="571">
        <f>20*IF(AND(Arma_Desarrollada="Desarmado",C959=PDs!$AD$56),0.5,1)</f>
        <v>20</v>
      </c>
    </row>
    <row r="960" spans="1:24" ht="12.75" customHeight="1" x14ac:dyDescent="0.2">
      <c r="A960" s="2528">
        <v>31</v>
      </c>
      <c r="B960" s="70"/>
      <c r="C960" s="525" t="s">
        <v>1385</v>
      </c>
      <c r="D960" s="2860">
        <f>30+Bono_Fue</f>
        <v>40</v>
      </c>
      <c r="E960" s="2860"/>
      <c r="F960" s="2860">
        <v>10</v>
      </c>
      <c r="G960" s="2860"/>
      <c r="H960" s="2860"/>
      <c r="I960" s="2860">
        <v>10</v>
      </c>
      <c r="J960" s="2860"/>
      <c r="K960" s="194" t="s">
        <v>1386</v>
      </c>
      <c r="L960" s="555"/>
      <c r="M960" s="555"/>
      <c r="N960" s="555"/>
      <c r="O960" s="555"/>
      <c r="P960" s="62" t="str">
        <f>IF(OR(T.Manos_final&lt;40,HD_SinArmas_final-HLOOKUP(Par_Esq,$H$930:$I$1020,A960,FALSE)&lt;120,$Q$959=0),"NO","-")</f>
        <v>NO</v>
      </c>
      <c r="Q960" s="240">
        <f>IF(COUNTIF(PDs!$AD$56:$AD$74,Tablas!C960)&gt;0,1,0)</f>
        <v>0</v>
      </c>
      <c r="R960" s="240"/>
      <c r="S960" s="240"/>
      <c r="T960" s="240"/>
      <c r="U960" s="240"/>
      <c r="V960" s="240">
        <f t="shared" si="72"/>
        <v>0</v>
      </c>
      <c r="W960" s="571">
        <f>30*IF(Arma_Desarrollada="Desarmado",IF(C959=PDs!$AD$56,0.5,1),1)</f>
        <v>30</v>
      </c>
    </row>
    <row r="961" spans="1:23" ht="12.75" customHeight="1" x14ac:dyDescent="0.2">
      <c r="A961" s="2528">
        <v>32</v>
      </c>
      <c r="B961" s="70"/>
      <c r="C961" s="525" t="s">
        <v>1387</v>
      </c>
      <c r="D961" s="2860">
        <f>40+Bono_Fue</f>
        <v>50</v>
      </c>
      <c r="E961" s="2860"/>
      <c r="F961" s="2860">
        <v>10</v>
      </c>
      <c r="G961" s="2860"/>
      <c r="H961" s="2860"/>
      <c r="I961" s="2860">
        <v>20</v>
      </c>
      <c r="J961" s="2860"/>
      <c r="K961" s="194" t="s">
        <v>1388</v>
      </c>
      <c r="L961" s="555"/>
      <c r="M961" s="555"/>
      <c r="N961" s="555"/>
      <c r="O961" s="555"/>
      <c r="P961" s="62" t="str">
        <f>IF(OR(T.Manos_final&lt;100,HD_SinArmas_final-HLOOKUP(Par_Esq,$H$930:$I$1020,A961,FALSE)&lt;200,$Q$960=0),"NO","-")</f>
        <v>NO</v>
      </c>
      <c r="Q961" s="240">
        <f>IF(COUNTIF(PDs!$AD$56:$AD$74,Tablas!C961)&gt;0,1,0)</f>
        <v>0</v>
      </c>
      <c r="R961" s="240"/>
      <c r="S961" s="240"/>
      <c r="T961" s="240"/>
      <c r="U961" s="240"/>
      <c r="V961" s="240">
        <f t="shared" si="72"/>
        <v>0</v>
      </c>
      <c r="W961" s="571">
        <f>50*IF(Arma_Desarrollada="Desarmado",IF(C959=PDs!$AD$56,0.5,1),1)</f>
        <v>50</v>
      </c>
    </row>
    <row r="962" spans="1:23" ht="12.75" customHeight="1" x14ac:dyDescent="0.2">
      <c r="A962" s="2528">
        <v>33</v>
      </c>
      <c r="B962" s="70"/>
      <c r="C962" s="525" t="s">
        <v>1389</v>
      </c>
      <c r="D962" s="2860">
        <f>20+2*Bono_Fue</f>
        <v>40</v>
      </c>
      <c r="E962" s="2860"/>
      <c r="F962" s="2860">
        <v>0</v>
      </c>
      <c r="G962" s="2860"/>
      <c r="H962" s="2860"/>
      <c r="I962" s="2860"/>
      <c r="J962" s="2860"/>
      <c r="K962" s="194" t="s">
        <v>2310</v>
      </c>
      <c r="L962" s="555"/>
      <c r="M962" s="555"/>
      <c r="N962" s="555"/>
      <c r="O962" s="555"/>
      <c r="P962" s="62" t="str">
        <f>IF(P.Fuerza_final&lt;30,"NO","-")</f>
        <v>NO</v>
      </c>
      <c r="Q962" s="240">
        <f>IF(COUNTIF(PDs!$AD$56:$AD$74,Tablas!C962)&gt;0,1,0)</f>
        <v>0</v>
      </c>
      <c r="R962" s="240"/>
      <c r="S962" s="240"/>
      <c r="T962" s="240"/>
      <c r="U962" s="240"/>
      <c r="V962" s="240">
        <f t="shared" si="72"/>
        <v>0</v>
      </c>
      <c r="W962" s="571">
        <f>20*IF(AND(Arma_Desarrollada="Desarmado",C962=PDs!$AD$56),0.5,1)</f>
        <v>20</v>
      </c>
    </row>
    <row r="963" spans="1:23" ht="12.75" customHeight="1" x14ac:dyDescent="0.2">
      <c r="A963" s="2528">
        <v>34</v>
      </c>
      <c r="B963" s="70"/>
      <c r="C963" s="525" t="s">
        <v>1390</v>
      </c>
      <c r="D963" s="2860">
        <f>20+3*Bono_Fue</f>
        <v>50</v>
      </c>
      <c r="E963" s="2860"/>
      <c r="F963" s="2860">
        <v>10</v>
      </c>
      <c r="G963" s="2860"/>
      <c r="H963" s="2860"/>
      <c r="I963" s="2860"/>
      <c r="J963" s="2860"/>
      <c r="K963" s="181" t="s">
        <v>2310</v>
      </c>
      <c r="L963" s="199"/>
      <c r="M963" s="199"/>
      <c r="N963" s="555"/>
      <c r="O963" s="199"/>
      <c r="P963" s="62" t="str">
        <f>IF(OR(P.Fuerza_final&lt;40,HA_SinArmas_final&lt;130,$Q$962=0),"NO","-")</f>
        <v>NO</v>
      </c>
      <c r="Q963" s="240">
        <f>IF(COUNTIF(PDs!$AD$56:$AD$74,Tablas!C963)&gt;0,1,0)</f>
        <v>0</v>
      </c>
      <c r="R963" s="240"/>
      <c r="S963" s="240"/>
      <c r="T963" s="240"/>
      <c r="U963" s="240"/>
      <c r="V963" s="240">
        <f t="shared" si="72"/>
        <v>0</v>
      </c>
      <c r="W963" s="571">
        <f>30*IF(Arma_Desarrollada="Desarmado",IF(C962=PDs!$AD$56,0.5,1),1)</f>
        <v>30</v>
      </c>
    </row>
    <row r="964" spans="1:23" ht="12.75" customHeight="1" x14ac:dyDescent="0.2">
      <c r="A964" s="2528">
        <v>35</v>
      </c>
      <c r="B964" s="70"/>
      <c r="C964" s="525" t="s">
        <v>1391</v>
      </c>
      <c r="D964" s="2860">
        <f>20+4*Bono_Fue</f>
        <v>60</v>
      </c>
      <c r="E964" s="2860"/>
      <c r="F964" s="2860">
        <v>10</v>
      </c>
      <c r="G964" s="2860"/>
      <c r="H964" s="2860"/>
      <c r="I964" s="2860"/>
      <c r="J964" s="2860"/>
      <c r="K964" s="194" t="s">
        <v>1392</v>
      </c>
      <c r="L964" s="555"/>
      <c r="M964" s="555"/>
      <c r="N964" s="555"/>
      <c r="O964" s="555"/>
      <c r="P964" s="62" t="str">
        <f>IF(OR(P.Fuerza_final&lt;160,HA_SinArmas_final&lt;200,$Q$963=0),"NO","-")</f>
        <v>NO</v>
      </c>
      <c r="Q964" s="240">
        <f>IF(COUNTIF(PDs!$AD$56:$AD$74,Tablas!C964)&gt;0,1,0)</f>
        <v>0</v>
      </c>
      <c r="R964" s="240"/>
      <c r="S964" s="240"/>
      <c r="T964" s="240"/>
      <c r="U964" s="240"/>
      <c r="V964" s="240">
        <f t="shared" si="72"/>
        <v>0</v>
      </c>
      <c r="W964" s="571">
        <f>50*IF(Arma_Desarrollada="Desarmado",IF(C962=PDs!$AD$56,0.5,1),1)</f>
        <v>50</v>
      </c>
    </row>
    <row r="965" spans="1:23" ht="12.75" customHeight="1" x14ac:dyDescent="0.2">
      <c r="A965" s="2528">
        <v>36</v>
      </c>
      <c r="B965" s="70"/>
      <c r="C965" s="525" t="s">
        <v>1393</v>
      </c>
      <c r="D965" s="2860">
        <f>20+Bono_Fue</f>
        <v>30</v>
      </c>
      <c r="E965" s="2860"/>
      <c r="F965" s="2860">
        <v>0</v>
      </c>
      <c r="G965" s="2860"/>
      <c r="H965" s="2860"/>
      <c r="I965" s="2860"/>
      <c r="J965" s="2860"/>
      <c r="K965" s="194" t="s">
        <v>1394</v>
      </c>
      <c r="L965" s="555"/>
      <c r="M965" s="555"/>
      <c r="N965" s="555"/>
      <c r="O965" s="555"/>
      <c r="P965" s="62" t="str">
        <f>IF(OR(Atletismo_final&lt;30,P.Fuerza_final&lt;30),"NO","-")</f>
        <v>NO</v>
      </c>
      <c r="Q965" s="240">
        <f>IF(COUNTIF(PDs!$AD$56:$AD$74,Tablas!C965)&gt;0,1,0)</f>
        <v>0</v>
      </c>
      <c r="R965" s="240"/>
      <c r="S965" s="240"/>
      <c r="T965" s="240"/>
      <c r="U965" s="240"/>
      <c r="V965" s="240">
        <f t="shared" si="72"/>
        <v>0</v>
      </c>
      <c r="W965" s="571">
        <f>20*IF(AND(Arma_Desarrollada="Desarmado",C965=PDs!$AD$56),0.5,1)</f>
        <v>20</v>
      </c>
    </row>
    <row r="966" spans="1:23" ht="12.75" customHeight="1" x14ac:dyDescent="0.2">
      <c r="A966" s="2528">
        <v>37</v>
      </c>
      <c r="B966" s="70"/>
      <c r="C966" s="525" t="s">
        <v>1395</v>
      </c>
      <c r="D966" s="2860">
        <f>20+Bono_Fue</f>
        <v>30</v>
      </c>
      <c r="E966" s="2860"/>
      <c r="F966" s="2860">
        <v>10</v>
      </c>
      <c r="G966" s="2860"/>
      <c r="H966" s="2860"/>
      <c r="I966" s="2860"/>
      <c r="J966" s="2860"/>
      <c r="K966" s="194" t="s">
        <v>1396</v>
      </c>
      <c r="L966" s="555"/>
      <c r="M966" s="555"/>
      <c r="N966" s="555"/>
      <c r="O966" s="555"/>
      <c r="P966" s="62" t="str">
        <f>IF(OR(Atletismo_final&lt;50,P.Fuerza_final&lt;50,$Q$965=0,HA_SinArmas_final&lt;110,HD_SinArmas_final&lt;110),"NO","-")</f>
        <v>NO</v>
      </c>
      <c r="Q966" s="240">
        <f>IF(COUNTIF(PDs!$AD$56:$AD$74,Tablas!C966)&gt;0,1,0)</f>
        <v>0</v>
      </c>
      <c r="R966" s="240"/>
      <c r="S966" s="240"/>
      <c r="T966" s="240"/>
      <c r="U966" s="240"/>
      <c r="V966" s="240">
        <f t="shared" si="72"/>
        <v>0</v>
      </c>
      <c r="W966" s="571">
        <f>30*IF(Arma_Desarrollada="Desarmado",IF(C965=PDs!$AD$56,0.5,1),1)</f>
        <v>30</v>
      </c>
    </row>
    <row r="967" spans="1:23" ht="12.75" customHeight="1" x14ac:dyDescent="0.2">
      <c r="A967" s="2528">
        <v>38</v>
      </c>
      <c r="B967" s="70"/>
      <c r="C967" s="525" t="s">
        <v>1397</v>
      </c>
      <c r="D967" s="2860">
        <f>20+Bono_Fue</f>
        <v>30</v>
      </c>
      <c r="E967" s="2860"/>
      <c r="F967" s="2860">
        <v>10</v>
      </c>
      <c r="G967" s="2860"/>
      <c r="H967" s="2860">
        <v>10</v>
      </c>
      <c r="I967" s="2860">
        <v>10</v>
      </c>
      <c r="J967" s="2860"/>
      <c r="K967" s="194" t="s">
        <v>1398</v>
      </c>
      <c r="L967" s="555"/>
      <c r="M967" s="555"/>
      <c r="N967" s="555"/>
      <c r="O967" s="555"/>
      <c r="P967" s="62" t="str">
        <f>IF(OR(P.Fuerza_final&lt;120,$Q$966=0,HD_SinArmas_final-10&lt;200),"NO","-")</f>
        <v>NO</v>
      </c>
      <c r="Q967" s="240">
        <f>IF(COUNTIF(PDs!$AD$56:$AD$74,Tablas!C967)&gt;0,1,0)</f>
        <v>0</v>
      </c>
      <c r="R967" s="240"/>
      <c r="S967" s="240"/>
      <c r="T967" s="240"/>
      <c r="U967" s="240"/>
      <c r="V967" s="240">
        <f t="shared" si="72"/>
        <v>0</v>
      </c>
      <c r="W967" s="571">
        <f>50*IF(Arma_Desarrollada="Desarmado",IF(C965=PDs!$AD$56,0.5,1),1)</f>
        <v>50</v>
      </c>
    </row>
    <row r="968" spans="1:23" ht="12.75" customHeight="1" x14ac:dyDescent="0.2">
      <c r="A968" s="2528">
        <v>39</v>
      </c>
      <c r="B968" s="70"/>
      <c r="C968" s="525" t="s">
        <v>1399</v>
      </c>
      <c r="D968" s="2860">
        <f>10+Bono_Fue</f>
        <v>20</v>
      </c>
      <c r="E968" s="2860"/>
      <c r="F968" s="2860">
        <v>0</v>
      </c>
      <c r="G968" s="2860"/>
      <c r="H968" s="2860"/>
      <c r="I968" s="2860"/>
      <c r="J968" s="2860"/>
      <c r="K968" s="194" t="s">
        <v>1400</v>
      </c>
      <c r="L968" s="555"/>
      <c r="M968" s="555"/>
      <c r="N968" s="555"/>
      <c r="O968" s="555"/>
      <c r="P968" s="62" t="s">
        <v>2310</v>
      </c>
      <c r="Q968" s="240">
        <f>IF(COUNTIF(PDs!$AD$56:$AD$74,Tablas!C968)&gt;0,1,0)</f>
        <v>0</v>
      </c>
      <c r="R968" s="240"/>
      <c r="S968" s="240"/>
      <c r="T968" s="240"/>
      <c r="U968" s="240"/>
      <c r="V968" s="240">
        <f t="shared" si="72"/>
        <v>0</v>
      </c>
      <c r="W968" s="571">
        <f>20*IF(AND(Arma_Desarrollada="Desarmado",C968=PDs!$AD$56),0.5,1)</f>
        <v>20</v>
      </c>
    </row>
    <row r="969" spans="1:23" ht="12.75" customHeight="1" x14ac:dyDescent="0.2">
      <c r="A969" s="2528">
        <v>40</v>
      </c>
      <c r="B969" s="70"/>
      <c r="C969" s="525" t="s">
        <v>1401</v>
      </c>
      <c r="D969" s="2860">
        <f>20+Bono_Fue</f>
        <v>30</v>
      </c>
      <c r="E969" s="2860"/>
      <c r="F969" s="2860">
        <v>10</v>
      </c>
      <c r="G969" s="2860"/>
      <c r="H969" s="2860"/>
      <c r="I969" s="2860">
        <v>10</v>
      </c>
      <c r="J969" s="2860"/>
      <c r="K969" s="181" t="s">
        <v>1402</v>
      </c>
      <c r="L969" s="199"/>
      <c r="M969" s="199"/>
      <c r="N969" s="555"/>
      <c r="O969" s="199"/>
      <c r="P969" s="62" t="str">
        <f>IF(OR(HA_SinArmas_final-HLOOKUP(Par_Esq,$H$930:$I$1020,A969,FALSE)&lt;130,$Q$968=0),"NO","-")</f>
        <v>NO</v>
      </c>
      <c r="Q969" s="240">
        <f>IF(COUNTIF(PDs!$AD$56:$AD$74,Tablas!C969)&gt;0,1,0)</f>
        <v>0</v>
      </c>
      <c r="R969" s="240"/>
      <c r="S969" s="240"/>
      <c r="T969" s="240"/>
      <c r="U969" s="240"/>
      <c r="V969" s="240">
        <f t="shared" si="72"/>
        <v>0</v>
      </c>
      <c r="W969" s="571">
        <f>30*IF(Arma_Desarrollada="Desarmado",IF(C968=PDs!$AD$56,0.5,1),1)</f>
        <v>30</v>
      </c>
    </row>
    <row r="970" spans="1:23" ht="12.75" customHeight="1" x14ac:dyDescent="0.2">
      <c r="A970" s="2528">
        <v>41</v>
      </c>
      <c r="B970" s="70"/>
      <c r="C970" s="525" t="s">
        <v>1403</v>
      </c>
      <c r="D970" s="2860">
        <f>30+Bono_Fue</f>
        <v>40</v>
      </c>
      <c r="E970" s="2860"/>
      <c r="F970" s="2860">
        <v>10</v>
      </c>
      <c r="G970" s="2860"/>
      <c r="H970" s="2860"/>
      <c r="I970" s="2860">
        <v>10</v>
      </c>
      <c r="J970" s="2860"/>
      <c r="K970" s="194" t="s">
        <v>1404</v>
      </c>
      <c r="L970" s="555"/>
      <c r="M970" s="555"/>
      <c r="N970" s="555"/>
      <c r="O970" s="555"/>
      <c r="P970" s="62" t="str">
        <f>IF(OR(HA_SinArmas_final&lt;200,HD_SinArmas_final-HLOOKUP(Par_Esq,$H$930:$I$1020,A970,FALSE)&lt;200,$Q$969=0),"NO","-")</f>
        <v>NO</v>
      </c>
      <c r="Q970" s="240">
        <f>IF(COUNTIF(PDs!$AD$56:$AD$74,Tablas!C970)&gt;0,1,0)</f>
        <v>0</v>
      </c>
      <c r="R970" s="240"/>
      <c r="S970" s="240"/>
      <c r="T970" s="240"/>
      <c r="U970" s="240"/>
      <c r="V970" s="240">
        <f t="shared" si="72"/>
        <v>0</v>
      </c>
      <c r="W970" s="571">
        <f>50*IF(Arma_Desarrollada="Desarmado",IF(C968=PDs!$AD$56,0.5,1),1)</f>
        <v>50</v>
      </c>
    </row>
    <row r="971" spans="1:23" ht="12.75" customHeight="1" x14ac:dyDescent="0.2">
      <c r="A971" s="2528">
        <v>42</v>
      </c>
      <c r="B971" s="70"/>
      <c r="C971" s="525" t="s">
        <v>1405</v>
      </c>
      <c r="D971" s="2860">
        <f>20+Bono_Fue</f>
        <v>30</v>
      </c>
      <c r="E971" s="2860"/>
      <c r="F971" s="2860">
        <v>0</v>
      </c>
      <c r="G971" s="2860">
        <v>5</v>
      </c>
      <c r="H971" s="2860"/>
      <c r="I971" s="2860"/>
      <c r="J971" s="2860"/>
      <c r="K971" s="181" t="s">
        <v>2310</v>
      </c>
      <c r="L971" s="199"/>
      <c r="M971" s="199"/>
      <c r="N971" s="555"/>
      <c r="O971" s="199"/>
      <c r="P971" s="62" t="s">
        <v>2310</v>
      </c>
      <c r="Q971" s="240">
        <f>IF(COUNTIF(PDs!$AD$56:$AD$74,Tablas!C971)&gt;0,1,0)</f>
        <v>0</v>
      </c>
      <c r="R971" s="240"/>
      <c r="S971" s="240"/>
      <c r="T971" s="240"/>
      <c r="U971" s="240"/>
      <c r="V971" s="240">
        <f t="shared" si="72"/>
        <v>0</v>
      </c>
      <c r="W971" s="571">
        <f>20*IF(AND(Arma_Desarrollada="Desarmado",C971=PDs!$AD$56),0.5,1)</f>
        <v>20</v>
      </c>
    </row>
    <row r="972" spans="1:23" ht="12.75" customHeight="1" x14ac:dyDescent="0.2">
      <c r="A972" s="2528">
        <v>43</v>
      </c>
      <c r="B972" s="70"/>
      <c r="C972" s="525" t="s">
        <v>1406</v>
      </c>
      <c r="D972" s="2860">
        <f>30+Bono_Fue</f>
        <v>40</v>
      </c>
      <c r="E972" s="2860"/>
      <c r="F972" s="2860">
        <v>10</v>
      </c>
      <c r="G972" s="2860">
        <v>5</v>
      </c>
      <c r="H972" s="2860"/>
      <c r="I972" s="2860"/>
      <c r="J972" s="2860"/>
      <c r="K972" s="194" t="s">
        <v>2310</v>
      </c>
      <c r="L972" s="555"/>
      <c r="M972" s="555"/>
      <c r="N972" s="555"/>
      <c r="O972" s="555"/>
      <c r="P972" s="62" t="str">
        <f>IF(OR(HA_SinArmas_final-5&lt;120,HD_SinArmas_final&lt;120,$Q$971=0),"NO","-")</f>
        <v>NO</v>
      </c>
      <c r="Q972" s="240">
        <f>IF(COUNTIF(PDs!$AD$56:$AD$74,Tablas!C972)&gt;0,1,0)</f>
        <v>0</v>
      </c>
      <c r="R972" s="240"/>
      <c r="S972" s="240"/>
      <c r="T972" s="240"/>
      <c r="U972" s="240"/>
      <c r="V972" s="240">
        <f t="shared" si="72"/>
        <v>0</v>
      </c>
      <c r="W972" s="571">
        <f>30*IF(Arma_Desarrollada="Desarmado",IF(C971=PDs!$AD$56,0.5,1),1)</f>
        <v>30</v>
      </c>
    </row>
    <row r="973" spans="1:23" ht="12.75" customHeight="1" x14ac:dyDescent="0.2">
      <c r="A973" s="2528">
        <v>44</v>
      </c>
      <c r="B973" s="70"/>
      <c r="C973" s="525" t="s">
        <v>1407</v>
      </c>
      <c r="D973" s="2860">
        <f>50+Bono_Fue</f>
        <v>60</v>
      </c>
      <c r="E973" s="2860"/>
      <c r="F973" s="2860">
        <v>10</v>
      </c>
      <c r="G973" s="2860">
        <v>10</v>
      </c>
      <c r="H973" s="2860"/>
      <c r="I973" s="2860"/>
      <c r="J973" s="2860"/>
      <c r="K973" s="194" t="s">
        <v>2310</v>
      </c>
      <c r="L973" s="555"/>
      <c r="M973" s="555"/>
      <c r="N973" s="555"/>
      <c r="O973" s="555"/>
      <c r="P973" s="62" t="str">
        <f>IF(OR(HA_SinArmas_final-10&lt;200,$Q$972=0),"NO","-")</f>
        <v>NO</v>
      </c>
      <c r="Q973" s="240">
        <f>IF(COUNTIF(PDs!$AD$56:$AD$74,Tablas!C973)&gt;0,1,0)</f>
        <v>0</v>
      </c>
      <c r="R973" s="240"/>
      <c r="S973" s="240"/>
      <c r="T973" s="240"/>
      <c r="U973" s="240"/>
      <c r="V973" s="240">
        <f t="shared" si="72"/>
        <v>0</v>
      </c>
      <c r="W973" s="571">
        <f>50*IF(Arma_Desarrollada="Desarmado",IF(C971=PDs!$AD$56,0.5,1),1)</f>
        <v>50</v>
      </c>
    </row>
    <row r="974" spans="1:23" ht="12.75" customHeight="1" x14ac:dyDescent="0.2">
      <c r="A974" s="2528">
        <v>45</v>
      </c>
      <c r="B974" s="70"/>
      <c r="C974" s="525" t="s">
        <v>1408</v>
      </c>
      <c r="D974" s="2860">
        <f>10+Bono_Fue</f>
        <v>20</v>
      </c>
      <c r="E974" s="2860"/>
      <c r="F974" s="2860">
        <v>0</v>
      </c>
      <c r="G974" s="2860"/>
      <c r="H974" s="2860"/>
      <c r="I974" s="2860"/>
      <c r="J974" s="2860"/>
      <c r="K974" s="194" t="s">
        <v>1409</v>
      </c>
      <c r="L974" s="555"/>
      <c r="M974" s="555"/>
      <c r="N974" s="555"/>
      <c r="O974" s="555"/>
      <c r="P974" s="240" t="str">
        <f>IF(Advertir_final&lt;50,"NO","-")</f>
        <v>NO</v>
      </c>
      <c r="Q974" s="240">
        <f>IF(COUNTIF(PDs!$AD$56:$AD$74,Tablas!C974)&gt;0,1,0)</f>
        <v>0</v>
      </c>
      <c r="R974" s="240"/>
      <c r="S974" s="240"/>
      <c r="T974" s="240"/>
      <c r="U974" s="240"/>
      <c r="V974" s="240">
        <f t="shared" si="72"/>
        <v>0</v>
      </c>
      <c r="W974" s="571">
        <f>20*IF(AND(Arma_Desarrollada="Desarmado",C974=PDs!$AD$56),0.5,1)</f>
        <v>20</v>
      </c>
    </row>
    <row r="975" spans="1:23" ht="12.75" customHeight="1" x14ac:dyDescent="0.2">
      <c r="A975" s="2528">
        <v>46</v>
      </c>
      <c r="B975" s="70"/>
      <c r="C975" s="525" t="s">
        <v>1410</v>
      </c>
      <c r="D975" s="2860">
        <f>20+Bono_Fue</f>
        <v>30</v>
      </c>
      <c r="E975" s="2860"/>
      <c r="F975" s="2860">
        <v>10</v>
      </c>
      <c r="G975" s="2860"/>
      <c r="H975" s="2860">
        <v>10</v>
      </c>
      <c r="I975" s="2860">
        <v>10</v>
      </c>
      <c r="J975" s="2860"/>
      <c r="K975" s="194" t="s">
        <v>1411</v>
      </c>
      <c r="L975" s="555"/>
      <c r="M975" s="555"/>
      <c r="N975" s="555"/>
      <c r="O975" s="555"/>
      <c r="P975" s="240" t="str">
        <f>IF(OR(Advertir_final&lt;90,HD_SinArmas_final-10&lt;120,$Q$974=0),"NO","-")</f>
        <v>NO</v>
      </c>
      <c r="Q975" s="240">
        <f>IF(COUNTIF(PDs!$AD$56:$AD$74,Tablas!C975)&gt;0,1,0)</f>
        <v>0</v>
      </c>
      <c r="R975" s="240"/>
      <c r="S975" s="240"/>
      <c r="T975" s="240"/>
      <c r="U975" s="240"/>
      <c r="V975" s="240">
        <f t="shared" si="72"/>
        <v>0</v>
      </c>
      <c r="W975" s="571">
        <f>30*IF(Arma_Desarrollada="Desarmado",IF(C974=PDs!$AD$56,0.5,1),1)</f>
        <v>30</v>
      </c>
    </row>
    <row r="976" spans="1:23" ht="12.75" customHeight="1" x14ac:dyDescent="0.2">
      <c r="A976" s="2528">
        <v>47</v>
      </c>
      <c r="B976" s="70"/>
      <c r="C976" s="525" t="s">
        <v>1412</v>
      </c>
      <c r="D976" s="2860">
        <f>30+Bono_Fue</f>
        <v>40</v>
      </c>
      <c r="E976" s="2860"/>
      <c r="F976" s="2860">
        <v>10</v>
      </c>
      <c r="G976" s="2860"/>
      <c r="H976" s="2860">
        <v>10</v>
      </c>
      <c r="I976" s="2860">
        <v>10</v>
      </c>
      <c r="J976" s="2860"/>
      <c r="K976" s="194" t="s">
        <v>1413</v>
      </c>
      <c r="L976" s="555"/>
      <c r="M976" s="555"/>
      <c r="N976" s="555"/>
      <c r="O976" s="555"/>
      <c r="P976" s="240" t="str">
        <f>IF(OR(Advertir_final&lt;120,Acrobacias_final&lt;60,HD_SinArmas_final-10&lt;200,$Q$975=0),"NO","-")</f>
        <v>NO</v>
      </c>
      <c r="Q976" s="240">
        <f>IF(COUNTIF(PDs!$AD$56:$AD$74,Tablas!C976)&gt;0,1,0)</f>
        <v>0</v>
      </c>
      <c r="R976" s="240"/>
      <c r="S976" s="240"/>
      <c r="T976" s="240"/>
      <c r="U976" s="240"/>
      <c r="V976" s="240">
        <f t="shared" si="72"/>
        <v>0</v>
      </c>
      <c r="W976" s="571">
        <f>50*IF(Arma_Desarrollada="Desarmado",IF(C974=PDs!$AD$56,0.5,1),1)</f>
        <v>50</v>
      </c>
    </row>
    <row r="977" spans="1:23" ht="12.75" customHeight="1" x14ac:dyDescent="0.2">
      <c r="A977" s="2528">
        <v>48</v>
      </c>
      <c r="B977" s="70"/>
      <c r="C977" s="525" t="s">
        <v>1414</v>
      </c>
      <c r="D977" s="2860">
        <f>10+Bono_Fue</f>
        <v>20</v>
      </c>
      <c r="E977" s="2860"/>
      <c r="F977" s="2860">
        <v>0</v>
      </c>
      <c r="G977" s="2860"/>
      <c r="H977" s="2860"/>
      <c r="I977" s="2860"/>
      <c r="J977" s="2860"/>
      <c r="K977" s="194" t="s">
        <v>1415</v>
      </c>
      <c r="L977" s="555"/>
      <c r="M977" s="555"/>
      <c r="N977" s="555"/>
      <c r="O977" s="555"/>
      <c r="P977" s="240" t="s">
        <v>2310</v>
      </c>
      <c r="Q977" s="240">
        <f>IF(COUNTIF(PDs!$AD$56:$AD$74,Tablas!C977)&gt;0,1,0)</f>
        <v>0</v>
      </c>
      <c r="R977" s="240"/>
      <c r="S977" s="240"/>
      <c r="T977" s="240"/>
      <c r="U977" s="240"/>
      <c r="V977" s="240">
        <f t="shared" si="72"/>
        <v>0</v>
      </c>
      <c r="W977" s="571">
        <f>20*IF(AND(Arma_Desarrollada="Desarmado",C977=PDs!$AD$56),0.5,1)</f>
        <v>20</v>
      </c>
    </row>
    <row r="978" spans="1:23" ht="12.75" customHeight="1" x14ac:dyDescent="0.2">
      <c r="A978" s="2528">
        <v>49</v>
      </c>
      <c r="B978" s="70"/>
      <c r="C978" s="525" t="s">
        <v>1416</v>
      </c>
      <c r="D978" s="2860">
        <f>20+Bono_Fue</f>
        <v>30</v>
      </c>
      <c r="E978" s="2860"/>
      <c r="F978" s="2860">
        <v>10</v>
      </c>
      <c r="G978" s="2860"/>
      <c r="H978" s="2860"/>
      <c r="I978" s="2860"/>
      <c r="J978" s="2860"/>
      <c r="K978" s="181" t="s">
        <v>1417</v>
      </c>
      <c r="L978" s="199"/>
      <c r="M978" s="199"/>
      <c r="N978" s="555"/>
      <c r="O978" s="199"/>
      <c r="P978" s="240" t="str">
        <f>IF(OR(HA_SinArmas_final&lt;130,HD_SinArmas_final&lt;100,$Q$977=0),"NO","-")</f>
        <v>NO</v>
      </c>
      <c r="Q978" s="240">
        <f>IF(COUNTIF(PDs!$AD$56:$AD$74,Tablas!C978)&gt;0,1,0)</f>
        <v>0</v>
      </c>
      <c r="R978" s="240"/>
      <c r="S978" s="240"/>
      <c r="T978" s="240"/>
      <c r="U978" s="240"/>
      <c r="V978" s="240">
        <f t="shared" si="72"/>
        <v>0</v>
      </c>
      <c r="W978" s="571">
        <f>30*IF(Arma_Desarrollada="Desarmado",IF(C977=PDs!$AD$56,0.5,1),1)</f>
        <v>30</v>
      </c>
    </row>
    <row r="979" spans="1:23" ht="12.75" customHeight="1" x14ac:dyDescent="0.2">
      <c r="A979" s="2528">
        <v>50</v>
      </c>
      <c r="B979" s="70"/>
      <c r="C979" s="525" t="s">
        <v>1418</v>
      </c>
      <c r="D979" s="2860">
        <f>20+Bono_Fue</f>
        <v>30</v>
      </c>
      <c r="E979" s="2860"/>
      <c r="F979" s="2860">
        <v>10</v>
      </c>
      <c r="G979" s="2860"/>
      <c r="H979" s="2860"/>
      <c r="I979" s="2860"/>
      <c r="J979" s="2860"/>
      <c r="K979" s="194" t="s">
        <v>1419</v>
      </c>
      <c r="L979" s="555"/>
      <c r="M979" s="555"/>
      <c r="N979" s="555"/>
      <c r="O979" s="555"/>
      <c r="P979" s="240" t="str">
        <f>IF(OR(HA_SinArmas_final&lt;200,$Q$978=0),"NO","-")</f>
        <v>NO</v>
      </c>
      <c r="Q979" s="240">
        <f>IF(COUNTIF(PDs!$AD$56:$AD$74,Tablas!C979)&gt;0,1,0)</f>
        <v>0</v>
      </c>
      <c r="R979" s="240"/>
      <c r="S979" s="240"/>
      <c r="T979" s="240"/>
      <c r="U979" s="240"/>
      <c r="V979" s="240">
        <f t="shared" si="72"/>
        <v>0</v>
      </c>
      <c r="W979" s="571">
        <f>50*IF(Arma_Desarrollada="Desarmado",IF(C977=PDs!$AD$56,0.5,1),1)</f>
        <v>50</v>
      </c>
    </row>
    <row r="980" spans="1:23" ht="12.75" customHeight="1" x14ac:dyDescent="0.2">
      <c r="A980" s="2528">
        <v>51</v>
      </c>
      <c r="B980" s="70"/>
      <c r="C980" s="525" t="s">
        <v>1420</v>
      </c>
      <c r="D980" s="2860">
        <f>20+Bono_Pod</f>
        <v>30</v>
      </c>
      <c r="E980" s="2860"/>
      <c r="F980" s="2860">
        <v>10</v>
      </c>
      <c r="G980" s="2860"/>
      <c r="H980" s="2860"/>
      <c r="I980" s="2860"/>
      <c r="J980" s="2860"/>
      <c r="K980" s="194" t="s">
        <v>2310</v>
      </c>
      <c r="L980" s="555"/>
      <c r="M980" s="555"/>
      <c r="N980" s="555"/>
      <c r="O980" s="555"/>
      <c r="P980" s="240" t="s">
        <v>2310</v>
      </c>
      <c r="Q980" s="240">
        <f>IF(COUNTIF(PDs!$AD$56:$AD$74,Tablas!C980)&gt;0,1,0)</f>
        <v>0</v>
      </c>
      <c r="R980" s="240"/>
      <c r="S980" s="240"/>
      <c r="T980" s="240"/>
      <c r="U980" s="240"/>
      <c r="V980" s="240">
        <f t="shared" si="72"/>
        <v>0</v>
      </c>
      <c r="W980" s="571">
        <f>20*IF(AND(Arma_Desarrollada="Desarmado",C980=PDs!$AD$56),0.5,1)</f>
        <v>20</v>
      </c>
    </row>
    <row r="981" spans="1:23" ht="12.75" customHeight="1" x14ac:dyDescent="0.2">
      <c r="A981" s="2528">
        <v>52</v>
      </c>
      <c r="B981" s="70"/>
      <c r="C981" s="525" t="s">
        <v>1421</v>
      </c>
      <c r="D981" s="2860">
        <f>20+2*Bono_Pod</f>
        <v>40</v>
      </c>
      <c r="E981" s="2860"/>
      <c r="F981" s="2860">
        <v>20</v>
      </c>
      <c r="G981" s="2860"/>
      <c r="H981" s="2860"/>
      <c r="I981" s="2860"/>
      <c r="J981" s="2860"/>
      <c r="K981" s="181" t="s">
        <v>2310</v>
      </c>
      <c r="L981" s="199"/>
      <c r="M981" s="199"/>
      <c r="N981" s="555"/>
      <c r="O981" s="199"/>
      <c r="P981" s="240" t="str">
        <f>IF(OR(NOT(Ki!$P$10="-"),$Q$980=0),"NO","-")</f>
        <v>NO</v>
      </c>
      <c r="Q981" s="240">
        <f>IF(COUNTIF(PDs!$AD$56:$AD$74,Tablas!C981)&gt;0,1,0)</f>
        <v>0</v>
      </c>
      <c r="R981" s="240"/>
      <c r="S981" s="240"/>
      <c r="T981" s="240"/>
      <c r="U981" s="240"/>
      <c r="V981" s="240">
        <f t="shared" si="72"/>
        <v>0</v>
      </c>
      <c r="W981" s="571">
        <f>30*IF(Arma_Desarrollada="Desarmado",IF(C980=PDs!$AD$56,0.5,1),1)</f>
        <v>30</v>
      </c>
    </row>
    <row r="982" spans="1:23" ht="12.75" customHeight="1" x14ac:dyDescent="0.2">
      <c r="A982" s="2528">
        <v>53</v>
      </c>
      <c r="B982" s="70"/>
      <c r="C982" s="525" t="s">
        <v>1422</v>
      </c>
      <c r="D982" s="2860">
        <f>20+3*Bono_Pod</f>
        <v>50</v>
      </c>
      <c r="E982" s="2860">
        <f>IF(V982&lt;MAX(V931:V1020),Bono_Pod,0)</f>
        <v>0</v>
      </c>
      <c r="F982" s="2860">
        <v>30</v>
      </c>
      <c r="G982" s="2860"/>
      <c r="H982" s="2860"/>
      <c r="I982" s="2860"/>
      <c r="J982" s="2860"/>
      <c r="K982" s="194" t="s">
        <v>2310</v>
      </c>
      <c r="L982" s="555"/>
      <c r="M982" s="555"/>
      <c r="N982" s="555"/>
      <c r="O982" s="555"/>
      <c r="P982" s="240" t="str">
        <f>IF(OR(NOT(Ki!$P$49="-"),$Q$981=0,HA_SinArmas_final&lt;180,HD_SinArmas_final&lt;180),"NO","-")</f>
        <v>NO</v>
      </c>
      <c r="Q982" s="240">
        <f>IF(COUNTIF(PDs!$AD$56:$AD$74,Tablas!C982)&gt;0,1,0)</f>
        <v>0</v>
      </c>
      <c r="R982" s="240"/>
      <c r="S982" s="240"/>
      <c r="T982" s="240"/>
      <c r="U982" s="240"/>
      <c r="V982" s="240">
        <f t="shared" si="72"/>
        <v>0</v>
      </c>
      <c r="W982" s="571">
        <f>50*IF(Arma_Desarrollada="Desarmado",IF(C980=PDs!$AD$56,0.5,1),1)</f>
        <v>50</v>
      </c>
    </row>
    <row r="983" spans="1:23" ht="12.75" customHeight="1" x14ac:dyDescent="0.2">
      <c r="A983" s="2528">
        <v>54</v>
      </c>
      <c r="B983" s="70"/>
      <c r="C983" s="525" t="s">
        <v>1423</v>
      </c>
      <c r="D983" s="2860">
        <f>10+Bono_Fue</f>
        <v>20</v>
      </c>
      <c r="E983" s="2860"/>
      <c r="F983" s="2860">
        <v>0</v>
      </c>
      <c r="G983" s="2860"/>
      <c r="H983" s="2860"/>
      <c r="I983" s="2860"/>
      <c r="J983" s="2860"/>
      <c r="K983" s="194" t="s">
        <v>1424</v>
      </c>
      <c r="L983" s="555"/>
      <c r="M983" s="555"/>
      <c r="N983" s="555"/>
      <c r="O983" s="555"/>
      <c r="P983" s="240" t="str">
        <f>IF(T.Manos_final&lt;20,"NO","-")</f>
        <v>NO</v>
      </c>
      <c r="Q983" s="240">
        <f>IF(COUNTIF(PDs!$AD$56:$AD$74,Tablas!C983)&gt;0,1,0)</f>
        <v>0</v>
      </c>
      <c r="R983" s="240"/>
      <c r="S983" s="240"/>
      <c r="T983" s="240"/>
      <c r="U983" s="240"/>
      <c r="V983" s="240">
        <f t="shared" si="72"/>
        <v>0</v>
      </c>
      <c r="W983" s="571">
        <f>20*IF(AND(Arma_Desarrollada="Desarmado",C983=PDs!$AD$56),0.5,1)</f>
        <v>20</v>
      </c>
    </row>
    <row r="984" spans="1:23" ht="12.75" customHeight="1" x14ac:dyDescent="0.2">
      <c r="A984" s="2528">
        <v>55</v>
      </c>
      <c r="B984" s="70"/>
      <c r="C984" s="525" t="s">
        <v>1425</v>
      </c>
      <c r="D984" s="2860">
        <f>20+Bono_Fue</f>
        <v>30</v>
      </c>
      <c r="E984" s="2860"/>
      <c r="F984" s="2860">
        <v>10</v>
      </c>
      <c r="G984" s="2860"/>
      <c r="H984" s="2860"/>
      <c r="I984" s="2860"/>
      <c r="J984" s="2860"/>
      <c r="K984" s="194" t="s">
        <v>1426</v>
      </c>
      <c r="L984" s="555"/>
      <c r="M984" s="555"/>
      <c r="N984" s="555"/>
      <c r="O984" s="555"/>
      <c r="P984" s="240" t="str">
        <f>IF(OR(T.Manos_final&lt;50,Turno_SinArmas_final&lt;100,HA_SinArmas_final&lt;120,$Q$983=0),"NO","-")</f>
        <v>NO</v>
      </c>
      <c r="Q984" s="240">
        <f>IF(COUNTIF(PDs!$AD$56:$AD$74,Tablas!C984)&gt;0,1,0)</f>
        <v>0</v>
      </c>
      <c r="R984" s="240"/>
      <c r="S984" s="240"/>
      <c r="T984" s="240"/>
      <c r="U984" s="240"/>
      <c r="V984" s="240">
        <f t="shared" si="72"/>
        <v>0</v>
      </c>
      <c r="W984" s="571">
        <f>30*IF(Arma_Desarrollada="Desarmado",IF(C983=PDs!$AD$56,0.5,1),1)</f>
        <v>30</v>
      </c>
    </row>
    <row r="985" spans="1:23" ht="12.75" customHeight="1" x14ac:dyDescent="0.2">
      <c r="A985" s="2528">
        <v>56</v>
      </c>
      <c r="B985" s="70"/>
      <c r="C985" s="525" t="s">
        <v>1427</v>
      </c>
      <c r="D985" s="2860">
        <f>30+Bono_Fue</f>
        <v>40</v>
      </c>
      <c r="E985" s="2860"/>
      <c r="F985" s="2860">
        <v>10</v>
      </c>
      <c r="G985" s="2860"/>
      <c r="H985" s="2860"/>
      <c r="I985" s="2860"/>
      <c r="J985" s="2860"/>
      <c r="K985" s="194" t="s">
        <v>1428</v>
      </c>
      <c r="L985" s="555"/>
      <c r="M985" s="555"/>
      <c r="N985" s="555"/>
      <c r="O985" s="555"/>
      <c r="P985" s="240" t="str">
        <f>IF(OR(T.Manos_final&lt;100,Turno_SinArmas_final&lt;120,HA_SinArmas_final&lt;200,$Q$984=0),"NO","-")</f>
        <v>NO</v>
      </c>
      <c r="Q985" s="240">
        <f>IF(COUNTIF(PDs!$AD$56:$AD$74,Tablas!C985)&gt;0,1,0)</f>
        <v>0</v>
      </c>
      <c r="R985" s="240"/>
      <c r="S985" s="240"/>
      <c r="T985" s="240"/>
      <c r="U985" s="240"/>
      <c r="V985" s="240">
        <f t="shared" si="72"/>
        <v>0</v>
      </c>
      <c r="W985" s="571">
        <f>50*IF(Arma_Desarrollada="Desarmado",IF(C983=PDs!$AD$56,0.5,1),1)</f>
        <v>50</v>
      </c>
    </row>
    <row r="986" spans="1:23" ht="12.75" customHeight="1" x14ac:dyDescent="0.2">
      <c r="A986" s="2528">
        <v>57</v>
      </c>
      <c r="B986" s="70"/>
      <c r="C986" s="267" t="s">
        <v>1429</v>
      </c>
      <c r="D986" s="2860"/>
      <c r="E986" s="2860"/>
      <c r="F986" s="2860"/>
      <c r="G986" s="2860"/>
      <c r="H986" s="2860"/>
      <c r="I986" s="2860"/>
      <c r="J986" s="2860"/>
      <c r="K986" s="194" t="s">
        <v>2310</v>
      </c>
      <c r="L986" s="240"/>
      <c r="M986" s="240"/>
      <c r="N986" s="2286"/>
      <c r="O986" s="240"/>
      <c r="P986" s="240" t="s">
        <v>2310</v>
      </c>
      <c r="Q986" s="240">
        <f>IF(COUNTIF(PDs!$AD$56:$AD$74,Tablas!C986)&gt;0,1,0)</f>
        <v>0</v>
      </c>
      <c r="R986" s="240"/>
      <c r="S986" s="240"/>
      <c r="T986" s="240"/>
      <c r="U986" s="240"/>
      <c r="V986" s="240">
        <f t="shared" si="72"/>
        <v>0</v>
      </c>
      <c r="W986" s="571">
        <v>0</v>
      </c>
    </row>
    <row r="987" spans="1:23" ht="12.75" customHeight="1" x14ac:dyDescent="0.2">
      <c r="A987" s="2528">
        <v>58</v>
      </c>
      <c r="B987" s="70"/>
      <c r="C987" s="525" t="s">
        <v>1430</v>
      </c>
      <c r="D987" s="2860">
        <v>0</v>
      </c>
      <c r="E987" s="2860">
        <v>10</v>
      </c>
      <c r="F987" s="2860">
        <v>10</v>
      </c>
      <c r="G987" s="2860">
        <v>10</v>
      </c>
      <c r="H987" s="2860">
        <v>10</v>
      </c>
      <c r="I987" s="2860">
        <v>10</v>
      </c>
      <c r="J987" s="2860">
        <v>10</v>
      </c>
      <c r="K987" s="181" t="s">
        <v>2310</v>
      </c>
      <c r="L987" s="199"/>
      <c r="M987" s="199"/>
      <c r="N987" s="555"/>
      <c r="O987" s="199"/>
      <c r="P987" s="240" t="str">
        <f>IF(OR(HA_SinArmas_final-10&lt;160,HD_SinArmas_final-10&lt;160,$Q$954=0),"NO","-")</f>
        <v>NO</v>
      </c>
      <c r="Q987" s="240">
        <f>IF(COUNTIF(PDs!$AD$56:$AD$74,Tablas!C987)&gt;0,1,0)</f>
        <v>0</v>
      </c>
      <c r="R987" s="240"/>
      <c r="S987" s="240"/>
      <c r="T987" s="240"/>
      <c r="U987" s="240"/>
      <c r="V987" s="240">
        <f t="shared" si="72"/>
        <v>0</v>
      </c>
      <c r="W987" s="571">
        <v>50</v>
      </c>
    </row>
    <row r="988" spans="1:23" ht="12.75" customHeight="1" x14ac:dyDescent="0.2">
      <c r="A988" s="2528">
        <v>59</v>
      </c>
      <c r="B988" s="70"/>
      <c r="C988" s="525" t="s">
        <v>1431</v>
      </c>
      <c r="D988" s="2860">
        <v>0</v>
      </c>
      <c r="E988" s="2860"/>
      <c r="F988" s="2860">
        <v>10</v>
      </c>
      <c r="G988" s="2860"/>
      <c r="H988" s="2860"/>
      <c r="I988" s="2860"/>
      <c r="J988" s="2860"/>
      <c r="K988" s="181" t="s">
        <v>1432</v>
      </c>
      <c r="L988" s="90"/>
      <c r="M988" s="90"/>
      <c r="N988" s="2287"/>
      <c r="O988" s="90"/>
      <c r="P988" s="240" t="str">
        <f>IF(OR(HA_SinArmas_final-10&lt;280,HD_SinArmas_final-10&lt;280,AND($Q$987=0,$Q$955=0),NOT(Inhumanidad)),"NO","-")</f>
        <v>NO</v>
      </c>
      <c r="Q988" s="240">
        <f>IF(COUNTIF(PDs!$AD$56:$AD$74,Tablas!C988)&gt;0,1,0)</f>
        <v>0</v>
      </c>
      <c r="R988" s="240"/>
      <c r="S988" s="240"/>
      <c r="T988" s="240">
        <v>10</v>
      </c>
      <c r="U988" s="240">
        <v>10</v>
      </c>
      <c r="V988" s="240">
        <f t="shared" si="72"/>
        <v>0</v>
      </c>
      <c r="W988" s="571">
        <v>50</v>
      </c>
    </row>
    <row r="989" spans="1:23" ht="12.75" customHeight="1" x14ac:dyDescent="0.2">
      <c r="A989" s="2528">
        <v>60</v>
      </c>
      <c r="B989" s="70"/>
      <c r="C989" s="525" t="s">
        <v>1433</v>
      </c>
      <c r="D989" s="2860">
        <v>0</v>
      </c>
      <c r="E989" s="2860">
        <v>10</v>
      </c>
      <c r="F989" s="2860">
        <v>10</v>
      </c>
      <c r="G989" s="2860">
        <v>20</v>
      </c>
      <c r="H989" s="2860"/>
      <c r="I989" s="2860"/>
      <c r="J989" s="2860"/>
      <c r="K989" s="181" t="s">
        <v>1434</v>
      </c>
      <c r="L989" s="199"/>
      <c r="M989" s="199"/>
      <c r="N989" s="555"/>
      <c r="O989" s="199"/>
      <c r="P989" s="240" t="str">
        <f>IF(OR(NOT(OR($Q$948=1,$Q$939=1)),NOT(Extrusióndepresencia)),"NO","-")</f>
        <v>NO</v>
      </c>
      <c r="Q989" s="240">
        <f>IF(COUNTIF(PDs!$AD$56:$AD$74,Tablas!C989)&gt;0,1,0)</f>
        <v>0</v>
      </c>
      <c r="R989" s="240" t="s">
        <v>2409</v>
      </c>
      <c r="S989" s="240" t="s">
        <v>2410</v>
      </c>
      <c r="T989" s="240"/>
      <c r="U989" s="240"/>
      <c r="V989" s="240">
        <f t="shared" si="72"/>
        <v>0</v>
      </c>
      <c r="W989" s="571">
        <v>50</v>
      </c>
    </row>
    <row r="990" spans="1:23" ht="12.75" customHeight="1" x14ac:dyDescent="0.2">
      <c r="A990" s="2528">
        <v>61</v>
      </c>
      <c r="B990" s="70"/>
      <c r="C990" s="525" t="s">
        <v>1435</v>
      </c>
      <c r="D990" s="2860">
        <v>0</v>
      </c>
      <c r="E990" s="2860">
        <v>10</v>
      </c>
      <c r="F990" s="2860">
        <v>10</v>
      </c>
      <c r="G990" s="2860"/>
      <c r="H990" s="2860"/>
      <c r="I990" s="2860"/>
      <c r="J990" s="2860"/>
      <c r="K990" s="194" t="s">
        <v>1436</v>
      </c>
      <c r="L990" s="555"/>
      <c r="M990" s="555"/>
      <c r="N990" s="555"/>
      <c r="O990" s="555"/>
      <c r="P990" s="240" t="str">
        <f>IF(OR(NOT(OR($Q$949=1,$Q$940=1)),$Q$989=0,NOT(Inhumanidad),HA_SinArmas_final-20&lt;280),"NO","-")</f>
        <v>NO</v>
      </c>
      <c r="Q990" s="240">
        <f>IF(COUNTIF(PDs!$AD$56:$AD$74,Tablas!C990)&gt;0,1,0)</f>
        <v>0</v>
      </c>
      <c r="R990" s="240"/>
      <c r="S990" s="240"/>
      <c r="T990" s="240">
        <v>20</v>
      </c>
      <c r="U990" s="240"/>
      <c r="V990" s="240">
        <f t="shared" si="72"/>
        <v>0</v>
      </c>
      <c r="W990" s="571">
        <v>50</v>
      </c>
    </row>
    <row r="991" spans="1:23" ht="12.75" customHeight="1" x14ac:dyDescent="0.2">
      <c r="A991" s="2528">
        <v>62</v>
      </c>
      <c r="B991" s="70"/>
      <c r="C991" s="525" t="s">
        <v>1437</v>
      </c>
      <c r="D991" s="2860">
        <v>0</v>
      </c>
      <c r="E991" s="2860"/>
      <c r="F991" s="2860">
        <v>10</v>
      </c>
      <c r="G991" s="2860">
        <v>20</v>
      </c>
      <c r="H991" s="2860"/>
      <c r="I991" s="2860"/>
      <c r="J991" s="2860">
        <v>10</v>
      </c>
      <c r="K991" s="181" t="str">
        <f>IF($Q$961=0,"Desarmar sin penalizador y con +3 a los controles enfrentados","Desarmar sin penalizador y con +4 a los controles enfrentados")</f>
        <v>Desarmar sin penalizador y con +3 a los controles enfrentados</v>
      </c>
      <c r="L991" s="199"/>
      <c r="M991" s="199"/>
      <c r="N991" s="555"/>
      <c r="O991" s="199"/>
      <c r="P991" s="240" t="str">
        <f>IF(OR(NOT(OR($Q$948=1,$Q$950=1,$Q$960=1)),HA_SinArmas_final-20&lt;200),"NO","-")</f>
        <v>NO</v>
      </c>
      <c r="Q991" s="240">
        <f>IF(COUNTIF(PDs!$AD$56:$AD$74,Tablas!C991)&gt;0,1,0)</f>
        <v>0</v>
      </c>
      <c r="R991" s="240"/>
      <c r="S991" s="240"/>
      <c r="T991" s="240"/>
      <c r="U991" s="240"/>
      <c r="V991" s="240">
        <f t="shared" si="72"/>
        <v>0</v>
      </c>
      <c r="W991" s="571">
        <v>50</v>
      </c>
    </row>
    <row r="992" spans="1:23" ht="12.75" customHeight="1" x14ac:dyDescent="0.2">
      <c r="A992" s="2528">
        <v>63</v>
      </c>
      <c r="B992" s="70"/>
      <c r="C992" s="525" t="s">
        <v>1438</v>
      </c>
      <c r="D992" s="2860">
        <v>0</v>
      </c>
      <c r="E992" s="2860"/>
      <c r="F992" s="2860">
        <v>10</v>
      </c>
      <c r="G992" s="2860"/>
      <c r="H992" s="2860"/>
      <c r="I992" s="2860"/>
      <c r="J992" s="2860">
        <v>10</v>
      </c>
      <c r="K992" s="194" t="s">
        <v>1439</v>
      </c>
      <c r="L992" s="555"/>
      <c r="M992" s="555"/>
      <c r="N992" s="555"/>
      <c r="O992" s="555"/>
      <c r="P992" s="240" t="str">
        <f>IF(OR(NOT(OR($Q$949=1,$Q$952=1,$Q$961=1)),HA_SinArmas_final-20&lt;280,HD_SinArmas_final&lt;260,$Q$991=0),"NO","-")</f>
        <v>NO</v>
      </c>
      <c r="Q992" s="240">
        <f>IF(COUNTIF(PDs!$AD$56:$AD$74,Tablas!C992)&gt;0,1,0)</f>
        <v>0</v>
      </c>
      <c r="R992" s="240"/>
      <c r="S992" s="240"/>
      <c r="T992" s="240">
        <v>20</v>
      </c>
      <c r="U992" s="240"/>
      <c r="V992" s="240">
        <f t="shared" si="72"/>
        <v>0</v>
      </c>
      <c r="W992" s="571">
        <v>50</v>
      </c>
    </row>
    <row r="993" spans="1:24" ht="12.75" customHeight="1" x14ac:dyDescent="0.2">
      <c r="A993" s="2528">
        <v>64</v>
      </c>
      <c r="B993" s="70"/>
      <c r="C993" s="525" t="s">
        <v>1440</v>
      </c>
      <c r="D993" s="2860">
        <v>0</v>
      </c>
      <c r="E993" s="2860"/>
      <c r="F993" s="2860">
        <v>10</v>
      </c>
      <c r="G993" s="2860"/>
      <c r="H993" s="2860">
        <v>20</v>
      </c>
      <c r="I993" s="2860">
        <v>20</v>
      </c>
      <c r="J993" s="2860"/>
      <c r="K993" s="181" t="s">
        <v>1441</v>
      </c>
      <c r="L993" s="199"/>
      <c r="M993" s="199"/>
      <c r="N993" s="555"/>
      <c r="O993" s="199"/>
      <c r="P993" s="240" t="str">
        <f>IF(OR(NOT(OR($Q$969=1,$Q$972=1)),HA_SinArmas_final&lt;160,HD_SinArmas_final-20&lt;160),"NO","-")</f>
        <v>NO</v>
      </c>
      <c r="Q993" s="240">
        <f>IF(COUNTIF(PDs!$AD$56:$AD$74,Tablas!C993)&gt;0,1,0)</f>
        <v>0</v>
      </c>
      <c r="R993" s="240"/>
      <c r="S993" s="240"/>
      <c r="T993" s="240"/>
      <c r="U993" s="240"/>
      <c r="V993" s="240">
        <f t="shared" si="72"/>
        <v>0</v>
      </c>
      <c r="W993" s="571">
        <v>50</v>
      </c>
      <c r="X993" s="447" t="s">
        <v>9535</v>
      </c>
    </row>
    <row r="994" spans="1:24" ht="12.75" customHeight="1" x14ac:dyDescent="0.2">
      <c r="A994" s="2528">
        <v>65</v>
      </c>
      <c r="B994" s="70"/>
      <c r="C994" s="525" t="s">
        <v>1442</v>
      </c>
      <c r="D994" s="2860">
        <v>0</v>
      </c>
      <c r="E994" s="2860"/>
      <c r="F994" s="2860">
        <v>10</v>
      </c>
      <c r="G994" s="2860"/>
      <c r="H994" s="2860"/>
      <c r="I994" s="2860"/>
      <c r="J994" s="2860"/>
      <c r="K994" s="194" t="s">
        <v>1443</v>
      </c>
      <c r="L994" s="555"/>
      <c r="M994" s="555"/>
      <c r="N994" s="555"/>
      <c r="O994" s="555"/>
      <c r="P994" s="240" t="str">
        <f>IF(OR(NOT(OR($Q$970=1,$Q$973=1)),HA_SinArmas_final-15&lt;280,NOT(Inhumanidad),HD_SinArmas_final-15&lt;280,$Q$993=0,NOT(Erudición)),"NO","-")</f>
        <v>NO</v>
      </c>
      <c r="Q994" s="240">
        <f>IF(COUNTIF(PDs!$AD$56:$AD$74,Tablas!C994)&gt;0,1,0)</f>
        <v>0</v>
      </c>
      <c r="R994" s="240"/>
      <c r="S994" s="240"/>
      <c r="T994" s="240">
        <v>15</v>
      </c>
      <c r="U994" s="240">
        <v>15</v>
      </c>
      <c r="V994" s="240">
        <f t="shared" si="72"/>
        <v>0</v>
      </c>
      <c r="W994" s="571">
        <v>50</v>
      </c>
    </row>
    <row r="995" spans="1:24" ht="12.75" customHeight="1" x14ac:dyDescent="0.2">
      <c r="A995" s="2528">
        <v>66</v>
      </c>
      <c r="B995" s="70"/>
      <c r="C995" s="525" t="s">
        <v>1444</v>
      </c>
      <c r="D995" s="2860">
        <f>2*Presencia_final+Bono_Pod-Combate!$R$23</f>
        <v>70</v>
      </c>
      <c r="E995" s="2860"/>
      <c r="F995" s="2860">
        <v>15</v>
      </c>
      <c r="G995" s="2860">
        <v>10</v>
      </c>
      <c r="H995" s="2860"/>
      <c r="I995" s="2860"/>
      <c r="J995" s="2860"/>
      <c r="K995" s="194" t="s">
        <v>1445</v>
      </c>
      <c r="L995" s="555"/>
      <c r="M995" s="555"/>
      <c r="N995" s="555"/>
      <c r="O995" s="555"/>
      <c r="P995" s="240" t="str">
        <f>IF(OR(NOT(OR($Q$945=1,$Q$981=1)),HA_SinArmas_final-10&lt;200,NOT(Extensióndelauraalarma)),"NO","-")</f>
        <v>NO</v>
      </c>
      <c r="Q995" s="240">
        <f>IF(COUNTIF(PDs!$AD$56:$AD$74,Tablas!C995)&gt;0,1,0)</f>
        <v>0</v>
      </c>
      <c r="R995" s="240"/>
      <c r="S995" s="240"/>
      <c r="T995" s="240"/>
      <c r="U995" s="240"/>
      <c r="V995" s="240">
        <f t="shared" si="72"/>
        <v>0</v>
      </c>
      <c r="W995" s="571">
        <v>50</v>
      </c>
      <c r="X995" s="447" t="s">
        <v>9535</v>
      </c>
    </row>
    <row r="996" spans="1:24" ht="12.75" customHeight="1" x14ac:dyDescent="0.2">
      <c r="A996" s="2528">
        <v>67</v>
      </c>
      <c r="B996" s="70"/>
      <c r="C996" s="525" t="s">
        <v>1446</v>
      </c>
      <c r="D996" s="2860">
        <f>2*Presencia_final+Bono_Pod-Combate!$R$23</f>
        <v>70</v>
      </c>
      <c r="E996" s="2860"/>
      <c r="F996" s="2860">
        <v>20</v>
      </c>
      <c r="G996" s="2860"/>
      <c r="H996" s="2860"/>
      <c r="I996" s="2860"/>
      <c r="J996" s="2860"/>
      <c r="K996" s="194" t="s">
        <v>2310</v>
      </c>
      <c r="L996" s="555"/>
      <c r="M996" s="555"/>
      <c r="N996" s="555"/>
      <c r="O996" s="555"/>
      <c r="P996" s="240" t="str">
        <f>IF(OR(NOT(OR($Q$946=1,$Q$982=1)),$Q$995=0,HA_SinArmas_final-25&lt;300,NOT(Inhumanidad)),"NO","-")</f>
        <v>NO</v>
      </c>
      <c r="Q996" s="240">
        <f>IF(COUNTIF(PDs!$AD$56:$AD$74,Tablas!C996)&gt;0,1,0)</f>
        <v>0</v>
      </c>
      <c r="R996" s="240"/>
      <c r="S996" s="240"/>
      <c r="T996" s="240">
        <v>25</v>
      </c>
      <c r="U996" s="240"/>
      <c r="V996" s="240">
        <f t="shared" si="72"/>
        <v>0</v>
      </c>
      <c r="W996" s="571">
        <v>50</v>
      </c>
    </row>
    <row r="997" spans="1:24" ht="12.75" customHeight="1" x14ac:dyDescent="0.2">
      <c r="A997" s="2528">
        <v>68</v>
      </c>
      <c r="B997" s="70"/>
      <c r="C997" s="525" t="s">
        <v>1447</v>
      </c>
      <c r="D997" s="2860">
        <v>0</v>
      </c>
      <c r="E997" s="2860"/>
      <c r="F997" s="2860">
        <v>10</v>
      </c>
      <c r="G997" s="2860">
        <v>10</v>
      </c>
      <c r="H997" s="2860"/>
      <c r="I997" s="2860"/>
      <c r="J997" s="2860"/>
      <c r="K997" s="194" t="s">
        <v>1448</v>
      </c>
      <c r="L997" s="555"/>
      <c r="M997" s="555"/>
      <c r="N997" s="555"/>
      <c r="O997" s="555"/>
      <c r="P997" s="240" t="str">
        <f>IF(OR(NOT(OR($Q$936=1,$Q$972=1)),HA_SinArmas_final-10&lt;200),"NO","-")</f>
        <v>NO</v>
      </c>
      <c r="Q997" s="240">
        <f>IF(COUNTIF(PDs!$AD$56:$AD$74,Tablas!C997)&gt;0,1,0)</f>
        <v>0</v>
      </c>
      <c r="R997" s="240"/>
      <c r="S997" s="240"/>
      <c r="T997" s="240"/>
      <c r="U997" s="240"/>
      <c r="V997" s="240">
        <f t="shared" si="72"/>
        <v>0</v>
      </c>
      <c r="W997" s="571">
        <v>50</v>
      </c>
    </row>
    <row r="998" spans="1:24" ht="12.75" customHeight="1" x14ac:dyDescent="0.2">
      <c r="A998" s="2528">
        <v>69</v>
      </c>
      <c r="B998" s="70"/>
      <c r="C998" s="525" t="s">
        <v>1449</v>
      </c>
      <c r="D998" s="2860">
        <v>0</v>
      </c>
      <c r="E998" s="2860"/>
      <c r="F998" s="2860">
        <v>10</v>
      </c>
      <c r="G998" s="2860"/>
      <c r="H998" s="2860"/>
      <c r="I998" s="2860"/>
      <c r="J998" s="2860"/>
      <c r="K998" s="194" t="s">
        <v>1450</v>
      </c>
      <c r="L998" s="555"/>
      <c r="M998" s="555"/>
      <c r="N998" s="555"/>
      <c r="O998" s="555"/>
      <c r="P998" s="240" t="str">
        <f>IF(OR(NOT(OR($Q$937=1,$Q$973=1)),$Q$997=0,NOT(Extrusióndepresencia),HA_SinArmas_final-15&lt;300,NOT(Inhumanidad)),"NO","-")</f>
        <v>NO</v>
      </c>
      <c r="Q998" s="240">
        <f>IF(COUNTIF(PDs!$AD$56:$AD$74,Tablas!C998)&gt;0,1,0)</f>
        <v>0</v>
      </c>
      <c r="R998" s="240"/>
      <c r="S998" s="240"/>
      <c r="T998" s="240">
        <v>15</v>
      </c>
      <c r="U998" s="240"/>
      <c r="V998" s="240">
        <f t="shared" si="72"/>
        <v>0</v>
      </c>
      <c r="W998" s="571">
        <v>50</v>
      </c>
    </row>
    <row r="999" spans="1:24" ht="12.75" customHeight="1" x14ac:dyDescent="0.2">
      <c r="A999" s="2528">
        <v>70</v>
      </c>
      <c r="B999" s="70"/>
      <c r="C999" s="525" t="s">
        <v>1451</v>
      </c>
      <c r="D999" s="2860">
        <v>0</v>
      </c>
      <c r="E999" s="2860">
        <v>20</v>
      </c>
      <c r="F999" s="2860">
        <v>10</v>
      </c>
      <c r="G999" s="2860">
        <v>10</v>
      </c>
      <c r="H999" s="2860"/>
      <c r="I999" s="2860"/>
      <c r="J999" s="2860">
        <v>20</v>
      </c>
      <c r="K999" s="181" t="s">
        <v>1452</v>
      </c>
      <c r="L999" s="199"/>
      <c r="M999" s="199"/>
      <c r="N999" s="555"/>
      <c r="O999" s="199"/>
      <c r="P999" s="240" t="str">
        <f>IF(OR(NOT(OR($Q$963=1,$Q$972=1)),HA_SinArmas_final-10&lt;200,NOT(Usodelaenergíanecesaria)),"NO","-")</f>
        <v>NO</v>
      </c>
      <c r="Q999" s="240">
        <f>IF(COUNTIF(PDs!$AD$56:$AD$74,Tablas!C999)&gt;0,1,0)</f>
        <v>0</v>
      </c>
      <c r="R999" s="240"/>
      <c r="S999" s="240"/>
      <c r="T999" s="240"/>
      <c r="U999" s="240"/>
      <c r="V999" s="240">
        <f t="shared" si="72"/>
        <v>0</v>
      </c>
      <c r="W999" s="571">
        <v>50</v>
      </c>
    </row>
    <row r="1000" spans="1:24" ht="12.75" customHeight="1" x14ac:dyDescent="0.2">
      <c r="A1000" s="2528">
        <v>71</v>
      </c>
      <c r="B1000" s="70"/>
      <c r="C1000" s="525" t="s">
        <v>1453</v>
      </c>
      <c r="D1000" s="2860">
        <v>0</v>
      </c>
      <c r="E1000" s="2860">
        <v>10</v>
      </c>
      <c r="F1000" s="2860">
        <v>10</v>
      </c>
      <c r="G1000" s="2860"/>
      <c r="H1000" s="2860"/>
      <c r="I1000" s="2860"/>
      <c r="J1000" s="2860">
        <v>20</v>
      </c>
      <c r="K1000" s="194" t="s">
        <v>1454</v>
      </c>
      <c r="L1000" s="555"/>
      <c r="M1000" s="555"/>
      <c r="N1000" s="555"/>
      <c r="O1000" s="555"/>
      <c r="P1000" s="240" t="str">
        <f>IF(OR(NOT(OR($Q$964=1,$Q$973=1)),$Q$999=0,HA_SinArmas_final-20&lt;300,NOT(Inhumanidad)),"NO","-")</f>
        <v>NO</v>
      </c>
      <c r="Q1000" s="240">
        <f>IF(COUNTIF(PDs!$AD$56:$AD$74,Tablas!C1000)&gt;0,1,0)</f>
        <v>0</v>
      </c>
      <c r="R1000" s="240"/>
      <c r="S1000" s="240"/>
      <c r="T1000" s="240">
        <v>20</v>
      </c>
      <c r="U1000" s="240"/>
      <c r="V1000" s="240">
        <f t="shared" si="72"/>
        <v>0</v>
      </c>
      <c r="W1000" s="571">
        <v>50</v>
      </c>
    </row>
    <row r="1001" spans="1:24" ht="12.75" customHeight="1" x14ac:dyDescent="0.2">
      <c r="A1001" s="2528">
        <v>72</v>
      </c>
      <c r="B1001" s="70"/>
      <c r="C1001" s="525" t="s">
        <v>1455</v>
      </c>
      <c r="D1001" s="2860">
        <v>0</v>
      </c>
      <c r="E1001" s="2860"/>
      <c r="F1001" s="2860">
        <v>10</v>
      </c>
      <c r="G1001" s="2860"/>
      <c r="H1001" s="2860">
        <v>10</v>
      </c>
      <c r="I1001" s="2860">
        <v>10</v>
      </c>
      <c r="J1001" s="2860"/>
      <c r="K1001" s="194" t="s">
        <v>1456</v>
      </c>
      <c r="L1001" s="555"/>
      <c r="M1001" s="555"/>
      <c r="N1001" s="555"/>
      <c r="O1001" s="555"/>
      <c r="P1001" s="240" t="str">
        <f>IF(OR(HD_SinArmas_final-10&lt;200,$Q$975=0,Advertir_final&lt;200,NOT(DeteccióndelKi)),"NO","-")</f>
        <v>NO</v>
      </c>
      <c r="Q1001" s="240">
        <f>IF(COUNTIF(PDs!$AD$56:$AD$74,Tablas!C1001)&gt;0,1,0)</f>
        <v>0</v>
      </c>
      <c r="R1001" s="240"/>
      <c r="S1001" s="240"/>
      <c r="T1001" s="240"/>
      <c r="U1001" s="240"/>
      <c r="V1001" s="240">
        <f t="shared" si="72"/>
        <v>0</v>
      </c>
      <c r="W1001" s="571">
        <v>50</v>
      </c>
      <c r="X1001" s="447" t="s">
        <v>9535</v>
      </c>
    </row>
    <row r="1002" spans="1:24" ht="12.75" customHeight="1" x14ac:dyDescent="0.2">
      <c r="A1002" s="2528">
        <v>73</v>
      </c>
      <c r="B1002" s="70"/>
      <c r="C1002" s="525" t="s">
        <v>1457</v>
      </c>
      <c r="D1002" s="2860">
        <v>0</v>
      </c>
      <c r="E1002" s="2860"/>
      <c r="F1002" s="2860">
        <v>10</v>
      </c>
      <c r="G1002" s="2860"/>
      <c r="H1002" s="2860"/>
      <c r="I1002" s="2860"/>
      <c r="J1002" s="2860"/>
      <c r="K1002" s="194" t="s">
        <v>1458</v>
      </c>
      <c r="L1002" s="555"/>
      <c r="M1002" s="555"/>
      <c r="N1002" s="555"/>
      <c r="O1002" s="555"/>
      <c r="P1002" s="240" t="str">
        <f>IF(OR(HD_SinArmas_final-20&lt;300,$Q$976=0,$Q$1001=0,Advertir_final&lt;240,NOT(Inhumanidad),NOT(Erudición)),"NO","-")</f>
        <v>NO</v>
      </c>
      <c r="Q1002" s="240">
        <f>IF(COUNTIF(PDs!$AD$56:$AD$74,Tablas!C1002)&gt;0,1,0)</f>
        <v>0</v>
      </c>
      <c r="R1002" s="240"/>
      <c r="S1002" s="240"/>
      <c r="T1002" s="240">
        <v>20</v>
      </c>
      <c r="U1002" s="240"/>
      <c r="V1002" s="240">
        <f t="shared" si="72"/>
        <v>0</v>
      </c>
      <c r="W1002" s="571">
        <v>50</v>
      </c>
    </row>
    <row r="1003" spans="1:24" ht="12.75" customHeight="1" x14ac:dyDescent="0.2">
      <c r="A1003" s="2528">
        <v>74</v>
      </c>
      <c r="B1003" s="70"/>
      <c r="C1003" s="525" t="s">
        <v>1459</v>
      </c>
      <c r="D1003" s="2860">
        <v>0</v>
      </c>
      <c r="E1003" s="2860"/>
      <c r="F1003" s="2860">
        <v>10</v>
      </c>
      <c r="G1003" s="2860"/>
      <c r="H1003" s="2860">
        <v>20</v>
      </c>
      <c r="I1003" s="2860">
        <v>20</v>
      </c>
      <c r="J1003" s="2860"/>
      <c r="K1003" s="194" t="s">
        <v>1460</v>
      </c>
      <c r="L1003" s="555"/>
      <c r="M1003" s="555"/>
      <c r="N1003" s="555"/>
      <c r="O1003" s="555"/>
      <c r="P1003" s="240" t="str">
        <f>IF(OR(HD_SinArmas_final-20&lt;220,$Q$957=0,Estilo_final&lt;120,NOT(DeteccióndelKi)),"NO","-")</f>
        <v>NO</v>
      </c>
      <c r="Q1003" s="240">
        <f>IF(COUNTIF(PDs!$AD$56:$AD$74,Tablas!C1003)&gt;0,1,0)</f>
        <v>0</v>
      </c>
      <c r="R1003" s="240"/>
      <c r="S1003" s="240"/>
      <c r="T1003" s="240"/>
      <c r="U1003" s="240"/>
      <c r="V1003" s="240">
        <f t="shared" si="72"/>
        <v>0</v>
      </c>
      <c r="W1003" s="571">
        <v>50</v>
      </c>
    </row>
    <row r="1004" spans="1:24" ht="12.75" customHeight="1" x14ac:dyDescent="0.2">
      <c r="A1004" s="2528">
        <v>75</v>
      </c>
      <c r="B1004" s="70"/>
      <c r="C1004" s="525" t="s">
        <v>1461</v>
      </c>
      <c r="D1004" s="2860">
        <v>0</v>
      </c>
      <c r="E1004" s="2860"/>
      <c r="F1004" s="2860">
        <v>10</v>
      </c>
      <c r="G1004" s="2860"/>
      <c r="H1004" s="2860"/>
      <c r="I1004" s="2860"/>
      <c r="J1004" s="2860"/>
      <c r="K1004" s="194" t="s">
        <v>1462</v>
      </c>
      <c r="L1004" s="555"/>
      <c r="M1004" s="555"/>
      <c r="N1004" s="555"/>
      <c r="O1004" s="555"/>
      <c r="P1004" s="240" t="str">
        <f>IF(OR(HD_SinArmas_final-20&lt;300,$Q$958=0,$Q$1003=0,Estilo_final&lt;140,NOT(Erudición)),"NO","-")</f>
        <v>NO</v>
      </c>
      <c r="Q1004" s="240">
        <f>IF(COUNTIF(PDs!$AD$56:$AD$74,Tablas!C1004)&gt;0,1,0)</f>
        <v>0</v>
      </c>
      <c r="R1004" s="240"/>
      <c r="S1004" s="240"/>
      <c r="T1004" s="240"/>
      <c r="U1004" s="240">
        <v>20</v>
      </c>
      <c r="V1004" s="240">
        <f t="shared" si="72"/>
        <v>0</v>
      </c>
      <c r="W1004" s="571">
        <v>50</v>
      </c>
    </row>
    <row r="1005" spans="1:24" ht="12.75" customHeight="1" x14ac:dyDescent="0.2">
      <c r="A1005" s="2528">
        <v>76</v>
      </c>
      <c r="B1005" s="70"/>
      <c r="C1005" s="525" t="s">
        <v>1463</v>
      </c>
      <c r="D1005" s="2860">
        <v>0</v>
      </c>
      <c r="E1005" s="2860"/>
      <c r="F1005" s="2860">
        <v>10</v>
      </c>
      <c r="G1005" s="2860">
        <v>10</v>
      </c>
      <c r="H1005" s="2860"/>
      <c r="I1005" s="2860"/>
      <c r="J1005" s="2860"/>
      <c r="K1005" s="181" t="s">
        <v>1464</v>
      </c>
      <c r="L1005" s="199"/>
      <c r="M1005" s="199"/>
      <c r="N1005" s="555"/>
      <c r="O1005" s="199"/>
      <c r="P1005" s="240" t="str">
        <f>IF(OR(NOT(OR($Q$942=1,$Q$966=1)),HA_SinArmas_final-10&lt;160,HD_SinArmas_final&lt;160,NOT(Inhumanidad)),"NO","-")</f>
        <v>NO</v>
      </c>
      <c r="Q1005" s="240">
        <f>IF(COUNTIF(PDs!$AD$56:$AD$74,Tablas!C1005)&gt;0,1,0)</f>
        <v>0</v>
      </c>
      <c r="R1005" s="240"/>
      <c r="S1005" s="240"/>
      <c r="T1005" s="240"/>
      <c r="U1005" s="240"/>
      <c r="V1005" s="240">
        <f t="shared" si="72"/>
        <v>0</v>
      </c>
      <c r="W1005" s="571">
        <v>50</v>
      </c>
    </row>
    <row r="1006" spans="1:24" ht="12.75" customHeight="1" x14ac:dyDescent="0.2">
      <c r="A1006" s="2528">
        <v>77</v>
      </c>
      <c r="B1006" s="70"/>
      <c r="C1006" s="525" t="s">
        <v>1465</v>
      </c>
      <c r="D1006" s="2860">
        <v>0</v>
      </c>
      <c r="E1006" s="2860"/>
      <c r="F1006" s="2860">
        <v>10</v>
      </c>
      <c r="G1006" s="2860"/>
      <c r="H1006" s="2860"/>
      <c r="I1006" s="2860"/>
      <c r="J1006" s="2860"/>
      <c r="K1006" s="194" t="s">
        <v>1466</v>
      </c>
      <c r="L1006" s="555"/>
      <c r="M1006" s="555"/>
      <c r="N1006" s="555"/>
      <c r="O1006" s="555"/>
      <c r="P1006" s="240" t="str">
        <f>IF(OR(NOT(OR($Q$943=1,$Q$967=1)),HA_SinArmas_final-10&lt;260,HD_SinArmas_final-10&lt;260,$Q$1005=0),"NO","-")</f>
        <v>NO</v>
      </c>
      <c r="Q1006" s="240">
        <f>IF(COUNTIF(PDs!$AD$56:$AD$74,Tablas!C1006)&gt;0,1,0)</f>
        <v>0</v>
      </c>
      <c r="R1006" s="240"/>
      <c r="S1006" s="240"/>
      <c r="T1006" s="240">
        <v>10</v>
      </c>
      <c r="U1006" s="240">
        <v>10</v>
      </c>
      <c r="V1006" s="240">
        <f t="shared" si="72"/>
        <v>0</v>
      </c>
      <c r="W1006" s="571">
        <v>50</v>
      </c>
    </row>
    <row r="1007" spans="1:24" ht="12.75" customHeight="1" x14ac:dyDescent="0.2">
      <c r="A1007" s="2528">
        <v>78</v>
      </c>
      <c r="B1007" s="70"/>
      <c r="C1007" s="525" t="s">
        <v>1467</v>
      </c>
      <c r="D1007" s="2860">
        <v>0</v>
      </c>
      <c r="E1007" s="2860"/>
      <c r="F1007" s="2860">
        <v>15</v>
      </c>
      <c r="G1007" s="2860">
        <v>10</v>
      </c>
      <c r="H1007" s="2860"/>
      <c r="I1007" s="2860"/>
      <c r="J1007" s="2860"/>
      <c r="K1007" s="194" t="s">
        <v>1468</v>
      </c>
      <c r="L1007" s="555"/>
      <c r="M1007" s="555"/>
      <c r="N1007" s="555"/>
      <c r="O1007" s="555"/>
      <c r="P1007" s="240" t="str">
        <f>IF(OR(NOT(OR($Q$954=1,$Q$984=1)),HA_SinArmas_final-10&lt;200,Medicina_final&lt;100,Medicina_final="-"),"NO","-")</f>
        <v>NO</v>
      </c>
      <c r="Q1007" s="240">
        <f>IF(COUNTIF(PDs!$AD$56:$AD$74,Tablas!C1007)&gt;0,1,0)</f>
        <v>0</v>
      </c>
      <c r="R1007" s="240"/>
      <c r="S1007" s="240"/>
      <c r="T1007" s="240"/>
      <c r="U1007" s="240"/>
      <c r="V1007" s="240">
        <f t="shared" si="72"/>
        <v>0</v>
      </c>
      <c r="W1007" s="571">
        <v>50</v>
      </c>
      <c r="X1007" s="447" t="s">
        <v>9535</v>
      </c>
    </row>
    <row r="1008" spans="1:24" ht="12.75" customHeight="1" x14ac:dyDescent="0.2">
      <c r="A1008" s="2528">
        <v>79</v>
      </c>
      <c r="B1008" s="70"/>
      <c r="C1008" s="525" t="s">
        <v>1469</v>
      </c>
      <c r="D1008" s="2860">
        <v>0</v>
      </c>
      <c r="E1008" s="2860"/>
      <c r="F1008" s="2860">
        <v>15</v>
      </c>
      <c r="G1008" s="2860"/>
      <c r="H1008" s="2860"/>
      <c r="I1008" s="2860"/>
      <c r="J1008" s="2860"/>
      <c r="K1008" s="194" t="s">
        <v>1470</v>
      </c>
      <c r="L1008" s="555"/>
      <c r="M1008" s="555"/>
      <c r="N1008" s="555"/>
      <c r="O1008" s="555"/>
      <c r="P1008" s="240" t="str">
        <f>IF(OR(NOT(OR($Q$955=1,$Q$985=1)),HA_SinArmas_final-20&lt;300,Medicina_final&lt;120,Medicina_final="-",$Q$1007=0,NOT(Inhumanidad)),"NO","-")</f>
        <v>NO</v>
      </c>
      <c r="Q1008" s="240">
        <f>IF(COUNTIF(PDs!$AD$56:$AD$74,Tablas!C1008)&gt;0,1,0)</f>
        <v>0</v>
      </c>
      <c r="R1008" s="240"/>
      <c r="S1008" s="240"/>
      <c r="T1008" s="240">
        <v>20</v>
      </c>
      <c r="U1008" s="240"/>
      <c r="V1008" s="240">
        <f t="shared" si="72"/>
        <v>0</v>
      </c>
      <c r="W1008" s="571">
        <v>50</v>
      </c>
    </row>
    <row r="1009" spans="1:24" ht="12.75" customHeight="1" x14ac:dyDescent="0.2">
      <c r="A1009" s="2528">
        <v>80</v>
      </c>
      <c r="B1009" s="70"/>
      <c r="C1009" s="525" t="s">
        <v>1471</v>
      </c>
      <c r="D1009" s="2860">
        <v>0</v>
      </c>
      <c r="E1009" s="2860"/>
      <c r="F1009" s="2860">
        <v>10</v>
      </c>
      <c r="G1009" s="2860"/>
      <c r="H1009" s="2860">
        <v>10</v>
      </c>
      <c r="I1009" s="2860">
        <v>10</v>
      </c>
      <c r="J1009" s="2860"/>
      <c r="K1009" s="194" t="s">
        <v>1472</v>
      </c>
      <c r="L1009" s="555"/>
      <c r="M1009" s="555"/>
      <c r="N1009" s="555"/>
      <c r="O1009" s="555"/>
      <c r="P1009" s="240" t="str">
        <f>IF(OR(NOT(OR($Q$963=1,$Q$960=1)),NOT(Inhumanidad),HD_SinArmas_final-10&lt;200),"NO","-")</f>
        <v>NO</v>
      </c>
      <c r="Q1009" s="240">
        <f>IF(COUNTIF(PDs!$AD$56:$AD$74,Tablas!C1009)&gt;0,1,0)</f>
        <v>0</v>
      </c>
      <c r="R1009" s="240"/>
      <c r="S1009" s="240"/>
      <c r="T1009" s="240"/>
      <c r="U1009" s="240"/>
      <c r="V1009" s="240">
        <f t="shared" si="72"/>
        <v>0</v>
      </c>
      <c r="W1009" s="571">
        <v>50</v>
      </c>
    </row>
    <row r="1010" spans="1:24" ht="12.75" customHeight="1" x14ac:dyDescent="0.2">
      <c r="A1010" s="2528">
        <v>81</v>
      </c>
      <c r="B1010" s="70"/>
      <c r="C1010" s="525" t="s">
        <v>1473</v>
      </c>
      <c r="D1010" s="2860">
        <v>0</v>
      </c>
      <c r="E1010" s="2860"/>
      <c r="F1010" s="2860">
        <v>20</v>
      </c>
      <c r="G1010" s="2860"/>
      <c r="H1010" s="2860"/>
      <c r="I1010" s="2860"/>
      <c r="J1010" s="2860"/>
      <c r="K1010" s="194" t="s">
        <v>1474</v>
      </c>
      <c r="L1010" s="555"/>
      <c r="M1010" s="555"/>
      <c r="N1010" s="555"/>
      <c r="O1010" s="555"/>
      <c r="P1010" s="240" t="str">
        <f>IF(OR(NOT(OR($Q$964=1,$Q$961=1)),NOT(Zen),HD_SinArmas_final-20&lt;300,$Q$1009=0),"NO","-")</f>
        <v>NO</v>
      </c>
      <c r="Q1010" s="240">
        <f>IF(COUNTIF(PDs!$AD$56:$AD$74,Tablas!C1010)&gt;0,1,0)</f>
        <v>0</v>
      </c>
      <c r="R1010" s="240"/>
      <c r="S1010" s="240"/>
      <c r="T1010" s="240"/>
      <c r="U1010" s="240">
        <v>20</v>
      </c>
      <c r="V1010" s="240">
        <f t="shared" si="72"/>
        <v>0</v>
      </c>
      <c r="W1010" s="571">
        <v>50</v>
      </c>
    </row>
    <row r="1011" spans="1:24" ht="12.75" customHeight="1" x14ac:dyDescent="0.2">
      <c r="A1011" s="2528">
        <v>82</v>
      </c>
      <c r="B1011" s="70"/>
      <c r="C1011" s="525" t="s">
        <v>1475</v>
      </c>
      <c r="D1011" s="2860">
        <v>0</v>
      </c>
      <c r="E1011" s="2860"/>
      <c r="F1011" s="2860">
        <v>10</v>
      </c>
      <c r="G1011" s="2860"/>
      <c r="H1011" s="2860">
        <v>20</v>
      </c>
      <c r="I1011" s="2860">
        <v>20</v>
      </c>
      <c r="J1011" s="2860"/>
      <c r="K1011" s="181" t="s">
        <v>1476</v>
      </c>
      <c r="L1011" s="199"/>
      <c r="M1011" s="199"/>
      <c r="N1011" s="555"/>
      <c r="O1011" s="199"/>
      <c r="P1011" s="240" t="str">
        <f>IF(OR(HD_SinArmas_final-20&lt;200,$Q$933=0),"NO","-")</f>
        <v>NO</v>
      </c>
      <c r="Q1011" s="240">
        <f>IF(COUNTIF(PDs!$AD$56:$AD$74,Tablas!C1011)&gt;0,1,0)</f>
        <v>0</v>
      </c>
      <c r="R1011" s="240"/>
      <c r="S1011" s="240"/>
      <c r="T1011" s="240"/>
      <c r="U1011" s="240"/>
      <c r="V1011" s="240">
        <f t="shared" si="72"/>
        <v>0</v>
      </c>
      <c r="W1011" s="571">
        <v>50</v>
      </c>
    </row>
    <row r="1012" spans="1:24" ht="12.75" customHeight="1" x14ac:dyDescent="0.2">
      <c r="A1012" s="2528">
        <v>83</v>
      </c>
      <c r="B1012" s="70"/>
      <c r="C1012" s="525" t="s">
        <v>1477</v>
      </c>
      <c r="D1012" s="2860">
        <v>0</v>
      </c>
      <c r="E1012" s="2860"/>
      <c r="F1012" s="2860">
        <v>10</v>
      </c>
      <c r="G1012" s="2860"/>
      <c r="H1012" s="2860"/>
      <c r="I1012" s="2860"/>
      <c r="J1012" s="2860"/>
      <c r="K1012" s="194" t="s">
        <v>1478</v>
      </c>
      <c r="L1012" s="555"/>
      <c r="M1012" s="555"/>
      <c r="N1012" s="555"/>
      <c r="O1012" s="555"/>
      <c r="P1012" s="240" t="str">
        <f>IF(OR(HD_SinArmas_final-20&lt;300,$Q$934=0,$Q$1011=0,NOT(Inhumanidad)),"NO","-")</f>
        <v>NO</v>
      </c>
      <c r="Q1012" s="240">
        <f>IF(COUNTIF(PDs!$AD$56:$AD$74,Tablas!C1012)&gt;0,1,0)</f>
        <v>0</v>
      </c>
      <c r="R1012" s="240"/>
      <c r="S1012" s="240"/>
      <c r="T1012" s="240"/>
      <c r="U1012" s="240">
        <v>20</v>
      </c>
      <c r="V1012" s="240">
        <f t="shared" si="72"/>
        <v>0</v>
      </c>
      <c r="W1012" s="571">
        <v>50</v>
      </c>
    </row>
    <row r="1013" spans="1:24" ht="12.75" customHeight="1" x14ac:dyDescent="0.2">
      <c r="A1013" s="2528">
        <v>84</v>
      </c>
      <c r="B1013" s="70"/>
      <c r="C1013" s="525" t="s">
        <v>1479</v>
      </c>
      <c r="D1013" s="2860">
        <v>0</v>
      </c>
      <c r="E1013" s="2860">
        <v>10</v>
      </c>
      <c r="F1013" s="2860">
        <v>10</v>
      </c>
      <c r="G1013" s="2860">
        <v>20</v>
      </c>
      <c r="H1013" s="2860"/>
      <c r="I1013" s="2860"/>
      <c r="J1013" s="2860"/>
      <c r="K1013" s="181" t="s">
        <v>1480</v>
      </c>
      <c r="L1013" s="199"/>
      <c r="M1013" s="199"/>
      <c r="N1013" s="555"/>
      <c r="O1013" s="199"/>
      <c r="P1013" s="62" t="str">
        <f>IF(OR(NOT(OR($Q$972=1,$Q$948=1)),NOT(Extrusióndepresencia),HA_SinArmas_final-20&lt;180),"NO","-")</f>
        <v>NO</v>
      </c>
      <c r="Q1013" s="240">
        <f>IF(COUNTIF(PDs!$AD$56:$AD$74,Tablas!C1013)&gt;0,1,0)</f>
        <v>0</v>
      </c>
      <c r="R1013" s="240"/>
      <c r="S1013" s="240"/>
      <c r="T1013" s="240"/>
      <c r="U1013" s="240"/>
      <c r="V1013" s="240">
        <f t="shared" si="72"/>
        <v>0</v>
      </c>
      <c r="W1013" s="571">
        <v>50</v>
      </c>
      <c r="X1013" s="447" t="s">
        <v>9535</v>
      </c>
    </row>
    <row r="1014" spans="1:24" ht="12.75" customHeight="1" x14ac:dyDescent="0.2">
      <c r="A1014" s="2528">
        <v>85</v>
      </c>
      <c r="B1014" s="70"/>
      <c r="C1014" s="525" t="s">
        <v>1481</v>
      </c>
      <c r="D1014" s="2860">
        <v>0</v>
      </c>
      <c r="E1014" s="2860"/>
      <c r="F1014" s="2860">
        <v>10</v>
      </c>
      <c r="G1014" s="2860"/>
      <c r="H1014" s="2860"/>
      <c r="I1014" s="2860"/>
      <c r="J1014" s="2860"/>
      <c r="K1014" s="194" t="s">
        <v>1482</v>
      </c>
      <c r="L1014" s="555"/>
      <c r="M1014" s="555"/>
      <c r="N1014" s="555"/>
      <c r="O1014" s="555"/>
      <c r="P1014" s="240" t="str">
        <f>IF(OR(NOT(OR($Q$973=1,$Q$949=1)),$Q$1013=0,HA_SinArmas_final-20&lt;300),"NO","-")</f>
        <v>NO</v>
      </c>
      <c r="Q1014" s="240">
        <f>IF(COUNTIF(PDs!$AD$56:$AD$74,Tablas!C1014)&gt;0,1,0)</f>
        <v>0</v>
      </c>
      <c r="R1014" s="240"/>
      <c r="S1014" s="240"/>
      <c r="T1014" s="240">
        <v>20</v>
      </c>
      <c r="U1014" s="240"/>
      <c r="V1014" s="240">
        <f t="shared" si="72"/>
        <v>0</v>
      </c>
      <c r="W1014" s="571">
        <v>50</v>
      </c>
    </row>
    <row r="1015" spans="1:24" ht="12.75" customHeight="1" x14ac:dyDescent="0.2">
      <c r="A1015" s="2528">
        <v>86</v>
      </c>
      <c r="B1015" s="70"/>
      <c r="C1015" s="525" t="s">
        <v>1483</v>
      </c>
      <c r="D1015" s="2860">
        <v>0</v>
      </c>
      <c r="E1015" s="2860"/>
      <c r="F1015" s="2860">
        <v>10</v>
      </c>
      <c r="G1015" s="2860"/>
      <c r="H1015" s="2860">
        <v>20</v>
      </c>
      <c r="I1015" s="2860">
        <v>20</v>
      </c>
      <c r="J1015" s="2860"/>
      <c r="K1015" s="181" t="s">
        <v>1484</v>
      </c>
      <c r="L1015" s="199"/>
      <c r="M1015" s="199"/>
      <c r="N1015" s="555"/>
      <c r="O1015" s="199"/>
      <c r="P1015" s="62" t="str">
        <f>IF(OR(NOT(OR($Q$933=1,$Q$951=1)),NOT(UsodelKi),HD_SinArmas_final-20&lt;200),"NO","-")</f>
        <v>NO</v>
      </c>
      <c r="Q1015" s="240">
        <f>IF(COUNTIF(PDs!$AD$56:$AD$74,Tablas!C1015)&gt;0,1,0)</f>
        <v>0</v>
      </c>
      <c r="R1015" s="240"/>
      <c r="S1015" s="240"/>
      <c r="T1015" s="240"/>
      <c r="U1015" s="240"/>
      <c r="V1015" s="240">
        <f t="shared" si="72"/>
        <v>0</v>
      </c>
      <c r="W1015" s="571">
        <v>50</v>
      </c>
    </row>
    <row r="1016" spans="1:24" ht="12.75" customHeight="1" x14ac:dyDescent="0.2">
      <c r="A1016" s="2528">
        <v>87</v>
      </c>
      <c r="B1016" s="70"/>
      <c r="C1016" s="525" t="s">
        <v>1485</v>
      </c>
      <c r="D1016" s="2860">
        <v>0</v>
      </c>
      <c r="E1016" s="2860"/>
      <c r="F1016" s="2860">
        <v>10</v>
      </c>
      <c r="G1016" s="2860"/>
      <c r="H1016" s="2860"/>
      <c r="I1016" s="2860"/>
      <c r="J1016" s="2860"/>
      <c r="K1016" s="194" t="s">
        <v>1486</v>
      </c>
      <c r="L1016" s="555"/>
      <c r="M1016" s="555"/>
      <c r="N1016" s="555"/>
      <c r="O1016" s="555"/>
      <c r="P1016" s="62" t="str">
        <f>IF(OR(NOT(OR($Q$934=1,$Q$952=1)),HD_SinArmas_final-20&lt;300,$Q$1015=0),"NO","-")</f>
        <v>NO</v>
      </c>
      <c r="Q1016" s="240">
        <f>IF(COUNTIF(PDs!$AD$56:$AD$74,Tablas!C1016)&gt;0,1,0)</f>
        <v>0</v>
      </c>
      <c r="R1016" s="240"/>
      <c r="S1016" s="240"/>
      <c r="T1016" s="240"/>
      <c r="U1016" s="240">
        <v>20</v>
      </c>
      <c r="V1016" s="240">
        <f t="shared" si="72"/>
        <v>0</v>
      </c>
      <c r="W1016" s="571">
        <v>50</v>
      </c>
    </row>
    <row r="1017" spans="1:24" ht="12.75" customHeight="1" x14ac:dyDescent="0.2">
      <c r="A1017" s="2528">
        <v>88</v>
      </c>
      <c r="B1017" s="70"/>
      <c r="C1017" s="525" t="s">
        <v>1487</v>
      </c>
      <c r="D1017" s="2860">
        <v>0</v>
      </c>
      <c r="E1017" s="2860"/>
      <c r="F1017" s="2860">
        <v>15</v>
      </c>
      <c r="G1017" s="2860">
        <v>10</v>
      </c>
      <c r="H1017" s="2860"/>
      <c r="I1017" s="2860"/>
      <c r="J1017" s="2860"/>
      <c r="K1017" s="194" t="s">
        <v>1488</v>
      </c>
      <c r="L1017" s="555"/>
      <c r="M1017" s="555"/>
      <c r="N1017" s="555"/>
      <c r="O1017" s="555"/>
      <c r="P1017" s="62" t="str">
        <f>IF(OR(HA_SinArmas_final-10&lt;200,$Q$981=0,NOT(Extrusióndepresencia)),"NO","-")</f>
        <v>NO</v>
      </c>
      <c r="Q1017" s="240">
        <f>IF(COUNTIF(PDs!$AD$56:$AD$74,Tablas!C1017)&gt;0,1,0)</f>
        <v>0</v>
      </c>
      <c r="R1017" s="240"/>
      <c r="S1017" s="240"/>
      <c r="T1017" s="240"/>
      <c r="U1017" s="240"/>
      <c r="V1017" s="240">
        <f t="shared" si="72"/>
        <v>0</v>
      </c>
      <c r="W1017" s="571">
        <v>50</v>
      </c>
    </row>
    <row r="1018" spans="1:24" ht="12.75" customHeight="1" x14ac:dyDescent="0.2">
      <c r="A1018" s="2528">
        <v>89</v>
      </c>
      <c r="B1018" s="70"/>
      <c r="C1018" s="525" t="s">
        <v>1489</v>
      </c>
      <c r="D1018" s="2860">
        <v>0</v>
      </c>
      <c r="E1018" s="2860">
        <f>Bono_Pod</f>
        <v>10</v>
      </c>
      <c r="F1018" s="2860">
        <v>20</v>
      </c>
      <c r="G1018" s="2860"/>
      <c r="H1018" s="2860"/>
      <c r="I1018" s="2860"/>
      <c r="J1018" s="2860"/>
      <c r="K1018" s="194" t="s">
        <v>1490</v>
      </c>
      <c r="L1018" s="555"/>
      <c r="M1018" s="555"/>
      <c r="N1018" s="555"/>
      <c r="O1018" s="555"/>
      <c r="P1018" s="62" t="str">
        <f>IF(OR(HA_SinArmas_final-15&lt;300,$Q$982=0,$Q$1017=0,NOT(Inhumanidad)),"NO","-")</f>
        <v>NO</v>
      </c>
      <c r="Q1018" s="240">
        <f>IF(COUNTIF(PDs!$AD$56:$AD$74,Tablas!C1018)&gt;0,1,0)</f>
        <v>0</v>
      </c>
      <c r="R1018" s="240"/>
      <c r="S1018" s="240"/>
      <c r="T1018" s="240">
        <v>15</v>
      </c>
      <c r="U1018" s="240"/>
      <c r="V1018" s="240">
        <f t="shared" si="72"/>
        <v>0</v>
      </c>
      <c r="W1018" s="571">
        <v>50</v>
      </c>
    </row>
    <row r="1019" spans="1:24" ht="12.75" customHeight="1" x14ac:dyDescent="0.2">
      <c r="A1019" s="2528">
        <v>90</v>
      </c>
      <c r="B1019" s="70"/>
      <c r="C1019" s="525" t="s">
        <v>1491</v>
      </c>
      <c r="D1019" s="2860">
        <v>0</v>
      </c>
      <c r="E1019" s="2860"/>
      <c r="F1019" s="2860">
        <v>20</v>
      </c>
      <c r="G1019" s="2860"/>
      <c r="H1019" s="2860">
        <v>20</v>
      </c>
      <c r="I1019" s="2860">
        <v>20</v>
      </c>
      <c r="J1019" s="2860"/>
      <c r="K1019" s="194" t="s">
        <v>2310</v>
      </c>
      <c r="L1019" s="555"/>
      <c r="M1019" s="555"/>
      <c r="N1019" s="555"/>
      <c r="O1019" s="555"/>
      <c r="P1019" s="240" t="str">
        <f>IF(OR(NOT(OR($Q$954=1,$Q$981=1)),NOT(Extrusióndepresencia)),"NO","-")</f>
        <v>NO</v>
      </c>
      <c r="Q1019" s="240">
        <f>IF(COUNTIF(PDs!$AD$56:$AD$74,Tablas!C1019)&gt;0,1,0)</f>
        <v>0</v>
      </c>
      <c r="R1019" s="240" t="s">
        <v>2414</v>
      </c>
      <c r="S1019" s="240"/>
      <c r="T1019" s="240"/>
      <c r="U1019" s="240"/>
      <c r="V1019" s="240">
        <f t="shared" si="72"/>
        <v>0</v>
      </c>
      <c r="W1019" s="571">
        <v>50</v>
      </c>
    </row>
    <row r="1020" spans="1:24" ht="12.75" customHeight="1" thickBot="1" x14ac:dyDescent="0.25">
      <c r="A1020" s="2528">
        <v>91</v>
      </c>
      <c r="B1020" s="221"/>
      <c r="C1020" s="527" t="s">
        <v>1492</v>
      </c>
      <c r="D1020" s="483">
        <v>0</v>
      </c>
      <c r="E1020" s="483"/>
      <c r="F1020" s="483">
        <v>20</v>
      </c>
      <c r="G1020" s="483"/>
      <c r="H1020" s="528"/>
      <c r="I1020" s="483"/>
      <c r="J1020" s="483"/>
      <c r="K1020" s="572" t="s">
        <v>1493</v>
      </c>
      <c r="L1020" s="201"/>
      <c r="M1020" s="201"/>
      <c r="N1020" s="561"/>
      <c r="O1020" s="201"/>
      <c r="P1020" s="483" t="str">
        <f>IF(OR(NOT(OR($Q$955=1,$Q$982=1)),HA_SinArmas_final&lt;280,$Q$1019=0),"NO","-")</f>
        <v>NO</v>
      </c>
      <c r="Q1020" s="483">
        <f>IF(COUNTIF(PDs!$AD$56:$AD$74,Tablas!C1020)&gt;0,1,0)</f>
        <v>0</v>
      </c>
      <c r="R1020" s="483" t="s">
        <v>2414</v>
      </c>
      <c r="S1020" s="483"/>
      <c r="T1020" s="483"/>
      <c r="U1020" s="483">
        <v>15</v>
      </c>
      <c r="V1020" s="483">
        <f t="shared" si="72"/>
        <v>0</v>
      </c>
      <c r="W1020" s="573">
        <v>50</v>
      </c>
    </row>
    <row r="1021" spans="1:24" ht="12.75" customHeight="1" thickBot="1" x14ac:dyDescent="0.25">
      <c r="F1021" s="4853" t="s">
        <v>1494</v>
      </c>
      <c r="G1021" s="4854">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55">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54">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49">
        <f>Tablas!$J$987*Tablas!$Q$987+Tablas!J936*Tablas!$Q$936+Tablas!J935*Tablas!$Q$935+Tablas!J937*Tablas!$Q$937+Tablas!J992*Tablas!$Q$992+Tablas!J991*Tablas!$Q$991+Tablas!J1000*Tablas!$Q$1000+Tablas!J999*Tablas!$Q$999</f>
        <v>0</v>
      </c>
      <c r="S1021" s="4850" t="s">
        <v>1495</v>
      </c>
      <c r="T1021" s="4851">
        <f>+MAX(Tablas!T988*Tablas!Q988,Tablas!T990*Tablas!Q990,Tablas!T992*Tablas!Q992,Tablas!T994*Tablas!Q994,Tablas!T996*Tablas!Q996,Tablas!T998*Tablas!Q998,Tablas!T1000*Tablas!Q1000,Tablas!T1002*Tablas!Q1002,Tablas!T1006*Tablas!Q1006,Tablas!T1008*Tablas!Q1008,Tablas!T1014*Tablas!Q1014,Tablas!T1018*Tablas!Q1018)</f>
        <v>0</v>
      </c>
      <c r="U1021" s="4852">
        <f>+MAX(Tablas!U988*Tablas!Q988,Tablas!U994*Tablas!Q994,Tablas!U1004*Tablas!Q1004,Tablas!U1006*Tablas!Q1006,Tablas!U1010*Tablas!Q1010,Tablas!U1012*Tablas!Q1012,Tablas!U1016*Tablas!Q1016,Tablas!U1020*Tablas!Q1020)</f>
        <v>0</v>
      </c>
      <c r="V1021" s="2870" t="s">
        <v>1331</v>
      </c>
    </row>
    <row r="1022" spans="1:24" ht="12.75" customHeight="1" thickBot="1" x14ac:dyDescent="0.25">
      <c r="F1022" s="4853"/>
      <c r="G1022" s="4854"/>
      <c r="H1022" s="4855"/>
      <c r="I1022" s="4854"/>
      <c r="J1022" s="4849"/>
      <c r="S1022" s="4850"/>
      <c r="T1022" s="4851"/>
      <c r="U1022" s="4852"/>
      <c r="V1022" s="2869">
        <f>MAX(Tablas!$V$931:$V$1020)</f>
        <v>0</v>
      </c>
    </row>
    <row r="1023" spans="1:24" ht="12.75" customHeight="1" thickBot="1" x14ac:dyDescent="0.25"/>
    <row r="1024" spans="1:24" ht="12.75" customHeight="1" thickBot="1" x14ac:dyDescent="0.25">
      <c r="B1024" s="4752" t="s">
        <v>1496</v>
      </c>
      <c r="C1024" s="4752"/>
      <c r="D1024" s="4752"/>
      <c r="E1024" s="4752"/>
      <c r="F1024" s="4752"/>
      <c r="G1024" s="4752"/>
      <c r="H1024" s="4752"/>
      <c r="I1024" s="4752"/>
      <c r="J1024" s="4752"/>
      <c r="K1024" s="4752"/>
      <c r="L1024" s="4752"/>
      <c r="M1024" s="4752"/>
      <c r="N1024" s="4752"/>
      <c r="O1024" s="4752"/>
      <c r="P1024" s="4752"/>
      <c r="Q1024" s="4752"/>
    </row>
    <row r="1025" spans="2:17" ht="12.75" customHeight="1" x14ac:dyDescent="0.2">
      <c r="B1025" s="4752"/>
      <c r="C1025" s="4752"/>
      <c r="D1025" s="4752"/>
      <c r="E1025" s="4752"/>
      <c r="F1025" s="4752"/>
      <c r="G1025" s="4752"/>
      <c r="H1025" s="4752"/>
      <c r="I1025" s="4752"/>
      <c r="J1025" s="4752"/>
      <c r="K1025" s="4752"/>
      <c r="L1025" s="4752"/>
      <c r="M1025" s="4752"/>
      <c r="N1025" s="4752"/>
      <c r="O1025" s="4752"/>
      <c r="P1025" s="4752"/>
      <c r="Q1025" s="4752"/>
    </row>
    <row r="1026" spans="2:17" ht="12.75" customHeight="1" thickBot="1" x14ac:dyDescent="0.25">
      <c r="B1026" s="574"/>
      <c r="C1026" s="565"/>
      <c r="D1026" s="575" t="s">
        <v>3623</v>
      </c>
      <c r="E1026" s="453" t="s">
        <v>2345</v>
      </c>
      <c r="F1026" s="453" t="s">
        <v>3283</v>
      </c>
      <c r="G1026" s="453" t="s">
        <v>1327</v>
      </c>
      <c r="H1026" s="1968" t="s">
        <v>2727</v>
      </c>
      <c r="I1026" s="453" t="s">
        <v>2728</v>
      </c>
      <c r="J1026" s="453" t="s">
        <v>2729</v>
      </c>
      <c r="K1026" s="453" t="s">
        <v>2730</v>
      </c>
      <c r="L1026" s="4848" t="s">
        <v>2407</v>
      </c>
      <c r="M1026" s="4848"/>
      <c r="N1026" s="4848"/>
      <c r="O1026" s="4848"/>
      <c r="P1026" s="4848"/>
      <c r="Q1026" s="4848"/>
    </row>
    <row r="1027" spans="2:17" ht="12.75" customHeight="1" x14ac:dyDescent="0.2">
      <c r="B1027" s="70"/>
      <c r="C1027" s="73"/>
      <c r="D1027" s="525" t="s">
        <v>1332</v>
      </c>
      <c r="E1027" s="290">
        <v>0</v>
      </c>
      <c r="F1027" s="243"/>
      <c r="G1027" s="243" t="s">
        <v>2310</v>
      </c>
      <c r="H1027" s="333"/>
      <c r="I1027" s="73"/>
      <c r="J1027" s="73"/>
      <c r="K1027" s="73"/>
      <c r="L1027" s="243" t="s">
        <v>2310</v>
      </c>
      <c r="M1027" s="73"/>
      <c r="N1027" s="333"/>
      <c r="O1027" s="73"/>
      <c r="P1027" s="73"/>
      <c r="Q1027" s="75"/>
    </row>
    <row r="1028" spans="2:17" ht="12.75" customHeight="1" x14ac:dyDescent="0.2">
      <c r="B1028" s="70"/>
      <c r="C1028" s="73"/>
      <c r="D1028" s="525" t="s">
        <v>1497</v>
      </c>
      <c r="E1028" s="243">
        <v>40</v>
      </c>
      <c r="F1028" s="243">
        <f>IF(COUNTIF(PDs!$E$75:$E$77,Tablas!D1028)&gt;0,1,0)</f>
        <v>0</v>
      </c>
      <c r="G1028" s="243" t="str">
        <f>IF(Tablas!Q932=0,"NO","-")</f>
        <v>NO</v>
      </c>
      <c r="H1028" s="555" t="s">
        <v>3191</v>
      </c>
      <c r="I1028" s="23" t="s">
        <v>3184</v>
      </c>
      <c r="J1028" s="23" t="s">
        <v>3211</v>
      </c>
      <c r="K1028" s="23" t="s">
        <v>3217</v>
      </c>
      <c r="L1028" s="73" t="s">
        <v>1498</v>
      </c>
      <c r="M1028" s="73"/>
      <c r="N1028" s="333"/>
      <c r="O1028" s="73"/>
      <c r="P1028" s="73"/>
      <c r="Q1028" s="75"/>
    </row>
    <row r="1029" spans="2:17" ht="12.75" customHeight="1" x14ac:dyDescent="0.2">
      <c r="B1029" s="70"/>
      <c r="C1029" s="73"/>
      <c r="D1029" s="525" t="s">
        <v>1499</v>
      </c>
      <c r="E1029" s="243">
        <v>10</v>
      </c>
      <c r="F1029" s="243">
        <f>IF(COUNTIF(PDs!$E$75:$E$77,Tablas!D1029)&gt;0,1,0)</f>
        <v>0</v>
      </c>
      <c r="G1029" s="243" t="str">
        <f>IF(Tablas!Q935=0,"NO","-")</f>
        <v>NO</v>
      </c>
      <c r="H1029" s="555" t="s">
        <v>3129</v>
      </c>
      <c r="I1029" s="23" t="s">
        <v>3203</v>
      </c>
      <c r="J1029" s="23"/>
      <c r="K1029" s="23"/>
      <c r="L1029" s="73" t="s">
        <v>1500</v>
      </c>
      <c r="M1029" s="73"/>
      <c r="N1029" s="333"/>
      <c r="O1029" s="73"/>
      <c r="P1029" s="73"/>
      <c r="Q1029" s="75"/>
    </row>
    <row r="1030" spans="2:17" ht="12.75" customHeight="1" x14ac:dyDescent="0.2">
      <c r="B1030" s="70"/>
      <c r="C1030" s="73"/>
      <c r="D1030" s="525" t="s">
        <v>1501</v>
      </c>
      <c r="E1030" s="243">
        <v>30</v>
      </c>
      <c r="F1030" s="243">
        <f>IF(COUNTIF(PDs!$E$75:$E$77,Tablas!D1030)&gt;0,1,0)</f>
        <v>0</v>
      </c>
      <c r="G1030" s="243" t="str">
        <f>IF(Tablas!Q938=0,"NO","-")</f>
        <v>NO</v>
      </c>
      <c r="H1030" s="555" t="s">
        <v>3179</v>
      </c>
      <c r="I1030" s="23"/>
      <c r="J1030" s="23"/>
      <c r="K1030" s="23"/>
      <c r="L1030" s="73" t="s">
        <v>1502</v>
      </c>
      <c r="M1030" s="73"/>
      <c r="N1030" s="333"/>
      <c r="O1030" s="73"/>
      <c r="P1030" s="73"/>
      <c r="Q1030" s="75"/>
    </row>
    <row r="1031" spans="2:17" ht="12.75" customHeight="1" x14ac:dyDescent="0.2">
      <c r="B1031" s="70"/>
      <c r="C1031" s="73"/>
      <c r="D1031" s="525" t="s">
        <v>1503</v>
      </c>
      <c r="E1031" s="243">
        <v>10</v>
      </c>
      <c r="F1031" s="243">
        <f>IF(COUNTIF(PDs!$E$75:$E$77,Tablas!D1031)&gt;0,1,0)</f>
        <v>0</v>
      </c>
      <c r="G1031" s="243" t="str">
        <f>IF(Tablas!Q941=0,"NO","-")</f>
        <v>NO</v>
      </c>
      <c r="H1031" s="555" t="s">
        <v>3129</v>
      </c>
      <c r="I1031" s="23"/>
      <c r="J1031" s="23"/>
      <c r="K1031" s="23"/>
      <c r="L1031" s="73" t="s">
        <v>1504</v>
      </c>
      <c r="M1031" s="73"/>
      <c r="N1031" s="333"/>
      <c r="O1031" s="73"/>
      <c r="P1031" s="73"/>
      <c r="Q1031" s="75"/>
    </row>
    <row r="1032" spans="2:17" ht="12.75" customHeight="1" x14ac:dyDescent="0.2">
      <c r="B1032" s="70"/>
      <c r="C1032" s="73"/>
      <c r="D1032" s="525" t="s">
        <v>1505</v>
      </c>
      <c r="E1032" s="243">
        <v>40</v>
      </c>
      <c r="F1032" s="243">
        <f>IF(COUNTIF(PDs!$E$75:$E$77,Tablas!D1032)&gt;0,1,0)</f>
        <v>0</v>
      </c>
      <c r="G1032" s="243" t="str">
        <f>IF(Tablas!Q944=0,"NO","-")</f>
        <v>NO</v>
      </c>
      <c r="H1032" s="555" t="s">
        <v>3143</v>
      </c>
      <c r="I1032" s="23" t="s">
        <v>3203</v>
      </c>
      <c r="J1032" s="23" t="s">
        <v>3163</v>
      </c>
      <c r="K1032" s="23"/>
      <c r="L1032" s="73" t="s">
        <v>1506</v>
      </c>
      <c r="M1032" s="73"/>
      <c r="N1032" s="333"/>
      <c r="O1032" s="73"/>
      <c r="P1032" s="73"/>
      <c r="Q1032" s="75"/>
    </row>
    <row r="1033" spans="2:17" ht="12.75" customHeight="1" x14ac:dyDescent="0.2">
      <c r="B1033" s="70"/>
      <c r="C1033" s="73"/>
      <c r="D1033" s="525" t="s">
        <v>1507</v>
      </c>
      <c r="E1033" s="243">
        <v>10</v>
      </c>
      <c r="F1033" s="243">
        <f>IF(COUNTIF(PDs!$E$75:$E$77,Tablas!D1033)&gt;0,1,0)</f>
        <v>0</v>
      </c>
      <c r="G1033" s="243" t="str">
        <f>IF(Tablas!Q947=0,"NO","-")</f>
        <v>NO</v>
      </c>
      <c r="H1033" s="555" t="s">
        <v>3217</v>
      </c>
      <c r="I1033" s="23"/>
      <c r="J1033" s="23"/>
      <c r="K1033" s="23"/>
      <c r="L1033" s="73" t="s">
        <v>1508</v>
      </c>
      <c r="M1033" s="73"/>
      <c r="N1033" s="333"/>
      <c r="O1033" s="73"/>
      <c r="P1033" s="73"/>
      <c r="Q1033" s="75"/>
    </row>
    <row r="1034" spans="2:17" ht="12.75" customHeight="1" x14ac:dyDescent="0.2">
      <c r="B1034" s="70"/>
      <c r="C1034" s="73"/>
      <c r="D1034" s="525" t="s">
        <v>1509</v>
      </c>
      <c r="E1034" s="243">
        <v>30</v>
      </c>
      <c r="F1034" s="243">
        <f>IF(COUNTIF(PDs!$E$75:$E$77,Tablas!D1034)&gt;0,1,0)</f>
        <v>0</v>
      </c>
      <c r="G1034" s="243" t="str">
        <f>IF(Tablas!Q950=0,"NO","-")</f>
        <v>NO</v>
      </c>
      <c r="H1034" s="555" t="s">
        <v>3197</v>
      </c>
      <c r="I1034" s="23"/>
      <c r="J1034" s="23"/>
      <c r="K1034" s="23"/>
      <c r="L1034" s="73" t="s">
        <v>1510</v>
      </c>
      <c r="M1034" s="73"/>
      <c r="N1034" s="333"/>
      <c r="O1034" s="73"/>
      <c r="P1034" s="73"/>
      <c r="Q1034" s="75"/>
    </row>
    <row r="1035" spans="2:17" ht="12.75" customHeight="1" x14ac:dyDescent="0.2">
      <c r="B1035" s="70"/>
      <c r="C1035" s="73"/>
      <c r="D1035" s="525" t="s">
        <v>1511</v>
      </c>
      <c r="E1035" s="243">
        <v>60</v>
      </c>
      <c r="F1035" s="243">
        <f>IF(COUNTIF(PDs!$E$75:$E$77,Tablas!D1035)&gt;0,1,0)</f>
        <v>0</v>
      </c>
      <c r="G1035" s="243" t="str">
        <f>IF(Tablas!Q953=0,"NO","-")</f>
        <v>NO</v>
      </c>
      <c r="H1035" s="555" t="s">
        <v>3191</v>
      </c>
      <c r="I1035" s="23" t="s">
        <v>3209</v>
      </c>
      <c r="J1035" s="23" t="s">
        <v>3199</v>
      </c>
      <c r="K1035" s="23" t="s">
        <v>3145</v>
      </c>
      <c r="L1035" s="73" t="s">
        <v>1512</v>
      </c>
      <c r="M1035" s="73"/>
      <c r="N1035" s="333"/>
      <c r="O1035" s="73"/>
      <c r="P1035" s="73"/>
      <c r="Q1035" s="75"/>
    </row>
    <row r="1036" spans="2:17" ht="12.75" customHeight="1" x14ac:dyDescent="0.2">
      <c r="B1036" s="70"/>
      <c r="C1036" s="73"/>
      <c r="D1036" s="525" t="s">
        <v>1513</v>
      </c>
      <c r="E1036" s="243">
        <v>10</v>
      </c>
      <c r="F1036" s="243">
        <f>IF(COUNTIF(PDs!$E$75:$E$77,Tablas!D1036)&gt;0,1,0)</f>
        <v>0</v>
      </c>
      <c r="G1036" s="243" t="str">
        <f>IF(Tablas!Q956=0,"NO","-")</f>
        <v>NO</v>
      </c>
      <c r="H1036" s="555" t="s">
        <v>3184</v>
      </c>
      <c r="I1036" s="23" t="s">
        <v>3217</v>
      </c>
      <c r="J1036" s="23"/>
      <c r="K1036" s="23"/>
      <c r="L1036" s="73" t="s">
        <v>1514</v>
      </c>
      <c r="M1036" s="73"/>
      <c r="N1036" s="333"/>
      <c r="O1036" s="73"/>
      <c r="P1036" s="73"/>
      <c r="Q1036" s="75"/>
    </row>
    <row r="1037" spans="2:17" ht="12.75" customHeight="1" x14ac:dyDescent="0.2">
      <c r="B1037" s="70"/>
      <c r="C1037" s="73"/>
      <c r="D1037" s="525" t="s">
        <v>1515</v>
      </c>
      <c r="E1037" s="243">
        <v>20</v>
      </c>
      <c r="F1037" s="243">
        <f>IF(COUNTIF(PDs!$E$75:$E$77,Tablas!D1037)&gt;0,1,0)</f>
        <v>0</v>
      </c>
      <c r="G1037" s="243" t="str">
        <f>IF(Tablas!Q959=0,"NO","-")</f>
        <v>NO</v>
      </c>
      <c r="H1037" s="555" t="s">
        <v>3135</v>
      </c>
      <c r="I1037" s="23" t="s">
        <v>3211</v>
      </c>
      <c r="J1037" s="23"/>
      <c r="K1037" s="23"/>
      <c r="L1037" s="73" t="s">
        <v>1516</v>
      </c>
      <c r="M1037" s="73"/>
      <c r="N1037" s="333"/>
      <c r="O1037" s="73"/>
      <c r="P1037" s="73"/>
      <c r="Q1037" s="75"/>
    </row>
    <row r="1038" spans="2:17" ht="12.75" customHeight="1" x14ac:dyDescent="0.2">
      <c r="B1038" s="70"/>
      <c r="C1038" s="73"/>
      <c r="D1038" s="525" t="s">
        <v>1517</v>
      </c>
      <c r="E1038" s="243">
        <v>20</v>
      </c>
      <c r="F1038" s="243">
        <f>IF(COUNTIF(PDs!$E$75:$E$77,Tablas!D1038)&gt;0,1,0)</f>
        <v>0</v>
      </c>
      <c r="G1038" s="243" t="str">
        <f>IF(Tablas!Q962=0,"NO","-")</f>
        <v>NO</v>
      </c>
      <c r="H1038" s="555" t="s">
        <v>3129</v>
      </c>
      <c r="I1038" s="23"/>
      <c r="J1038" s="23"/>
      <c r="K1038" s="23"/>
      <c r="L1038" s="73" t="s">
        <v>1518</v>
      </c>
      <c r="M1038" s="73"/>
      <c r="N1038" s="333"/>
      <c r="O1038" s="73"/>
      <c r="P1038" s="73"/>
      <c r="Q1038" s="75"/>
    </row>
    <row r="1039" spans="2:17" ht="12.75" customHeight="1" x14ac:dyDescent="0.2">
      <c r="B1039" s="70"/>
      <c r="C1039" s="73"/>
      <c r="D1039" s="525" t="s">
        <v>1519</v>
      </c>
      <c r="E1039" s="243">
        <v>20</v>
      </c>
      <c r="F1039" s="243">
        <f>IF(COUNTIF(PDs!$E$75:$E$77,Tablas!D1039)&gt;0,1,0)</f>
        <v>0</v>
      </c>
      <c r="G1039" s="243" t="str">
        <f>IF(Tablas!Q965=0,"NO","-")</f>
        <v>NO</v>
      </c>
      <c r="H1039" s="555" t="s">
        <v>3133</v>
      </c>
      <c r="I1039" s="23" t="s">
        <v>3129</v>
      </c>
      <c r="J1039" s="23"/>
      <c r="K1039" s="23"/>
      <c r="L1039" s="73" t="s">
        <v>1520</v>
      </c>
      <c r="M1039" s="73"/>
      <c r="N1039" s="333"/>
      <c r="O1039" s="73"/>
      <c r="P1039" s="73"/>
      <c r="Q1039" s="75"/>
    </row>
    <row r="1040" spans="2:17" ht="12.75" customHeight="1" x14ac:dyDescent="0.2">
      <c r="B1040" s="70"/>
      <c r="C1040" s="73"/>
      <c r="D1040" s="525" t="s">
        <v>1521</v>
      </c>
      <c r="E1040" s="243">
        <v>30</v>
      </c>
      <c r="F1040" s="243">
        <f>IF(COUNTIF(PDs!$E$75:$E$77,Tablas!D1040)&gt;0,1,0)</f>
        <v>0</v>
      </c>
      <c r="G1040" s="243" t="str">
        <f>IF(Tablas!Q968=0,"NO","-")</f>
        <v>NO</v>
      </c>
      <c r="H1040" s="555" t="s">
        <v>3133</v>
      </c>
      <c r="I1040" s="23" t="s">
        <v>3211</v>
      </c>
      <c r="J1040" s="23"/>
      <c r="K1040" s="23"/>
      <c r="L1040" s="73" t="s">
        <v>1522</v>
      </c>
      <c r="M1040" s="73"/>
      <c r="N1040" s="333"/>
      <c r="O1040" s="73"/>
      <c r="P1040" s="73"/>
      <c r="Q1040" s="75"/>
    </row>
    <row r="1041" spans="2:17" ht="12.75" customHeight="1" x14ac:dyDescent="0.2">
      <c r="B1041" s="70"/>
      <c r="C1041" s="73"/>
      <c r="D1041" s="525" t="s">
        <v>1523</v>
      </c>
      <c r="E1041" s="243">
        <v>20</v>
      </c>
      <c r="F1041" s="243">
        <f>IF(COUNTIF(PDs!$E$75:$E$77,Tablas!D1041)&gt;0,1,0)</f>
        <v>0</v>
      </c>
      <c r="G1041" s="243" t="str">
        <f>IF(Tablas!Q971=0,"NO","-")</f>
        <v>NO</v>
      </c>
      <c r="H1041" s="555" t="s">
        <v>3200</v>
      </c>
      <c r="I1041" s="23" t="s">
        <v>3216</v>
      </c>
      <c r="J1041" s="23"/>
      <c r="K1041" s="23"/>
      <c r="L1041" s="73" t="s">
        <v>1524</v>
      </c>
      <c r="M1041" s="73"/>
      <c r="N1041" s="333"/>
      <c r="O1041" s="73"/>
      <c r="P1041" s="73"/>
      <c r="Q1041" s="75"/>
    </row>
    <row r="1042" spans="2:17" ht="12.75" customHeight="1" x14ac:dyDescent="0.2">
      <c r="B1042" s="70"/>
      <c r="C1042" s="73"/>
      <c r="D1042" s="525" t="s">
        <v>1525</v>
      </c>
      <c r="E1042" s="243">
        <v>10</v>
      </c>
      <c r="F1042" s="243">
        <f>IF(COUNTIF(PDs!$E$75:$E$77,Tablas!D1042)&gt;0,1,0)</f>
        <v>0</v>
      </c>
      <c r="G1042" s="243" t="str">
        <f>IF(Tablas!Q974=0,"NO","-")</f>
        <v>NO</v>
      </c>
      <c r="H1042" s="555" t="s">
        <v>3133</v>
      </c>
      <c r="I1042" s="23"/>
      <c r="J1042" s="23"/>
      <c r="K1042" s="23"/>
      <c r="L1042" s="73" t="s">
        <v>1526</v>
      </c>
      <c r="M1042" s="73"/>
      <c r="N1042" s="333"/>
      <c r="O1042" s="73"/>
      <c r="P1042" s="73"/>
      <c r="Q1042" s="75"/>
    </row>
    <row r="1043" spans="2:17" ht="12.75" customHeight="1" x14ac:dyDescent="0.2">
      <c r="B1043" s="70"/>
      <c r="C1043" s="73"/>
      <c r="D1043" s="525" t="s">
        <v>1527</v>
      </c>
      <c r="E1043" s="243">
        <v>40</v>
      </c>
      <c r="F1043" s="243">
        <f>IF(COUNTIF(PDs!$E$75:$E$77,Tablas!D1043)&gt;0,1,0)</f>
        <v>0</v>
      </c>
      <c r="G1043" s="243" t="str">
        <f>IF(Tablas!Q977=0,"NO","-")</f>
        <v>NO</v>
      </c>
      <c r="H1043" s="555" t="s">
        <v>3184</v>
      </c>
      <c r="I1043" s="23" t="s">
        <v>3142</v>
      </c>
      <c r="J1043" s="23"/>
      <c r="K1043" s="23"/>
      <c r="L1043" s="73" t="s">
        <v>1528</v>
      </c>
      <c r="M1043" s="73"/>
      <c r="N1043" s="333"/>
      <c r="O1043" s="73"/>
      <c r="P1043" s="73"/>
      <c r="Q1043" s="75"/>
    </row>
    <row r="1044" spans="2:17" ht="12.75" customHeight="1" x14ac:dyDescent="0.2">
      <c r="B1044" s="70"/>
      <c r="C1044" s="73"/>
      <c r="D1044" s="525" t="s">
        <v>1529</v>
      </c>
      <c r="E1044" s="243">
        <v>30</v>
      </c>
      <c r="F1044" s="243">
        <f>IF(COUNTIF(PDs!$E$75:$E$77,Tablas!D1044)&gt;0,1,0)</f>
        <v>0</v>
      </c>
      <c r="G1044" s="243" t="str">
        <f>IF(Tablas!Q980=0,"NO","-")</f>
        <v>NO</v>
      </c>
      <c r="H1044" s="555"/>
      <c r="I1044" s="23"/>
      <c r="J1044" s="23"/>
      <c r="K1044" s="23"/>
      <c r="L1044" s="73" t="s">
        <v>1530</v>
      </c>
      <c r="M1044" s="73"/>
      <c r="N1044" s="333"/>
      <c r="O1044" s="73"/>
      <c r="P1044" s="73"/>
      <c r="Q1044" s="75"/>
    </row>
    <row r="1045" spans="2:17" ht="12.75" customHeight="1" x14ac:dyDescent="0.2">
      <c r="B1045" s="70"/>
      <c r="C1045" s="73"/>
      <c r="D1045" s="525" t="s">
        <v>1531</v>
      </c>
      <c r="E1045" s="243">
        <v>40</v>
      </c>
      <c r="F1045" s="243">
        <f>IF(COUNTIF(PDs!$E$75:$E$77,Tablas!D1045)&gt;0,1,0)</f>
        <v>0</v>
      </c>
      <c r="G1045" s="243" t="str">
        <f>IF(Tablas!Q983=0,"NO","-")</f>
        <v>NO</v>
      </c>
      <c r="H1045" s="555" t="s">
        <v>3203</v>
      </c>
      <c r="I1045" s="23" t="s">
        <v>3199</v>
      </c>
      <c r="J1045" s="23" t="s">
        <v>3193</v>
      </c>
      <c r="K1045" s="23"/>
      <c r="L1045" s="73" t="s">
        <v>1532</v>
      </c>
      <c r="M1045" s="73"/>
      <c r="N1045" s="333"/>
      <c r="O1045" s="73"/>
      <c r="P1045" s="73"/>
      <c r="Q1045" s="75"/>
    </row>
    <row r="1046" spans="2:17" ht="12.75" customHeight="1" x14ac:dyDescent="0.2">
      <c r="B1046" s="70"/>
      <c r="C1046" s="73"/>
      <c r="D1046" s="525" t="s">
        <v>1429</v>
      </c>
      <c r="E1046" s="290">
        <v>0</v>
      </c>
      <c r="F1046" s="243"/>
      <c r="G1046" s="243" t="s">
        <v>2310</v>
      </c>
      <c r="H1046" s="555"/>
      <c r="I1046" s="23"/>
      <c r="J1046" s="23"/>
      <c r="K1046" s="23"/>
      <c r="L1046" s="243" t="s">
        <v>2310</v>
      </c>
      <c r="M1046" s="73"/>
      <c r="N1046" s="333"/>
      <c r="O1046" s="73"/>
      <c r="P1046" s="73"/>
      <c r="Q1046" s="75"/>
    </row>
    <row r="1047" spans="2:17" ht="12.75" customHeight="1" x14ac:dyDescent="0.2">
      <c r="B1047" s="70"/>
      <c r="C1047" s="73"/>
      <c r="D1047" s="525" t="s">
        <v>1533</v>
      </c>
      <c r="E1047" s="243">
        <v>40</v>
      </c>
      <c r="F1047" s="243">
        <f>IF(COUNTIF(PDs!$E$75:$E$77,Tablas!D1047)&gt;0,1,0)</f>
        <v>0</v>
      </c>
      <c r="G1047" s="243" t="str">
        <f>IF(Tablas!Q991=0,"NO","-")</f>
        <v>NO</v>
      </c>
      <c r="H1047" s="555" t="s">
        <v>3135</v>
      </c>
      <c r="I1047" s="23" t="s">
        <v>3211</v>
      </c>
      <c r="J1047" s="23" t="s">
        <v>3217</v>
      </c>
      <c r="K1047" s="23"/>
      <c r="L1047" s="73" t="s">
        <v>1534</v>
      </c>
      <c r="M1047" s="73"/>
      <c r="N1047" s="333"/>
      <c r="O1047" s="73"/>
      <c r="P1047" s="73"/>
      <c r="Q1047" s="75"/>
    </row>
    <row r="1048" spans="2:17" ht="12.75" customHeight="1" x14ac:dyDescent="0.2">
      <c r="B1048" s="70"/>
      <c r="C1048" s="73"/>
      <c r="D1048" s="525" t="s">
        <v>1535</v>
      </c>
      <c r="E1048" s="243">
        <v>10</v>
      </c>
      <c r="F1048" s="243">
        <f>IF(COUNTIF(PDs!$E$75:$E$77,Tablas!D1048)&gt;0,1,0)</f>
        <v>0</v>
      </c>
      <c r="G1048" s="243" t="str">
        <f>IF(Tablas!Q993=0,"NO","-")</f>
        <v>NO</v>
      </c>
      <c r="H1048" s="555" t="s">
        <v>3184</v>
      </c>
      <c r="I1048" s="23"/>
      <c r="J1048" s="23"/>
      <c r="K1048" s="23"/>
      <c r="L1048" s="73" t="s">
        <v>1536</v>
      </c>
      <c r="M1048" s="73"/>
      <c r="N1048" s="333"/>
      <c r="O1048" s="73"/>
      <c r="P1048" s="73"/>
      <c r="Q1048" s="75"/>
    </row>
    <row r="1049" spans="2:17" ht="12.75" customHeight="1" x14ac:dyDescent="0.2">
      <c r="B1049" s="70"/>
      <c r="C1049" s="73"/>
      <c r="D1049" s="525" t="s">
        <v>1537</v>
      </c>
      <c r="E1049" s="243">
        <v>20</v>
      </c>
      <c r="F1049" s="243">
        <f>IF(COUNTIF(PDs!$E$75:$E$77,Tablas!D1049)&gt;0,1,0)</f>
        <v>0</v>
      </c>
      <c r="G1049" s="243" t="str">
        <f>IF(Tablas!Q999=0,"NO","-")</f>
        <v>NO</v>
      </c>
      <c r="H1049" s="555" t="s">
        <v>3184</v>
      </c>
      <c r="I1049" s="23" t="s">
        <v>3217</v>
      </c>
      <c r="J1049" s="23" t="s">
        <v>3209</v>
      </c>
      <c r="K1049" s="23"/>
      <c r="L1049" s="73" t="s">
        <v>1538</v>
      </c>
      <c r="M1049" s="73"/>
      <c r="N1049" s="333"/>
      <c r="O1049" s="73"/>
      <c r="P1049" s="73"/>
      <c r="Q1049" s="75"/>
    </row>
    <row r="1050" spans="2:17" ht="12.75" customHeight="1" x14ac:dyDescent="0.2">
      <c r="B1050" s="70"/>
      <c r="C1050" s="73"/>
      <c r="D1050" s="525" t="s">
        <v>1539</v>
      </c>
      <c r="E1050" s="243">
        <v>20</v>
      </c>
      <c r="F1050" s="243">
        <f>IF(COUNTIF(PDs!$E$75:$E$77,Tablas!D1050)&gt;0,1,0)</f>
        <v>0</v>
      </c>
      <c r="G1050" s="243" t="str">
        <f>IF(Tablas!Q1001=0,"NO","-")</f>
        <v>NO</v>
      </c>
      <c r="H1050" s="555" t="s">
        <v>3193</v>
      </c>
      <c r="I1050" s="23"/>
      <c r="J1050" s="23"/>
      <c r="K1050" s="23"/>
      <c r="L1050" s="73" t="s">
        <v>1540</v>
      </c>
      <c r="M1050" s="73"/>
      <c r="N1050" s="333"/>
      <c r="O1050" s="73"/>
      <c r="P1050" s="73"/>
      <c r="Q1050" s="75"/>
    </row>
    <row r="1051" spans="2:17" ht="12.75" customHeight="1" x14ac:dyDescent="0.2">
      <c r="B1051" s="70"/>
      <c r="C1051" s="73"/>
      <c r="D1051" s="525" t="s">
        <v>1541</v>
      </c>
      <c r="E1051" s="243">
        <v>20</v>
      </c>
      <c r="F1051" s="243">
        <f>IF(COUNTIF(PDs!$E$75:$E$77,Tablas!D1051)&gt;0,1,0)</f>
        <v>0</v>
      </c>
      <c r="G1051" s="243" t="str">
        <f>IF(Tablas!Q1005=0,"NO","-")</f>
        <v>NO</v>
      </c>
      <c r="H1051" s="555" t="s">
        <v>3129</v>
      </c>
      <c r="I1051" s="23"/>
      <c r="J1051" s="23"/>
      <c r="K1051" s="23"/>
      <c r="L1051" s="73" t="s">
        <v>1542</v>
      </c>
      <c r="M1051" s="73"/>
      <c r="N1051" s="333"/>
      <c r="O1051" s="73"/>
      <c r="P1051" s="73"/>
      <c r="Q1051" s="75"/>
    </row>
    <row r="1052" spans="2:17" ht="12.75" customHeight="1" x14ac:dyDescent="0.2">
      <c r="B1052" s="70"/>
      <c r="C1052" s="73"/>
      <c r="D1052" s="525" t="s">
        <v>1543</v>
      </c>
      <c r="E1052" s="243">
        <v>10</v>
      </c>
      <c r="F1052" s="243">
        <f>IF(COUNTIF(PDs!$E$75:$E$77,Tablas!D1052)&gt;0,1,0)</f>
        <v>0</v>
      </c>
      <c r="G1052" s="243" t="str">
        <f>IF(Tablas!Q1007=0,"NO","-")</f>
        <v>NO</v>
      </c>
      <c r="H1052" s="555"/>
      <c r="I1052" s="23"/>
      <c r="J1052" s="23"/>
      <c r="K1052" s="23"/>
      <c r="L1052" s="73" t="s">
        <v>1544</v>
      </c>
      <c r="M1052" s="73"/>
      <c r="N1052" s="333"/>
      <c r="O1052" s="73"/>
      <c r="P1052" s="73"/>
      <c r="Q1052" s="75"/>
    </row>
    <row r="1053" spans="2:17" ht="12.75" customHeight="1" x14ac:dyDescent="0.2">
      <c r="B1053" s="70"/>
      <c r="C1053" s="73"/>
      <c r="D1053" s="525" t="s">
        <v>1545</v>
      </c>
      <c r="E1053" s="243">
        <v>40</v>
      </c>
      <c r="F1053" s="243">
        <f>IF(COUNTIF(PDs!$E$75:$E$77,Tablas!D1053)&gt;0,1,0)</f>
        <v>0</v>
      </c>
      <c r="G1053" s="243" t="str">
        <f>IF(Tablas!Q1009=0,"NO","-")</f>
        <v>NO</v>
      </c>
      <c r="H1053" s="555" t="s">
        <v>3139</v>
      </c>
      <c r="I1053" s="23" t="s">
        <v>3155</v>
      </c>
      <c r="J1053" s="23"/>
      <c r="K1053" s="23"/>
      <c r="L1053" s="73" t="s">
        <v>1546</v>
      </c>
      <c r="M1053" s="73"/>
      <c r="N1053" s="333"/>
      <c r="O1053" s="73"/>
      <c r="P1053" s="73"/>
      <c r="Q1053" s="75"/>
    </row>
    <row r="1054" spans="2:17" ht="12.75" customHeight="1" x14ac:dyDescent="0.2">
      <c r="B1054" s="70"/>
      <c r="C1054" s="73"/>
      <c r="D1054" s="525" t="s">
        <v>1547</v>
      </c>
      <c r="E1054" s="243">
        <v>40</v>
      </c>
      <c r="F1054" s="243">
        <f>IF(COUNTIF(PDs!$E$75:$E$77,Tablas!D1054)&gt;0,1,0)</f>
        <v>0</v>
      </c>
      <c r="G1054" s="243" t="str">
        <f>IF(Tablas!Q1011=0,"NO","-")</f>
        <v>NO</v>
      </c>
      <c r="H1054" s="555" t="s">
        <v>3146</v>
      </c>
      <c r="I1054" s="23" t="s">
        <v>3133</v>
      </c>
      <c r="J1054" s="23" t="s">
        <v>3211</v>
      </c>
      <c r="K1054" s="23"/>
      <c r="L1054" s="73" t="s">
        <v>1548</v>
      </c>
      <c r="M1054" s="73"/>
      <c r="N1054" s="333"/>
      <c r="O1054" s="73"/>
      <c r="P1054" s="73"/>
      <c r="Q1054" s="75"/>
    </row>
    <row r="1055" spans="2:17" ht="12.75" customHeight="1" x14ac:dyDescent="0.2">
      <c r="B1055" s="70"/>
      <c r="C1055" s="73"/>
      <c r="D1055" s="525" t="s">
        <v>1549</v>
      </c>
      <c r="E1055" s="243">
        <v>30</v>
      </c>
      <c r="F1055" s="243">
        <f>IF(COUNTIF(PDs!$E$75:$E$77,Tablas!D1055)&gt;0,1,0)</f>
        <v>0</v>
      </c>
      <c r="G1055" s="243" t="str">
        <f>IF(Tablas!Q1013=0,"NO","-")</f>
        <v>NO</v>
      </c>
      <c r="H1055" s="555" t="s">
        <v>3129</v>
      </c>
      <c r="I1055" s="23" t="s">
        <v>3141</v>
      </c>
      <c r="J1055" s="23" t="s">
        <v>3210</v>
      </c>
      <c r="K1055" s="23"/>
      <c r="L1055" s="73" t="s">
        <v>1550</v>
      </c>
      <c r="M1055" s="73"/>
      <c r="N1055" s="333"/>
      <c r="O1055" s="73"/>
      <c r="P1055" s="73"/>
      <c r="Q1055" s="75"/>
    </row>
    <row r="1056" spans="2:17" ht="12.75" customHeight="1" x14ac:dyDescent="0.2">
      <c r="B1056" s="70"/>
      <c r="C1056" s="73"/>
      <c r="D1056" s="525" t="s">
        <v>1551</v>
      </c>
      <c r="E1056" s="243">
        <v>20</v>
      </c>
      <c r="F1056" s="243">
        <f>IF(COUNTIF(PDs!$E$75:$E$77,Tablas!D1056)&gt;0,1,0)</f>
        <v>0</v>
      </c>
      <c r="G1056" s="243" t="str">
        <f>IF(Tablas!Q1015=0,"NO","-")</f>
        <v>NO</v>
      </c>
      <c r="H1056" s="555" t="s">
        <v>3211</v>
      </c>
      <c r="I1056" s="23" t="s">
        <v>3135</v>
      </c>
      <c r="J1056" s="23" t="s">
        <v>3189</v>
      </c>
      <c r="K1056" s="23"/>
      <c r="L1056" s="73" t="s">
        <v>1552</v>
      </c>
      <c r="M1056" s="73"/>
      <c r="N1056" s="333"/>
      <c r="O1056" s="73"/>
      <c r="P1056" s="73"/>
      <c r="Q1056" s="75"/>
    </row>
    <row r="1057" spans="2:17" ht="12.75" customHeight="1" thickBot="1" x14ac:dyDescent="0.25">
      <c r="B1057" s="221"/>
      <c r="C1057" s="222"/>
      <c r="D1057" s="527" t="s">
        <v>1553</v>
      </c>
      <c r="E1057" s="576">
        <v>20</v>
      </c>
      <c r="F1057" s="576">
        <f>IF(COUNTIF(PDs!$E$75:$E$77,Tablas!D1057)&gt;0,1,0)</f>
        <v>0</v>
      </c>
      <c r="G1057" s="576" t="str">
        <f>IF(Tablas!Q1017=0,"NO","-")</f>
        <v>NO</v>
      </c>
      <c r="H1057" s="561" t="s">
        <v>3133</v>
      </c>
      <c r="I1057" s="46" t="s">
        <v>3143</v>
      </c>
      <c r="J1057" s="46"/>
      <c r="K1057" s="46"/>
      <c r="L1057" s="222" t="s">
        <v>1554</v>
      </c>
      <c r="M1057" s="222"/>
      <c r="N1057" s="1988"/>
      <c r="O1057" s="222"/>
      <c r="P1057" s="222"/>
      <c r="Q1057" s="223"/>
    </row>
    <row r="1059" spans="2:17" ht="12.75" customHeight="1" thickBot="1" x14ac:dyDescent="0.25">
      <c r="B1059" s="4837" t="s">
        <v>1555</v>
      </c>
      <c r="C1059" s="4837"/>
      <c r="D1059" s="4837"/>
      <c r="E1059" s="4837"/>
      <c r="F1059" s="4837"/>
      <c r="G1059" s="4837"/>
      <c r="H1059" s="4837"/>
      <c r="I1059" s="4837"/>
      <c r="J1059" s="4837"/>
      <c r="K1059" s="4837"/>
      <c r="L1059" s="4837"/>
      <c r="M1059" s="4837"/>
      <c r="N1059" s="4837"/>
      <c r="O1059" s="4837"/>
      <c r="P1059" s="4837"/>
      <c r="Q1059" s="4837"/>
    </row>
    <row r="1060" spans="2:17" ht="12.75" customHeight="1" x14ac:dyDescent="0.2">
      <c r="B1060" s="4837"/>
      <c r="C1060" s="4837"/>
      <c r="D1060" s="4837"/>
      <c r="E1060" s="4837"/>
      <c r="F1060" s="4837"/>
      <c r="G1060" s="4837"/>
      <c r="H1060" s="4837"/>
      <c r="I1060" s="4837"/>
      <c r="J1060" s="4837"/>
      <c r="K1060" s="4837"/>
      <c r="L1060" s="4837"/>
      <c r="M1060" s="4837"/>
      <c r="N1060" s="4837"/>
      <c r="O1060" s="4837"/>
      <c r="P1060" s="4837"/>
      <c r="Q1060" s="4837"/>
    </row>
    <row r="1061" spans="2:17" ht="12.75" customHeight="1" thickBot="1" x14ac:dyDescent="0.25">
      <c r="B1061" s="577"/>
      <c r="C1061" s="578"/>
      <c r="D1061" s="514" t="s">
        <v>2295</v>
      </c>
      <c r="E1061" s="449" t="s">
        <v>1556</v>
      </c>
      <c r="F1061" s="449" t="s">
        <v>2356</v>
      </c>
      <c r="G1061" s="453" t="s">
        <v>3283</v>
      </c>
      <c r="H1061" s="1989" t="s">
        <v>1327</v>
      </c>
      <c r="I1061" s="578" t="s">
        <v>2407</v>
      </c>
      <c r="J1061" s="578"/>
      <c r="K1061" s="578"/>
      <c r="L1061" s="578"/>
      <c r="M1061" s="578"/>
      <c r="N1061" s="1989"/>
      <c r="O1061" s="578"/>
      <c r="P1061" s="578"/>
      <c r="Q1061" s="579"/>
    </row>
    <row r="1062" spans="2:17" ht="12.75" customHeight="1" x14ac:dyDescent="0.2">
      <c r="B1062" s="1860" t="str">
        <f>VLOOKUP(A1,$C$1062:$D$1068,2,0)</f>
        <v>&gt; ARS MAGNUS MENORES</v>
      </c>
      <c r="C1062" s="2745">
        <f>COUNTIF($D$1062:$D$1068,"&lt;="&amp;D1062)</f>
        <v>1</v>
      </c>
      <c r="D1062" s="524" t="s">
        <v>1557</v>
      </c>
      <c r="E1062" s="580">
        <v>0</v>
      </c>
      <c r="F1062" s="580">
        <v>0</v>
      </c>
      <c r="G1062" s="290"/>
      <c r="H1062" s="1990" t="s">
        <v>2310</v>
      </c>
      <c r="I1062" s="581" t="s">
        <v>2310</v>
      </c>
      <c r="J1062" s="146"/>
      <c r="K1062" s="146"/>
      <c r="L1062" s="146"/>
      <c r="M1062" s="146"/>
      <c r="N1062" s="1984"/>
      <c r="O1062" s="146"/>
      <c r="P1062" s="146"/>
      <c r="Q1062" s="286"/>
    </row>
    <row r="1063" spans="2:17" ht="12.75" customHeight="1" x14ac:dyDescent="0.2">
      <c r="B1063" s="1860" t="str">
        <f t="shared" ref="B1063:B1068" si="73">VLOOKUP(A2,$C$1062:$D$1068,2,0)</f>
        <v>Ataque Final</v>
      </c>
      <c r="C1063" s="2745">
        <f t="shared" ref="C1063:C1068" si="74">COUNTIF($D$1062:$D$1068,"&lt;="&amp;D1063)</f>
        <v>3</v>
      </c>
      <c r="D1063" s="502" t="s">
        <v>1558</v>
      </c>
      <c r="E1063" s="243">
        <v>30</v>
      </c>
      <c r="F1063" s="243">
        <v>10</v>
      </c>
      <c r="G1063" s="290">
        <f>IF(COUNTIF(PDs!$E$78:$H$82,D1063)&gt;0,1,0)</f>
        <v>0</v>
      </c>
      <c r="H1063" s="1991" t="s">
        <v>2310</v>
      </c>
      <c r="I1063" s="23" t="s">
        <v>1559</v>
      </c>
      <c r="J1063" s="73"/>
      <c r="K1063" s="73"/>
      <c r="L1063" s="73"/>
      <c r="M1063" s="73"/>
      <c r="N1063" s="333"/>
      <c r="O1063" s="73"/>
      <c r="P1063" s="73"/>
      <c r="Q1063" s="75"/>
    </row>
    <row r="1064" spans="2:17" ht="12.75" customHeight="1" x14ac:dyDescent="0.2">
      <c r="B1064" s="1860" t="str">
        <f t="shared" si="73"/>
        <v>Berserker</v>
      </c>
      <c r="C1064" s="2745">
        <f t="shared" si="74"/>
        <v>7</v>
      </c>
      <c r="D1064" s="502" t="s">
        <v>1560</v>
      </c>
      <c r="E1064" s="243">
        <v>20</v>
      </c>
      <c r="F1064" s="243">
        <v>10</v>
      </c>
      <c r="G1064" s="290">
        <f>IF(COUNTIF(PDs!$E$78:$H$82,D1064)&gt;0,1,0)</f>
        <v>0</v>
      </c>
      <c r="H1064" s="1991" t="str">
        <f>IF(COUNTIF(PDs!$E$46:$H$55,Tablas!$D$904)&gt;0,"-","NO")</f>
        <v>NO</v>
      </c>
      <c r="I1064" s="23" t="s">
        <v>1561</v>
      </c>
      <c r="J1064" s="73"/>
      <c r="K1064" s="73"/>
      <c r="L1064" s="73"/>
      <c r="M1064" s="73"/>
      <c r="N1064" s="333"/>
      <c r="O1064" s="73"/>
      <c r="P1064" s="73"/>
      <c r="Q1064" s="75"/>
    </row>
    <row r="1065" spans="2:17" ht="12.75" customHeight="1" x14ac:dyDescent="0.2">
      <c r="B1065" s="1860" t="str">
        <f t="shared" si="73"/>
        <v>Guardián</v>
      </c>
      <c r="C1065" s="2745">
        <f t="shared" si="74"/>
        <v>5</v>
      </c>
      <c r="D1065" s="502" t="s">
        <v>1562</v>
      </c>
      <c r="E1065" s="243">
        <v>10</v>
      </c>
      <c r="F1065" s="243">
        <v>10</v>
      </c>
      <c r="G1065" s="290">
        <f>IF(COUNTIF(PDs!$E$78:$H$82,D1065)&gt;0,1,0)</f>
        <v>0</v>
      </c>
      <c r="H1065" s="1991" t="str">
        <f>IF(OR(NOT(Ki!$P$10="-"),Tablas!$Q$933+Tablas!$Q$936+Tablas!$Q$939+Tablas!$Q$942+Tablas!$Q$945+Tablas!$Q$948+Tablas!$Q$951+Tablas!$Q$954+Tablas!$Q$957+Tablas!$Q$960+Tablas!$Q$963+Tablas!$Q$966+Tablas!$Q$969+Tablas!$Q$972+Tablas!$Q$975+Tablas!$Q$978+Tablas!$Q$981+Tablas!$Q$984=0),"NO","-")</f>
        <v>NO</v>
      </c>
      <c r="I1065" s="23" t="s">
        <v>1563</v>
      </c>
      <c r="J1065" s="73"/>
      <c r="K1065" s="73"/>
      <c r="L1065" s="73"/>
      <c r="M1065" s="73"/>
      <c r="N1065" s="333"/>
      <c r="O1065" s="73"/>
      <c r="P1065" s="73"/>
      <c r="Q1065" s="75"/>
    </row>
    <row r="1066" spans="2:17" ht="12.75" customHeight="1" x14ac:dyDescent="0.2">
      <c r="B1066" s="1860" t="str">
        <f t="shared" si="73"/>
        <v>Kiai</v>
      </c>
      <c r="C1066" s="2745">
        <f t="shared" si="74"/>
        <v>4</v>
      </c>
      <c r="D1066" s="502" t="s">
        <v>1564</v>
      </c>
      <c r="E1066" s="243">
        <v>40</v>
      </c>
      <c r="F1066" s="243">
        <v>10</v>
      </c>
      <c r="G1066" s="290">
        <f>IF(COUNTIF(PDs!$E$78:$H$82,D1066)&gt;0,1,0)</f>
        <v>0</v>
      </c>
      <c r="H1066" s="1991" t="str">
        <f>IF(Advertir_final&lt;50,"NO","-")</f>
        <v>NO</v>
      </c>
      <c r="I1066" s="23" t="s">
        <v>1565</v>
      </c>
      <c r="J1066" s="73"/>
      <c r="K1066" s="73"/>
      <c r="L1066" s="73"/>
      <c r="M1066" s="73"/>
      <c r="N1066" s="333"/>
      <c r="O1066" s="73"/>
      <c r="P1066" s="73"/>
      <c r="Q1066" s="75"/>
    </row>
    <row r="1067" spans="2:17" ht="12.75" customHeight="1" x14ac:dyDescent="0.2">
      <c r="B1067" s="1860" t="str">
        <f t="shared" si="73"/>
        <v>Maniobra Especial</v>
      </c>
      <c r="C1067" s="2745">
        <f t="shared" si="74"/>
        <v>2</v>
      </c>
      <c r="D1067" s="502" t="s">
        <v>1566</v>
      </c>
      <c r="E1067" s="243">
        <v>30</v>
      </c>
      <c r="F1067" s="243">
        <v>10</v>
      </c>
      <c r="G1067" s="290">
        <f>IF(COUNTIF(PDs!$E$78:$H$82,D1067)&gt;0,1,0)</f>
        <v>0</v>
      </c>
      <c r="H1067" s="1991" t="s">
        <v>2310</v>
      </c>
      <c r="I1067" s="23" t="s">
        <v>1567</v>
      </c>
      <c r="J1067" s="73"/>
      <c r="K1067" s="73"/>
      <c r="L1067" s="73"/>
      <c r="M1067" s="73"/>
      <c r="N1067" s="333"/>
      <c r="O1067" s="73"/>
      <c r="P1067" s="73"/>
      <c r="Q1067" s="75"/>
    </row>
    <row r="1068" spans="2:17" ht="12.75" customHeight="1" x14ac:dyDescent="0.2">
      <c r="B1068" s="1860" t="str">
        <f t="shared" si="73"/>
        <v>Yuuse Batojutsu</v>
      </c>
      <c r="C1068" s="2745">
        <f t="shared" si="74"/>
        <v>6</v>
      </c>
      <c r="D1068" s="502" t="s">
        <v>1568</v>
      </c>
      <c r="E1068" s="243">
        <v>30</v>
      </c>
      <c r="F1068" s="243">
        <v>10</v>
      </c>
      <c r="G1068" s="290">
        <f>IF(COUNTIF(PDs!$E$78:$H$82,D1068)&gt;0,1,0)</f>
        <v>0</v>
      </c>
      <c r="H1068" s="1991" t="s">
        <v>2310</v>
      </c>
      <c r="I1068" s="23" t="s">
        <v>1569</v>
      </c>
      <c r="J1068" s="73"/>
      <c r="K1068" s="73"/>
      <c r="L1068" s="73"/>
      <c r="M1068" s="73"/>
      <c r="N1068" s="333"/>
      <c r="O1068" s="73"/>
      <c r="P1068" s="73"/>
      <c r="Q1068" s="75"/>
    </row>
    <row r="1069" spans="2:17" ht="12.75" customHeight="1" x14ac:dyDescent="0.2">
      <c r="B1069" s="1860" t="str">
        <f>VLOOKUP(A1,$C$1069:$D$1089,2,0)</f>
        <v>&gt; ARS MAGNUS MAYORES</v>
      </c>
      <c r="C1069" s="2745">
        <f>COUNTIF($D$1069:$D$1089,"&lt;="&amp;D1069)</f>
        <v>1</v>
      </c>
      <c r="D1069" s="502" t="s">
        <v>1570</v>
      </c>
      <c r="E1069" s="243">
        <v>0</v>
      </c>
      <c r="F1069" s="243">
        <v>0</v>
      </c>
      <c r="G1069" s="290"/>
      <c r="H1069" s="1991" t="s">
        <v>2310</v>
      </c>
      <c r="I1069" s="251" t="s">
        <v>2310</v>
      </c>
      <c r="J1069" s="73"/>
      <c r="K1069" s="73"/>
      <c r="L1069" s="73"/>
      <c r="M1069" s="73"/>
      <c r="N1069" s="333"/>
      <c r="O1069" s="73"/>
      <c r="P1069" s="73"/>
      <c r="Q1069" s="75"/>
    </row>
    <row r="1070" spans="2:17" ht="12.75" customHeight="1" x14ac:dyDescent="0.2">
      <c r="B1070" s="1860" t="str">
        <f t="shared" ref="B1070:B1089" si="75">VLOOKUP(A2,$C$1069:$D$1089,2,0)</f>
        <v>Agnitum: Ojo Absoluto</v>
      </c>
      <c r="C1070" s="2745">
        <f t="shared" ref="C1070:C1089" si="76">COUNTIF($D$1069:$D$1089,"&lt;="&amp;D1070)</f>
        <v>3</v>
      </c>
      <c r="D1070" s="502" t="s">
        <v>1571</v>
      </c>
      <c r="E1070" s="243">
        <v>80</v>
      </c>
      <c r="F1070" s="243">
        <v>80</v>
      </c>
      <c r="G1070" s="290">
        <f>IF(COUNTIF(PDs!$E$78:$H$82,D1070)&gt;0,1,0)</f>
        <v>0</v>
      </c>
      <c r="H1070" s="1991" t="str">
        <f>IF(OR(HA_final&lt;220,NOT(Ki!$P$49="-"),NOT(OR(Ki!$P$64="-",Ki!$H$64="-",Tablas!$G$1610&gt;0)),POD&lt;11),"NO","-")</f>
        <v>NO</v>
      </c>
      <c r="I1070" s="23" t="s">
        <v>1572</v>
      </c>
      <c r="J1070" s="73"/>
      <c r="K1070" s="73"/>
      <c r="L1070" s="73"/>
      <c r="M1070" s="73"/>
      <c r="N1070" s="333"/>
      <c r="O1070" s="73"/>
      <c r="P1070" s="73"/>
      <c r="Q1070" s="75"/>
    </row>
    <row r="1071" spans="2:17" ht="12.75" customHeight="1" x14ac:dyDescent="0.2">
      <c r="B1071" s="1860" t="str">
        <f t="shared" si="75"/>
        <v>Ashuriam: Asalto Dimensional</v>
      </c>
      <c r="C1071" s="2745">
        <f t="shared" si="76"/>
        <v>2</v>
      </c>
      <c r="D1071" s="502" t="s">
        <v>1573</v>
      </c>
      <c r="E1071" s="243">
        <v>30</v>
      </c>
      <c r="F1071" s="243">
        <v>30</v>
      </c>
      <c r="G1071" s="290">
        <f>IF(COUNTIF(PDs!$E$78:$H$82,D1071)&gt;0,1,0)</f>
        <v>0</v>
      </c>
      <c r="H1071" s="1991" t="str">
        <f>IF(OR(HA_final&lt;180,NOT(Ki!$P$14="-"),PER&lt;11),"NO","-")</f>
        <v>NO</v>
      </c>
      <c r="I1071" s="23" t="s">
        <v>1574</v>
      </c>
      <c r="J1071" s="73"/>
      <c r="K1071" s="73"/>
      <c r="L1071" s="73"/>
      <c r="M1071" s="73"/>
      <c r="N1071" s="333"/>
      <c r="O1071" s="73"/>
      <c r="P1071" s="73"/>
      <c r="Q1071" s="75"/>
    </row>
    <row r="1072" spans="2:17" ht="12.75" customHeight="1" x14ac:dyDescent="0.2">
      <c r="B1072" s="1860" t="str">
        <f t="shared" si="75"/>
        <v>Caos Meister: Control del Caos</v>
      </c>
      <c r="C1072" s="2745">
        <f t="shared" si="76"/>
        <v>4</v>
      </c>
      <c r="D1072" s="502" t="s">
        <v>1575</v>
      </c>
      <c r="E1072" s="243">
        <v>80</v>
      </c>
      <c r="F1072" s="243">
        <v>100</v>
      </c>
      <c r="G1072" s="290">
        <f>IF(COUNTIF(PDs!$E$78:$H$82,D1072)&gt;0,1,0)</f>
        <v>0</v>
      </c>
      <c r="H1072" s="1991" t="str">
        <f>IF(OR(HA_final&lt;250,MAX(HP_final,HE_final)&lt;250,NOT(Ki!$P$49="-"),NOT(OR(Ki!$P$63="-",Ki!$H$63="-",Tablas!$G$1609&gt;0)),POD&lt;11),"NO","-")</f>
        <v>NO</v>
      </c>
      <c r="I1072" s="23" t="s">
        <v>1576</v>
      </c>
      <c r="J1072" s="73"/>
      <c r="K1072" s="73"/>
      <c r="L1072" s="73"/>
      <c r="M1072" s="73"/>
      <c r="N1072" s="333"/>
      <c r="O1072" s="73"/>
      <c r="P1072" s="73"/>
      <c r="Q1072" s="75"/>
    </row>
    <row r="1073" spans="2:17" ht="12.75" customHeight="1" x14ac:dyDescent="0.2">
      <c r="B1073" s="1860" t="str">
        <f t="shared" si="75"/>
        <v>Etherial: Ataques Infinitos</v>
      </c>
      <c r="C1073" s="2745">
        <f t="shared" si="76"/>
        <v>5</v>
      </c>
      <c r="D1073" s="502" t="s">
        <v>1577</v>
      </c>
      <c r="E1073" s="243">
        <v>40</v>
      </c>
      <c r="F1073" s="243">
        <v>40</v>
      </c>
      <c r="G1073" s="290">
        <f>IF(COUNTIF(PDs!$E$78:$H$82,D1073)&gt;0,1,0)</f>
        <v>0</v>
      </c>
      <c r="H1073" s="1991" t="str">
        <f>IF(HA_final&lt;200,"NO","-")</f>
        <v>NO</v>
      </c>
      <c r="I1073" s="23" t="s">
        <v>1578</v>
      </c>
      <c r="J1073" s="73"/>
      <c r="K1073" s="73"/>
      <c r="L1073" s="73"/>
      <c r="M1073" s="73"/>
      <c r="N1073" s="333"/>
      <c r="O1073" s="73"/>
      <c r="P1073" s="73"/>
      <c r="Q1073" s="75"/>
    </row>
    <row r="1074" spans="2:17" ht="12.75" customHeight="1" x14ac:dyDescent="0.2">
      <c r="B1074" s="1860" t="str">
        <f t="shared" si="75"/>
        <v>Haima: Sombra de Sangre</v>
      </c>
      <c r="C1074" s="2745">
        <f t="shared" si="76"/>
        <v>6</v>
      </c>
      <c r="D1074" s="502" t="s">
        <v>1579</v>
      </c>
      <c r="E1074" s="243">
        <v>30</v>
      </c>
      <c r="F1074" s="243">
        <v>30</v>
      </c>
      <c r="G1074" s="290">
        <f>IF(COUNTIF(PDs!$E$78:$H$82,D1074)&gt;0,1,0)</f>
        <v>0</v>
      </c>
      <c r="H1074" s="1991" t="str">
        <f>IF(OR(MAX(HP_final,HE_final)&lt;200,Tablas!$O$550=0),"NO","-")</f>
        <v>NO</v>
      </c>
      <c r="I1074" s="23" t="s">
        <v>1580</v>
      </c>
      <c r="J1074" s="73"/>
      <c r="K1074" s="73"/>
      <c r="L1074" s="73"/>
      <c r="M1074" s="73"/>
      <c r="N1074" s="333"/>
      <c r="O1074" s="73"/>
      <c r="P1074" s="73"/>
      <c r="Q1074" s="75"/>
    </row>
    <row r="1075" spans="2:17" ht="12.75" customHeight="1" x14ac:dyDescent="0.2">
      <c r="B1075" s="1860" t="str">
        <f t="shared" si="75"/>
        <v>Infinium: Fluctuación del Espacio</v>
      </c>
      <c r="C1075" s="2745">
        <f t="shared" si="76"/>
        <v>8</v>
      </c>
      <c r="D1075" s="502" t="s">
        <v>1581</v>
      </c>
      <c r="E1075" s="243">
        <v>30</v>
      </c>
      <c r="F1075" s="243">
        <v>50</v>
      </c>
      <c r="G1075" s="290">
        <f>IF(COUNTIF(PDs!$E$78:$H$82,D1075)&gt;0,1,0)</f>
        <v>0</v>
      </c>
      <c r="H1075" s="1991" t="str">
        <f>IF(OR(HA_final&lt;200,NOT(Ki!$P$36="-")),"NO","-")</f>
        <v>NO</v>
      </c>
      <c r="I1075" s="23" t="s">
        <v>1582</v>
      </c>
      <c r="J1075" s="73"/>
      <c r="K1075" s="73"/>
      <c r="L1075" s="73"/>
      <c r="M1075" s="73"/>
      <c r="N1075" s="333"/>
      <c r="O1075" s="73"/>
      <c r="P1075" s="73"/>
      <c r="Q1075" s="75"/>
    </row>
    <row r="1076" spans="2:17" ht="12.75" customHeight="1" x14ac:dyDescent="0.2">
      <c r="B1076" s="1860" t="str">
        <f t="shared" si="75"/>
        <v>Magnum: Liberación de Poder</v>
      </c>
      <c r="C1076" s="2745">
        <f t="shared" si="76"/>
        <v>7</v>
      </c>
      <c r="D1076" s="502" t="s">
        <v>1583</v>
      </c>
      <c r="E1076" s="243">
        <v>40</v>
      </c>
      <c r="F1076" s="243">
        <v>40</v>
      </c>
      <c r="G1076" s="290">
        <f>IF(COUNTIF(PDs!$E$78:$H$82,D1076)&gt;0,1,0)</f>
        <v>0</v>
      </c>
      <c r="H1076" s="1991" t="str">
        <f>IF(OR(HA_final&lt;200,NOT(OR(Ki!$P$63="-",Ki!$H$63="-",Tablas!$G$1609&gt;0)),AGI&lt;11),"NO","-")</f>
        <v>NO</v>
      </c>
      <c r="I1076" s="23" t="s">
        <v>1584</v>
      </c>
      <c r="J1076" s="73"/>
      <c r="K1076" s="73"/>
      <c r="L1076" s="73"/>
      <c r="M1076" s="73"/>
      <c r="N1076" s="333"/>
      <c r="O1076" s="73"/>
      <c r="P1076" s="73"/>
      <c r="Q1076" s="75"/>
    </row>
    <row r="1077" spans="2:17" ht="12.75" customHeight="1" x14ac:dyDescent="0.2">
      <c r="B1077" s="1860" t="str">
        <f t="shared" si="75"/>
        <v>Matrix: División Existencial</v>
      </c>
      <c r="C1077" s="2745">
        <f t="shared" si="76"/>
        <v>9</v>
      </c>
      <c r="D1077" s="502" t="s">
        <v>1585</v>
      </c>
      <c r="E1077" s="243">
        <v>50</v>
      </c>
      <c r="F1077" s="243">
        <v>50</v>
      </c>
      <c r="G1077" s="290">
        <f>IF(COUNTIF(PDs!$E$78:$H$82,D1077)&gt;0,1,0)</f>
        <v>0</v>
      </c>
      <c r="H1077" s="1991" t="str">
        <f>IF(OR(HA_final&lt;150,MAX(HP_final,HE_final)&lt;150,NOT(Ki!$P$19="-")),"NO","-")</f>
        <v>NO</v>
      </c>
      <c r="I1077" s="23" t="s">
        <v>1586</v>
      </c>
      <c r="J1077" s="73"/>
      <c r="K1077" s="73"/>
      <c r="L1077" s="73"/>
      <c r="M1077" s="73"/>
      <c r="N1077" s="333"/>
      <c r="O1077" s="73"/>
      <c r="P1077" s="73"/>
      <c r="Q1077" s="75"/>
    </row>
    <row r="1078" spans="2:17" ht="12.75" customHeight="1" x14ac:dyDescent="0.2">
      <c r="B1078" s="1860" t="str">
        <f t="shared" si="75"/>
        <v>Mundus: Control del Entorno</v>
      </c>
      <c r="C1078" s="2745">
        <f t="shared" si="76"/>
        <v>10</v>
      </c>
      <c r="D1078" s="502" t="s">
        <v>1587</v>
      </c>
      <c r="E1078" s="243">
        <v>30</v>
      </c>
      <c r="F1078" s="243">
        <v>50</v>
      </c>
      <c r="G1078" s="290">
        <f>IF(COUNTIF(PDs!$E$78:$H$82,D1078)&gt;0,1,0)</f>
        <v>0</v>
      </c>
      <c r="H1078" s="1991" t="str">
        <f>IF(OR(HA_final&lt;200,MAX(HP_final,HE_final)&lt;200,NOT(Ki!$P$30="-"),NOT(OR(Ki!$P$63="-",Ki!$H$63="-",Tablas!$G$1609&gt;0))),"NO","-")</f>
        <v>NO</v>
      </c>
      <c r="I1078" s="23" t="s">
        <v>1588</v>
      </c>
      <c r="J1078" s="73"/>
      <c r="K1078" s="73"/>
      <c r="L1078" s="73"/>
      <c r="M1078" s="73"/>
      <c r="N1078" s="333"/>
      <c r="O1078" s="73"/>
      <c r="P1078" s="73"/>
      <c r="Q1078" s="75"/>
    </row>
    <row r="1079" spans="2:17" ht="12.75" customHeight="1" x14ac:dyDescent="0.2">
      <c r="B1079" s="1860" t="str">
        <f t="shared" si="75"/>
        <v>Raikou: Hoja Relámpago</v>
      </c>
      <c r="C1079" s="2745">
        <f t="shared" si="76"/>
        <v>11</v>
      </c>
      <c r="D1079" s="502" t="s">
        <v>1589</v>
      </c>
      <c r="E1079" s="243">
        <v>60</v>
      </c>
      <c r="F1079" s="243">
        <v>60</v>
      </c>
      <c r="G1079" s="290">
        <f>IF(COUNTIF(PDs!$E$78:$H$82,D1079)&gt;0,1,0)</f>
        <v>0</v>
      </c>
      <c r="H1079" s="1991" t="str">
        <f>IF(OR(HA_final&lt;200,NOT(OR(Ki!$P$63="-",Ki!$H$63="-",Tablas!$G$1609&gt;0)),AGI&lt;11,DES&lt;11),"NO","-")</f>
        <v>NO</v>
      </c>
      <c r="I1079" s="23" t="s">
        <v>1590</v>
      </c>
      <c r="J1079" s="73"/>
      <c r="K1079" s="73"/>
      <c r="L1079" s="73"/>
      <c r="M1079" s="73"/>
      <c r="N1079" s="333"/>
      <c r="O1079" s="73"/>
      <c r="P1079" s="73"/>
      <c r="Q1079" s="75"/>
    </row>
    <row r="1080" spans="2:17" ht="12.75" customHeight="1" x14ac:dyDescent="0.2">
      <c r="B1080" s="1860" t="str">
        <f t="shared" si="75"/>
        <v>Rem: Los Ojos del Destino</v>
      </c>
      <c r="C1080" s="2745">
        <f t="shared" si="76"/>
        <v>12</v>
      </c>
      <c r="D1080" s="502" t="s">
        <v>1591</v>
      </c>
      <c r="E1080" s="243">
        <v>40</v>
      </c>
      <c r="F1080" s="243">
        <v>60</v>
      </c>
      <c r="G1080" s="290">
        <f>IF(COUNTIF(PDs!$E$78:$H$82,D1080)&gt;0,1,0)</f>
        <v>0</v>
      </c>
      <c r="H1080" s="1991" t="str">
        <f>IF(OR(HA_final&lt;180,MAX(HP_final,HE_final)&lt;180,NOT(Ki!$P$14="-"),PER&lt;10),"NO","-")</f>
        <v>NO</v>
      </c>
      <c r="I1080" s="23" t="s">
        <v>1592</v>
      </c>
      <c r="J1080" s="73"/>
      <c r="K1080" s="73"/>
      <c r="L1080" s="73"/>
      <c r="M1080" s="73"/>
      <c r="N1080" s="333"/>
      <c r="O1080" s="73"/>
      <c r="P1080" s="73"/>
      <c r="Q1080" s="75"/>
    </row>
    <row r="1081" spans="2:17" ht="12.75" customHeight="1" x14ac:dyDescent="0.2">
      <c r="B1081" s="1860" t="str">
        <f t="shared" si="75"/>
        <v>Samiel: Retribución Final</v>
      </c>
      <c r="C1081" s="2745">
        <f t="shared" si="76"/>
        <v>13</v>
      </c>
      <c r="D1081" s="502" t="s">
        <v>1593</v>
      </c>
      <c r="E1081" s="243">
        <v>60</v>
      </c>
      <c r="F1081" s="243">
        <v>60</v>
      </c>
      <c r="G1081" s="290">
        <f>IF(COUNTIF(PDs!$E$78:$H$82,D1081)&gt;0,1,0)</f>
        <v>0</v>
      </c>
      <c r="H1081" s="1991" t="str">
        <f>IF(OR(HA_final&lt;200,MAX(HP_final,HE_final)&lt;200,NOT(OR(Ki!$P$63="-",Ki!$H$63="-",Tablas!$G$1609&gt;0))),"NO","-")</f>
        <v>NO</v>
      </c>
      <c r="I1081" s="23" t="s">
        <v>1594</v>
      </c>
      <c r="J1081" s="73"/>
      <c r="K1081" s="73"/>
      <c r="L1081" s="73"/>
      <c r="M1081" s="73"/>
      <c r="N1081" s="333"/>
      <c r="O1081" s="73"/>
      <c r="P1081" s="73"/>
      <c r="Q1081" s="75"/>
    </row>
    <row r="1082" spans="2:17" ht="12.75" customHeight="1" x14ac:dyDescent="0.2">
      <c r="B1082" s="1860" t="str">
        <f t="shared" si="75"/>
        <v>Shinkyou: La Posición Espejo</v>
      </c>
      <c r="C1082" s="2745">
        <f t="shared" si="76"/>
        <v>14</v>
      </c>
      <c r="D1082" s="502" t="s">
        <v>1595</v>
      </c>
      <c r="E1082" s="243">
        <v>60</v>
      </c>
      <c r="F1082" s="243">
        <v>80</v>
      </c>
      <c r="G1082" s="290">
        <f>IF(COUNTIF(PDs!$E$78:$H$82,D1082)&gt;0,1,0)</f>
        <v>0</v>
      </c>
      <c r="H1082" s="1991" t="str">
        <f>IF(OR(MAX(HP_final,HE_final)&lt;250,PER&lt;10),"NO","-")</f>
        <v>NO</v>
      </c>
      <c r="I1082" s="23" t="s">
        <v>1596</v>
      </c>
      <c r="J1082" s="73"/>
      <c r="K1082" s="73"/>
      <c r="L1082" s="73"/>
      <c r="M1082" s="73"/>
      <c r="N1082" s="333"/>
      <c r="O1082" s="73"/>
      <c r="P1082" s="73"/>
      <c r="Q1082" s="75"/>
    </row>
    <row r="1083" spans="2:17" ht="12.75" customHeight="1" x14ac:dyDescent="0.2">
      <c r="B1083" s="1860" t="str">
        <f t="shared" si="75"/>
        <v>Summun: Acumulación de Energía</v>
      </c>
      <c r="C1083" s="2745">
        <f t="shared" si="76"/>
        <v>15</v>
      </c>
      <c r="D1083" s="502" t="s">
        <v>1597</v>
      </c>
      <c r="E1083" s="243">
        <v>30</v>
      </c>
      <c r="F1083" s="243">
        <v>30</v>
      </c>
      <c r="G1083" s="290">
        <f>IF(COUNTIF(PDs!$E$78:$H$82,D1083)&gt;0,1,0)</f>
        <v>0</v>
      </c>
      <c r="H1083" s="1991" t="str">
        <f>IF(OR(HA_final&lt;180,DES&lt;11),"NO","-")</f>
        <v>NO</v>
      </c>
      <c r="I1083" s="23" t="s">
        <v>1598</v>
      </c>
      <c r="J1083" s="73"/>
      <c r="K1083" s="73"/>
      <c r="L1083" s="73"/>
      <c r="M1083" s="73"/>
      <c r="N1083" s="333"/>
      <c r="O1083" s="73"/>
      <c r="P1083" s="73"/>
      <c r="Q1083" s="75"/>
    </row>
    <row r="1084" spans="2:17" ht="12.75" customHeight="1" x14ac:dyDescent="0.2">
      <c r="B1084" s="1860" t="str">
        <f t="shared" si="75"/>
        <v>Transformación: El Despertar</v>
      </c>
      <c r="C1084" s="2745">
        <f t="shared" si="76"/>
        <v>16</v>
      </c>
      <c r="D1084" s="502" t="s">
        <v>1599</v>
      </c>
      <c r="E1084" s="243">
        <v>50</v>
      </c>
      <c r="F1084" s="243">
        <v>50</v>
      </c>
      <c r="G1084" s="290">
        <f>IF(COUNTIF(PDs!$E$78:$H$82,D1084)&gt;0,1,0)</f>
        <v>0</v>
      </c>
      <c r="H1084" s="1991" t="str">
        <f>IF(OR(HA_final&lt;200,MAX(HP_final,HE_final)&lt;200,NOT(OR(Ki!$P$63="-",Ki!$H$63="-",Tablas!$G$1609&gt;0))),"NO","-")</f>
        <v>NO</v>
      </c>
      <c r="I1084" s="23" t="s">
        <v>1600</v>
      </c>
      <c r="J1084" s="73"/>
      <c r="K1084" s="73"/>
      <c r="L1084" s="73"/>
      <c r="M1084" s="73"/>
      <c r="N1084" s="333"/>
      <c r="O1084" s="73"/>
      <c r="P1084" s="73"/>
      <c r="Q1084" s="75"/>
    </row>
    <row r="1085" spans="2:17" ht="12.75" customHeight="1" x14ac:dyDescent="0.2">
      <c r="B1085" s="1860" t="str">
        <f t="shared" si="75"/>
        <v>Transformación: Eliodón</v>
      </c>
      <c r="C1085" s="2745">
        <f t="shared" si="76"/>
        <v>19</v>
      </c>
      <c r="D1085" s="502" t="s">
        <v>1601</v>
      </c>
      <c r="E1085" s="243">
        <v>30</v>
      </c>
      <c r="F1085" s="243">
        <v>50</v>
      </c>
      <c r="G1085" s="290">
        <f>IF(COUNTIF(PDs!$E$78:$H$82,D1085)&gt;0,1,0)</f>
        <v>0</v>
      </c>
      <c r="H1085" s="1991" t="str">
        <f>IF(OR(HA_final&lt;200,MAX(HP_final,HE_final)&lt;200,NOT(Ki!$P$49="-"),NOT(OR(Ki!$P$63="-",Ki!$H$63="-",Tablas!$G$1609&gt;0))),"NO","-")</f>
        <v>NO</v>
      </c>
      <c r="I1085" s="23" t="s">
        <v>1602</v>
      </c>
      <c r="J1085" s="73"/>
      <c r="K1085" s="73"/>
      <c r="L1085" s="73"/>
      <c r="M1085" s="73"/>
      <c r="N1085" s="333"/>
      <c r="O1085" s="73"/>
      <c r="P1085" s="73"/>
      <c r="Q1085" s="75"/>
    </row>
    <row r="1086" spans="2:17" ht="12.75" customHeight="1" x14ac:dyDescent="0.2">
      <c r="B1086" s="1860" t="str">
        <f t="shared" si="75"/>
        <v>Transformación: Los Sellos del Dragón</v>
      </c>
      <c r="C1086" s="2745">
        <f t="shared" si="76"/>
        <v>17</v>
      </c>
      <c r="D1086" s="502" t="s">
        <v>1603</v>
      </c>
      <c r="E1086" s="243">
        <v>20</v>
      </c>
      <c r="F1086" s="243">
        <v>40</v>
      </c>
      <c r="G1086" s="290">
        <f>IF(COUNTIF(PDs!$E$78:$H$82,D1086)&gt;0,1,0)</f>
        <v>0</v>
      </c>
      <c r="H1086" s="1991" t="str">
        <f>IF(OR(HA_final&lt;150,MAX(HP_final,HE_final)&lt;150,Tablas!$O$546+Tablas!$O$547+Tablas!$O$548=0),"NO","-")</f>
        <v>NO</v>
      </c>
      <c r="I1086" s="23" t="s">
        <v>1604</v>
      </c>
      <c r="J1086" s="73"/>
      <c r="K1086" s="73"/>
      <c r="L1086" s="73"/>
      <c r="M1086" s="73"/>
      <c r="N1086" s="333"/>
      <c r="O1086" s="73"/>
      <c r="P1086" s="73"/>
      <c r="Q1086" s="75"/>
    </row>
    <row r="1087" spans="2:17" ht="12.75" customHeight="1" x14ac:dyDescent="0.2">
      <c r="B1087" s="1860" t="str">
        <f t="shared" si="75"/>
        <v>Transformación: Poder Físico</v>
      </c>
      <c r="C1087" s="2745">
        <f t="shared" si="76"/>
        <v>20</v>
      </c>
      <c r="D1087" s="502" t="s">
        <v>1605</v>
      </c>
      <c r="E1087" s="243">
        <v>100</v>
      </c>
      <c r="F1087" s="243">
        <v>100</v>
      </c>
      <c r="G1087" s="290">
        <f>IF(COUNTIF(PDs!$E$78:$H$82,D1087)&gt;0,1,0)</f>
        <v>0</v>
      </c>
      <c r="H1087" s="1991" t="str">
        <f>IF(OR(HA_final&lt;250,MAX(HP_final,HE_final)&lt;250,NOT(OR(Ki!$P$64="-",Ki!$H$64="-",Tablas!$G$1610&gt;0))),"NO","-")</f>
        <v>NO</v>
      </c>
      <c r="I1087" s="23" t="s">
        <v>1606</v>
      </c>
      <c r="J1087" s="73"/>
      <c r="K1087" s="73"/>
      <c r="L1087" s="73"/>
      <c r="M1087" s="73"/>
      <c r="N1087" s="333"/>
      <c r="O1087" s="73"/>
      <c r="P1087" s="73"/>
      <c r="Q1087" s="75"/>
    </row>
    <row r="1088" spans="2:17" ht="12.75" customHeight="1" x14ac:dyDescent="0.2">
      <c r="B1088" s="1860" t="str">
        <f t="shared" si="75"/>
        <v>Transformación: Ruptura del Destino</v>
      </c>
      <c r="C1088" s="2745">
        <f t="shared" si="76"/>
        <v>18</v>
      </c>
      <c r="D1088" s="502" t="s">
        <v>1607</v>
      </c>
      <c r="E1088" s="243">
        <v>20</v>
      </c>
      <c r="F1088" s="243">
        <v>50</v>
      </c>
      <c r="G1088" s="290">
        <f>IF(COUNTIF(PDs!$E$78:$H$82,D1088)&gt;0,1,0)</f>
        <v>0</v>
      </c>
      <c r="H1088" s="1991" t="str">
        <f>IF(OR(HA_final&lt;160,MAX(HP_final,HE_final)&lt;160,Tablas!$O$558=0),"NO","-")</f>
        <v>NO</v>
      </c>
      <c r="I1088" s="23" t="s">
        <v>1608</v>
      </c>
      <c r="J1088" s="73"/>
      <c r="K1088" s="73"/>
      <c r="L1088" s="73"/>
      <c r="M1088" s="73"/>
      <c r="N1088" s="333"/>
      <c r="O1088" s="73"/>
      <c r="P1088" s="73"/>
      <c r="Q1088" s="75"/>
    </row>
    <row r="1089" spans="2:17" ht="12.75" customHeight="1" x14ac:dyDescent="0.2">
      <c r="B1089" s="1860" t="str">
        <f t="shared" si="75"/>
        <v>Umbra: Ataque de Sombras</v>
      </c>
      <c r="C1089" s="2745">
        <f t="shared" si="76"/>
        <v>21</v>
      </c>
      <c r="D1089" s="502" t="s">
        <v>1609</v>
      </c>
      <c r="E1089" s="243">
        <v>30</v>
      </c>
      <c r="F1089" s="243">
        <v>50</v>
      </c>
      <c r="G1089" s="290">
        <f>IF(COUNTIF(PDs!$E$78:$H$82,D1089)&gt;0,1,0)</f>
        <v>0</v>
      </c>
      <c r="H1089" s="1991" t="str">
        <f>IF(OR(HA_final&lt;150,NOT(Ki!$P$49="-"),NOT(OR(Ki!$P$63="-",Ki!$H$63="-",Tablas!$G$1609&gt;0))),"NO","-")</f>
        <v>NO</v>
      </c>
      <c r="I1089" s="23" t="s">
        <v>1610</v>
      </c>
      <c r="J1089" s="73"/>
      <c r="K1089" s="73"/>
      <c r="L1089" s="73"/>
      <c r="M1089" s="73"/>
      <c r="N1089" s="333"/>
      <c r="O1089" s="73"/>
      <c r="P1089" s="73"/>
      <c r="Q1089" s="75"/>
    </row>
    <row r="1090" spans="2:17" ht="12.75" customHeight="1" x14ac:dyDescent="0.2">
      <c r="B1090" s="1860" t="str">
        <f>VLOOKUP(A1,$C$1090:$D$1105,2,0)</f>
        <v>&gt; ARMAS IMPOSIBLES</v>
      </c>
      <c r="C1090" s="2745">
        <f>COUNTIF($D$1090:$D$1105,"&lt;="&amp;D1090)</f>
        <v>1</v>
      </c>
      <c r="D1090" s="502" t="s">
        <v>3257</v>
      </c>
      <c r="E1090" s="243">
        <v>0</v>
      </c>
      <c r="F1090" s="243">
        <v>0</v>
      </c>
      <c r="G1090" s="290"/>
      <c r="H1090" s="1991" t="s">
        <v>2310</v>
      </c>
      <c r="I1090" s="251" t="s">
        <v>2310</v>
      </c>
      <c r="J1090" s="73"/>
      <c r="K1090" s="73"/>
      <c r="L1090" s="73"/>
      <c r="M1090" s="73"/>
      <c r="N1090" s="333"/>
      <c r="O1090" s="73"/>
      <c r="P1090" s="73"/>
      <c r="Q1090" s="75"/>
    </row>
    <row r="1091" spans="2:17" ht="12.75" customHeight="1" x14ac:dyDescent="0.2">
      <c r="B1091" s="1860" t="str">
        <f t="shared" ref="B1091:B1105" si="77">VLOOKUP(A2,$C$1090:$D$1105,2,0)</f>
        <v>Aquarius: Capas y prendas de vestir</v>
      </c>
      <c r="C1091" s="2745">
        <f t="shared" ref="C1091:C1105" si="78">COUNTIF($D$1090:$D$1105,"&lt;="&amp;D1091)</f>
        <v>3</v>
      </c>
      <c r="D1091" s="502" t="s">
        <v>1611</v>
      </c>
      <c r="E1091" s="243">
        <v>40</v>
      </c>
      <c r="F1091" s="243">
        <v>40</v>
      </c>
      <c r="G1091" s="290">
        <f>IF(COUNTIF(PDs!$E$78:$H$82,D1091)&gt;0,1,0)</f>
        <v>0</v>
      </c>
      <c r="H1091" s="1991" t="str">
        <f>IF(OR(NOT(OR(Ki!$P$63="-",Ki!$H$63="-",Tablas!$G$1609&gt;0)),NOT(Ki!$P$10="-"),HA_final&lt;150,MAX(HP_final,HE_final)&lt;150),"NO","-")</f>
        <v>NO</v>
      </c>
      <c r="I1091" s="251" t="s">
        <v>1612</v>
      </c>
      <c r="J1091" s="73"/>
      <c r="K1091" s="73"/>
      <c r="L1091" s="73"/>
      <c r="M1091" s="73"/>
      <c r="N1091" s="333"/>
      <c r="O1091" s="73"/>
      <c r="P1091" s="73"/>
      <c r="Q1091" s="75"/>
    </row>
    <row r="1092" spans="2:17" ht="12.75" customHeight="1" x14ac:dyDescent="0.2">
      <c r="B1092" s="1860" t="str">
        <f t="shared" si="77"/>
        <v>Aries: Masificación armas y cadenas</v>
      </c>
      <c r="C1092" s="2745">
        <f t="shared" si="78"/>
        <v>15</v>
      </c>
      <c r="D1092" s="502" t="s">
        <v>1613</v>
      </c>
      <c r="E1092" s="243">
        <v>20</v>
      </c>
      <c r="F1092" s="243">
        <v>30</v>
      </c>
      <c r="G1092" s="290">
        <f>IF(COUNTIF(PDs!$E$78:$H$82,D1092)&gt;0,1,0)</f>
        <v>0</v>
      </c>
      <c r="H1092" s="1991" t="str">
        <f>IF(OR(NOT(OR(Ki!$P$63="-",Ki!$H$63="-",Tablas!$G$1609&gt;0)),NOT(Ki!$P$10="-"),HA_final&lt;120,NOT(OR(X308="Conocida",X325="Conocida",X345="Conocida"))),"NO","-")</f>
        <v>NO</v>
      </c>
      <c r="I1092" s="251" t="s">
        <v>1614</v>
      </c>
      <c r="J1092" s="73"/>
      <c r="K1092" s="73"/>
      <c r="L1092" s="73"/>
      <c r="M1092" s="73"/>
      <c r="N1092" s="333"/>
      <c r="O1092" s="73"/>
      <c r="P1092" s="73"/>
      <c r="Q1092" s="75"/>
    </row>
    <row r="1093" spans="2:17" ht="12.75" customHeight="1" x14ac:dyDescent="0.2">
      <c r="B1093" s="1860" t="str">
        <f t="shared" si="77"/>
        <v>Cáncer Magister: Monofilos</v>
      </c>
      <c r="C1093" s="2745">
        <f t="shared" si="78"/>
        <v>7</v>
      </c>
      <c r="D1093" s="502" t="s">
        <v>1615</v>
      </c>
      <c r="E1093" s="243">
        <v>50</v>
      </c>
      <c r="F1093" s="243">
        <v>50</v>
      </c>
      <c r="G1093" s="290">
        <f>IF(COUNTIF(PDs!$E$78:$H$82,D1093)&gt;0,1,0)</f>
        <v>0</v>
      </c>
      <c r="H1093" s="1991" t="str">
        <f>IF(OR(NOT(OR(Ki!$P$63="-",Ki!$H$63="-",Tablas!$G$1609&gt;0)),NOT(Ki!$P$10="-"),DES&lt;11),"NO","-")</f>
        <v>NO</v>
      </c>
      <c r="I1093" s="251" t="s">
        <v>1616</v>
      </c>
      <c r="J1093" s="73"/>
      <c r="K1093" s="73"/>
      <c r="L1093" s="73"/>
      <c r="M1093" s="73"/>
      <c r="N1093" s="333"/>
      <c r="O1093" s="73"/>
      <c r="P1093" s="73"/>
      <c r="Q1093" s="75"/>
    </row>
    <row r="1094" spans="2:17" ht="12.75" customHeight="1" x14ac:dyDescent="0.2">
      <c r="B1094" s="1860" t="str">
        <f t="shared" si="77"/>
        <v>Cáncer: Monofilos</v>
      </c>
      <c r="C1094" s="2745">
        <f t="shared" si="78"/>
        <v>5</v>
      </c>
      <c r="D1094" s="502" t="s">
        <v>1617</v>
      </c>
      <c r="E1094" s="243">
        <v>40</v>
      </c>
      <c r="F1094" s="243">
        <v>20</v>
      </c>
      <c r="G1094" s="290">
        <f>IF(COUNTIF(PDs!$E$78:$H$82,D1094)&gt;0,1,0)</f>
        <v>0</v>
      </c>
      <c r="H1094" s="1991" t="str">
        <f>IF(OR(NOT(OR(Ki!$P$63="-",Ki!$H$63="-",Tablas!$G$1609&gt;0)),NOT(Ki!$P$10="-"),T.Manos_final&lt;50,DES&lt;10),"NO","-")</f>
        <v>NO</v>
      </c>
      <c r="I1094" s="251" t="s">
        <v>1618</v>
      </c>
      <c r="J1094" s="73"/>
      <c r="K1094" s="73"/>
      <c r="L1094" s="73"/>
      <c r="M1094" s="73"/>
      <c r="N1094" s="333"/>
      <c r="O1094" s="73"/>
      <c r="P1094" s="73"/>
      <c r="Q1094" s="75"/>
    </row>
    <row r="1095" spans="2:17" ht="12.75" customHeight="1" x14ac:dyDescent="0.2">
      <c r="B1095" s="1860" t="str">
        <f t="shared" si="77"/>
        <v>Capricornius: Agujas</v>
      </c>
      <c r="C1095" s="2745">
        <f t="shared" si="78"/>
        <v>4</v>
      </c>
      <c r="D1095" s="502" t="s">
        <v>1619</v>
      </c>
      <c r="E1095" s="243">
        <v>30</v>
      </c>
      <c r="F1095" s="243">
        <v>30</v>
      </c>
      <c r="G1095" s="290">
        <f>IF(COUNTIF(PDs!$E$78:$H$82,D1095)&gt;0,1,0)</f>
        <v>0</v>
      </c>
      <c r="H1095" s="1991" t="str">
        <f>IF(OR(NOT(OR(Ki!$P$63="-",Ki!$H$63="-",Tablas!$G$1609&gt;0)),NOT(Ki!$P$10="-"),HA_final&lt;200,NOT(Ki!$P$36="-"),DES&lt;11,G1094=0),"NO","-")</f>
        <v>NO</v>
      </c>
      <c r="I1095" s="251" t="s">
        <v>1620</v>
      </c>
      <c r="J1095" s="73"/>
      <c r="K1095" s="73"/>
      <c r="L1095" s="73"/>
      <c r="M1095" s="73"/>
      <c r="N1095" s="333"/>
      <c r="O1095" s="73"/>
      <c r="P1095" s="73"/>
      <c r="Q1095" s="75"/>
    </row>
    <row r="1096" spans="2:17" ht="12.75" customHeight="1" x14ac:dyDescent="0.2">
      <c r="B1096" s="1860" t="str">
        <f t="shared" si="77"/>
        <v>Gémini: Marionetas</v>
      </c>
      <c r="C1096" s="2745">
        <f t="shared" si="78"/>
        <v>8</v>
      </c>
      <c r="D1096" s="502" t="s">
        <v>1621</v>
      </c>
      <c r="E1096" s="243">
        <v>20</v>
      </c>
      <c r="F1096" s="243">
        <v>10</v>
      </c>
      <c r="G1096" s="290">
        <f>IF(COUNTIF(PDs!$E$78:$H$82,D1096)&gt;0,1,0)</f>
        <v>0</v>
      </c>
      <c r="H1096" s="1991" t="str">
        <f>IF(OR(NOT(OR(Ki!$P$63="-",Ki!$H$63="-",Tablas!$G$1609&gt;0)),NOT(Ki!$P$10="-")),"NO","-")</f>
        <v>NO</v>
      </c>
      <c r="I1096" s="251" t="s">
        <v>1622</v>
      </c>
      <c r="J1096" s="73"/>
      <c r="K1096" s="73"/>
      <c r="L1096" s="73"/>
      <c r="M1096" s="73"/>
      <c r="N1096" s="333"/>
      <c r="O1096" s="73"/>
      <c r="P1096" s="73"/>
      <c r="Q1096" s="75"/>
    </row>
    <row r="1097" spans="2:17" ht="12.75" customHeight="1" x14ac:dyDescent="0.2">
      <c r="B1097" s="1860" t="str">
        <f t="shared" si="77"/>
        <v>Leo: Armas-pistola</v>
      </c>
      <c r="C1097" s="2745">
        <f t="shared" si="78"/>
        <v>16</v>
      </c>
      <c r="D1097" s="502" t="s">
        <v>1623</v>
      </c>
      <c r="E1097" s="243">
        <v>50</v>
      </c>
      <c r="F1097" s="243">
        <v>50</v>
      </c>
      <c r="G1097" s="290">
        <f>IF(COUNTIF(PDs!$E$78:$H$82,D1097)&gt;0,1,0)</f>
        <v>0</v>
      </c>
      <c r="H1097" s="1991" t="str">
        <f>IF(OR(NOT(OR(Ki!$P$63="-",Ki!$H$63="-",Tablas!$G$1609&gt;0)),NOT(Ki!$P$10="-"),HA_final&lt;140,NOT(Ki!$P$36="-"),Música_final&lt;100,Música_final="-"),"NO","-")</f>
        <v>NO</v>
      </c>
      <c r="I1097" s="251" t="s">
        <v>1624</v>
      </c>
      <c r="J1097" s="73"/>
      <c r="K1097" s="73"/>
      <c r="L1097" s="73"/>
      <c r="M1097" s="73"/>
      <c r="N1097" s="333"/>
      <c r="O1097" s="73"/>
      <c r="P1097" s="73"/>
      <c r="Q1097" s="75"/>
    </row>
    <row r="1098" spans="2:17" ht="12.75" customHeight="1" x14ac:dyDescent="0.2">
      <c r="B1098" s="1860" t="str">
        <f t="shared" si="77"/>
        <v>Libra: Arma variable</v>
      </c>
      <c r="C1098" s="2745">
        <f t="shared" si="78"/>
        <v>9</v>
      </c>
      <c r="D1098" s="502" t="s">
        <v>1625</v>
      </c>
      <c r="E1098" s="243">
        <v>30</v>
      </c>
      <c r="F1098" s="243">
        <v>20</v>
      </c>
      <c r="G1098" s="290">
        <f>IF(COUNTIF(PDs!$E$78:$H$82,D1098)&gt;0,1,0)</f>
        <v>0</v>
      </c>
      <c r="H1098" s="1991" t="str">
        <f>IF(OR(NOT(OR(Ki!$P$63="-",Ki!$H$63="-",Tablas!$G$1609&gt;0)),NOT(Ki!$P$10="-"),HA_final&lt;160,MAX(HP_final,HE_final)&lt;160,NOT(Ki!$P$36="-")),"NO","-")</f>
        <v>NO</v>
      </c>
      <c r="I1098" s="251" t="s">
        <v>1626</v>
      </c>
      <c r="J1098" s="73"/>
      <c r="K1098" s="73"/>
      <c r="L1098" s="73"/>
      <c r="M1098" s="73"/>
      <c r="N1098" s="333"/>
      <c r="O1098" s="73"/>
      <c r="P1098" s="73"/>
      <c r="Q1098" s="75"/>
    </row>
    <row r="1099" spans="2:17" ht="12.75" customHeight="1" x14ac:dyDescent="0.2">
      <c r="B1099" s="1860" t="str">
        <f t="shared" si="77"/>
        <v>Ophiucos: Señor de Espadas Infinitas</v>
      </c>
      <c r="C1099" s="2745">
        <f t="shared" si="78"/>
        <v>14</v>
      </c>
      <c r="D1099" s="502" t="s">
        <v>1627</v>
      </c>
      <c r="E1099" s="243">
        <v>10</v>
      </c>
      <c r="F1099" s="243">
        <v>10</v>
      </c>
      <c r="G1099" s="290">
        <f>IF(COUNTIF(PDs!$E$78:$H$82,D1099)&gt;0,1,0)</f>
        <v>0</v>
      </c>
      <c r="H1099" s="1991" t="str">
        <f>IF(OR(NOT(OR(Ki!$P$63="-",Ki!$H$63="-",Tablas!$G$1609&gt;0)),NOT(Ki!$P$10="-"),HA_final&lt;140,NOT(Ki!$P$36="-")),"NO","-")</f>
        <v>NO</v>
      </c>
      <c r="I1099" s="251" t="s">
        <v>1628</v>
      </c>
      <c r="J1099" s="73"/>
      <c r="K1099" s="73"/>
      <c r="L1099" s="73"/>
      <c r="M1099" s="73"/>
      <c r="N1099" s="333"/>
      <c r="O1099" s="73"/>
      <c r="P1099" s="73"/>
      <c r="Q1099" s="75"/>
    </row>
    <row r="1100" spans="2:17" ht="12.75" customHeight="1" x14ac:dyDescent="0.2">
      <c r="B1100" s="1860" t="str">
        <f t="shared" si="77"/>
        <v>Piscis: Yoyó</v>
      </c>
      <c r="C1100" s="2745">
        <f t="shared" si="78"/>
        <v>13</v>
      </c>
      <c r="D1100" s="502" t="s">
        <v>1629</v>
      </c>
      <c r="E1100" s="243">
        <v>40</v>
      </c>
      <c r="F1100" s="243">
        <v>30</v>
      </c>
      <c r="G1100" s="290">
        <f>IF(COUNTIF(PDs!$E$78:$H$82,D1100)&gt;0,1,0)</f>
        <v>0</v>
      </c>
      <c r="H1100" s="1991" t="str">
        <f>IF(OR(NOT(OR(Ki!$P$63="-",Ki!$H$63="-",Tablas!$G$1609&gt;0)),NOT(Ki!$P$10="-"),NOT(Ki!$P$36="-"),T.Manos_final&lt;60,DES&lt;9,HA_final&lt;140,NOT(OR(PDs!$Y$40="Lanzamiento",PDs!$Y$41="Lanzamiento",PDs!$Y$42="Lanzamiento",PDs!$Y$43="Lanzamiento",PDs!$Y$44="Lanzamiento"))),"NO","-")</f>
        <v>NO</v>
      </c>
      <c r="I1100" s="23" t="s">
        <v>1630</v>
      </c>
      <c r="J1100" s="73"/>
      <c r="K1100" s="73"/>
      <c r="L1100" s="73"/>
      <c r="M1100" s="73"/>
      <c r="N1100" s="333"/>
      <c r="O1100" s="73"/>
      <c r="P1100" s="73"/>
      <c r="Q1100" s="75"/>
    </row>
    <row r="1101" spans="2:17" ht="12.75" customHeight="1" x14ac:dyDescent="0.2">
      <c r="B1101" s="1860" t="str">
        <f t="shared" si="77"/>
        <v>Sagittarius Magister: Obj. arrojadizos</v>
      </c>
      <c r="C1101" s="2745">
        <f t="shared" si="78"/>
        <v>12</v>
      </c>
      <c r="D1101" s="502" t="s">
        <v>1631</v>
      </c>
      <c r="E1101" s="243">
        <v>30</v>
      </c>
      <c r="F1101" s="243">
        <v>30</v>
      </c>
      <c r="G1101" s="290">
        <f>IF(COUNTIF(PDs!$E$78:$H$82,D1101)&gt;0,1,0)</f>
        <v>0</v>
      </c>
      <c r="H1101" s="1991" t="str">
        <f>IF(OR(NOT(OR(Ki!$P$63="-",Ki!$H$63="-",Tablas!$G$1609&gt;0)),NOT(Ki!$P$10="-"),HA_final&lt;200,DES&lt;11,G1100=0),"NO","-")</f>
        <v>NO</v>
      </c>
      <c r="I1101" s="23" t="s">
        <v>1632</v>
      </c>
      <c r="J1101" s="73"/>
      <c r="K1101" s="73"/>
      <c r="L1101" s="73"/>
      <c r="M1101" s="73"/>
      <c r="N1101" s="333"/>
      <c r="O1101" s="73"/>
      <c r="P1101" s="73"/>
      <c r="Q1101" s="75"/>
    </row>
    <row r="1102" spans="2:17" ht="12.75" customHeight="1" x14ac:dyDescent="0.2">
      <c r="B1102" s="1860" t="str">
        <f t="shared" si="77"/>
        <v>Sagittarius: Objetos arrojadizos</v>
      </c>
      <c r="C1102" s="2745">
        <f t="shared" si="78"/>
        <v>6</v>
      </c>
      <c r="D1102" s="502" t="s">
        <v>1633</v>
      </c>
      <c r="E1102" s="243">
        <v>20</v>
      </c>
      <c r="F1102" s="243">
        <v>20</v>
      </c>
      <c r="G1102" s="290">
        <f>IF(COUNTIF(PDs!$E$78:$H$82,D1102)&gt;0,1,0)</f>
        <v>0</v>
      </c>
      <c r="H1102" s="1991" t="str">
        <f>IF(OR(NOT(OR(Ki!$P$63="-",Ki!$H$63="-",Tablas!$G$1609&gt;0)),NOT(Ki!$P$10="-"),HA_final&lt;100,DES&lt;9,Medicina_final="-",Medicina_final&lt;80),"NO","-")</f>
        <v>NO</v>
      </c>
      <c r="I1102" s="23" t="s">
        <v>1634</v>
      </c>
      <c r="J1102" s="73"/>
      <c r="K1102" s="73"/>
      <c r="L1102" s="73"/>
      <c r="M1102" s="73"/>
      <c r="N1102" s="333"/>
      <c r="O1102" s="73"/>
      <c r="P1102" s="73"/>
      <c r="Q1102" s="75"/>
    </row>
    <row r="1103" spans="2:17" ht="12.75" customHeight="1" x14ac:dyDescent="0.2">
      <c r="B1103" s="1860" t="str">
        <f t="shared" si="77"/>
        <v>Scorpio: Espada-látigo</v>
      </c>
      <c r="C1103" s="2745">
        <f t="shared" si="78"/>
        <v>2</v>
      </c>
      <c r="D1103" s="502" t="s">
        <v>1635</v>
      </c>
      <c r="E1103" s="243">
        <v>20</v>
      </c>
      <c r="F1103" s="243">
        <v>20</v>
      </c>
      <c r="G1103" s="290">
        <f>IF(COUNTIF(PDs!$E$78:$H$82,D1103)&gt;0,1,0)</f>
        <v>0</v>
      </c>
      <c r="H1103" s="1991" t="str">
        <f>IF(OR(NOT(OR(Ki!$P$63="-",Ki!$H$63="-",Tablas!$G$1609&gt;0)),NOT(Ki!$P$10="-"),HA_final&lt;150,MAX(HP_final,HE_final)&lt;150,NOT(Ki!$P$36="-")),"NO","-")</f>
        <v>NO</v>
      </c>
      <c r="I1103" s="23" t="s">
        <v>1636</v>
      </c>
      <c r="J1103" s="73"/>
      <c r="K1103" s="73"/>
      <c r="L1103" s="73"/>
      <c r="M1103" s="73"/>
      <c r="N1103" s="333"/>
      <c r="O1103" s="73"/>
      <c r="P1103" s="73"/>
      <c r="Q1103" s="75"/>
    </row>
    <row r="1104" spans="2:17" ht="12.75" customHeight="1" x14ac:dyDescent="0.2">
      <c r="B1104" s="1860" t="str">
        <f t="shared" si="77"/>
        <v>Taurus: Enormes armas dobles</v>
      </c>
      <c r="C1104" s="2745">
        <f t="shared" si="78"/>
        <v>11</v>
      </c>
      <c r="D1104" s="502" t="s">
        <v>1637</v>
      </c>
      <c r="E1104" s="243">
        <v>10</v>
      </c>
      <c r="F1104" s="243">
        <v>20</v>
      </c>
      <c r="G1104" s="290">
        <f>IF(COUNTIF(PDs!$E$78:$H$82,D1104)&gt;0,1,0)</f>
        <v>0</v>
      </c>
      <c r="H1104" s="1991" t="str">
        <f>IF(OR(NOT(OR(Ki!$P$63="-",Ki!$H$63="-",Tablas!$G$1609&gt;0)),NOT(Ki!$P$10="-"),HA_final&lt;120,DES&lt;10),"NO","-")</f>
        <v>NO</v>
      </c>
      <c r="I1104" s="23" t="s">
        <v>1638</v>
      </c>
      <c r="J1104" s="73"/>
      <c r="K1104" s="73"/>
      <c r="L1104" s="73"/>
      <c r="M1104" s="73"/>
      <c r="N1104" s="333"/>
      <c r="O1104" s="73"/>
      <c r="P1104" s="73"/>
      <c r="Q1104" s="75"/>
    </row>
    <row r="1105" spans="2:17" ht="12.75" customHeight="1" x14ac:dyDescent="0.2">
      <c r="B1105" s="1860" t="str">
        <f t="shared" si="77"/>
        <v>Virgo: Instruentos musicales</v>
      </c>
      <c r="C1105" s="2745">
        <f t="shared" si="78"/>
        <v>10</v>
      </c>
      <c r="D1105" s="502" t="s">
        <v>1639</v>
      </c>
      <c r="E1105" s="243">
        <v>50</v>
      </c>
      <c r="F1105" s="243">
        <v>100</v>
      </c>
      <c r="G1105" s="290">
        <f>IF(COUNTIF(PDs!$E$78:$H$82,D1105)&gt;0,1,0)</f>
        <v>0</v>
      </c>
      <c r="H1105" s="1991" t="str">
        <f>IF(OR(NOT(OR(Ki!$P$63="-",Ki!$H$63="-",Tablas!$G$1609&gt;0)),NOT(Ki!$P$10="-"),HA_final&lt;250,NOT(Ki!$P$36="-"),NOT(OR(Ki!$P$64="-",Ki!$H$64="-",Tablas!$G$1610&gt;0))),"NO","-")</f>
        <v>NO</v>
      </c>
      <c r="I1105" s="23" t="s">
        <v>1640</v>
      </c>
      <c r="J1105" s="73"/>
      <c r="K1105" s="73"/>
      <c r="L1105" s="73"/>
      <c r="M1105" s="73"/>
      <c r="N1105" s="333"/>
      <c r="O1105" s="73"/>
      <c r="P1105" s="73"/>
      <c r="Q1105" s="75"/>
    </row>
    <row r="1106" spans="2:17" ht="12.75" customHeight="1" x14ac:dyDescent="0.2">
      <c r="B1106" s="1860" t="str">
        <f>VLOOKUP(A1,$C$1106:$D$1115,2,0)</f>
        <v>&gt; TABLAS DE COMBATE SOBRENATURAL</v>
      </c>
      <c r="C1106" s="2745">
        <f>COUNTIF($D$1106:$D$1115,"&lt;="&amp;D1106)</f>
        <v>1</v>
      </c>
      <c r="D1106" s="502" t="s">
        <v>1641</v>
      </c>
      <c r="E1106" s="243">
        <v>0</v>
      </c>
      <c r="F1106" s="243">
        <v>0</v>
      </c>
      <c r="G1106" s="290"/>
      <c r="H1106" s="1991" t="s">
        <v>2310</v>
      </c>
      <c r="I1106" s="251" t="s">
        <v>2310</v>
      </c>
      <c r="J1106" s="73"/>
      <c r="K1106" s="73"/>
      <c r="L1106" s="73"/>
      <c r="M1106" s="73"/>
      <c r="N1106" s="333"/>
      <c r="O1106" s="73"/>
      <c r="P1106" s="73"/>
      <c r="Q1106" s="75"/>
    </row>
    <row r="1107" spans="2:17" ht="12.75" customHeight="1" x14ac:dyDescent="0.2">
      <c r="B1107" s="1860" t="str">
        <f t="shared" ref="B1107:B1114" si="79">VLOOKUP(A2,$C$1106:$D$1115,2,0)</f>
        <v>Ataque a distancia</v>
      </c>
      <c r="C1107" s="2745">
        <f t="shared" ref="C1107:C1114" si="80">COUNTIF($D$1106:$D$1115,"&lt;="&amp;D1107)</f>
        <v>3</v>
      </c>
      <c r="D1107" s="502" t="s">
        <v>1642</v>
      </c>
      <c r="E1107" s="243">
        <v>20</v>
      </c>
      <c r="F1107" s="243">
        <v>10</v>
      </c>
      <c r="G1107" s="290">
        <f>IF(COUNTIF(PDs!$E$78:$H$82,D1107)&gt;0,1,0)</f>
        <v>0</v>
      </c>
      <c r="H1107" s="1991" t="str">
        <f>IF(HA_final&lt;120,"NO","-")</f>
        <v>NO</v>
      </c>
      <c r="I1107" s="23" t="s">
        <v>1643</v>
      </c>
      <c r="J1107" s="73"/>
      <c r="K1107" s="73"/>
      <c r="L1107" s="73"/>
      <c r="M1107" s="73"/>
      <c r="N1107" s="333"/>
      <c r="O1107" s="73"/>
      <c r="P1107" s="73"/>
      <c r="Q1107" s="75"/>
    </row>
    <row r="1108" spans="2:17" ht="12.75" customHeight="1" x14ac:dyDescent="0.2">
      <c r="B1108" s="1860" t="str">
        <f t="shared" si="79"/>
        <v>Atrapar</v>
      </c>
      <c r="C1108" s="2745">
        <f t="shared" si="80"/>
        <v>4</v>
      </c>
      <c r="D1108" s="502" t="s">
        <v>1644</v>
      </c>
      <c r="E1108" s="243">
        <v>20</v>
      </c>
      <c r="F1108" s="243">
        <v>20</v>
      </c>
      <c r="G1108" s="290">
        <f>IF(COUNTIF(PDs!$E$78:$H$82,D1108)&gt;0,1,0)</f>
        <v>0</v>
      </c>
      <c r="H1108" s="1991" t="str">
        <f>IF(OR(HA_final&lt;140,MAX(HP_final,HE_final)&lt;140),"NO","-")</f>
        <v>NO</v>
      </c>
      <c r="I1108" s="23" t="s">
        <v>1645</v>
      </c>
      <c r="J1108" s="73"/>
      <c r="K1108" s="73"/>
      <c r="L1108" s="73"/>
      <c r="M1108" s="73"/>
      <c r="N1108" s="333"/>
      <c r="O1108" s="73"/>
      <c r="P1108" s="73"/>
      <c r="Q1108" s="75"/>
    </row>
    <row r="1109" spans="2:17" ht="12.75" customHeight="1" x14ac:dyDescent="0.2">
      <c r="B1109" s="1860" t="str">
        <f t="shared" si="79"/>
        <v>Controlar a distancia</v>
      </c>
      <c r="C1109" s="2745">
        <f t="shared" si="80"/>
        <v>2</v>
      </c>
      <c r="D1109" s="502" t="s">
        <v>1646</v>
      </c>
      <c r="E1109" s="243">
        <v>20</v>
      </c>
      <c r="F1109" s="243">
        <v>20</v>
      </c>
      <c r="G1109" s="290">
        <f>IF(COUNTIF(PDs!$E$78:$H$82,D1109)&gt;0,1,0)</f>
        <v>0</v>
      </c>
      <c r="H1109" s="1991" t="str">
        <f>IF(MAX(HA_final,Místicos!$P$13,Psiquicos!$P$12)&lt;120,"NO","-")</f>
        <v>NO</v>
      </c>
      <c r="I1109" s="23" t="s">
        <v>1647</v>
      </c>
      <c r="J1109" s="73"/>
      <c r="K1109" s="73"/>
      <c r="L1109" s="73"/>
      <c r="M1109" s="73"/>
      <c r="N1109" s="333"/>
      <c r="O1109" s="73"/>
      <c r="P1109" s="73"/>
      <c r="Q1109" s="75"/>
    </row>
    <row r="1110" spans="2:17" ht="12.75" customHeight="1" x14ac:dyDescent="0.2">
      <c r="B1110" s="1860" t="str">
        <f t="shared" si="79"/>
        <v>Escudo protector</v>
      </c>
      <c r="C1110" s="2745">
        <f t="shared" si="80"/>
        <v>7</v>
      </c>
      <c r="D1110" s="502" t="s">
        <v>1648</v>
      </c>
      <c r="E1110" s="243">
        <v>20</v>
      </c>
      <c r="F1110" s="243">
        <v>0</v>
      </c>
      <c r="G1110" s="290">
        <f>IF(COUNTIF(PDs!$E$78:$H$82,D1110)&gt;0,1,0)</f>
        <v>0</v>
      </c>
      <c r="H1110" s="1991" t="str">
        <f>IF(NOT(Ki!P27="-"),"NO","-")</f>
        <v>NO</v>
      </c>
      <c r="I1110" s="23" t="s">
        <v>1649</v>
      </c>
      <c r="J1110" s="73"/>
      <c r="K1110" s="73"/>
      <c r="L1110" s="73"/>
      <c r="M1110" s="73"/>
      <c r="N1110" s="333"/>
      <c r="O1110" s="73"/>
      <c r="P1110" s="73"/>
      <c r="Q1110" s="75"/>
    </row>
    <row r="1111" spans="2:17" ht="12.75" customHeight="1" x14ac:dyDescent="0.2">
      <c r="B1111" s="1860" t="str">
        <f t="shared" si="79"/>
        <v>Incremento de daño</v>
      </c>
      <c r="C1111" s="2745">
        <f t="shared" si="80"/>
        <v>6</v>
      </c>
      <c r="D1111" s="502" t="s">
        <v>1650</v>
      </c>
      <c r="E1111" s="243">
        <v>20</v>
      </c>
      <c r="F1111" s="243">
        <v>20</v>
      </c>
      <c r="G1111" s="290">
        <f>IF(COUNTIF(PDs!$E$78:$H$82,D1111)&gt;0,1,0)</f>
        <v>0</v>
      </c>
      <c r="H1111" s="1951" t="s">
        <v>2310</v>
      </c>
      <c r="I1111" s="23" t="s">
        <v>1651</v>
      </c>
      <c r="J1111" s="73"/>
      <c r="K1111" s="73"/>
      <c r="L1111" s="73"/>
      <c r="M1111" s="73"/>
      <c r="N1111" s="333"/>
      <c r="O1111" s="73"/>
      <c r="P1111" s="73"/>
      <c r="Q1111" s="75"/>
    </row>
    <row r="1112" spans="2:17" ht="12.75" customHeight="1" x14ac:dyDescent="0.2">
      <c r="B1112" s="1860" t="str">
        <f t="shared" si="79"/>
        <v>Movimiento acelerado</v>
      </c>
      <c r="C1112" s="2745">
        <f t="shared" si="80"/>
        <v>5</v>
      </c>
      <c r="D1112" s="502" t="s">
        <v>1652</v>
      </c>
      <c r="E1112" s="243">
        <v>10</v>
      </c>
      <c r="F1112" s="243">
        <v>10</v>
      </c>
      <c r="G1112" s="290">
        <f>IF(COUNTIF(PDs!$E$78:$H$82,D1112)&gt;0,1,0)</f>
        <v>0</v>
      </c>
      <c r="H1112" s="1991" t="str">
        <f>IF(NOT($X$360="Conocida"),"NO","-")</f>
        <v>NO</v>
      </c>
      <c r="I1112" s="23" t="s">
        <v>1653</v>
      </c>
      <c r="J1112" s="73"/>
      <c r="K1112" s="73"/>
      <c r="L1112" s="73"/>
      <c r="M1112" s="73"/>
      <c r="N1112" s="333"/>
      <c r="O1112" s="73"/>
      <c r="P1112" s="73"/>
      <c r="Q1112" s="75"/>
    </row>
    <row r="1113" spans="2:17" ht="12.75" customHeight="1" x14ac:dyDescent="0.2">
      <c r="B1113" s="1860" t="str">
        <f t="shared" si="79"/>
        <v>Refuerzo físico</v>
      </c>
      <c r="C1113" s="2745">
        <f t="shared" si="80"/>
        <v>8</v>
      </c>
      <c r="D1113" s="502" t="s">
        <v>1654</v>
      </c>
      <c r="E1113" s="243">
        <v>20</v>
      </c>
      <c r="F1113" s="243">
        <v>10</v>
      </c>
      <c r="G1113" s="290">
        <f>IF(COUNTIF(PDs!$E$78:$H$82,D1113)&gt;0,1,0)</f>
        <v>0</v>
      </c>
      <c r="H1113" s="1951" t="s">
        <v>2310</v>
      </c>
      <c r="I1113" s="23" t="s">
        <v>1655</v>
      </c>
      <c r="J1113" s="73"/>
      <c r="K1113" s="73"/>
      <c r="L1113" s="73"/>
      <c r="M1113" s="73"/>
      <c r="N1113" s="333"/>
      <c r="O1113" s="73"/>
      <c r="P1113" s="73"/>
      <c r="Q1113" s="75"/>
    </row>
    <row r="1114" spans="2:17" ht="12.75" customHeight="1" x14ac:dyDescent="0.2">
      <c r="B1114" s="1860" t="str">
        <f t="shared" si="79"/>
        <v>Técnica característica</v>
      </c>
      <c r="C1114" s="2745">
        <f t="shared" si="80"/>
        <v>9</v>
      </c>
      <c r="D1114" s="502" t="s">
        <v>1656</v>
      </c>
      <c r="E1114" s="243">
        <v>40</v>
      </c>
      <c r="F1114" s="243">
        <v>30</v>
      </c>
      <c r="G1114" s="290">
        <f>IF(COUNTIF(PDs!$E$78:$H$82,D1114)&gt;0,1,0)</f>
        <v>0</v>
      </c>
      <c r="H1114" s="1991" t="str">
        <f>IF(OR(HA_final&lt;120,MAX(HP_final,HE_final)&lt;120),"NO","-")</f>
        <v>NO</v>
      </c>
      <c r="I1114" s="23" t="s">
        <v>1657</v>
      </c>
      <c r="J1114" s="73"/>
      <c r="K1114" s="73"/>
      <c r="L1114" s="73"/>
      <c r="M1114" s="73"/>
      <c r="N1114" s="333"/>
      <c r="O1114" s="73"/>
      <c r="P1114" s="73"/>
      <c r="Q1114" s="75"/>
    </row>
    <row r="1115" spans="2:17" ht="12.75" customHeight="1" thickBot="1" x14ac:dyDescent="0.25">
      <c r="B1115" s="563" t="str">
        <f t="shared" ref="B1115" si="81">VLOOKUP(A10,$C$1106:$D$1115,2,0)</f>
        <v>Técnica mayor</v>
      </c>
      <c r="C1115" s="561">
        <f t="shared" ref="C1115" si="82">COUNTIF($D$1106:$D$1115,"&lt;="&amp;D1115)</f>
        <v>10</v>
      </c>
      <c r="D1115" s="534" t="s">
        <v>1658</v>
      </c>
      <c r="E1115" s="576">
        <v>20</v>
      </c>
      <c r="F1115" s="576">
        <v>20</v>
      </c>
      <c r="G1115" s="473">
        <f>IF(COUNTIF(PDs!$E$78:$H$82,D1115)&gt;0,1,0)</f>
        <v>0</v>
      </c>
      <c r="H1115" s="1992" t="str">
        <f>IF(OR(HA_final&lt;180,G1114=0,MAX(HP_final,HE_final)&lt;180),"NO","-")</f>
        <v>NO</v>
      </c>
      <c r="I1115" s="46" t="s">
        <v>1659</v>
      </c>
      <c r="J1115" s="222"/>
      <c r="K1115" s="222"/>
      <c r="L1115" s="222"/>
      <c r="M1115" s="222"/>
      <c r="N1115" s="1988"/>
      <c r="O1115" s="222"/>
      <c r="P1115" s="222"/>
      <c r="Q1115" s="223"/>
    </row>
    <row r="1116" spans="2:17" ht="12.75" customHeight="1" thickBot="1" x14ac:dyDescent="0.25"/>
    <row r="1117" spans="2:17" ht="12.75" customHeight="1" thickBot="1" x14ac:dyDescent="0.25">
      <c r="B1117" s="4752" t="s">
        <v>1660</v>
      </c>
      <c r="C1117" s="4752"/>
      <c r="D1117" s="4752"/>
      <c r="E1117" s="4752"/>
      <c r="F1117" s="4752"/>
      <c r="G1117" s="4752"/>
      <c r="H1117" s="4752"/>
      <c r="I1117" s="4752"/>
      <c r="J1117" s="4752"/>
      <c r="K1117" s="4752"/>
    </row>
    <row r="1118" spans="2:17" ht="12.75" customHeight="1" x14ac:dyDescent="0.2">
      <c r="B1118" s="4752"/>
      <c r="C1118" s="4752"/>
      <c r="D1118" s="4752"/>
      <c r="E1118" s="4752"/>
      <c r="F1118" s="4752"/>
      <c r="G1118" s="4752"/>
      <c r="H1118" s="4752"/>
      <c r="I1118" s="4752"/>
      <c r="J1118" s="4752"/>
      <c r="K1118" s="4752"/>
    </row>
    <row r="1119" spans="2:17" ht="12.75" customHeight="1" thickBot="1" x14ac:dyDescent="0.25">
      <c r="B1119" s="4839" t="s">
        <v>3623</v>
      </c>
      <c r="C1119" s="4839"/>
      <c r="D1119" s="4839"/>
      <c r="E1119" s="453" t="s">
        <v>2345</v>
      </c>
      <c r="F1119" s="4848" t="s">
        <v>2407</v>
      </c>
      <c r="G1119" s="4848"/>
      <c r="H1119" s="4848"/>
      <c r="I1119" s="4848"/>
      <c r="J1119" s="4848"/>
      <c r="K1119" s="4848"/>
    </row>
    <row r="1120" spans="2:17" ht="12.75" customHeight="1" x14ac:dyDescent="0.2">
      <c r="B1120" s="285"/>
      <c r="C1120" s="146"/>
      <c r="D1120" s="582" t="s">
        <v>1661</v>
      </c>
      <c r="E1120" s="475">
        <v>75</v>
      </c>
      <c r="F1120" s="583" t="s">
        <v>1662</v>
      </c>
      <c r="G1120" s="146"/>
      <c r="H1120" s="1984"/>
      <c r="I1120" s="146"/>
      <c r="J1120" s="146"/>
      <c r="K1120" s="286"/>
    </row>
    <row r="1121" spans="2:11" ht="12.75" customHeight="1" x14ac:dyDescent="0.2">
      <c r="B1121" s="70"/>
      <c r="C1121" s="73"/>
      <c r="D1121" s="544" t="s">
        <v>1663</v>
      </c>
      <c r="E1121" s="290">
        <v>75</v>
      </c>
      <c r="F1121" s="90" t="s">
        <v>1664</v>
      </c>
      <c r="G1121" s="73"/>
      <c r="H1121" s="333"/>
      <c r="I1121" s="73"/>
      <c r="J1121" s="73"/>
      <c r="K1121" s="75"/>
    </row>
    <row r="1122" spans="2:11" ht="12.75" customHeight="1" thickBot="1" x14ac:dyDescent="0.25">
      <c r="B1122" s="221"/>
      <c r="C1122" s="222"/>
      <c r="D1122" s="547" t="s">
        <v>1665</v>
      </c>
      <c r="E1122" s="473">
        <v>100</v>
      </c>
      <c r="F1122" s="584" t="s">
        <v>1666</v>
      </c>
      <c r="G1122" s="561"/>
      <c r="H1122" s="561"/>
      <c r="I1122" s="561"/>
      <c r="J1122" s="561"/>
      <c r="K1122" s="223"/>
    </row>
    <row r="1124" spans="2:11" ht="12.75" customHeight="1" thickBot="1" x14ac:dyDescent="0.25">
      <c r="B1124" s="3067" t="s">
        <v>1667</v>
      </c>
      <c r="C1124" s="3067"/>
    </row>
    <row r="1125" spans="2:11" ht="12.75" customHeight="1" x14ac:dyDescent="0.2">
      <c r="B1125" s="3067"/>
      <c r="C1125" s="3067"/>
    </row>
    <row r="1126" spans="2:11" ht="12.75" customHeight="1" thickBot="1" x14ac:dyDescent="0.25">
      <c r="B1126" s="452" t="s">
        <v>2239</v>
      </c>
      <c r="C1126" s="454" t="s">
        <v>1668</v>
      </c>
    </row>
    <row r="1127" spans="2:11" ht="12.75" customHeight="1" x14ac:dyDescent="0.2">
      <c r="B1127" s="474">
        <v>1</v>
      </c>
      <c r="C1127" s="476">
        <v>0</v>
      </c>
    </row>
    <row r="1128" spans="2:11" ht="12.75" customHeight="1" x14ac:dyDescent="0.2">
      <c r="B1128" s="477">
        <v>2</v>
      </c>
      <c r="C1128" s="312">
        <v>0</v>
      </c>
    </row>
    <row r="1129" spans="2:11" ht="12.75" customHeight="1" x14ac:dyDescent="0.2">
      <c r="B1129" s="477">
        <v>3</v>
      </c>
      <c r="C1129" s="312">
        <v>0</v>
      </c>
    </row>
    <row r="1130" spans="2:11" ht="12.75" customHeight="1" x14ac:dyDescent="0.2">
      <c r="B1130" s="477">
        <v>4</v>
      </c>
      <c r="C1130" s="312">
        <v>0</v>
      </c>
    </row>
    <row r="1131" spans="2:11" ht="12.75" customHeight="1" x14ac:dyDescent="0.2">
      <c r="B1131" s="477">
        <v>5</v>
      </c>
      <c r="C1131" s="312">
        <v>0</v>
      </c>
    </row>
    <row r="1132" spans="2:11" ht="12.75" customHeight="1" x14ac:dyDescent="0.2">
      <c r="B1132" s="478">
        <v>6</v>
      </c>
      <c r="C1132" s="312">
        <v>10</v>
      </c>
    </row>
    <row r="1133" spans="2:11" ht="12.75" customHeight="1" x14ac:dyDescent="0.2">
      <c r="B1133" s="478">
        <v>7</v>
      </c>
      <c r="C1133" s="312">
        <v>20</v>
      </c>
    </row>
    <row r="1134" spans="2:11" ht="12.75" customHeight="1" x14ac:dyDescent="0.2">
      <c r="B1134" s="478">
        <v>8</v>
      </c>
      <c r="C1134" s="312">
        <v>30</v>
      </c>
    </row>
    <row r="1135" spans="2:11" ht="12.75" customHeight="1" x14ac:dyDescent="0.2">
      <c r="B1135" s="478">
        <v>9</v>
      </c>
      <c r="C1135" s="312">
        <v>40</v>
      </c>
    </row>
    <row r="1136" spans="2:11" ht="12.75" customHeight="1" x14ac:dyDescent="0.2">
      <c r="B1136" s="477">
        <v>10</v>
      </c>
      <c r="C1136" s="312">
        <v>50</v>
      </c>
    </row>
    <row r="1137" spans="2:3" ht="12.75" customHeight="1" x14ac:dyDescent="0.2">
      <c r="B1137" s="478">
        <v>11</v>
      </c>
      <c r="C1137" s="312">
        <v>75</v>
      </c>
    </row>
    <row r="1138" spans="2:3" ht="12.75" customHeight="1" x14ac:dyDescent="0.2">
      <c r="B1138" s="478">
        <v>12</v>
      </c>
      <c r="C1138" s="312">
        <v>100</v>
      </c>
    </row>
    <row r="1139" spans="2:3" ht="12.75" customHeight="1" x14ac:dyDescent="0.2">
      <c r="B1139" s="478">
        <v>13</v>
      </c>
      <c r="C1139" s="312">
        <v>150</v>
      </c>
    </row>
    <row r="1140" spans="2:3" ht="12.75" customHeight="1" x14ac:dyDescent="0.2">
      <c r="B1140" s="478">
        <v>14</v>
      </c>
      <c r="C1140" s="312">
        <v>200</v>
      </c>
    </row>
    <row r="1141" spans="2:3" ht="12.75" customHeight="1" x14ac:dyDescent="0.2">
      <c r="B1141" s="477">
        <v>15</v>
      </c>
      <c r="C1141" s="312">
        <v>300</v>
      </c>
    </row>
    <row r="1142" spans="2:3" ht="12.75" customHeight="1" x14ac:dyDescent="0.2">
      <c r="B1142" s="477">
        <v>16</v>
      </c>
      <c r="C1142" s="312">
        <v>400</v>
      </c>
    </row>
    <row r="1143" spans="2:3" ht="12.75" customHeight="1" x14ac:dyDescent="0.2">
      <c r="B1143" s="478">
        <v>17</v>
      </c>
      <c r="C1143" s="312">
        <v>500</v>
      </c>
    </row>
    <row r="1144" spans="2:3" ht="12.75" customHeight="1" x14ac:dyDescent="0.2">
      <c r="B1144" s="478">
        <v>18</v>
      </c>
      <c r="C1144" s="312">
        <v>600</v>
      </c>
    </row>
    <row r="1145" spans="2:3" ht="12.75" customHeight="1" x14ac:dyDescent="0.2">
      <c r="B1145" s="479">
        <v>19</v>
      </c>
      <c r="C1145" s="312">
        <v>700</v>
      </c>
    </row>
    <row r="1146" spans="2:3" ht="12.75" customHeight="1" thickBot="1" x14ac:dyDescent="0.25">
      <c r="B1146" s="480">
        <v>20</v>
      </c>
      <c r="C1146" s="465">
        <v>800</v>
      </c>
    </row>
    <row r="1148" spans="2:3" ht="12.75" customHeight="1" thickBot="1" x14ac:dyDescent="0.25">
      <c r="B1148" s="4799" t="s">
        <v>2329</v>
      </c>
      <c r="C1148" s="4799"/>
    </row>
    <row r="1149" spans="2:3" ht="12.75" customHeight="1" x14ac:dyDescent="0.2">
      <c r="B1149" s="4799"/>
      <c r="C1149" s="4799"/>
    </row>
    <row r="1150" spans="2:3" ht="12.75" customHeight="1" thickBot="1" x14ac:dyDescent="0.25">
      <c r="B1150" s="452" t="s">
        <v>2239</v>
      </c>
      <c r="C1150" s="454" t="s">
        <v>1669</v>
      </c>
    </row>
    <row r="1151" spans="2:3" ht="12.75" customHeight="1" x14ac:dyDescent="0.2">
      <c r="B1151" s="585">
        <v>1</v>
      </c>
      <c r="C1151" s="238">
        <v>1</v>
      </c>
    </row>
    <row r="1152" spans="2:3" ht="12.75" customHeight="1" x14ac:dyDescent="0.2">
      <c r="B1152" s="585">
        <v>2</v>
      </c>
      <c r="C1152" s="238">
        <v>1</v>
      </c>
    </row>
    <row r="1153" spans="2:3" ht="12.75" customHeight="1" x14ac:dyDescent="0.2">
      <c r="B1153" s="585">
        <v>3</v>
      </c>
      <c r="C1153" s="238">
        <v>1</v>
      </c>
    </row>
    <row r="1154" spans="2:3" ht="12.75" customHeight="1" x14ac:dyDescent="0.2">
      <c r="B1154" s="585">
        <v>4</v>
      </c>
      <c r="C1154" s="238">
        <v>1</v>
      </c>
    </row>
    <row r="1155" spans="2:3" ht="12.75" customHeight="1" x14ac:dyDescent="0.2">
      <c r="B1155" s="585">
        <v>5</v>
      </c>
      <c r="C1155" s="238">
        <v>1</v>
      </c>
    </row>
    <row r="1156" spans="2:3" ht="12.75" customHeight="1" x14ac:dyDescent="0.2">
      <c r="B1156" s="585">
        <v>6</v>
      </c>
      <c r="C1156" s="238">
        <v>2</v>
      </c>
    </row>
    <row r="1157" spans="2:3" ht="12.75" customHeight="1" x14ac:dyDescent="0.2">
      <c r="B1157" s="585">
        <v>7</v>
      </c>
      <c r="C1157" s="238">
        <v>3</v>
      </c>
    </row>
    <row r="1158" spans="2:3" ht="12.75" customHeight="1" x14ac:dyDescent="0.2">
      <c r="B1158" s="585">
        <v>8</v>
      </c>
      <c r="C1158" s="238">
        <v>4</v>
      </c>
    </row>
    <row r="1159" spans="2:3" ht="12.75" customHeight="1" x14ac:dyDescent="0.2">
      <c r="B1159" s="585">
        <v>9</v>
      </c>
      <c r="C1159" s="238">
        <v>4</v>
      </c>
    </row>
    <row r="1160" spans="2:3" ht="12.75" customHeight="1" x14ac:dyDescent="0.2">
      <c r="B1160" s="585">
        <v>10</v>
      </c>
      <c r="C1160" s="238">
        <v>5</v>
      </c>
    </row>
    <row r="1161" spans="2:3" ht="12.75" customHeight="1" x14ac:dyDescent="0.2">
      <c r="B1161" s="585">
        <v>11</v>
      </c>
      <c r="C1161" s="238">
        <v>6</v>
      </c>
    </row>
    <row r="1162" spans="2:3" ht="12.75" customHeight="1" x14ac:dyDescent="0.2">
      <c r="B1162" s="585">
        <v>12</v>
      </c>
      <c r="C1162" s="238">
        <v>7</v>
      </c>
    </row>
    <row r="1163" spans="2:3" ht="12.75" customHeight="1" x14ac:dyDescent="0.2">
      <c r="B1163" s="585">
        <v>13</v>
      </c>
      <c r="C1163" s="238">
        <v>8</v>
      </c>
    </row>
    <row r="1164" spans="2:3" ht="12.75" customHeight="1" x14ac:dyDescent="0.2">
      <c r="B1164" s="585">
        <v>14</v>
      </c>
      <c r="C1164" s="238">
        <v>9</v>
      </c>
    </row>
    <row r="1165" spans="2:3" ht="12.75" customHeight="1" x14ac:dyDescent="0.2">
      <c r="B1165" s="585">
        <v>15</v>
      </c>
      <c r="C1165" s="238">
        <v>10</v>
      </c>
    </row>
    <row r="1166" spans="2:3" ht="12.75" customHeight="1" x14ac:dyDescent="0.2">
      <c r="B1166" s="585">
        <v>16</v>
      </c>
      <c r="C1166" s="238">
        <v>10</v>
      </c>
    </row>
    <row r="1167" spans="2:3" ht="12.75" customHeight="1" x14ac:dyDescent="0.2">
      <c r="B1167" s="585">
        <v>17</v>
      </c>
      <c r="C1167" s="238">
        <v>10</v>
      </c>
    </row>
    <row r="1168" spans="2:3" ht="12.75" customHeight="1" x14ac:dyDescent="0.2">
      <c r="B1168" s="585">
        <v>18</v>
      </c>
      <c r="C1168" s="238">
        <v>10</v>
      </c>
    </row>
    <row r="1169" spans="2:4" ht="12.75" customHeight="1" x14ac:dyDescent="0.2">
      <c r="B1169" s="585">
        <v>19</v>
      </c>
      <c r="C1169" s="238">
        <v>10</v>
      </c>
    </row>
    <row r="1170" spans="2:4" ht="12.75" customHeight="1" thickBot="1" x14ac:dyDescent="0.25">
      <c r="B1170" s="586">
        <v>20</v>
      </c>
      <c r="C1170" s="523">
        <v>10</v>
      </c>
    </row>
    <row r="1172" spans="2:4" ht="12.75" customHeight="1" thickBot="1" x14ac:dyDescent="0.25">
      <c r="B1172" s="4774" t="s">
        <v>1670</v>
      </c>
      <c r="C1172" s="4774"/>
      <c r="D1172" s="4774"/>
    </row>
    <row r="1173" spans="2:4" ht="12.75" customHeight="1" x14ac:dyDescent="0.2">
      <c r="B1173" s="4774"/>
      <c r="C1173" s="4774"/>
      <c r="D1173" s="4774"/>
    </row>
    <row r="1174" spans="2:4" ht="12.75" customHeight="1" thickBot="1" x14ac:dyDescent="0.25">
      <c r="B1174" s="587" t="s">
        <v>2229</v>
      </c>
      <c r="C1174" s="588" t="s">
        <v>2230</v>
      </c>
      <c r="D1174" s="589" t="s">
        <v>1671</v>
      </c>
    </row>
    <row r="1175" spans="2:4" ht="12.75" customHeight="1" x14ac:dyDescent="0.2">
      <c r="B1175" s="512">
        <v>0</v>
      </c>
      <c r="C1175" s="475">
        <v>0</v>
      </c>
      <c r="D1175" s="513"/>
    </row>
    <row r="1176" spans="2:4" ht="12.75" customHeight="1" x14ac:dyDescent="0.2">
      <c r="B1176" s="293">
        <v>5</v>
      </c>
      <c r="C1176" s="290">
        <v>0</v>
      </c>
      <c r="D1176" s="571"/>
    </row>
    <row r="1177" spans="2:4" ht="12.75" customHeight="1" x14ac:dyDescent="0.2">
      <c r="B1177" s="293">
        <v>10</v>
      </c>
      <c r="C1177" s="290">
        <v>0</v>
      </c>
      <c r="D1177" s="571"/>
    </row>
    <row r="1178" spans="2:4" ht="12.75" customHeight="1" x14ac:dyDescent="0.2">
      <c r="B1178" s="293">
        <v>15</v>
      </c>
      <c r="C1178" s="290">
        <v>0</v>
      </c>
      <c r="D1178" s="571"/>
    </row>
    <row r="1179" spans="2:4" ht="12.75" customHeight="1" x14ac:dyDescent="0.2">
      <c r="B1179" s="293">
        <v>20</v>
      </c>
      <c r="C1179" s="290">
        <v>0</v>
      </c>
      <c r="D1179" s="571"/>
    </row>
    <row r="1180" spans="2:4" ht="12.75" customHeight="1" x14ac:dyDescent="0.2">
      <c r="B1180" s="293">
        <v>25</v>
      </c>
      <c r="C1180" s="290">
        <v>0</v>
      </c>
      <c r="D1180" s="571"/>
    </row>
    <row r="1181" spans="2:4" ht="12.75" customHeight="1" x14ac:dyDescent="0.2">
      <c r="B1181" s="293">
        <v>30</v>
      </c>
      <c r="C1181" s="290">
        <v>50</v>
      </c>
      <c r="D1181" s="571">
        <v>1</v>
      </c>
    </row>
    <row r="1182" spans="2:4" ht="12.75" customHeight="1" x14ac:dyDescent="0.2">
      <c r="B1182" s="293">
        <v>35</v>
      </c>
      <c r="C1182" s="290">
        <v>150</v>
      </c>
      <c r="D1182" s="571">
        <v>3</v>
      </c>
    </row>
    <row r="1183" spans="2:4" ht="12.75" customHeight="1" x14ac:dyDescent="0.2">
      <c r="B1183" s="293">
        <v>40</v>
      </c>
      <c r="C1183" s="290">
        <v>300</v>
      </c>
      <c r="D1183" s="571">
        <v>6</v>
      </c>
    </row>
    <row r="1184" spans="2:4" ht="12.75" customHeight="1" x14ac:dyDescent="0.2">
      <c r="B1184" s="293">
        <v>45</v>
      </c>
      <c r="C1184" s="290">
        <v>500</v>
      </c>
      <c r="D1184" s="571">
        <v>10</v>
      </c>
    </row>
    <row r="1185" spans="2:4" ht="12.75" customHeight="1" thickBot="1" x14ac:dyDescent="0.25">
      <c r="B1185" s="472">
        <v>50</v>
      </c>
      <c r="C1185" s="473">
        <v>750</v>
      </c>
      <c r="D1185" s="590">
        <v>15</v>
      </c>
    </row>
    <row r="1187" spans="2:4" ht="12.75" customHeight="1" thickBot="1" x14ac:dyDescent="0.25">
      <c r="B1187" s="4774" t="s">
        <v>1672</v>
      </c>
      <c r="C1187" s="4774"/>
    </row>
    <row r="1188" spans="2:4" ht="12.75" customHeight="1" x14ac:dyDescent="0.2">
      <c r="B1188" s="4774"/>
      <c r="C1188" s="4774"/>
    </row>
    <row r="1189" spans="2:4" ht="12.75" customHeight="1" thickBot="1" x14ac:dyDescent="0.25">
      <c r="B1189" s="489" t="s">
        <v>2236</v>
      </c>
      <c r="C1189" s="491" t="s">
        <v>1673</v>
      </c>
    </row>
    <row r="1190" spans="2:4" ht="12.75" customHeight="1" x14ac:dyDescent="0.2">
      <c r="B1190" s="512">
        <v>3</v>
      </c>
      <c r="C1190" s="476">
        <v>-30</v>
      </c>
    </row>
    <row r="1191" spans="2:4" ht="12.75" customHeight="1" x14ac:dyDescent="0.2">
      <c r="B1191" s="293">
        <v>4</v>
      </c>
      <c r="C1191" s="312">
        <v>-10</v>
      </c>
    </row>
    <row r="1192" spans="2:4" ht="12.75" customHeight="1" x14ac:dyDescent="0.2">
      <c r="B1192" s="293">
        <v>5</v>
      </c>
      <c r="C1192" s="312">
        <v>0</v>
      </c>
    </row>
    <row r="1193" spans="2:4" ht="12.75" customHeight="1" x14ac:dyDescent="0.2">
      <c r="B1193" s="293">
        <v>7</v>
      </c>
      <c r="C1193" s="312">
        <v>10</v>
      </c>
    </row>
    <row r="1194" spans="2:4" ht="12.75" customHeight="1" x14ac:dyDescent="0.2">
      <c r="B1194" s="293">
        <v>8</v>
      </c>
      <c r="C1194" s="312">
        <v>20</v>
      </c>
    </row>
    <row r="1195" spans="2:4" ht="12.75" customHeight="1" x14ac:dyDescent="0.2">
      <c r="B1195" s="293">
        <v>9</v>
      </c>
      <c r="C1195" s="312">
        <v>30</v>
      </c>
    </row>
    <row r="1196" spans="2:4" ht="12.75" customHeight="1" x14ac:dyDescent="0.2">
      <c r="B1196" s="293">
        <v>10</v>
      </c>
      <c r="C1196" s="312">
        <v>50</v>
      </c>
    </row>
    <row r="1197" spans="2:4" ht="12.75" customHeight="1" x14ac:dyDescent="0.2">
      <c r="B1197" s="293">
        <v>11</v>
      </c>
      <c r="C1197" s="312">
        <v>100</v>
      </c>
    </row>
    <row r="1198" spans="2:4" ht="12.75" customHeight="1" x14ac:dyDescent="0.2">
      <c r="B1198" s="293">
        <v>12</v>
      </c>
      <c r="C1198" s="312">
        <v>250</v>
      </c>
    </row>
    <row r="1199" spans="2:4" ht="12.75" customHeight="1" x14ac:dyDescent="0.2">
      <c r="B1199" s="293">
        <v>13</v>
      </c>
      <c r="C1199" s="312">
        <v>500</v>
      </c>
    </row>
    <row r="1200" spans="2:4" ht="12.75" customHeight="1" x14ac:dyDescent="0.2">
      <c r="B1200" s="293">
        <v>14</v>
      </c>
      <c r="C1200" s="312">
        <v>1000</v>
      </c>
    </row>
    <row r="1201" spans="2:3" ht="12.75" customHeight="1" x14ac:dyDescent="0.2">
      <c r="B1201" s="293">
        <v>15</v>
      </c>
      <c r="C1201" s="312">
        <v>5000</v>
      </c>
    </row>
    <row r="1202" spans="2:3" ht="12.75" customHeight="1" thickBot="1" x14ac:dyDescent="0.25">
      <c r="B1202" s="472">
        <v>16</v>
      </c>
      <c r="C1202" s="465">
        <v>10000</v>
      </c>
    </row>
    <row r="1204" spans="2:3" ht="12.75" customHeight="1" thickBot="1" x14ac:dyDescent="0.25">
      <c r="B1204" s="4774" t="s">
        <v>1674</v>
      </c>
      <c r="C1204" s="4774"/>
    </row>
    <row r="1205" spans="2:3" ht="12.75" customHeight="1" x14ac:dyDescent="0.2">
      <c r="B1205" s="4774"/>
      <c r="C1205" s="4774"/>
    </row>
    <row r="1206" spans="2:3" ht="12.75" customHeight="1" thickBot="1" x14ac:dyDescent="0.25">
      <c r="B1206" s="489" t="s">
        <v>1675</v>
      </c>
      <c r="C1206" s="491" t="s">
        <v>2345</v>
      </c>
    </row>
    <row r="1207" spans="2:3" ht="12.75" customHeight="1" x14ac:dyDescent="0.2">
      <c r="B1207" s="591">
        <v>2</v>
      </c>
      <c r="C1207" s="592">
        <v>2</v>
      </c>
    </row>
    <row r="1208" spans="2:3" ht="12.75" customHeight="1" x14ac:dyDescent="0.2">
      <c r="B1208" s="593">
        <v>12</v>
      </c>
      <c r="C1208" s="594">
        <v>4</v>
      </c>
    </row>
    <row r="1209" spans="2:3" ht="12.75" customHeight="1" x14ac:dyDescent="0.2">
      <c r="B1209" s="593">
        <v>22</v>
      </c>
      <c r="C1209" s="594">
        <v>6</v>
      </c>
    </row>
    <row r="1210" spans="2:3" ht="12.75" customHeight="1" x14ac:dyDescent="0.2">
      <c r="B1210" s="593">
        <v>32</v>
      </c>
      <c r="C1210" s="594">
        <v>8</v>
      </c>
    </row>
    <row r="1211" spans="2:3" ht="12.75" customHeight="1" x14ac:dyDescent="0.2">
      <c r="B1211" s="593">
        <v>42</v>
      </c>
      <c r="C1211" s="594">
        <v>10</v>
      </c>
    </row>
    <row r="1212" spans="2:3" ht="12.75" customHeight="1" x14ac:dyDescent="0.2">
      <c r="B1212" s="593">
        <v>52</v>
      </c>
      <c r="C1212" s="594">
        <v>12</v>
      </c>
    </row>
    <row r="1213" spans="2:3" ht="12.75" customHeight="1" x14ac:dyDescent="0.2">
      <c r="B1213" s="593">
        <v>62</v>
      </c>
      <c r="C1213" s="594">
        <v>14</v>
      </c>
    </row>
    <row r="1214" spans="2:3" ht="12.75" customHeight="1" x14ac:dyDescent="0.2">
      <c r="B1214" s="593">
        <v>72</v>
      </c>
      <c r="C1214" s="594">
        <v>16</v>
      </c>
    </row>
    <row r="1215" spans="2:3" ht="12.75" customHeight="1" x14ac:dyDescent="0.2">
      <c r="B1215" s="593">
        <v>82</v>
      </c>
      <c r="C1215" s="594">
        <v>18</v>
      </c>
    </row>
    <row r="1216" spans="2:3" ht="12.75" customHeight="1" thickBot="1" x14ac:dyDescent="0.25">
      <c r="B1216" s="595">
        <v>92</v>
      </c>
      <c r="C1216" s="590">
        <v>20</v>
      </c>
    </row>
    <row r="1217" spans="2:17" ht="12.75" customHeight="1" thickBot="1" x14ac:dyDescent="0.25"/>
    <row r="1218" spans="2:17" ht="12.75" customHeight="1" thickBot="1" x14ac:dyDescent="0.25">
      <c r="B1218" s="3028" t="s">
        <v>1676</v>
      </c>
      <c r="D1218" s="3067" t="s">
        <v>1710</v>
      </c>
    </row>
    <row r="1219" spans="2:17" ht="12.75" customHeight="1" thickBot="1" x14ac:dyDescent="0.25">
      <c r="B1219" s="3028"/>
      <c r="D1219" s="3067"/>
    </row>
    <row r="1220" spans="2:17" ht="12.75" customHeight="1" x14ac:dyDescent="0.2">
      <c r="B1220" s="552" t="s">
        <v>2953</v>
      </c>
      <c r="D1220" s="598">
        <v>-10</v>
      </c>
    </row>
    <row r="1221" spans="2:17" ht="12.75" customHeight="1" x14ac:dyDescent="0.2">
      <c r="B1221" s="552" t="s">
        <v>1677</v>
      </c>
      <c r="D1221" s="599">
        <v>-5</v>
      </c>
    </row>
    <row r="1222" spans="2:17" ht="12.75" customHeight="1" thickBot="1" x14ac:dyDescent="0.25">
      <c r="B1222" s="553" t="s">
        <v>1678</v>
      </c>
      <c r="D1222" s="599">
        <v>0</v>
      </c>
    </row>
    <row r="1223" spans="2:17" ht="12.75" customHeight="1" thickBot="1" x14ac:dyDescent="0.25">
      <c r="D1223" s="599">
        <v>5</v>
      </c>
    </row>
    <row r="1224" spans="2:17" ht="12.75" customHeight="1" thickBot="1" x14ac:dyDescent="0.25">
      <c r="B1224" s="2" t="s">
        <v>2174</v>
      </c>
      <c r="D1224" s="599">
        <v>10</v>
      </c>
    </row>
    <row r="1225" spans="2:17" ht="12.75" customHeight="1" x14ac:dyDescent="0.2">
      <c r="B1225" s="596" t="s">
        <v>1679</v>
      </c>
      <c r="D1225" s="599">
        <v>15</v>
      </c>
    </row>
    <row r="1226" spans="2:17" ht="12.75" customHeight="1" x14ac:dyDescent="0.2">
      <c r="B1226" s="552" t="s">
        <v>1680</v>
      </c>
      <c r="D1226" s="599">
        <v>20</v>
      </c>
    </row>
    <row r="1227" spans="2:17" ht="12.75" customHeight="1" x14ac:dyDescent="0.2">
      <c r="B1227" s="552" t="s">
        <v>1681</v>
      </c>
      <c r="D1227" s="599">
        <v>25</v>
      </c>
    </row>
    <row r="1228" spans="2:17" ht="12.75" customHeight="1" thickBot="1" x14ac:dyDescent="0.25">
      <c r="B1228" s="553" t="s">
        <v>2422</v>
      </c>
      <c r="D1228" s="600">
        <v>30</v>
      </c>
    </row>
    <row r="1229" spans="2:17" ht="12.75" customHeight="1" thickBot="1" x14ac:dyDescent="0.25"/>
    <row r="1230" spans="2:17" ht="12.75" customHeight="1" thickBot="1" x14ac:dyDescent="0.25">
      <c r="B1230" s="4838" t="s">
        <v>1682</v>
      </c>
      <c r="C1230" s="4838"/>
      <c r="D1230" s="4838"/>
      <c r="E1230" s="4838"/>
      <c r="F1230" s="4838"/>
      <c r="G1230" s="4838"/>
      <c r="H1230" s="4838"/>
      <c r="I1230" s="4838"/>
      <c r="J1230" s="4838"/>
      <c r="K1230" s="4838"/>
      <c r="L1230" s="4838"/>
      <c r="M1230" s="4838"/>
      <c r="N1230" s="4838"/>
      <c r="O1230" s="4838"/>
      <c r="P1230" s="4838"/>
      <c r="Q1230" s="4838"/>
    </row>
    <row r="1231" spans="2:17" ht="12.75" customHeight="1" x14ac:dyDescent="0.2">
      <c r="B1231" s="4838"/>
      <c r="C1231" s="4838"/>
      <c r="D1231" s="4838"/>
      <c r="E1231" s="4838"/>
      <c r="F1231" s="4838"/>
      <c r="G1231" s="4838"/>
      <c r="H1231" s="4838"/>
      <c r="I1231" s="4838"/>
      <c r="J1231" s="4838"/>
      <c r="K1231" s="4838"/>
      <c r="L1231" s="4838"/>
      <c r="M1231" s="4838"/>
      <c r="N1231" s="4838"/>
      <c r="O1231" s="4838"/>
      <c r="P1231" s="4838"/>
      <c r="Q1231" s="4838"/>
    </row>
    <row r="1232" spans="2:17" ht="12.75" customHeight="1" x14ac:dyDescent="0.2">
      <c r="B1232" s="448"/>
      <c r="C1232" s="449">
        <v>1</v>
      </c>
      <c r="D1232" s="449">
        <v>2</v>
      </c>
      <c r="E1232" s="449">
        <v>3</v>
      </c>
      <c r="F1232" s="449">
        <v>4</v>
      </c>
      <c r="G1232" s="449">
        <v>5</v>
      </c>
      <c r="H1232" s="1967">
        <v>6</v>
      </c>
      <c r="I1232" s="449">
        <v>7</v>
      </c>
      <c r="J1232" s="449">
        <v>8</v>
      </c>
      <c r="K1232" s="449">
        <v>9</v>
      </c>
      <c r="L1232" s="450">
        <v>10</v>
      </c>
      <c r="M1232" s="450">
        <v>11</v>
      </c>
      <c r="N1232" s="2289">
        <v>12</v>
      </c>
      <c r="O1232" s="450">
        <v>13</v>
      </c>
      <c r="P1232" s="450">
        <v>14</v>
      </c>
      <c r="Q1232" s="451">
        <v>15</v>
      </c>
    </row>
    <row r="1233" spans="2:17" ht="12.75" customHeight="1" thickBot="1" x14ac:dyDescent="0.25">
      <c r="B1233" s="448"/>
      <c r="C1233" s="449" t="s">
        <v>2405</v>
      </c>
      <c r="D1233" s="449" t="s">
        <v>2714</v>
      </c>
      <c r="E1233" s="449" t="s">
        <v>2253</v>
      </c>
      <c r="F1233" s="449" t="s">
        <v>1683</v>
      </c>
      <c r="G1233" s="449" t="s">
        <v>2945</v>
      </c>
      <c r="H1233" s="1967" t="s">
        <v>3105</v>
      </c>
      <c r="I1233" s="449" t="s">
        <v>2174</v>
      </c>
      <c r="J1233" s="449" t="s">
        <v>2223</v>
      </c>
      <c r="K1233" s="449" t="s">
        <v>2409</v>
      </c>
      <c r="L1233" s="449" t="s">
        <v>2354</v>
      </c>
      <c r="M1233" s="449" t="s">
        <v>2410</v>
      </c>
      <c r="N1233" s="1967" t="s">
        <v>2411</v>
      </c>
      <c r="O1233" s="449" t="s">
        <v>2412</v>
      </c>
      <c r="P1233" s="449" t="s">
        <v>2413</v>
      </c>
      <c r="Q1233" s="488" t="s">
        <v>2414</v>
      </c>
    </row>
    <row r="1234" spans="2:17" ht="12.75" customHeight="1" x14ac:dyDescent="0.2">
      <c r="B1234" s="285"/>
      <c r="C1234" s="569" t="s">
        <v>1684</v>
      </c>
      <c r="D1234" s="492">
        <v>0</v>
      </c>
      <c r="E1234" s="492">
        <v>0</v>
      </c>
      <c r="F1234" s="492">
        <v>0</v>
      </c>
      <c r="G1234" s="492">
        <v>0</v>
      </c>
      <c r="H1234" s="570">
        <v>0</v>
      </c>
      <c r="I1234" s="492" t="s">
        <v>2310</v>
      </c>
      <c r="J1234" s="492" t="s">
        <v>2310</v>
      </c>
      <c r="K1234" s="492">
        <v>0</v>
      </c>
      <c r="L1234" s="492">
        <v>0</v>
      </c>
      <c r="M1234" s="492">
        <v>0</v>
      </c>
      <c r="N1234" s="570">
        <v>0</v>
      </c>
      <c r="O1234" s="492">
        <v>0</v>
      </c>
      <c r="P1234" s="492">
        <v>0</v>
      </c>
      <c r="Q1234" s="513">
        <v>0</v>
      </c>
    </row>
    <row r="1235" spans="2:17" ht="12.75" customHeight="1" x14ac:dyDescent="0.2">
      <c r="B1235" s="70"/>
      <c r="C1235" s="267" t="s">
        <v>1685</v>
      </c>
      <c r="D1235" s="240">
        <v>0</v>
      </c>
      <c r="E1235" s="240">
        <v>-5</v>
      </c>
      <c r="F1235" s="240">
        <v>0</v>
      </c>
      <c r="G1235" s="240">
        <v>10</v>
      </c>
      <c r="H1235" s="1951">
        <v>25</v>
      </c>
      <c r="I1235" s="240" t="s">
        <v>1679</v>
      </c>
      <c r="J1235" s="240" t="s">
        <v>1677</v>
      </c>
      <c r="K1235" s="240">
        <v>1</v>
      </c>
      <c r="L1235" s="240">
        <v>1</v>
      </c>
      <c r="M1235" s="240">
        <v>1</v>
      </c>
      <c r="N1235" s="2286">
        <v>1</v>
      </c>
      <c r="O1235" s="240">
        <v>2</v>
      </c>
      <c r="P1235" s="240">
        <v>2</v>
      </c>
      <c r="Q1235" s="571">
        <v>0</v>
      </c>
    </row>
    <row r="1236" spans="2:17" ht="12.75" customHeight="1" x14ac:dyDescent="0.2">
      <c r="B1236" s="70"/>
      <c r="C1236" s="267" t="s">
        <v>1686</v>
      </c>
      <c r="D1236" s="240">
        <v>0</v>
      </c>
      <c r="E1236" s="240">
        <v>0</v>
      </c>
      <c r="F1236" s="240">
        <v>0</v>
      </c>
      <c r="G1236" s="240">
        <v>12</v>
      </c>
      <c r="H1236" s="1951">
        <v>25</v>
      </c>
      <c r="I1236" s="240" t="s">
        <v>1679</v>
      </c>
      <c r="J1236" s="240" t="s">
        <v>1677</v>
      </c>
      <c r="K1236" s="240">
        <v>1</v>
      </c>
      <c r="L1236" s="240">
        <v>0</v>
      </c>
      <c r="M1236" s="240">
        <v>2</v>
      </c>
      <c r="N1236" s="2286">
        <v>1</v>
      </c>
      <c r="O1236" s="240">
        <v>2</v>
      </c>
      <c r="P1236" s="240">
        <v>1</v>
      </c>
      <c r="Q1236" s="571">
        <v>0</v>
      </c>
    </row>
    <row r="1237" spans="2:17" ht="12.75" customHeight="1" x14ac:dyDescent="0.2">
      <c r="B1237" s="70"/>
      <c r="C1237" s="267" t="s">
        <v>1687</v>
      </c>
      <c r="D1237" s="240">
        <v>0</v>
      </c>
      <c r="E1237" s="240">
        <v>-5</v>
      </c>
      <c r="F1237" s="240">
        <v>0</v>
      </c>
      <c r="G1237" s="240">
        <v>10</v>
      </c>
      <c r="H1237" s="1951">
        <v>25</v>
      </c>
      <c r="I1237" s="240" t="s">
        <v>1681</v>
      </c>
      <c r="J1237" s="240" t="s">
        <v>1677</v>
      </c>
      <c r="K1237" s="240">
        <v>1</v>
      </c>
      <c r="L1237" s="240">
        <v>0</v>
      </c>
      <c r="M1237" s="240">
        <v>2</v>
      </c>
      <c r="N1237" s="2286">
        <v>1</v>
      </c>
      <c r="O1237" s="240">
        <v>2</v>
      </c>
      <c r="P1237" s="240">
        <v>2</v>
      </c>
      <c r="Q1237" s="571">
        <v>0</v>
      </c>
    </row>
    <row r="1238" spans="2:17" ht="12.75" customHeight="1" x14ac:dyDescent="0.2">
      <c r="B1238" s="70"/>
      <c r="C1238" s="267" t="s">
        <v>1688</v>
      </c>
      <c r="D1238" s="240">
        <v>10</v>
      </c>
      <c r="E1238" s="240">
        <v>-10</v>
      </c>
      <c r="F1238" s="240">
        <v>0</v>
      </c>
      <c r="G1238" s="240">
        <v>11</v>
      </c>
      <c r="H1238" s="1951">
        <v>25</v>
      </c>
      <c r="I1238" s="240" t="s">
        <v>1679</v>
      </c>
      <c r="J1238" s="240" t="s">
        <v>1677</v>
      </c>
      <c r="K1238" s="240">
        <v>2</v>
      </c>
      <c r="L1238" s="240">
        <v>1</v>
      </c>
      <c r="M1238" s="240">
        <v>2</v>
      </c>
      <c r="N1238" s="2286">
        <v>0</v>
      </c>
      <c r="O1238" s="240">
        <v>2</v>
      </c>
      <c r="P1238" s="240">
        <v>2</v>
      </c>
      <c r="Q1238" s="571">
        <v>0</v>
      </c>
    </row>
    <row r="1239" spans="2:17" ht="12.75" customHeight="1" x14ac:dyDescent="0.2">
      <c r="B1239" s="70"/>
      <c r="C1239" s="267" t="s">
        <v>1689</v>
      </c>
      <c r="D1239" s="240">
        <v>10</v>
      </c>
      <c r="E1239" s="240">
        <v>-10</v>
      </c>
      <c r="F1239" s="240">
        <v>0</v>
      </c>
      <c r="G1239" s="240">
        <v>10</v>
      </c>
      <c r="H1239" s="1951">
        <v>25</v>
      </c>
      <c r="I1239" s="240" t="s">
        <v>1679</v>
      </c>
      <c r="J1239" s="240" t="s">
        <v>1677</v>
      </c>
      <c r="K1239" s="240">
        <v>2</v>
      </c>
      <c r="L1239" s="240">
        <v>1</v>
      </c>
      <c r="M1239" s="240">
        <v>2</v>
      </c>
      <c r="N1239" s="2286">
        <v>1</v>
      </c>
      <c r="O1239" s="240">
        <v>2</v>
      </c>
      <c r="P1239" s="240">
        <v>2</v>
      </c>
      <c r="Q1239" s="571">
        <v>0</v>
      </c>
    </row>
    <row r="1240" spans="2:17" ht="12.75" customHeight="1" x14ac:dyDescent="0.2">
      <c r="B1240" s="70"/>
      <c r="C1240" s="267" t="s">
        <v>1690</v>
      </c>
      <c r="D1240" s="240">
        <v>10</v>
      </c>
      <c r="E1240" s="240">
        <v>0</v>
      </c>
      <c r="F1240" s="240">
        <v>1</v>
      </c>
      <c r="G1240" s="240">
        <v>12</v>
      </c>
      <c r="H1240" s="1951">
        <v>25</v>
      </c>
      <c r="I1240" s="240" t="s">
        <v>1681</v>
      </c>
      <c r="J1240" s="240" t="s">
        <v>1677</v>
      </c>
      <c r="K1240" s="240">
        <v>1</v>
      </c>
      <c r="L1240" s="240">
        <v>0</v>
      </c>
      <c r="M1240" s="240">
        <v>2</v>
      </c>
      <c r="N1240" s="2286">
        <v>1</v>
      </c>
      <c r="O1240" s="240">
        <v>2</v>
      </c>
      <c r="P1240" s="240">
        <v>1</v>
      </c>
      <c r="Q1240" s="571">
        <v>0</v>
      </c>
    </row>
    <row r="1241" spans="2:17" ht="12.75" customHeight="1" x14ac:dyDescent="0.2">
      <c r="B1241" s="70"/>
      <c r="C1241" s="267" t="s">
        <v>1691</v>
      </c>
      <c r="D1241" s="240">
        <v>20</v>
      </c>
      <c r="E1241" s="240">
        <v>-10</v>
      </c>
      <c r="F1241" s="240">
        <v>0</v>
      </c>
      <c r="G1241" s="240">
        <v>12</v>
      </c>
      <c r="H1241" s="1951">
        <v>25</v>
      </c>
      <c r="I1241" s="240" t="s">
        <v>1679</v>
      </c>
      <c r="J1241" s="240" t="s">
        <v>1677</v>
      </c>
      <c r="K1241" s="240">
        <v>3</v>
      </c>
      <c r="L1241" s="240">
        <v>1</v>
      </c>
      <c r="M1241" s="240">
        <v>1</v>
      </c>
      <c r="N1241" s="2286">
        <v>0</v>
      </c>
      <c r="O1241" s="240">
        <v>2</v>
      </c>
      <c r="P1241" s="240">
        <v>2</v>
      </c>
      <c r="Q1241" s="571">
        <v>0</v>
      </c>
    </row>
    <row r="1242" spans="2:17" ht="12.75" customHeight="1" x14ac:dyDescent="0.2">
      <c r="B1242" s="70"/>
      <c r="C1242" s="267" t="s">
        <v>1692</v>
      </c>
      <c r="D1242" s="240">
        <v>25</v>
      </c>
      <c r="E1242" s="240">
        <v>-10</v>
      </c>
      <c r="F1242" s="240">
        <v>0</v>
      </c>
      <c r="G1242" s="240">
        <v>12</v>
      </c>
      <c r="H1242" s="1951">
        <v>25</v>
      </c>
      <c r="I1242" s="240" t="s">
        <v>1679</v>
      </c>
      <c r="J1242" s="240" t="s">
        <v>1677</v>
      </c>
      <c r="K1242" s="240">
        <v>3</v>
      </c>
      <c r="L1242" s="240">
        <v>2</v>
      </c>
      <c r="M1242" s="240">
        <v>3</v>
      </c>
      <c r="N1242" s="2286">
        <v>1</v>
      </c>
      <c r="O1242" s="240">
        <v>0</v>
      </c>
      <c r="P1242" s="240">
        <v>1</v>
      </c>
      <c r="Q1242" s="571">
        <v>0</v>
      </c>
    </row>
    <row r="1243" spans="2:17" ht="12.75" customHeight="1" x14ac:dyDescent="0.2">
      <c r="B1243" s="70"/>
      <c r="C1243" s="267" t="s">
        <v>1693</v>
      </c>
      <c r="D1243" s="240">
        <v>30</v>
      </c>
      <c r="E1243" s="240">
        <v>-15</v>
      </c>
      <c r="F1243" s="240">
        <v>1</v>
      </c>
      <c r="G1243" s="240">
        <v>15</v>
      </c>
      <c r="H1243" s="1951">
        <v>30</v>
      </c>
      <c r="I1243" s="240" t="s">
        <v>1681</v>
      </c>
      <c r="J1243" s="240" t="s">
        <v>1677</v>
      </c>
      <c r="K1243" s="240">
        <v>4</v>
      </c>
      <c r="L1243" s="240">
        <v>2</v>
      </c>
      <c r="M1243" s="240">
        <v>1</v>
      </c>
      <c r="N1243" s="2286">
        <v>2</v>
      </c>
      <c r="O1243" s="240">
        <v>0</v>
      </c>
      <c r="P1243" s="240">
        <v>1</v>
      </c>
      <c r="Q1243" s="571">
        <v>0</v>
      </c>
    </row>
    <row r="1244" spans="2:17" ht="12.75" customHeight="1" x14ac:dyDescent="0.2">
      <c r="B1244" s="70"/>
      <c r="C1244" s="267" t="s">
        <v>1694</v>
      </c>
      <c r="D1244" s="240">
        <v>60</v>
      </c>
      <c r="E1244" s="240">
        <v>-20</v>
      </c>
      <c r="F1244" s="240">
        <v>2</v>
      </c>
      <c r="G1244" s="240">
        <v>15</v>
      </c>
      <c r="H1244" s="1951">
        <v>30</v>
      </c>
      <c r="I1244" s="240" t="s">
        <v>1679</v>
      </c>
      <c r="J1244" s="240" t="s">
        <v>1677</v>
      </c>
      <c r="K1244" s="240">
        <v>4</v>
      </c>
      <c r="L1244" s="240">
        <v>3</v>
      </c>
      <c r="M1244" s="240">
        <v>1</v>
      </c>
      <c r="N1244" s="2286">
        <v>2</v>
      </c>
      <c r="O1244" s="240">
        <v>0</v>
      </c>
      <c r="P1244" s="240">
        <v>1</v>
      </c>
      <c r="Q1244" s="571">
        <v>0</v>
      </c>
    </row>
    <row r="1245" spans="2:17" ht="12.75" customHeight="1" x14ac:dyDescent="0.2">
      <c r="B1245" s="70"/>
      <c r="C1245" s="267" t="s">
        <v>1695</v>
      </c>
      <c r="D1245" s="240">
        <v>0</v>
      </c>
      <c r="E1245" s="240">
        <v>0</v>
      </c>
      <c r="F1245" s="240">
        <v>0</v>
      </c>
      <c r="G1245" s="240">
        <v>0</v>
      </c>
      <c r="H1245" s="1951">
        <v>0</v>
      </c>
      <c r="I1245" s="240" t="s">
        <v>2310</v>
      </c>
      <c r="J1245" s="240" t="s">
        <v>2310</v>
      </c>
      <c r="K1245" s="240">
        <v>0</v>
      </c>
      <c r="L1245" s="240">
        <v>0</v>
      </c>
      <c r="M1245" s="240">
        <v>0</v>
      </c>
      <c r="N1245" s="2286">
        <v>0</v>
      </c>
      <c r="O1245" s="240">
        <v>0</v>
      </c>
      <c r="P1245" s="240">
        <v>0</v>
      </c>
      <c r="Q1245" s="571">
        <v>0</v>
      </c>
    </row>
    <row r="1246" spans="2:17" ht="12.75" customHeight="1" x14ac:dyDescent="0.2">
      <c r="B1246" s="70"/>
      <c r="C1246" s="267" t="s">
        <v>1696</v>
      </c>
      <c r="D1246" s="240">
        <v>20</v>
      </c>
      <c r="E1246" s="240">
        <v>-10</v>
      </c>
      <c r="F1246" s="240">
        <v>0</v>
      </c>
      <c r="G1246" s="240">
        <v>13</v>
      </c>
      <c r="H1246" s="1951">
        <v>25</v>
      </c>
      <c r="I1246" s="240" t="s">
        <v>1680</v>
      </c>
      <c r="J1246" s="240" t="s">
        <v>1678</v>
      </c>
      <c r="K1246" s="240">
        <v>2</v>
      </c>
      <c r="L1246" s="240">
        <v>2</v>
      </c>
      <c r="M1246" s="240">
        <v>2</v>
      </c>
      <c r="N1246" s="2286">
        <v>2</v>
      </c>
      <c r="O1246" s="240">
        <v>2</v>
      </c>
      <c r="P1246" s="240">
        <v>2</v>
      </c>
      <c r="Q1246" s="571">
        <v>0</v>
      </c>
    </row>
    <row r="1247" spans="2:17" ht="12.75" customHeight="1" x14ac:dyDescent="0.2">
      <c r="B1247" s="70"/>
      <c r="C1247" s="267" t="s">
        <v>1697</v>
      </c>
      <c r="D1247" s="240">
        <v>25</v>
      </c>
      <c r="E1247" s="240">
        <v>-10</v>
      </c>
      <c r="F1247" s="240">
        <v>1</v>
      </c>
      <c r="G1247" s="240">
        <v>14</v>
      </c>
      <c r="H1247" s="1951">
        <v>25</v>
      </c>
      <c r="I1247" s="240" t="s">
        <v>1680</v>
      </c>
      <c r="J1247" s="240" t="s">
        <v>1678</v>
      </c>
      <c r="K1247" s="240">
        <v>3</v>
      </c>
      <c r="L1247" s="240">
        <v>1</v>
      </c>
      <c r="M1247" s="240">
        <v>2</v>
      </c>
      <c r="N1247" s="2286">
        <v>2</v>
      </c>
      <c r="O1247" s="240">
        <v>1</v>
      </c>
      <c r="P1247" s="240">
        <v>2</v>
      </c>
      <c r="Q1247" s="571">
        <v>0</v>
      </c>
    </row>
    <row r="1248" spans="2:17" ht="12.75" customHeight="1" x14ac:dyDescent="0.2">
      <c r="B1248" s="70"/>
      <c r="C1248" s="267" t="s">
        <v>1698</v>
      </c>
      <c r="D1248" s="240">
        <v>30</v>
      </c>
      <c r="E1248" s="240">
        <v>-15</v>
      </c>
      <c r="F1248" s="240">
        <v>0</v>
      </c>
      <c r="G1248" s="240">
        <v>13</v>
      </c>
      <c r="H1248" s="1951">
        <v>25</v>
      </c>
      <c r="I1248" s="240" t="s">
        <v>1679</v>
      </c>
      <c r="J1248" s="240" t="s">
        <v>1678</v>
      </c>
      <c r="K1248" s="240">
        <v>4</v>
      </c>
      <c r="L1248" s="240">
        <v>3</v>
      </c>
      <c r="M1248" s="240">
        <v>3</v>
      </c>
      <c r="N1248" s="2286">
        <v>2</v>
      </c>
      <c r="O1248" s="240">
        <v>0</v>
      </c>
      <c r="P1248" s="240">
        <v>2</v>
      </c>
      <c r="Q1248" s="571">
        <v>0</v>
      </c>
    </row>
    <row r="1249" spans="2:17" ht="12.75" customHeight="1" x14ac:dyDescent="0.2">
      <c r="B1249" s="70"/>
      <c r="C1249" s="267" t="s">
        <v>1680</v>
      </c>
      <c r="D1249" s="240">
        <v>40</v>
      </c>
      <c r="E1249" s="240">
        <v>-15</v>
      </c>
      <c r="F1249" s="240">
        <v>1</v>
      </c>
      <c r="G1249" s="240">
        <v>16</v>
      </c>
      <c r="H1249" s="1951">
        <v>30</v>
      </c>
      <c r="I1249" s="240" t="s">
        <v>1680</v>
      </c>
      <c r="J1249" s="240" t="s">
        <v>1678</v>
      </c>
      <c r="K1249" s="240">
        <v>4</v>
      </c>
      <c r="L1249" s="240">
        <v>5</v>
      </c>
      <c r="M1249" s="240">
        <v>4</v>
      </c>
      <c r="N1249" s="2286">
        <v>1</v>
      </c>
      <c r="O1249" s="240">
        <v>0</v>
      </c>
      <c r="P1249" s="240">
        <v>1</v>
      </c>
      <c r="Q1249" s="571">
        <v>0</v>
      </c>
    </row>
    <row r="1250" spans="2:17" ht="12.75" customHeight="1" x14ac:dyDescent="0.2">
      <c r="B1250" s="70"/>
      <c r="C1250" s="267" t="s">
        <v>1699</v>
      </c>
      <c r="D1250" s="240">
        <v>50</v>
      </c>
      <c r="E1250" s="240">
        <v>-20</v>
      </c>
      <c r="F1250" s="240">
        <v>2</v>
      </c>
      <c r="G1250" s="240">
        <v>15</v>
      </c>
      <c r="H1250" s="1951">
        <v>30</v>
      </c>
      <c r="I1250" s="240" t="s">
        <v>1681</v>
      </c>
      <c r="J1250" s="240" t="s">
        <v>1678</v>
      </c>
      <c r="K1250" s="240">
        <v>4</v>
      </c>
      <c r="L1250" s="240">
        <v>3</v>
      </c>
      <c r="M1250" s="240">
        <v>2</v>
      </c>
      <c r="N1250" s="2286">
        <v>3</v>
      </c>
      <c r="O1250" s="240">
        <v>2</v>
      </c>
      <c r="P1250" s="240">
        <v>2</v>
      </c>
      <c r="Q1250" s="571">
        <v>0</v>
      </c>
    </row>
    <row r="1251" spans="2:17" ht="12.75" customHeight="1" x14ac:dyDescent="0.2">
      <c r="B1251" s="70"/>
      <c r="C1251" s="267" t="s">
        <v>1700</v>
      </c>
      <c r="D1251" s="240">
        <v>70</v>
      </c>
      <c r="E1251" s="240">
        <v>-20</v>
      </c>
      <c r="F1251" s="240">
        <v>3</v>
      </c>
      <c r="G1251" s="240">
        <v>16</v>
      </c>
      <c r="H1251" s="1951">
        <v>35</v>
      </c>
      <c r="I1251" s="240" t="s">
        <v>1681</v>
      </c>
      <c r="J1251" s="240" t="s">
        <v>1678</v>
      </c>
      <c r="K1251" s="240">
        <v>4</v>
      </c>
      <c r="L1251" s="240">
        <v>4</v>
      </c>
      <c r="M1251" s="240">
        <v>4</v>
      </c>
      <c r="N1251" s="2286">
        <v>2</v>
      </c>
      <c r="O1251" s="240">
        <v>0</v>
      </c>
      <c r="P1251" s="240">
        <v>1</v>
      </c>
      <c r="Q1251" s="571">
        <v>1</v>
      </c>
    </row>
    <row r="1252" spans="2:17" ht="12.75" customHeight="1" x14ac:dyDescent="0.2">
      <c r="B1252" s="70"/>
      <c r="C1252" s="267" t="s">
        <v>2906</v>
      </c>
      <c r="D1252" s="240">
        <v>80</v>
      </c>
      <c r="E1252" s="240">
        <v>-25</v>
      </c>
      <c r="F1252" s="240">
        <v>3</v>
      </c>
      <c r="G1252" s="240">
        <v>17</v>
      </c>
      <c r="H1252" s="1951">
        <v>35</v>
      </c>
      <c r="I1252" s="240" t="s">
        <v>1681</v>
      </c>
      <c r="J1252" s="240" t="s">
        <v>1678</v>
      </c>
      <c r="K1252" s="240">
        <v>4</v>
      </c>
      <c r="L1252" s="240">
        <v>4</v>
      </c>
      <c r="M1252" s="240">
        <v>4</v>
      </c>
      <c r="N1252" s="2286">
        <v>3</v>
      </c>
      <c r="O1252" s="240">
        <v>0</v>
      </c>
      <c r="P1252" s="240">
        <v>3</v>
      </c>
      <c r="Q1252" s="571">
        <v>1</v>
      </c>
    </row>
    <row r="1253" spans="2:17" ht="12.75" customHeight="1" x14ac:dyDescent="0.2">
      <c r="B1253" s="70"/>
      <c r="C1253" s="267" t="s">
        <v>1701</v>
      </c>
      <c r="D1253" s="240">
        <v>90</v>
      </c>
      <c r="E1253" s="240">
        <v>-35</v>
      </c>
      <c r="F1253" s="240">
        <v>4</v>
      </c>
      <c r="G1253" s="240">
        <v>17</v>
      </c>
      <c r="H1253" s="1951">
        <v>40</v>
      </c>
      <c r="I1253" s="240" t="s">
        <v>1681</v>
      </c>
      <c r="J1253" s="240" t="s">
        <v>1678</v>
      </c>
      <c r="K1253" s="240">
        <v>5</v>
      </c>
      <c r="L1253" s="240">
        <v>4</v>
      </c>
      <c r="M1253" s="240">
        <v>5</v>
      </c>
      <c r="N1253" s="2286">
        <v>3</v>
      </c>
      <c r="O1253" s="240">
        <v>0</v>
      </c>
      <c r="P1253" s="240">
        <v>3</v>
      </c>
      <c r="Q1253" s="571">
        <v>1</v>
      </c>
    </row>
    <row r="1254" spans="2:17" ht="12.75" customHeight="1" x14ac:dyDescent="0.2">
      <c r="B1254" s="70"/>
      <c r="C1254" s="267" t="s">
        <v>1681</v>
      </c>
      <c r="D1254" s="240">
        <v>100</v>
      </c>
      <c r="E1254" s="240">
        <v>-50</v>
      </c>
      <c r="F1254" s="240">
        <v>4</v>
      </c>
      <c r="G1254" s="240">
        <v>18</v>
      </c>
      <c r="H1254" s="1951">
        <v>45</v>
      </c>
      <c r="I1254" s="240" t="s">
        <v>1681</v>
      </c>
      <c r="J1254" s="240" t="s">
        <v>1678</v>
      </c>
      <c r="K1254" s="240">
        <v>5</v>
      </c>
      <c r="L1254" s="240">
        <v>5</v>
      </c>
      <c r="M1254" s="240">
        <v>5</v>
      </c>
      <c r="N1254" s="2286">
        <v>4</v>
      </c>
      <c r="O1254" s="240">
        <v>0</v>
      </c>
      <c r="P1254" s="240">
        <v>4</v>
      </c>
      <c r="Q1254" s="571">
        <v>2</v>
      </c>
    </row>
    <row r="1255" spans="2:17" ht="12.75" customHeight="1" x14ac:dyDescent="0.2">
      <c r="B1255" s="70"/>
      <c r="C1255" s="267" t="s">
        <v>1702</v>
      </c>
      <c r="D1255" s="240">
        <v>120</v>
      </c>
      <c r="E1255" s="240">
        <v>-60</v>
      </c>
      <c r="F1255" s="240">
        <v>5</v>
      </c>
      <c r="G1255" s="240">
        <v>19</v>
      </c>
      <c r="H1255" s="1951">
        <v>45</v>
      </c>
      <c r="I1255" s="240" t="s">
        <v>1681</v>
      </c>
      <c r="J1255" s="240" t="s">
        <v>1678</v>
      </c>
      <c r="K1255" s="240">
        <v>6</v>
      </c>
      <c r="L1255" s="240">
        <v>6</v>
      </c>
      <c r="M1255" s="240">
        <v>6</v>
      </c>
      <c r="N1255" s="2286">
        <v>4</v>
      </c>
      <c r="O1255" s="240">
        <v>0</v>
      </c>
      <c r="P1255" s="240">
        <v>4</v>
      </c>
      <c r="Q1255" s="571">
        <v>2</v>
      </c>
    </row>
    <row r="1256" spans="2:17" ht="12.75" customHeight="1" x14ac:dyDescent="0.2">
      <c r="B1256" s="70"/>
      <c r="C1256" s="267" t="s">
        <v>1703</v>
      </c>
      <c r="D1256" s="240">
        <v>150</v>
      </c>
      <c r="E1256" s="240">
        <v>-70</v>
      </c>
      <c r="F1256" s="240">
        <v>6</v>
      </c>
      <c r="G1256" s="240">
        <v>20</v>
      </c>
      <c r="H1256" s="1951">
        <v>50</v>
      </c>
      <c r="I1256" s="240" t="s">
        <v>1681</v>
      </c>
      <c r="J1256" s="240" t="s">
        <v>1678</v>
      </c>
      <c r="K1256" s="240">
        <v>7</v>
      </c>
      <c r="L1256" s="240">
        <v>7</v>
      </c>
      <c r="M1256" s="240">
        <v>7</v>
      </c>
      <c r="N1256" s="2286">
        <v>4</v>
      </c>
      <c r="O1256" s="240">
        <v>0</v>
      </c>
      <c r="P1256" s="240">
        <v>4</v>
      </c>
      <c r="Q1256" s="571">
        <v>2</v>
      </c>
    </row>
    <row r="1257" spans="2:17" ht="12.75" customHeight="1" x14ac:dyDescent="0.2">
      <c r="B1257" s="70"/>
      <c r="C1257" s="267" t="s">
        <v>1704</v>
      </c>
      <c r="D1257" s="240">
        <v>0</v>
      </c>
      <c r="E1257" s="240">
        <v>0</v>
      </c>
      <c r="F1257" s="240">
        <v>0</v>
      </c>
      <c r="G1257" s="240">
        <v>0</v>
      </c>
      <c r="H1257" s="1951">
        <v>0</v>
      </c>
      <c r="I1257" s="240" t="s">
        <v>2310</v>
      </c>
      <c r="J1257" s="240" t="s">
        <v>2310</v>
      </c>
      <c r="K1257" s="240">
        <v>0</v>
      </c>
      <c r="L1257" s="240">
        <v>0</v>
      </c>
      <c r="M1257" s="240">
        <v>0</v>
      </c>
      <c r="N1257" s="2286">
        <v>0</v>
      </c>
      <c r="O1257" s="240">
        <v>0</v>
      </c>
      <c r="P1257" s="240">
        <v>0</v>
      </c>
      <c r="Q1257" s="571">
        <v>0</v>
      </c>
    </row>
    <row r="1258" spans="2:17" ht="12.75" customHeight="1" x14ac:dyDescent="0.2">
      <c r="B1258" s="70"/>
      <c r="C1258" s="267" t="s">
        <v>1705</v>
      </c>
      <c r="D1258" s="240">
        <v>25</v>
      </c>
      <c r="E1258" s="240">
        <v>-10</v>
      </c>
      <c r="F1258" s="240">
        <v>0</v>
      </c>
      <c r="G1258" s="240">
        <v>13</v>
      </c>
      <c r="H1258" s="1951">
        <v>25</v>
      </c>
      <c r="I1258" s="240" t="s">
        <v>1679</v>
      </c>
      <c r="J1258" s="240" t="s">
        <v>1677</v>
      </c>
      <c r="K1258" s="240">
        <v>3</v>
      </c>
      <c r="L1258" s="240">
        <v>1</v>
      </c>
      <c r="M1258" s="240">
        <v>1</v>
      </c>
      <c r="N1258" s="2286">
        <v>2</v>
      </c>
      <c r="O1258" s="240">
        <v>0</v>
      </c>
      <c r="P1258" s="240">
        <v>1</v>
      </c>
      <c r="Q1258" s="571">
        <v>0</v>
      </c>
    </row>
    <row r="1259" spans="2:17" ht="12.75" customHeight="1" x14ac:dyDescent="0.2">
      <c r="B1259" s="70"/>
      <c r="C1259" s="267" t="s">
        <v>1706</v>
      </c>
      <c r="D1259" s="240">
        <v>30</v>
      </c>
      <c r="E1259" s="240">
        <v>-10</v>
      </c>
      <c r="F1259" s="240">
        <v>0</v>
      </c>
      <c r="G1259" s="240">
        <v>14</v>
      </c>
      <c r="H1259" s="1951">
        <v>25</v>
      </c>
      <c r="I1259" s="240" t="s">
        <v>1681</v>
      </c>
      <c r="J1259" s="240" t="s">
        <v>1678</v>
      </c>
      <c r="K1259" s="240">
        <v>3</v>
      </c>
      <c r="L1259" s="240">
        <v>2</v>
      </c>
      <c r="M1259" s="240">
        <v>2</v>
      </c>
      <c r="N1259" s="2286">
        <v>2</v>
      </c>
      <c r="O1259" s="240">
        <v>0</v>
      </c>
      <c r="P1259" s="240">
        <v>1</v>
      </c>
      <c r="Q1259" s="571">
        <v>0</v>
      </c>
    </row>
    <row r="1260" spans="2:17" ht="12.75" customHeight="1" x14ac:dyDescent="0.2">
      <c r="B1260" s="70"/>
      <c r="C1260" s="267" t="s">
        <v>1707</v>
      </c>
      <c r="D1260" s="240">
        <v>30</v>
      </c>
      <c r="E1260" s="240">
        <v>-10</v>
      </c>
      <c r="F1260" s="240">
        <v>1</v>
      </c>
      <c r="G1260" s="240">
        <v>15</v>
      </c>
      <c r="H1260" s="1951">
        <v>30</v>
      </c>
      <c r="I1260" s="240" t="s">
        <v>1681</v>
      </c>
      <c r="J1260" s="240" t="s">
        <v>1678</v>
      </c>
      <c r="K1260" s="240">
        <v>3</v>
      </c>
      <c r="L1260" s="240">
        <v>2</v>
      </c>
      <c r="M1260" s="240">
        <v>3</v>
      </c>
      <c r="N1260" s="2286">
        <v>2</v>
      </c>
      <c r="O1260" s="240">
        <v>2</v>
      </c>
      <c r="P1260" s="240">
        <v>2</v>
      </c>
      <c r="Q1260" s="571">
        <v>0</v>
      </c>
    </row>
    <row r="1261" spans="2:17" ht="12.75" customHeight="1" x14ac:dyDescent="0.2">
      <c r="B1261" s="70"/>
      <c r="C1261" s="267" t="s">
        <v>1708</v>
      </c>
      <c r="D1261" s="240">
        <v>35</v>
      </c>
      <c r="E1261" s="240">
        <v>-15</v>
      </c>
      <c r="F1261" s="240">
        <v>1</v>
      </c>
      <c r="G1261" s="240">
        <v>14</v>
      </c>
      <c r="H1261" s="1951">
        <v>25</v>
      </c>
      <c r="I1261" s="240" t="s">
        <v>1679</v>
      </c>
      <c r="J1261" s="240" t="s">
        <v>1678</v>
      </c>
      <c r="K1261" s="240">
        <v>4</v>
      </c>
      <c r="L1261" s="240">
        <v>2</v>
      </c>
      <c r="M1261" s="240">
        <v>3</v>
      </c>
      <c r="N1261" s="2286">
        <v>1</v>
      </c>
      <c r="O1261" s="240">
        <v>0</v>
      </c>
      <c r="P1261" s="240">
        <v>1</v>
      </c>
      <c r="Q1261" s="571">
        <v>0</v>
      </c>
    </row>
    <row r="1262" spans="2:17" ht="12.75" customHeight="1" x14ac:dyDescent="0.2">
      <c r="B1262" s="70"/>
      <c r="C1262" s="267" t="s">
        <v>1709</v>
      </c>
      <c r="D1262" s="240">
        <v>0</v>
      </c>
      <c r="E1262" s="240">
        <v>0</v>
      </c>
      <c r="F1262" s="240">
        <v>0</v>
      </c>
      <c r="G1262" s="240">
        <v>0</v>
      </c>
      <c r="H1262" s="1951">
        <v>0</v>
      </c>
      <c r="I1262" s="240" t="s">
        <v>2310</v>
      </c>
      <c r="J1262" s="240" t="s">
        <v>2310</v>
      </c>
      <c r="K1262" s="240">
        <v>0</v>
      </c>
      <c r="L1262" s="240">
        <v>0</v>
      </c>
      <c r="M1262" s="240">
        <v>0</v>
      </c>
      <c r="N1262" s="2286">
        <v>0</v>
      </c>
      <c r="O1262" s="240">
        <v>0</v>
      </c>
      <c r="P1262" s="240">
        <v>0</v>
      </c>
      <c r="Q1262" s="571">
        <v>0</v>
      </c>
    </row>
    <row r="1263" spans="2:17" ht="12.75" customHeight="1" x14ac:dyDescent="0.2">
      <c r="B1263" s="70"/>
      <c r="C1263" s="267" t="str">
        <f>IF('Elan y Personalización'!Y59=0,"Armadura #1",'Elan y Personalización'!Y59)</f>
        <v>Armadura #1</v>
      </c>
      <c r="D1263" s="2860">
        <f>'Elan y Personalización'!W61</f>
        <v>0</v>
      </c>
      <c r="E1263" s="2860">
        <f>'Elan y Personalización'!Y61</f>
        <v>0</v>
      </c>
      <c r="F1263" s="240">
        <f>'Elan y Personalización'!AA61</f>
        <v>0</v>
      </c>
      <c r="G1263" s="240">
        <f>'Elan y Personalización'!AC65</f>
        <v>0</v>
      </c>
      <c r="H1263" s="1951">
        <f>'Elan y Personalización'!AC66</f>
        <v>0</v>
      </c>
      <c r="I1263" s="2860">
        <f>'Elan y Personalización'!Y66</f>
        <v>0</v>
      </c>
      <c r="J1263" s="240">
        <f>'Elan y Personalización'!Y65</f>
        <v>0</v>
      </c>
      <c r="K1263" s="240">
        <f>'Elan y Personalización'!W63</f>
        <v>0</v>
      </c>
      <c r="L1263" s="240">
        <f>'Elan y Personalización'!X63</f>
        <v>0</v>
      </c>
      <c r="M1263" s="240">
        <f>'Elan y Personalización'!Y63</f>
        <v>0</v>
      </c>
      <c r="N1263" s="2286">
        <f>'Elan y Personalización'!Z63</f>
        <v>0</v>
      </c>
      <c r="O1263" s="240">
        <f>'Elan y Personalización'!AA63</f>
        <v>0</v>
      </c>
      <c r="P1263" s="240">
        <f>'Elan y Personalización'!AB63</f>
        <v>0</v>
      </c>
      <c r="Q1263" s="571">
        <f>'Elan y Personalización'!AC63</f>
        <v>0</v>
      </c>
    </row>
    <row r="1264" spans="2:17" ht="12.75" customHeight="1" thickBot="1" x14ac:dyDescent="0.25">
      <c r="B1264" s="221"/>
      <c r="C1264" s="597" t="str">
        <f>IF('Elan y Personalización'!AF59=0,"Armadura #2",'Elan y Personalización'!AF59)</f>
        <v>Armadura #2</v>
      </c>
      <c r="D1264" s="473">
        <f>'Elan y Personalización'!AD61</f>
        <v>0</v>
      </c>
      <c r="E1264" s="473">
        <f>'Elan y Personalización'!AF61</f>
        <v>0</v>
      </c>
      <c r="F1264" s="473">
        <f>'Elan y Personalización'!AH61</f>
        <v>0</v>
      </c>
      <c r="G1264" s="473">
        <f>'Elan y Personalización'!AJ65</f>
        <v>0</v>
      </c>
      <c r="H1264" s="1980">
        <f>'Elan y Personalización'!AJ66</f>
        <v>0</v>
      </c>
      <c r="I1264" s="473">
        <f>'Elan y Personalización'!AF66</f>
        <v>0</v>
      </c>
      <c r="J1264" s="473">
        <f>'Elan y Personalización'!AF65</f>
        <v>0</v>
      </c>
      <c r="K1264" s="473">
        <f>'Elan y Personalización'!AD63</f>
        <v>0</v>
      </c>
      <c r="L1264" s="473">
        <f>'Elan y Personalización'!AE63</f>
        <v>0</v>
      </c>
      <c r="M1264" s="473">
        <f>'Elan y Personalización'!AF63</f>
        <v>0</v>
      </c>
      <c r="N1264" s="1980">
        <f>'Elan y Personalización'!AG63</f>
        <v>0</v>
      </c>
      <c r="O1264" s="473">
        <f>'Elan y Personalización'!AH63</f>
        <v>0</v>
      </c>
      <c r="P1264" s="473">
        <f>'Elan y Personalización'!AI63</f>
        <v>0</v>
      </c>
      <c r="Q1264" s="465">
        <f>'Elan y Personalización'!AJ63</f>
        <v>0</v>
      </c>
    </row>
    <row r="1265" spans="2:16" ht="12.75" customHeight="1" x14ac:dyDescent="0.2">
      <c r="C1265" s="267" t="s">
        <v>9937</v>
      </c>
    </row>
    <row r="1277" spans="2:16" ht="12.75" customHeight="1" thickBot="1" x14ac:dyDescent="0.25"/>
    <row r="1278" spans="2:16" ht="12.75" customHeight="1" x14ac:dyDescent="0.2">
      <c r="B1278" s="4752" t="s">
        <v>1711</v>
      </c>
      <c r="C1278" s="4752"/>
      <c r="D1278" s="4752"/>
      <c r="E1278" s="4752"/>
      <c r="F1278" s="4752"/>
      <c r="G1278" s="4752"/>
      <c r="H1278" s="4752"/>
      <c r="I1278" s="4752"/>
      <c r="J1278" s="4752"/>
      <c r="K1278" s="4752"/>
      <c r="L1278" s="4752"/>
      <c r="M1278" s="4752"/>
      <c r="N1278" s="4752"/>
      <c r="O1278" s="4752"/>
      <c r="P1278" s="4752"/>
    </row>
    <row r="1279" spans="2:16" ht="12.75" customHeight="1" thickBot="1" x14ac:dyDescent="0.25">
      <c r="B1279" s="489"/>
      <c r="C1279" s="2404" t="s">
        <v>2405</v>
      </c>
      <c r="D1279" s="2404" t="s">
        <v>2714</v>
      </c>
      <c r="E1279" s="2404" t="s">
        <v>1712</v>
      </c>
      <c r="F1279" s="2404" t="s">
        <v>2945</v>
      </c>
      <c r="G1279" s="2404" t="s">
        <v>3105</v>
      </c>
      <c r="H1279" s="2404" t="s">
        <v>2174</v>
      </c>
      <c r="I1279" s="2404" t="s">
        <v>2223</v>
      </c>
      <c r="J1279" s="2404" t="s">
        <v>2409</v>
      </c>
      <c r="K1279" s="2404" t="s">
        <v>2354</v>
      </c>
      <c r="L1279" s="2404" t="s">
        <v>2410</v>
      </c>
      <c r="M1279" s="2404" t="s">
        <v>2411</v>
      </c>
      <c r="N1279" s="2404" t="s">
        <v>2412</v>
      </c>
      <c r="O1279" s="2404" t="s">
        <v>2413</v>
      </c>
      <c r="P1279" s="491" t="s">
        <v>2414</v>
      </c>
    </row>
    <row r="1280" spans="2:16" ht="12.75" customHeight="1" x14ac:dyDescent="0.2">
      <c r="B1280" s="293"/>
      <c r="C1280" s="267" t="s">
        <v>1713</v>
      </c>
      <c r="D1280" s="2860">
        <v>0</v>
      </c>
      <c r="E1280" s="2860">
        <v>0</v>
      </c>
      <c r="F1280" s="2860">
        <v>0</v>
      </c>
      <c r="G1280" s="2860">
        <v>0</v>
      </c>
      <c r="H1280" s="2860" t="s">
        <v>2310</v>
      </c>
      <c r="I1280" s="2860" t="s">
        <v>2310</v>
      </c>
      <c r="J1280" s="2860">
        <v>0</v>
      </c>
      <c r="K1280" s="2860">
        <v>0</v>
      </c>
      <c r="L1280" s="2860">
        <v>0</v>
      </c>
      <c r="M1280" s="2860">
        <v>0</v>
      </c>
      <c r="N1280" s="2860">
        <v>0</v>
      </c>
      <c r="O1280" s="2860">
        <v>0</v>
      </c>
      <c r="P1280" s="571">
        <v>0</v>
      </c>
    </row>
    <row r="1281" spans="2:17" ht="12.75" customHeight="1" x14ac:dyDescent="0.2">
      <c r="B1281" s="293"/>
      <c r="C1281" s="601" t="str">
        <f>IF('Elan y Personalización'!Y59=0,"Armadura #1",'Elan y Personalización'!Y59)</f>
        <v>Armadura #1</v>
      </c>
      <c r="D1281" s="2860">
        <f>'Elan y Personalización'!W61</f>
        <v>0</v>
      </c>
      <c r="E1281" s="2860">
        <f>'Elan y Personalización'!Y61</f>
        <v>0</v>
      </c>
      <c r="F1281" s="2860">
        <f>'Elan y Personalización'!AC65</f>
        <v>0</v>
      </c>
      <c r="G1281" s="2860">
        <f>'Elan y Personalización'!AC66</f>
        <v>0</v>
      </c>
      <c r="H1281" s="2860">
        <f>'Elan y Personalización'!Y66</f>
        <v>0</v>
      </c>
      <c r="I1281" s="2860">
        <f>'Elan y Personalización'!Y65</f>
        <v>0</v>
      </c>
      <c r="J1281" s="5178">
        <f>'Elan y Personalización'!W63</f>
        <v>0</v>
      </c>
      <c r="K1281" s="2860">
        <f>'Elan y Personalización'!X63</f>
        <v>0</v>
      </c>
      <c r="L1281" s="2860">
        <f>'Elan y Personalización'!Y63</f>
        <v>0</v>
      </c>
      <c r="M1281" s="2860">
        <f>'Elan y Personalización'!Z63</f>
        <v>0</v>
      </c>
      <c r="N1281" s="2860">
        <f>'Elan y Personalización'!AA63</f>
        <v>0</v>
      </c>
      <c r="O1281" s="2860">
        <f>'Elan y Personalización'!AB63</f>
        <v>0</v>
      </c>
      <c r="P1281" s="571">
        <f>'Elan y Personalización'!AC63</f>
        <v>0</v>
      </c>
    </row>
    <row r="1282" spans="2:17" ht="12.75" customHeight="1" x14ac:dyDescent="0.2">
      <c r="B1282" s="293"/>
      <c r="C1282" s="267" t="str">
        <f>IF('Elan y Personalización'!AF59=0,"Armadura #2",'Elan y Personalización'!AF59)</f>
        <v>Armadura #2</v>
      </c>
      <c r="D1282" s="2860">
        <f>'Elan y Personalización'!AD61</f>
        <v>0</v>
      </c>
      <c r="E1282" s="2860">
        <f>'Elan y Personalización'!AF61</f>
        <v>0</v>
      </c>
      <c r="F1282" s="2860">
        <f>'Elan y Personalización'!AJ65</f>
        <v>0</v>
      </c>
      <c r="G1282" s="2860">
        <f>'Elan y Personalización'!AJ66</f>
        <v>0</v>
      </c>
      <c r="H1282" s="2860">
        <f>'Elan y Personalización'!AF66</f>
        <v>0</v>
      </c>
      <c r="I1282" s="2860">
        <f>'Elan y Personalización'!AF65</f>
        <v>0</v>
      </c>
      <c r="J1282" s="2860">
        <f>'Elan y Personalización'!AD63</f>
        <v>0</v>
      </c>
      <c r="K1282" s="2860">
        <f>'Elan y Personalización'!AE63</f>
        <v>0</v>
      </c>
      <c r="L1282" s="2860">
        <f>'Elan y Personalización'!AF63</f>
        <v>0</v>
      </c>
      <c r="M1282" s="2860">
        <f>'Elan y Personalización'!AG63</f>
        <v>0</v>
      </c>
      <c r="N1282" s="2860">
        <f>'Elan y Personalización'!AH63</f>
        <v>0</v>
      </c>
      <c r="O1282" s="2860">
        <f>'Elan y Personalización'!AI63</f>
        <v>0</v>
      </c>
      <c r="P1282" s="571">
        <f>'Elan y Personalización'!AJ63</f>
        <v>0</v>
      </c>
    </row>
    <row r="1283" spans="2:17" ht="12.75" customHeight="1" x14ac:dyDescent="0.2">
      <c r="B1283" s="293"/>
      <c r="C1283" s="267" t="s">
        <v>1714</v>
      </c>
      <c r="D1283" s="2860">
        <v>0</v>
      </c>
      <c r="E1283" s="2860">
        <v>0</v>
      </c>
      <c r="F1283" s="2860">
        <v>8</v>
      </c>
      <c r="G1283" s="2860">
        <v>15</v>
      </c>
      <c r="H1283" s="2860" t="s">
        <v>2422</v>
      </c>
      <c r="I1283" s="2860" t="s">
        <v>1678</v>
      </c>
      <c r="J1283" s="2860">
        <v>2</v>
      </c>
      <c r="K1283" s="2860">
        <v>2</v>
      </c>
      <c r="L1283" s="2860">
        <v>1</v>
      </c>
      <c r="M1283" s="2860">
        <v>1</v>
      </c>
      <c r="N1283" s="2860">
        <v>1</v>
      </c>
      <c r="O1283" s="2860">
        <v>1</v>
      </c>
      <c r="P1283" s="571">
        <v>0</v>
      </c>
    </row>
    <row r="1284" spans="2:17" ht="12.75" customHeight="1" x14ac:dyDescent="0.2">
      <c r="B1284" s="293"/>
      <c r="C1284" s="267" t="s">
        <v>1715</v>
      </c>
      <c r="D1284" s="2860">
        <v>0</v>
      </c>
      <c r="E1284" s="2860">
        <v>0</v>
      </c>
      <c r="F1284" s="2860">
        <v>10</v>
      </c>
      <c r="G1284" s="2860">
        <v>15</v>
      </c>
      <c r="H1284" s="2860" t="s">
        <v>2422</v>
      </c>
      <c r="I1284" s="2860" t="s">
        <v>1677</v>
      </c>
      <c r="J1284" s="2860">
        <v>1</v>
      </c>
      <c r="K1284" s="2860">
        <v>0</v>
      </c>
      <c r="L1284" s="2860">
        <v>2</v>
      </c>
      <c r="M1284" s="2860">
        <v>1</v>
      </c>
      <c r="N1284" s="2860">
        <v>3</v>
      </c>
      <c r="O1284" s="2860">
        <v>1</v>
      </c>
      <c r="P1284" s="571">
        <v>0</v>
      </c>
    </row>
    <row r="1285" spans="2:17" ht="12.75" customHeight="1" x14ac:dyDescent="0.2">
      <c r="B1285" s="293"/>
      <c r="C1285" s="267" t="s">
        <v>1716</v>
      </c>
      <c r="D1285" s="2860">
        <v>0</v>
      </c>
      <c r="E1285" s="2860">
        <v>-10</v>
      </c>
      <c r="F1285" s="2860">
        <v>13</v>
      </c>
      <c r="G1285" s="2860">
        <v>20</v>
      </c>
      <c r="H1285" s="2860" t="s">
        <v>2422</v>
      </c>
      <c r="I1285" s="2860" t="s">
        <v>1677</v>
      </c>
      <c r="J1285" s="2860">
        <v>4</v>
      </c>
      <c r="K1285" s="2860">
        <v>2</v>
      </c>
      <c r="L1285" s="2860">
        <v>1</v>
      </c>
      <c r="M1285" s="2860">
        <v>2</v>
      </c>
      <c r="N1285" s="2860">
        <v>0</v>
      </c>
      <c r="O1285" s="2860">
        <v>1</v>
      </c>
      <c r="P1285" s="571">
        <v>0</v>
      </c>
    </row>
    <row r="1286" spans="2:17" ht="12.75" customHeight="1" x14ac:dyDescent="0.2">
      <c r="B1286" s="293"/>
      <c r="C1286" s="267" t="s">
        <v>1717</v>
      </c>
      <c r="D1286" s="2860">
        <v>0</v>
      </c>
      <c r="E1286" s="2860">
        <v>0</v>
      </c>
      <c r="F1286" s="2860">
        <v>12</v>
      </c>
      <c r="G1286" s="2860">
        <v>15</v>
      </c>
      <c r="H1286" s="2860" t="s">
        <v>2422</v>
      </c>
      <c r="I1286" s="2860" t="s">
        <v>1678</v>
      </c>
      <c r="J1286" s="2860">
        <v>4</v>
      </c>
      <c r="K1286" s="2860">
        <v>4</v>
      </c>
      <c r="L1286" s="2860">
        <v>3</v>
      </c>
      <c r="M1286" s="2860">
        <v>2</v>
      </c>
      <c r="N1286" s="2860">
        <v>0</v>
      </c>
      <c r="O1286" s="2860">
        <v>3</v>
      </c>
      <c r="P1286" s="571">
        <v>0</v>
      </c>
    </row>
    <row r="1287" spans="2:17" ht="12.75" customHeight="1" x14ac:dyDescent="0.2">
      <c r="B1287" s="293"/>
      <c r="C1287" s="267" t="s">
        <v>1718</v>
      </c>
      <c r="D1287" s="2860">
        <v>0</v>
      </c>
      <c r="E1287" s="2860">
        <v>0</v>
      </c>
      <c r="F1287" s="2860">
        <v>12</v>
      </c>
      <c r="G1287" s="2860">
        <v>15</v>
      </c>
      <c r="H1287" s="2860" t="s">
        <v>2422</v>
      </c>
      <c r="I1287" s="2860" t="s">
        <v>1678</v>
      </c>
      <c r="J1287" s="2860">
        <v>3</v>
      </c>
      <c r="K1287" s="2860">
        <v>3</v>
      </c>
      <c r="L1287" s="2860">
        <v>3</v>
      </c>
      <c r="M1287" s="2860">
        <v>1</v>
      </c>
      <c r="N1287" s="2860">
        <v>1</v>
      </c>
      <c r="O1287" s="2860">
        <v>2</v>
      </c>
      <c r="P1287" s="571">
        <v>0</v>
      </c>
    </row>
    <row r="1288" spans="2:17" ht="12.75" customHeight="1" x14ac:dyDescent="0.2">
      <c r="B1288" s="293"/>
      <c r="C1288" s="267" t="s">
        <v>1719</v>
      </c>
      <c r="D1288" s="2860">
        <v>5</v>
      </c>
      <c r="E1288" s="2860">
        <v>-20</v>
      </c>
      <c r="F1288" s="2860">
        <v>16</v>
      </c>
      <c r="G1288" s="2860">
        <v>25</v>
      </c>
      <c r="H1288" s="2860" t="s">
        <v>2422</v>
      </c>
      <c r="I1288" s="2860" t="s">
        <v>1678</v>
      </c>
      <c r="J1288" s="2860">
        <v>5</v>
      </c>
      <c r="K1288" s="2860">
        <v>4</v>
      </c>
      <c r="L1288" s="2860">
        <v>5</v>
      </c>
      <c r="M1288" s="2860">
        <v>3</v>
      </c>
      <c r="N1288" s="2860">
        <v>0</v>
      </c>
      <c r="O1288" s="2860">
        <v>3</v>
      </c>
      <c r="P1288" s="571">
        <v>1</v>
      </c>
    </row>
    <row r="1289" spans="2:17" ht="12.75" customHeight="1" thickBot="1" x14ac:dyDescent="0.25">
      <c r="B1289" s="472"/>
      <c r="C1289" s="597" t="s">
        <v>1720</v>
      </c>
      <c r="D1289" s="2861">
        <v>10</v>
      </c>
      <c r="E1289" s="2861">
        <v>-30</v>
      </c>
      <c r="F1289" s="2861">
        <v>16</v>
      </c>
      <c r="G1289" s="2861">
        <v>25</v>
      </c>
      <c r="H1289" s="2861" t="s">
        <v>2422</v>
      </c>
      <c r="I1289" s="2861" t="s">
        <v>1678</v>
      </c>
      <c r="J1289" s="2861">
        <v>5</v>
      </c>
      <c r="K1289" s="2861">
        <v>5</v>
      </c>
      <c r="L1289" s="2861">
        <v>5</v>
      </c>
      <c r="M1289" s="2861">
        <v>4</v>
      </c>
      <c r="N1289" s="2861">
        <v>0</v>
      </c>
      <c r="O1289" s="2861">
        <v>4</v>
      </c>
      <c r="P1289" s="573">
        <v>2</v>
      </c>
    </row>
    <row r="1290" spans="2:17" ht="12.75" customHeight="1" thickBot="1" x14ac:dyDescent="0.25"/>
    <row r="1291" spans="2:17" ht="12.75" customHeight="1" x14ac:dyDescent="0.2">
      <c r="B1291" s="4774" t="s">
        <v>1721</v>
      </c>
      <c r="C1291" s="4774"/>
      <c r="D1291" s="4774"/>
      <c r="E1291" s="4774"/>
      <c r="F1291" s="4774"/>
      <c r="G1291" s="4774"/>
      <c r="H1291" s="4774"/>
      <c r="J1291" s="3945" t="s">
        <v>1733</v>
      </c>
      <c r="K1291" s="3800"/>
      <c r="L1291" s="3800"/>
      <c r="M1291" s="3941"/>
      <c r="N1291" s="2748"/>
      <c r="O1291" s="2748"/>
      <c r="P1291" s="2748"/>
      <c r="Q1291" s="2748"/>
    </row>
    <row r="1292" spans="2:17" ht="12.75" customHeight="1" thickBot="1" x14ac:dyDescent="0.25">
      <c r="B1292" s="602" t="s">
        <v>1722</v>
      </c>
      <c r="C1292" s="603" t="s">
        <v>1723</v>
      </c>
      <c r="D1292" s="603" t="s">
        <v>1724</v>
      </c>
      <c r="E1292" s="603" t="s">
        <v>1725</v>
      </c>
      <c r="F1292" s="603" t="s">
        <v>1726</v>
      </c>
      <c r="G1292" s="603" t="s">
        <v>1727</v>
      </c>
      <c r="H1292" s="1993" t="s">
        <v>1728</v>
      </c>
      <c r="J1292" s="4779"/>
      <c r="K1292" s="4780"/>
      <c r="L1292" s="4780"/>
      <c r="M1292" s="4781"/>
      <c r="N1292" s="2748"/>
      <c r="O1292" s="2748"/>
      <c r="P1292" s="2748"/>
      <c r="Q1292" s="2748"/>
    </row>
    <row r="1293" spans="2:17" ht="12.75" customHeight="1" thickBot="1" x14ac:dyDescent="0.25">
      <c r="B1293" s="604" t="s">
        <v>2443</v>
      </c>
      <c r="C1293" s="475">
        <v>1</v>
      </c>
      <c r="D1293" s="475">
        <v>1</v>
      </c>
      <c r="E1293" s="475">
        <v>0</v>
      </c>
      <c r="F1293" s="475">
        <v>1</v>
      </c>
      <c r="G1293" s="475">
        <v>0</v>
      </c>
      <c r="H1293" s="1994">
        <v>0</v>
      </c>
      <c r="J1293" s="2701" t="s">
        <v>1734</v>
      </c>
      <c r="K1293" s="2702" t="s">
        <v>2447</v>
      </c>
      <c r="L1293" s="2702" t="s">
        <v>3220</v>
      </c>
      <c r="M1293" s="2230" t="s">
        <v>2449</v>
      </c>
      <c r="N1293" s="2748"/>
      <c r="O1293" s="2748"/>
      <c r="P1293" s="2748"/>
      <c r="Q1293" s="2748"/>
    </row>
    <row r="1294" spans="2:17" ht="12.75" customHeight="1" x14ac:dyDescent="0.2">
      <c r="B1294" s="231" t="s">
        <v>2949</v>
      </c>
      <c r="C1294" s="290">
        <v>9</v>
      </c>
      <c r="D1294" s="290">
        <v>23</v>
      </c>
      <c r="E1294" s="290">
        <v>2</v>
      </c>
      <c r="F1294" s="290">
        <v>1.5</v>
      </c>
      <c r="G1294" s="290">
        <v>6</v>
      </c>
      <c r="H1294" s="373">
        <v>3</v>
      </c>
      <c r="J1294" s="2667" t="str">
        <f t="shared" ref="J1294:L1297" si="83">$C283</f>
        <v>Armas naturales</v>
      </c>
      <c r="K1294" s="581" t="str">
        <f t="shared" si="83"/>
        <v>Armas naturales</v>
      </c>
      <c r="L1294" s="581" t="str">
        <f t="shared" si="83"/>
        <v>Armas naturales</v>
      </c>
      <c r="M1294" s="2668" t="str">
        <f>$C284</f>
        <v>Arma #1</v>
      </c>
      <c r="N1294" s="2748"/>
      <c r="O1294" s="2748"/>
      <c r="P1294" s="2748"/>
      <c r="Q1294" s="2748"/>
    </row>
    <row r="1295" spans="2:17" ht="12.75" customHeight="1" thickBot="1" x14ac:dyDescent="0.25">
      <c r="B1295" s="526" t="s">
        <v>1729</v>
      </c>
      <c r="C1295" s="473">
        <v>23</v>
      </c>
      <c r="D1295" s="473">
        <v>29</v>
      </c>
      <c r="E1295" s="473">
        <v>5</v>
      </c>
      <c r="F1295" s="473">
        <v>2</v>
      </c>
      <c r="G1295" s="473">
        <v>16</v>
      </c>
      <c r="H1295" s="1986">
        <v>8</v>
      </c>
      <c r="J1295" s="2669" t="str">
        <f t="shared" si="83"/>
        <v>Arma #1</v>
      </c>
      <c r="K1295" s="2287" t="str">
        <f t="shared" si="83"/>
        <v>Arma #1</v>
      </c>
      <c r="L1295" s="2287" t="str">
        <f>$C284</f>
        <v>Arma #1</v>
      </c>
      <c r="M1295" s="2670" t="str">
        <f t="shared" ref="M1295:M1296" si="84">$C285</f>
        <v>Arma #2</v>
      </c>
      <c r="N1295" s="2748"/>
      <c r="O1295" s="2748"/>
      <c r="P1295" s="2748"/>
      <c r="Q1295" s="2748"/>
    </row>
    <row r="1296" spans="2:17" ht="12.75" customHeight="1" thickBot="1" x14ac:dyDescent="0.25">
      <c r="J1296" s="2669" t="str">
        <f t="shared" si="83"/>
        <v>Arma #2</v>
      </c>
      <c r="K1296" s="2287" t="str">
        <f t="shared" si="83"/>
        <v>Arma #2</v>
      </c>
      <c r="L1296" s="2287" t="str">
        <f t="shared" si="83"/>
        <v>Arma #2</v>
      </c>
      <c r="M1296" s="2670" t="str">
        <f t="shared" si="84"/>
        <v>Arma #3</v>
      </c>
      <c r="N1296" s="2748"/>
      <c r="O1296" s="2748"/>
      <c r="P1296" s="2748"/>
      <c r="Q1296" s="2748"/>
    </row>
    <row r="1297" spans="2:17" ht="12.75" customHeight="1" x14ac:dyDescent="0.2">
      <c r="B1297" s="4799" t="s">
        <v>1730</v>
      </c>
      <c r="C1297" s="4799"/>
      <c r="J1297" s="2669" t="str">
        <f t="shared" si="83"/>
        <v>Arma #3</v>
      </c>
      <c r="K1297" s="2287" t="str">
        <f t="shared" si="83"/>
        <v>Arma #3</v>
      </c>
      <c r="L1297" s="2287" t="str">
        <f t="shared" si="83"/>
        <v>Arma #3</v>
      </c>
      <c r="M1297" s="2670" t="s">
        <v>3232</v>
      </c>
      <c r="N1297" s="2748"/>
      <c r="O1297" s="2748"/>
      <c r="P1297" s="2748"/>
      <c r="Q1297" s="2748"/>
    </row>
    <row r="1298" spans="2:17" ht="12.75" customHeight="1" thickBot="1" x14ac:dyDescent="0.25">
      <c r="B1298" s="489" t="s">
        <v>1731</v>
      </c>
      <c r="C1298" s="491" t="s">
        <v>1732</v>
      </c>
      <c r="J1298" s="2669" t="s">
        <v>3114</v>
      </c>
      <c r="K1298" s="2287" t="s">
        <v>3114</v>
      </c>
      <c r="L1298" s="2287" t="s">
        <v>3218</v>
      </c>
      <c r="M1298" s="2670" t="s">
        <v>3233</v>
      </c>
      <c r="N1298" s="2748"/>
      <c r="O1298" s="2748"/>
      <c r="P1298" s="2748"/>
      <c r="Q1298" s="2748"/>
    </row>
    <row r="1299" spans="2:17" ht="12.75" customHeight="1" x14ac:dyDescent="0.2">
      <c r="B1299" s="230">
        <v>1</v>
      </c>
      <c r="C1299" s="571">
        <v>1</v>
      </c>
      <c r="J1299" s="2669" t="s">
        <v>3118</v>
      </c>
      <c r="K1299" s="2287" t="s">
        <v>3115</v>
      </c>
      <c r="L1299" s="2287" t="s">
        <v>3219</v>
      </c>
      <c r="M1299" s="2671" t="s">
        <v>3235</v>
      </c>
      <c r="N1299" s="2748"/>
      <c r="O1299" s="2748"/>
      <c r="P1299" s="2748"/>
      <c r="Q1299" s="2748"/>
    </row>
    <row r="1300" spans="2:17" ht="12.75" customHeight="1" x14ac:dyDescent="0.2">
      <c r="B1300" s="230">
        <v>2</v>
      </c>
      <c r="C1300" s="571">
        <v>1</v>
      </c>
      <c r="J1300" s="2669" t="s">
        <v>9595</v>
      </c>
      <c r="K1300" s="2287" t="s">
        <v>3118</v>
      </c>
      <c r="L1300" s="2287" t="s">
        <v>3221</v>
      </c>
      <c r="M1300" s="2670" t="s">
        <v>3237</v>
      </c>
      <c r="N1300" s="2748"/>
      <c r="O1300" s="2748"/>
      <c r="P1300" s="2748"/>
      <c r="Q1300" s="2748"/>
    </row>
    <row r="1301" spans="2:17" ht="12.75" customHeight="1" x14ac:dyDescent="0.2">
      <c r="B1301" s="230">
        <v>3</v>
      </c>
      <c r="C1301" s="571">
        <v>1</v>
      </c>
      <c r="J1301" s="2669" t="s">
        <v>3120</v>
      </c>
      <c r="K1301" s="2287" t="s">
        <v>9596</v>
      </c>
      <c r="L1301" s="2287" t="s">
        <v>9598</v>
      </c>
      <c r="M1301" s="2670" t="s">
        <v>3239</v>
      </c>
      <c r="N1301" s="2748"/>
      <c r="O1301" s="2748"/>
      <c r="P1301" s="2748"/>
      <c r="Q1301" s="2748"/>
    </row>
    <row r="1302" spans="2:17" ht="12.75" customHeight="1" x14ac:dyDescent="0.2">
      <c r="B1302" s="230">
        <v>4</v>
      </c>
      <c r="C1302" s="571">
        <v>1</v>
      </c>
      <c r="J1302" s="2669" t="s">
        <v>3123</v>
      </c>
      <c r="K1302" s="2287" t="s">
        <v>9597</v>
      </c>
      <c r="L1302" s="2287" t="s">
        <v>3222</v>
      </c>
      <c r="M1302" s="2670" t="s">
        <v>3241</v>
      </c>
      <c r="N1302" s="2748"/>
      <c r="O1302" s="2748"/>
      <c r="P1302" s="2748"/>
      <c r="Q1302" s="2748"/>
    </row>
    <row r="1303" spans="2:17" ht="12.75" customHeight="1" x14ac:dyDescent="0.2">
      <c r="B1303" s="230">
        <v>5</v>
      </c>
      <c r="C1303" s="571">
        <v>1</v>
      </c>
      <c r="J1303" s="2669" t="s">
        <v>9600</v>
      </c>
      <c r="K1303" s="2287" t="s">
        <v>9599</v>
      </c>
      <c r="L1303" s="2287" t="s">
        <v>9602</v>
      </c>
      <c r="M1303" s="2670" t="s">
        <v>3243</v>
      </c>
      <c r="N1303" s="2748"/>
      <c r="O1303" s="2748"/>
      <c r="P1303" s="2748"/>
      <c r="Q1303" s="2748"/>
    </row>
    <row r="1304" spans="2:17" ht="12.75" customHeight="1" x14ac:dyDescent="0.2">
      <c r="B1304" s="230">
        <v>6</v>
      </c>
      <c r="C1304" s="571">
        <v>1</v>
      </c>
      <c r="J1304" s="2669" t="s">
        <v>3126</v>
      </c>
      <c r="K1304" s="2287" t="s">
        <v>9601</v>
      </c>
      <c r="L1304" s="2287" t="s">
        <v>3223</v>
      </c>
      <c r="M1304" s="2671" t="s">
        <v>3245</v>
      </c>
      <c r="N1304" s="2748"/>
      <c r="O1304" s="2748"/>
      <c r="P1304" s="2748"/>
      <c r="Q1304" s="2748"/>
    </row>
    <row r="1305" spans="2:17" ht="12.75" customHeight="1" x14ac:dyDescent="0.2">
      <c r="B1305" s="230">
        <v>7</v>
      </c>
      <c r="C1305" s="571">
        <v>1</v>
      </c>
      <c r="J1305" s="2669" t="s">
        <v>3129</v>
      </c>
      <c r="K1305" s="2287" t="s">
        <v>3139</v>
      </c>
      <c r="L1305" s="2287" t="s">
        <v>3225</v>
      </c>
      <c r="M1305" s="2670" t="s">
        <v>3247</v>
      </c>
      <c r="N1305" s="2748"/>
      <c r="O1305" s="2748"/>
      <c r="P1305" s="2748"/>
      <c r="Q1305" s="2748"/>
    </row>
    <row r="1306" spans="2:17" ht="12.75" customHeight="1" x14ac:dyDescent="0.2">
      <c r="B1306" s="230">
        <v>8</v>
      </c>
      <c r="C1306" s="571">
        <v>1</v>
      </c>
      <c r="J1306" s="2669" t="s">
        <v>9603</v>
      </c>
      <c r="K1306" s="2287" t="s">
        <v>3142</v>
      </c>
      <c r="L1306" s="2287" t="s">
        <v>3226</v>
      </c>
      <c r="M1306" s="2670" t="s">
        <v>3249</v>
      </c>
      <c r="N1306" s="2748"/>
      <c r="O1306" s="2748"/>
      <c r="P1306" s="2748"/>
      <c r="Q1306" s="2748"/>
    </row>
    <row r="1307" spans="2:17" ht="12.75" customHeight="1" x14ac:dyDescent="0.2">
      <c r="B1307" s="230">
        <v>9</v>
      </c>
      <c r="C1307" s="571">
        <v>1</v>
      </c>
      <c r="J1307" s="2669" t="s">
        <v>3131</v>
      </c>
      <c r="K1307" s="2287" t="s">
        <v>9604</v>
      </c>
      <c r="L1307" s="2287" t="s">
        <v>3227</v>
      </c>
      <c r="M1307" s="2670" t="s">
        <v>3251</v>
      </c>
      <c r="N1307" s="2748"/>
      <c r="O1307" s="2748"/>
      <c r="P1307" s="2748"/>
      <c r="Q1307" s="2748"/>
    </row>
    <row r="1308" spans="2:17" ht="12.75" customHeight="1" x14ac:dyDescent="0.2">
      <c r="B1308" s="230">
        <v>10</v>
      </c>
      <c r="C1308" s="571">
        <v>2</v>
      </c>
      <c r="J1308" s="2669" t="s">
        <v>9606</v>
      </c>
      <c r="K1308" s="2287" t="s">
        <v>9605</v>
      </c>
      <c r="L1308" s="2287" t="s">
        <v>3228</v>
      </c>
      <c r="M1308" s="2672"/>
      <c r="N1308" s="2748"/>
      <c r="O1308" s="2748"/>
      <c r="P1308" s="2748"/>
      <c r="Q1308" s="2748"/>
    </row>
    <row r="1309" spans="2:17" ht="12.75" customHeight="1" x14ac:dyDescent="0.2">
      <c r="B1309" s="230">
        <v>11</v>
      </c>
      <c r="C1309" s="571">
        <v>2</v>
      </c>
      <c r="J1309" s="2669" t="s">
        <v>3133</v>
      </c>
      <c r="K1309" s="2287" t="s">
        <v>9607</v>
      </c>
      <c r="L1309" s="2287" t="s">
        <v>9608</v>
      </c>
      <c r="M1309" s="1917"/>
      <c r="N1309" s="2748"/>
      <c r="O1309" s="2748"/>
      <c r="P1309" s="2748"/>
      <c r="Q1309" s="2748"/>
    </row>
    <row r="1310" spans="2:17" ht="12.75" customHeight="1" x14ac:dyDescent="0.2">
      <c r="B1310" s="230">
        <v>12</v>
      </c>
      <c r="C1310" s="571">
        <v>2</v>
      </c>
      <c r="J1310" s="2669" t="s">
        <v>3135</v>
      </c>
      <c r="K1310" s="2287" t="s">
        <v>3153</v>
      </c>
      <c r="L1310" s="23" t="s">
        <v>3229</v>
      </c>
      <c r="M1310" s="1917"/>
      <c r="N1310" s="2748"/>
      <c r="O1310" s="2748"/>
      <c r="P1310" s="2748"/>
      <c r="Q1310" s="2748"/>
    </row>
    <row r="1311" spans="2:17" ht="12.75" customHeight="1" x14ac:dyDescent="0.2">
      <c r="B1311" s="230">
        <v>13</v>
      </c>
      <c r="C1311" s="571">
        <v>3</v>
      </c>
      <c r="J1311" s="2669" t="s">
        <v>3137</v>
      </c>
      <c r="K1311" s="2287" t="s">
        <v>3154</v>
      </c>
      <c r="L1311" s="23" t="s">
        <v>3230</v>
      </c>
      <c r="M1311" s="1917"/>
      <c r="N1311" s="2748"/>
      <c r="O1311" s="2748"/>
      <c r="P1311" s="2748"/>
      <c r="Q1311" s="2748"/>
    </row>
    <row r="1312" spans="2:17" ht="12.75" customHeight="1" x14ac:dyDescent="0.2">
      <c r="B1312" s="230">
        <v>14</v>
      </c>
      <c r="C1312" s="571">
        <v>3</v>
      </c>
      <c r="J1312" s="2669" t="s">
        <v>9610</v>
      </c>
      <c r="K1312" s="2287" t="s">
        <v>9609</v>
      </c>
      <c r="L1312" s="23" t="s">
        <v>3231</v>
      </c>
      <c r="M1312" s="1917"/>
      <c r="N1312" s="2748"/>
      <c r="O1312" s="2748"/>
      <c r="P1312" s="2748"/>
      <c r="Q1312" s="2748"/>
    </row>
    <row r="1313" spans="2:17" ht="12.75" customHeight="1" x14ac:dyDescent="0.2">
      <c r="B1313" s="230">
        <v>15</v>
      </c>
      <c r="C1313" s="571">
        <v>3</v>
      </c>
      <c r="J1313" s="2669" t="s">
        <v>9611</v>
      </c>
      <c r="K1313" s="2287" t="s">
        <v>3155</v>
      </c>
      <c r="L1313" s="23" t="s">
        <v>3253</v>
      </c>
      <c r="M1313" s="1917"/>
      <c r="N1313" s="2748"/>
      <c r="O1313" s="2748"/>
      <c r="P1313" s="2748"/>
      <c r="Q1313" s="2748"/>
    </row>
    <row r="1314" spans="2:17" ht="12.75" customHeight="1" x14ac:dyDescent="0.2">
      <c r="B1314" s="230">
        <v>16</v>
      </c>
      <c r="C1314" s="571">
        <v>4</v>
      </c>
      <c r="J1314" s="2669" t="s">
        <v>3139</v>
      </c>
      <c r="K1314" s="2287" t="s">
        <v>3163</v>
      </c>
      <c r="L1314" s="23" t="s">
        <v>3263</v>
      </c>
      <c r="M1314" s="1917"/>
      <c r="N1314" s="2748"/>
      <c r="O1314" s="2748"/>
      <c r="P1314" s="2748"/>
      <c r="Q1314" s="2748"/>
    </row>
    <row r="1315" spans="2:17" ht="12.75" customHeight="1" x14ac:dyDescent="0.2">
      <c r="B1315" s="230">
        <v>17</v>
      </c>
      <c r="C1315" s="571">
        <v>4</v>
      </c>
      <c r="J1315" s="2669" t="s">
        <v>3141</v>
      </c>
      <c r="K1315" s="2287" t="s">
        <v>9612</v>
      </c>
      <c r="L1315" s="23" t="s">
        <v>3265</v>
      </c>
      <c r="M1315" s="1917"/>
      <c r="N1315" s="2748"/>
      <c r="O1315" s="2748"/>
      <c r="P1315" s="2748"/>
      <c r="Q1315" s="2748"/>
    </row>
    <row r="1316" spans="2:17" ht="12.75" customHeight="1" x14ac:dyDescent="0.2">
      <c r="B1316" s="230">
        <v>18</v>
      </c>
      <c r="C1316" s="571">
        <v>4</v>
      </c>
      <c r="J1316" s="2669" t="s">
        <v>3142</v>
      </c>
      <c r="K1316" s="2287" t="s">
        <v>9613</v>
      </c>
      <c r="L1316" s="23" t="s">
        <v>3266</v>
      </c>
      <c r="M1316" s="1917"/>
      <c r="N1316" s="2748"/>
      <c r="O1316" s="2748"/>
      <c r="P1316" s="2748"/>
      <c r="Q1316" s="2748"/>
    </row>
    <row r="1317" spans="2:17" ht="12.75" customHeight="1" x14ac:dyDescent="0.2">
      <c r="B1317" s="230">
        <v>19</v>
      </c>
      <c r="C1317" s="571">
        <v>4</v>
      </c>
      <c r="J1317" s="2669" t="s">
        <v>3143</v>
      </c>
      <c r="K1317" s="2287" t="s">
        <v>3176</v>
      </c>
      <c r="L1317" s="23"/>
      <c r="M1317" s="1917"/>
      <c r="N1317" s="2748"/>
      <c r="O1317" s="2748"/>
      <c r="P1317" s="2748"/>
      <c r="Q1317" s="2748"/>
    </row>
    <row r="1318" spans="2:17" ht="12.75" customHeight="1" thickBot="1" x14ac:dyDescent="0.25">
      <c r="B1318" s="605">
        <v>20</v>
      </c>
      <c r="C1318" s="573">
        <v>4</v>
      </c>
      <c r="J1318" s="2669" t="s">
        <v>3145</v>
      </c>
      <c r="K1318" s="23" t="s">
        <v>9614</v>
      </c>
      <c r="L1318" s="23"/>
      <c r="M1318" s="1917"/>
      <c r="N1318" s="2748"/>
      <c r="O1318" s="2748"/>
      <c r="P1318" s="2748"/>
      <c r="Q1318" s="2748"/>
    </row>
    <row r="1319" spans="2:17" ht="12.75" customHeight="1" x14ac:dyDescent="0.2">
      <c r="J1319" s="2669" t="s">
        <v>3146</v>
      </c>
      <c r="K1319" s="23" t="s">
        <v>9616</v>
      </c>
      <c r="L1319" s="23"/>
      <c r="M1319" s="1917"/>
      <c r="N1319" s="2748"/>
      <c r="O1319" s="2748"/>
      <c r="P1319" s="2748"/>
      <c r="Q1319" s="2748"/>
    </row>
    <row r="1320" spans="2:17" ht="12.75" customHeight="1" x14ac:dyDescent="0.2">
      <c r="J1320" s="2669" t="s">
        <v>3148</v>
      </c>
      <c r="K1320" s="23" t="s">
        <v>3180</v>
      </c>
      <c r="L1320" s="23"/>
      <c r="M1320" s="1917"/>
      <c r="N1320" s="2748"/>
      <c r="O1320" s="2748"/>
      <c r="P1320" s="2748"/>
      <c r="Q1320" s="2748"/>
    </row>
    <row r="1321" spans="2:17" ht="12.75" customHeight="1" x14ac:dyDescent="0.2">
      <c r="J1321" s="2669" t="s">
        <v>9618</v>
      </c>
      <c r="K1321" s="23" t="s">
        <v>9617</v>
      </c>
      <c r="L1321" s="23"/>
      <c r="M1321" s="1917"/>
      <c r="N1321" s="2748"/>
      <c r="O1321" s="2748"/>
      <c r="P1321" s="2748"/>
      <c r="Q1321" s="2748"/>
    </row>
    <row r="1322" spans="2:17" ht="12.75" customHeight="1" x14ac:dyDescent="0.2">
      <c r="J1322" s="2669" t="s">
        <v>3149</v>
      </c>
      <c r="K1322" s="23" t="s">
        <v>3184</v>
      </c>
      <c r="L1322" s="23"/>
      <c r="M1322" s="1917"/>
      <c r="N1322" s="2748"/>
      <c r="O1322" s="2748"/>
      <c r="P1322" s="2748"/>
      <c r="Q1322" s="2748"/>
    </row>
    <row r="1323" spans="2:17" ht="12.75" customHeight="1" x14ac:dyDescent="0.2">
      <c r="J1323" s="2669" t="s">
        <v>3150</v>
      </c>
      <c r="K1323" s="23" t="s">
        <v>3190</v>
      </c>
      <c r="L1323" s="23"/>
      <c r="M1323" s="1917"/>
      <c r="N1323" s="2748"/>
      <c r="O1323" s="2748"/>
      <c r="P1323" s="2748"/>
      <c r="Q1323" s="2748"/>
    </row>
    <row r="1324" spans="2:17" ht="12.75" customHeight="1" x14ac:dyDescent="0.2">
      <c r="J1324" s="2669" t="s">
        <v>3151</v>
      </c>
      <c r="K1324" s="23" t="s">
        <v>3193</v>
      </c>
      <c r="L1324" s="23"/>
      <c r="M1324" s="1917"/>
      <c r="N1324" s="2748"/>
      <c r="O1324" s="2748"/>
      <c r="P1324" s="2748"/>
      <c r="Q1324" s="2748"/>
    </row>
    <row r="1325" spans="2:17" ht="12.75" customHeight="1" x14ac:dyDescent="0.2">
      <c r="J1325" s="2669" t="s">
        <v>9604</v>
      </c>
      <c r="K1325" s="23" t="s">
        <v>3200</v>
      </c>
      <c r="L1325" s="23"/>
      <c r="M1325" s="1917"/>
      <c r="N1325" s="2748"/>
      <c r="O1325" s="2748"/>
      <c r="P1325" s="2748"/>
      <c r="Q1325" s="2748"/>
    </row>
    <row r="1326" spans="2:17" ht="12.75" customHeight="1" x14ac:dyDescent="0.2">
      <c r="J1326" s="2669" t="s">
        <v>9605</v>
      </c>
      <c r="K1326" s="23" t="s">
        <v>3201</v>
      </c>
      <c r="L1326" s="23"/>
      <c r="M1326" s="1917"/>
      <c r="N1326" s="2748"/>
      <c r="O1326" s="2748"/>
      <c r="P1326" s="2748"/>
      <c r="Q1326" s="2748"/>
    </row>
    <row r="1327" spans="2:17" ht="12.75" customHeight="1" x14ac:dyDescent="0.2">
      <c r="J1327" s="2669" t="s">
        <v>3153</v>
      </c>
      <c r="K1327" s="23" t="s">
        <v>3205</v>
      </c>
      <c r="L1327" s="23"/>
      <c r="M1327" s="1917"/>
      <c r="N1327" s="2748"/>
      <c r="O1327" s="2748"/>
      <c r="P1327" s="2748"/>
      <c r="Q1327" s="2748"/>
    </row>
    <row r="1328" spans="2:17" ht="12.75" customHeight="1" x14ac:dyDescent="0.2">
      <c r="J1328" s="2669" t="s">
        <v>3154</v>
      </c>
      <c r="K1328" s="23" t="s">
        <v>3208</v>
      </c>
      <c r="L1328" s="23"/>
      <c r="M1328" s="1917"/>
      <c r="N1328" s="2748"/>
      <c r="O1328" s="2748"/>
      <c r="P1328" s="2748"/>
      <c r="Q1328" s="2748"/>
    </row>
    <row r="1329" spans="10:17" ht="12.75" customHeight="1" x14ac:dyDescent="0.2">
      <c r="J1329" s="2669" t="s">
        <v>3155</v>
      </c>
      <c r="K1329" s="23" t="s">
        <v>3210</v>
      </c>
      <c r="L1329" s="23"/>
      <c r="M1329" s="1917"/>
      <c r="N1329" s="2748"/>
      <c r="O1329" s="2748"/>
      <c r="P1329" s="2748"/>
      <c r="Q1329" s="2748"/>
    </row>
    <row r="1330" spans="10:17" ht="12.75" customHeight="1" x14ac:dyDescent="0.2">
      <c r="J1330" s="2669" t="s">
        <v>3157</v>
      </c>
      <c r="K1330" s="23" t="s">
        <v>9619</v>
      </c>
      <c r="L1330" s="23"/>
      <c r="M1330" s="1917"/>
      <c r="N1330" s="2748"/>
      <c r="O1330" s="2748"/>
      <c r="P1330" s="2748"/>
      <c r="Q1330" s="2748"/>
    </row>
    <row r="1331" spans="10:17" ht="12.75" customHeight="1" x14ac:dyDescent="0.2">
      <c r="J1331" s="2669" t="s">
        <v>3159</v>
      </c>
      <c r="K1331" s="23" t="s">
        <v>9620</v>
      </c>
      <c r="L1331" s="23"/>
      <c r="M1331" s="1917"/>
      <c r="N1331" s="447"/>
    </row>
    <row r="1332" spans="10:17" ht="12.75" customHeight="1" x14ac:dyDescent="0.2">
      <c r="J1332" s="2669" t="s">
        <v>9623</v>
      </c>
      <c r="K1332" s="23" t="s">
        <v>9622</v>
      </c>
      <c r="L1332" s="23"/>
      <c r="M1332" s="1917"/>
      <c r="N1332" s="447"/>
    </row>
    <row r="1333" spans="10:17" ht="12.75" customHeight="1" x14ac:dyDescent="0.2">
      <c r="J1333" s="2669" t="s">
        <v>3161</v>
      </c>
      <c r="K1333" s="23" t="s">
        <v>9624</v>
      </c>
      <c r="L1333" s="23"/>
      <c r="M1333" s="1917"/>
      <c r="N1333" s="447"/>
    </row>
    <row r="1334" spans="10:17" ht="12.75" customHeight="1" x14ac:dyDescent="0.2">
      <c r="J1334" s="2669" t="s">
        <v>9626</v>
      </c>
      <c r="K1334" s="23" t="s">
        <v>9625</v>
      </c>
      <c r="L1334" s="23"/>
      <c r="M1334" s="1917"/>
      <c r="N1334" s="447"/>
    </row>
    <row r="1335" spans="10:17" ht="12.75" customHeight="1" x14ac:dyDescent="0.2">
      <c r="J1335" s="2669" t="s">
        <v>9628</v>
      </c>
      <c r="K1335" s="23" t="s">
        <v>9627</v>
      </c>
      <c r="L1335" s="23"/>
      <c r="M1335" s="1917"/>
      <c r="N1335" s="447"/>
    </row>
    <row r="1336" spans="10:17" ht="12.75" customHeight="1" x14ac:dyDescent="0.2">
      <c r="J1336" s="2669" t="s">
        <v>9629</v>
      </c>
      <c r="K1336" s="23" t="s">
        <v>3253</v>
      </c>
      <c r="L1336" s="23"/>
      <c r="M1336" s="1917"/>
      <c r="N1336" s="447"/>
    </row>
    <row r="1337" spans="10:17" ht="12.75" customHeight="1" x14ac:dyDescent="0.2">
      <c r="J1337" s="2669" t="s">
        <v>9630</v>
      </c>
      <c r="K1337" s="23" t="s">
        <v>3258</v>
      </c>
      <c r="L1337" s="23"/>
      <c r="M1337" s="1917"/>
      <c r="N1337" s="447"/>
    </row>
    <row r="1338" spans="10:17" ht="12.75" customHeight="1" x14ac:dyDescent="0.2">
      <c r="J1338" s="2669" t="s">
        <v>3163</v>
      </c>
      <c r="K1338" s="23" t="s">
        <v>3260</v>
      </c>
      <c r="L1338" s="23"/>
      <c r="M1338" s="1917"/>
      <c r="N1338" s="447"/>
    </row>
    <row r="1339" spans="10:17" ht="12.75" customHeight="1" x14ac:dyDescent="0.2">
      <c r="J1339" s="2669" t="s">
        <v>3165</v>
      </c>
      <c r="K1339" s="23" t="s">
        <v>3262</v>
      </c>
      <c r="L1339" s="23"/>
      <c r="M1339" s="1917"/>
      <c r="N1339" s="447"/>
    </row>
    <row r="1340" spans="10:17" ht="12.75" customHeight="1" x14ac:dyDescent="0.2">
      <c r="J1340" s="2669" t="s">
        <v>3167</v>
      </c>
      <c r="K1340" s="23" t="s">
        <v>3263</v>
      </c>
      <c r="L1340" s="23"/>
      <c r="M1340" s="1917"/>
      <c r="N1340" s="447"/>
    </row>
    <row r="1341" spans="10:17" ht="12.75" customHeight="1" x14ac:dyDescent="0.2">
      <c r="J1341" s="2669" t="s">
        <v>3169</v>
      </c>
      <c r="K1341" s="23" t="s">
        <v>3265</v>
      </c>
      <c r="L1341" s="23"/>
      <c r="M1341" s="1917"/>
      <c r="N1341" s="447"/>
    </row>
    <row r="1342" spans="10:17" ht="12.75" customHeight="1" x14ac:dyDescent="0.2">
      <c r="J1342" s="2669" t="s">
        <v>9631</v>
      </c>
      <c r="K1342" s="23" t="s">
        <v>3266</v>
      </c>
      <c r="L1342" s="23"/>
      <c r="M1342" s="1917"/>
      <c r="N1342" s="447"/>
    </row>
    <row r="1343" spans="10:17" ht="12.75" customHeight="1" x14ac:dyDescent="0.2">
      <c r="J1343" s="2669" t="s">
        <v>3171</v>
      </c>
      <c r="K1343" s="23"/>
      <c r="L1343" s="23"/>
      <c r="M1343" s="1917"/>
      <c r="N1343" s="447"/>
    </row>
    <row r="1344" spans="10:17" ht="12.75" customHeight="1" x14ac:dyDescent="0.2">
      <c r="J1344" s="2669" t="s">
        <v>3173</v>
      </c>
      <c r="K1344" s="23"/>
      <c r="L1344" s="23"/>
      <c r="M1344" s="1917"/>
      <c r="N1344" s="447"/>
    </row>
    <row r="1345" spans="10:14" ht="12.75" customHeight="1" x14ac:dyDescent="0.2">
      <c r="J1345" s="2669" t="s">
        <v>3174</v>
      </c>
      <c r="K1345" s="23"/>
      <c r="L1345" s="23"/>
      <c r="M1345" s="1917"/>
      <c r="N1345" s="447"/>
    </row>
    <row r="1346" spans="10:14" ht="12.75" customHeight="1" x14ac:dyDescent="0.2">
      <c r="J1346" s="2669" t="s">
        <v>9613</v>
      </c>
      <c r="K1346" s="23"/>
      <c r="L1346" s="23"/>
      <c r="M1346" s="1917"/>
      <c r="N1346" s="447"/>
    </row>
    <row r="1347" spans="10:14" ht="12.75" customHeight="1" x14ac:dyDescent="0.2">
      <c r="J1347" s="2669" t="s">
        <v>3175</v>
      </c>
      <c r="K1347" s="23"/>
      <c r="L1347" s="23"/>
      <c r="M1347" s="1917"/>
      <c r="N1347" s="447"/>
    </row>
    <row r="1348" spans="10:14" ht="12.75" customHeight="1" x14ac:dyDescent="0.2">
      <c r="J1348" s="2669" t="s">
        <v>3176</v>
      </c>
      <c r="K1348" s="23"/>
      <c r="L1348" s="23"/>
      <c r="M1348" s="1917"/>
      <c r="N1348" s="447"/>
    </row>
    <row r="1349" spans="10:14" ht="12.75" customHeight="1" x14ac:dyDescent="0.2">
      <c r="J1349" s="2669" t="s">
        <v>9632</v>
      </c>
      <c r="K1349" s="23"/>
      <c r="L1349" s="23"/>
      <c r="M1349" s="1917"/>
      <c r="N1349" s="447"/>
    </row>
    <row r="1350" spans="10:14" ht="12.75" customHeight="1" x14ac:dyDescent="0.2">
      <c r="J1350" s="2669" t="s">
        <v>9616</v>
      </c>
      <c r="K1350" s="23"/>
      <c r="L1350" s="23"/>
      <c r="M1350" s="1917"/>
      <c r="N1350" s="447"/>
    </row>
    <row r="1351" spans="10:14" ht="12.75" customHeight="1" x14ac:dyDescent="0.2">
      <c r="J1351" s="2669" t="s">
        <v>3177</v>
      </c>
      <c r="K1351" s="23"/>
      <c r="L1351" s="23"/>
      <c r="M1351" s="1917"/>
      <c r="N1351" s="447"/>
    </row>
    <row r="1352" spans="10:14" ht="12.75" customHeight="1" x14ac:dyDescent="0.2">
      <c r="J1352" s="2669" t="s">
        <v>3179</v>
      </c>
      <c r="K1352" s="23"/>
      <c r="L1352" s="23"/>
      <c r="M1352" s="1917"/>
      <c r="N1352" s="447"/>
    </row>
    <row r="1353" spans="10:14" ht="12.75" customHeight="1" x14ac:dyDescent="0.2">
      <c r="J1353" s="2669" t="s">
        <v>9633</v>
      </c>
      <c r="K1353" s="23"/>
      <c r="L1353" s="23"/>
      <c r="M1353" s="1917"/>
      <c r="N1353" s="447"/>
    </row>
    <row r="1354" spans="10:14" ht="12.75" customHeight="1" x14ac:dyDescent="0.2">
      <c r="J1354" s="2669" t="s">
        <v>9634</v>
      </c>
      <c r="K1354" s="23"/>
      <c r="L1354" s="23"/>
      <c r="M1354" s="1917"/>
      <c r="N1354" s="447"/>
    </row>
    <row r="1355" spans="10:14" ht="12.75" customHeight="1" x14ac:dyDescent="0.2">
      <c r="J1355" s="2669" t="s">
        <v>3180</v>
      </c>
      <c r="K1355" s="23"/>
      <c r="L1355" s="23"/>
      <c r="M1355" s="1917"/>
      <c r="N1355" s="447"/>
    </row>
    <row r="1356" spans="10:14" ht="12.75" customHeight="1" x14ac:dyDescent="0.2">
      <c r="J1356" s="2669" t="s">
        <v>3182</v>
      </c>
      <c r="K1356" s="23"/>
      <c r="L1356" s="23"/>
      <c r="M1356" s="1917"/>
      <c r="N1356" s="447"/>
    </row>
    <row r="1357" spans="10:14" ht="12.75" customHeight="1" x14ac:dyDescent="0.2">
      <c r="J1357" s="2673" t="s">
        <v>9635</v>
      </c>
      <c r="K1357" s="23"/>
      <c r="L1357" s="23"/>
      <c r="M1357" s="1917"/>
      <c r="N1357" s="447"/>
    </row>
    <row r="1358" spans="10:14" ht="12.75" customHeight="1" x14ac:dyDescent="0.2">
      <c r="J1358" s="2673" t="s">
        <v>9617</v>
      </c>
      <c r="K1358" s="23"/>
      <c r="L1358" s="23"/>
      <c r="M1358" s="1917"/>
      <c r="N1358" s="447"/>
    </row>
    <row r="1359" spans="10:14" ht="12.75" customHeight="1" x14ac:dyDescent="0.2">
      <c r="J1359" s="2673" t="s">
        <v>3185</v>
      </c>
      <c r="K1359" s="23"/>
      <c r="L1359" s="23"/>
      <c r="M1359" s="1917"/>
      <c r="N1359" s="447"/>
    </row>
    <row r="1360" spans="10:14" ht="12.75" customHeight="1" x14ac:dyDescent="0.2">
      <c r="J1360" s="2673" t="s">
        <v>3186</v>
      </c>
      <c r="K1360" s="23"/>
      <c r="L1360" s="23"/>
      <c r="M1360" s="1917"/>
      <c r="N1360" s="447"/>
    </row>
    <row r="1361" spans="10:14" ht="12.75" customHeight="1" x14ac:dyDescent="0.2">
      <c r="J1361" s="2673" t="s">
        <v>3188</v>
      </c>
      <c r="K1361" s="23"/>
      <c r="L1361" s="23"/>
      <c r="M1361" s="1917"/>
      <c r="N1361" s="447"/>
    </row>
    <row r="1362" spans="10:14" ht="12.75" customHeight="1" x14ac:dyDescent="0.2">
      <c r="J1362" s="2673" t="s">
        <v>3189</v>
      </c>
      <c r="K1362" s="23"/>
      <c r="L1362" s="23"/>
      <c r="M1362" s="1917"/>
      <c r="N1362" s="447"/>
    </row>
    <row r="1363" spans="10:14" ht="12.75" customHeight="1" x14ac:dyDescent="0.2">
      <c r="J1363" s="2674" t="s">
        <v>3190</v>
      </c>
      <c r="K1363" s="23"/>
      <c r="L1363" s="23"/>
      <c r="M1363" s="1917"/>
      <c r="N1363" s="447"/>
    </row>
    <row r="1364" spans="10:14" ht="12.75" customHeight="1" x14ac:dyDescent="0.2">
      <c r="J1364" s="2674" t="s">
        <v>3191</v>
      </c>
      <c r="K1364" s="23"/>
      <c r="L1364" s="23"/>
      <c r="M1364" s="1917"/>
    </row>
    <row r="1365" spans="10:14" ht="12.75" customHeight="1" x14ac:dyDescent="0.2">
      <c r="J1365" s="2673" t="s">
        <v>3195</v>
      </c>
      <c r="K1365" s="23"/>
      <c r="L1365" s="23"/>
      <c r="M1365" s="1917"/>
    </row>
    <row r="1366" spans="10:14" ht="12.75" customHeight="1" x14ac:dyDescent="0.2">
      <c r="J1366" s="2673" t="s">
        <v>3197</v>
      </c>
      <c r="K1366" s="23"/>
      <c r="L1366" s="23"/>
      <c r="M1366" s="1917"/>
    </row>
    <row r="1367" spans="10:14" ht="12.75" customHeight="1" x14ac:dyDescent="0.2">
      <c r="J1367" s="2673" t="s">
        <v>3199</v>
      </c>
      <c r="K1367" s="23"/>
      <c r="L1367" s="23"/>
      <c r="M1367" s="1917"/>
    </row>
    <row r="1368" spans="10:14" ht="12.75" customHeight="1" x14ac:dyDescent="0.2">
      <c r="J1368" s="2673" t="s">
        <v>3200</v>
      </c>
      <c r="K1368" s="23"/>
      <c r="L1368" s="23"/>
      <c r="M1368" s="1917"/>
    </row>
    <row r="1369" spans="10:14" ht="12.75" customHeight="1" x14ac:dyDescent="0.2">
      <c r="J1369" s="2673" t="s">
        <v>3203</v>
      </c>
      <c r="K1369" s="23"/>
      <c r="L1369" s="23"/>
      <c r="M1369" s="1917"/>
    </row>
    <row r="1370" spans="10:14" ht="12.75" customHeight="1" x14ac:dyDescent="0.2">
      <c r="J1370" s="2673" t="s">
        <v>3208</v>
      </c>
      <c r="K1370" s="23"/>
      <c r="L1370" s="23"/>
      <c r="M1370" s="1917"/>
    </row>
    <row r="1371" spans="10:14" ht="12.75" customHeight="1" x14ac:dyDescent="0.2">
      <c r="J1371" s="2669" t="s">
        <v>3209</v>
      </c>
      <c r="K1371" s="23"/>
      <c r="L1371" s="23"/>
      <c r="M1371" s="1917"/>
    </row>
    <row r="1372" spans="10:14" ht="12.75" customHeight="1" x14ac:dyDescent="0.2">
      <c r="J1372" s="2673" t="s">
        <v>3210</v>
      </c>
      <c r="K1372" s="23"/>
      <c r="L1372" s="23"/>
      <c r="M1372" s="1917"/>
    </row>
    <row r="1373" spans="10:14" ht="12.75" customHeight="1" x14ac:dyDescent="0.2">
      <c r="J1373" s="2669" t="s">
        <v>3211</v>
      </c>
      <c r="K1373" s="23"/>
      <c r="L1373" s="23"/>
      <c r="M1373" s="1917"/>
    </row>
    <row r="1374" spans="10:14" ht="12.75" customHeight="1" x14ac:dyDescent="0.2">
      <c r="J1374" s="2673" t="s">
        <v>3213</v>
      </c>
      <c r="K1374" s="23"/>
      <c r="L1374" s="23"/>
      <c r="M1374" s="1917"/>
    </row>
    <row r="1375" spans="10:14" ht="12.75" customHeight="1" x14ac:dyDescent="0.2">
      <c r="J1375" s="2673" t="s">
        <v>3214</v>
      </c>
      <c r="K1375" s="23"/>
      <c r="L1375" s="23"/>
      <c r="M1375" s="1917"/>
    </row>
    <row r="1376" spans="10:14" ht="12.75" customHeight="1" x14ac:dyDescent="0.2">
      <c r="J1376" s="2673" t="s">
        <v>3216</v>
      </c>
      <c r="K1376" s="23"/>
      <c r="L1376" s="23"/>
      <c r="M1376" s="1917"/>
    </row>
    <row r="1377" spans="10:13" ht="12.75" customHeight="1" x14ac:dyDescent="0.2">
      <c r="J1377" s="2673" t="s">
        <v>3217</v>
      </c>
      <c r="K1377" s="23"/>
      <c r="L1377" s="23"/>
      <c r="M1377" s="1917"/>
    </row>
    <row r="1378" spans="10:13" ht="12.75" customHeight="1" x14ac:dyDescent="0.2">
      <c r="J1378" s="2673" t="s">
        <v>9619</v>
      </c>
      <c r="K1378" s="23"/>
      <c r="L1378" s="23"/>
      <c r="M1378" s="1917"/>
    </row>
    <row r="1379" spans="10:13" ht="12.75" customHeight="1" x14ac:dyDescent="0.2">
      <c r="J1379" s="2673" t="s">
        <v>9636</v>
      </c>
      <c r="K1379" s="23"/>
      <c r="L1379" s="23"/>
      <c r="M1379" s="1917"/>
    </row>
    <row r="1380" spans="10:13" ht="12.75" customHeight="1" x14ac:dyDescent="0.2">
      <c r="J1380" s="2674" t="s">
        <v>9637</v>
      </c>
      <c r="K1380" s="23"/>
      <c r="L1380" s="23"/>
      <c r="M1380" s="1917"/>
    </row>
    <row r="1381" spans="10:13" ht="12.75" customHeight="1" x14ac:dyDescent="0.2">
      <c r="J1381" s="2674" t="s">
        <v>9638</v>
      </c>
      <c r="K1381" s="23"/>
      <c r="L1381" s="23"/>
      <c r="M1381" s="1917"/>
    </row>
    <row r="1382" spans="10:13" ht="12.75" customHeight="1" x14ac:dyDescent="0.2">
      <c r="J1382" s="2673" t="s">
        <v>9639</v>
      </c>
      <c r="K1382" s="23"/>
      <c r="L1382" s="23"/>
      <c r="M1382" s="1917"/>
    </row>
    <row r="1383" spans="10:13" ht="12.75" customHeight="1" x14ac:dyDescent="0.2">
      <c r="J1383" s="2673" t="s">
        <v>9640</v>
      </c>
      <c r="K1383" s="23"/>
      <c r="L1383" s="23"/>
      <c r="M1383" s="1917"/>
    </row>
    <row r="1384" spans="10:13" ht="12.75" customHeight="1" x14ac:dyDescent="0.2">
      <c r="J1384" s="2673" t="s">
        <v>9641</v>
      </c>
      <c r="K1384" s="23"/>
      <c r="L1384" s="23"/>
      <c r="M1384" s="1917"/>
    </row>
    <row r="1385" spans="10:13" ht="12.75" customHeight="1" x14ac:dyDescent="0.2">
      <c r="J1385" s="2673" t="s">
        <v>9642</v>
      </c>
      <c r="K1385" s="23"/>
      <c r="L1385" s="23"/>
      <c r="M1385" s="1917"/>
    </row>
    <row r="1386" spans="10:13" ht="12.75" customHeight="1" x14ac:dyDescent="0.2">
      <c r="J1386" s="2673" t="s">
        <v>9643</v>
      </c>
      <c r="K1386" s="23"/>
      <c r="L1386" s="23"/>
      <c r="M1386" s="1917"/>
    </row>
    <row r="1387" spans="10:13" ht="12.75" customHeight="1" x14ac:dyDescent="0.2">
      <c r="J1387" s="2669" t="s">
        <v>9622</v>
      </c>
      <c r="K1387" s="23"/>
      <c r="L1387" s="23"/>
      <c r="M1387" s="1917"/>
    </row>
    <row r="1388" spans="10:13" ht="12.75" customHeight="1" x14ac:dyDescent="0.2">
      <c r="J1388" s="2673" t="s">
        <v>9644</v>
      </c>
      <c r="K1388" s="23"/>
      <c r="L1388" s="23"/>
      <c r="M1388" s="1917"/>
    </row>
    <row r="1389" spans="10:13" ht="12.75" customHeight="1" x14ac:dyDescent="0.2">
      <c r="J1389" s="2673" t="s">
        <v>9624</v>
      </c>
      <c r="K1389" s="23"/>
      <c r="L1389" s="23"/>
      <c r="M1389" s="1917"/>
    </row>
    <row r="1390" spans="10:13" ht="12.75" customHeight="1" x14ac:dyDescent="0.2">
      <c r="J1390" s="2673" t="s">
        <v>9645</v>
      </c>
      <c r="K1390" s="23"/>
      <c r="L1390" s="23"/>
      <c r="M1390" s="1917"/>
    </row>
    <row r="1391" spans="10:13" ht="12.75" customHeight="1" x14ac:dyDescent="0.2">
      <c r="J1391" s="2673" t="s">
        <v>9627</v>
      </c>
      <c r="K1391" s="23"/>
      <c r="L1391" s="23"/>
      <c r="M1391" s="1917"/>
    </row>
    <row r="1392" spans="10:13" ht="12.75" customHeight="1" x14ac:dyDescent="0.2">
      <c r="J1392" s="2673" t="s">
        <v>9646</v>
      </c>
      <c r="K1392" s="23"/>
      <c r="L1392" s="23"/>
      <c r="M1392" s="1917"/>
    </row>
    <row r="1393" spans="2:13" ht="12.75" customHeight="1" x14ac:dyDescent="0.2">
      <c r="J1393" s="2673" t="s">
        <v>9647</v>
      </c>
      <c r="K1393" s="23"/>
      <c r="L1393" s="23"/>
      <c r="M1393" s="1917"/>
    </row>
    <row r="1394" spans="2:13" ht="12.75" customHeight="1" x14ac:dyDescent="0.2">
      <c r="J1394" s="2674" t="s">
        <v>3253</v>
      </c>
      <c r="K1394" s="23"/>
      <c r="L1394" s="23"/>
      <c r="M1394" s="1917"/>
    </row>
    <row r="1395" spans="2:13" ht="12.75" customHeight="1" x14ac:dyDescent="0.2">
      <c r="J1395" s="2674" t="s">
        <v>3277</v>
      </c>
      <c r="K1395" s="23"/>
      <c r="L1395" s="23"/>
      <c r="M1395" s="1917"/>
    </row>
    <row r="1396" spans="2:13" ht="12.75" customHeight="1" x14ac:dyDescent="0.2">
      <c r="J1396" s="2673" t="s">
        <v>3275</v>
      </c>
      <c r="K1396" s="23"/>
      <c r="L1396" s="23"/>
      <c r="M1396" s="1917"/>
    </row>
    <row r="1397" spans="2:13" ht="12.75" customHeight="1" x14ac:dyDescent="0.2">
      <c r="J1397" s="2673" t="s">
        <v>3263</v>
      </c>
      <c r="K1397" s="23"/>
      <c r="L1397" s="23"/>
      <c r="M1397" s="1917"/>
    </row>
    <row r="1398" spans="2:13" ht="12.75" customHeight="1" x14ac:dyDescent="0.2">
      <c r="J1398" s="2673" t="s">
        <v>3265</v>
      </c>
      <c r="K1398" s="23"/>
      <c r="L1398" s="23"/>
      <c r="M1398" s="1917"/>
    </row>
    <row r="1399" spans="2:13" ht="12.75" customHeight="1" x14ac:dyDescent="0.2">
      <c r="J1399" s="2673" t="s">
        <v>3269</v>
      </c>
      <c r="K1399" s="23"/>
      <c r="L1399" s="23"/>
      <c r="M1399" s="1917"/>
    </row>
    <row r="1400" spans="2:13" ht="12.75" customHeight="1" thickBot="1" x14ac:dyDescent="0.25">
      <c r="J1400" s="2673" t="s">
        <v>3280</v>
      </c>
      <c r="K1400" s="23"/>
      <c r="L1400" s="23"/>
      <c r="M1400" s="1917"/>
    </row>
    <row r="1401" spans="2:13" ht="12.75" customHeight="1" x14ac:dyDescent="0.2">
      <c r="B1401" s="4799" t="s">
        <v>1735</v>
      </c>
      <c r="C1401" s="4799"/>
      <c r="J1401" s="2669" t="s">
        <v>3278</v>
      </c>
      <c r="K1401" s="23"/>
      <c r="L1401" s="23"/>
      <c r="M1401" s="1917"/>
    </row>
    <row r="1402" spans="2:13" ht="12.75" customHeight="1" thickBot="1" x14ac:dyDescent="0.25">
      <c r="B1402" s="452" t="s">
        <v>3103</v>
      </c>
      <c r="C1402" s="454" t="s">
        <v>1736</v>
      </c>
      <c r="J1402" s="2673" t="s">
        <v>3274</v>
      </c>
      <c r="K1402" s="23"/>
      <c r="L1402" s="23"/>
      <c r="M1402" s="1917"/>
    </row>
    <row r="1403" spans="2:13" ht="12.75" customHeight="1" x14ac:dyDescent="0.2">
      <c r="B1403" s="606" t="s">
        <v>1737</v>
      </c>
      <c r="C1403" s="476">
        <v>0</v>
      </c>
      <c r="J1403" s="2673" t="s">
        <v>3272</v>
      </c>
      <c r="K1403" s="23"/>
      <c r="L1403" s="23"/>
      <c r="M1403" s="1917"/>
    </row>
    <row r="1404" spans="2:13" ht="12.75" customHeight="1" x14ac:dyDescent="0.2">
      <c r="B1404" s="608" t="s">
        <v>1738</v>
      </c>
      <c r="C1404" s="312">
        <v>-60</v>
      </c>
      <c r="J1404" s="2673" t="s">
        <v>3260</v>
      </c>
      <c r="K1404" s="23"/>
      <c r="L1404" s="23"/>
      <c r="M1404" s="1917"/>
    </row>
    <row r="1405" spans="2:13" ht="12.75" customHeight="1" x14ac:dyDescent="0.2">
      <c r="B1405" s="608" t="s">
        <v>1739</v>
      </c>
      <c r="C1405" s="312">
        <v>-40</v>
      </c>
      <c r="J1405" s="2673" t="s">
        <v>3268</v>
      </c>
      <c r="K1405" s="23"/>
      <c r="L1405" s="23"/>
      <c r="M1405" s="1917"/>
    </row>
    <row r="1406" spans="2:13" ht="12.75" customHeight="1" thickBot="1" x14ac:dyDescent="0.25">
      <c r="B1406" s="609" t="s">
        <v>1740</v>
      </c>
      <c r="C1406" s="465">
        <v>-20</v>
      </c>
      <c r="J1406" s="2675" t="s">
        <v>3254</v>
      </c>
      <c r="K1406" s="2676"/>
      <c r="L1406" s="2676"/>
      <c r="M1406" s="1918"/>
    </row>
    <row r="1407" spans="2:13" ht="12.75" customHeight="1" thickBot="1" x14ac:dyDescent="0.25">
      <c r="K1407" s="607"/>
    </row>
    <row r="1408" spans="2:13" ht="12.75" customHeight="1" thickBot="1" x14ac:dyDescent="0.25">
      <c r="B1408" s="4862" t="s">
        <v>1741</v>
      </c>
      <c r="C1408" s="4862"/>
      <c r="D1408" s="4862"/>
      <c r="E1408" s="4862"/>
      <c r="F1408" s="4862"/>
      <c r="G1408" s="4862"/>
      <c r="H1408" s="4862"/>
      <c r="I1408" s="4862"/>
      <c r="J1408" s="4862"/>
      <c r="K1408" s="4862"/>
      <c r="L1408" s="4862"/>
    </row>
    <row r="1409" spans="2:12" ht="12.75" customHeight="1" x14ac:dyDescent="0.2">
      <c r="B1409" s="4862"/>
      <c r="C1409" s="4862"/>
      <c r="D1409" s="4862"/>
      <c r="E1409" s="4862"/>
      <c r="F1409" s="4862"/>
      <c r="G1409" s="4862"/>
      <c r="H1409" s="4862"/>
      <c r="I1409" s="4862"/>
      <c r="J1409" s="4862"/>
      <c r="K1409" s="4862"/>
      <c r="L1409" s="4862"/>
    </row>
    <row r="1410" spans="2:12" ht="12.75" customHeight="1" thickBot="1" x14ac:dyDescent="0.25">
      <c r="B1410" s="4860" t="s">
        <v>2508</v>
      </c>
      <c r="C1410" s="4860"/>
      <c r="D1410" s="490" t="s">
        <v>2345</v>
      </c>
      <c r="E1410" s="4861" t="s">
        <v>2407</v>
      </c>
      <c r="F1410" s="4861"/>
      <c r="G1410" s="4861"/>
      <c r="H1410" s="4861"/>
      <c r="I1410" s="4861"/>
      <c r="J1410" s="4861"/>
      <c r="K1410" s="4861"/>
      <c r="L1410" s="4861"/>
    </row>
    <row r="1411" spans="2:12" ht="12.75" customHeight="1" x14ac:dyDescent="0.2">
      <c r="B1411" s="610"/>
      <c r="C1411" s="611" t="s">
        <v>1742</v>
      </c>
      <c r="D1411" s="612">
        <v>20</v>
      </c>
      <c r="E1411" s="613" t="s">
        <v>1743</v>
      </c>
      <c r="F1411" s="73"/>
      <c r="G1411" s="73"/>
      <c r="H1411" s="333"/>
      <c r="I1411" s="73"/>
      <c r="J1411" s="73"/>
      <c r="K1411" s="73"/>
      <c r="L1411" s="75"/>
    </row>
    <row r="1412" spans="2:12" ht="12.75" customHeight="1" x14ac:dyDescent="0.2">
      <c r="B1412" s="293"/>
      <c r="C1412" s="611" t="s">
        <v>1744</v>
      </c>
      <c r="D1412" s="612">
        <v>15</v>
      </c>
      <c r="E1412" s="613" t="s">
        <v>1745</v>
      </c>
      <c r="F1412" s="73"/>
      <c r="G1412" s="73"/>
      <c r="H1412" s="333"/>
      <c r="I1412" s="73"/>
      <c r="J1412" s="73"/>
      <c r="K1412" s="73"/>
      <c r="L1412" s="75"/>
    </row>
    <row r="1413" spans="2:12" ht="12.75" customHeight="1" x14ac:dyDescent="0.2">
      <c r="B1413" s="293"/>
      <c r="C1413" s="611" t="s">
        <v>1746</v>
      </c>
      <c r="D1413" s="612">
        <v>20</v>
      </c>
      <c r="E1413" s="613" t="s">
        <v>1747</v>
      </c>
      <c r="F1413" s="73"/>
      <c r="G1413" s="73"/>
      <c r="H1413" s="333"/>
      <c r="I1413" s="73"/>
      <c r="J1413" s="73"/>
      <c r="K1413" s="73"/>
      <c r="L1413" s="75"/>
    </row>
    <row r="1414" spans="2:12" ht="12.75" customHeight="1" x14ac:dyDescent="0.2">
      <c r="B1414" s="293"/>
      <c r="C1414" s="611" t="s">
        <v>1748</v>
      </c>
      <c r="D1414" s="612">
        <v>10</v>
      </c>
      <c r="E1414" s="613" t="s">
        <v>1749</v>
      </c>
      <c r="F1414" s="73"/>
      <c r="G1414" s="73"/>
      <c r="H1414" s="333"/>
      <c r="I1414" s="73"/>
      <c r="J1414" s="73"/>
      <c r="K1414" s="73"/>
      <c r="L1414" s="75"/>
    </row>
    <row r="1415" spans="2:12" ht="12.75" customHeight="1" x14ac:dyDescent="0.2">
      <c r="B1415" s="293"/>
      <c r="C1415" s="611" t="s">
        <v>1750</v>
      </c>
      <c r="D1415" s="612">
        <v>10</v>
      </c>
      <c r="E1415" s="613" t="s">
        <v>1751</v>
      </c>
      <c r="F1415" s="73"/>
      <c r="G1415" s="73"/>
      <c r="H1415" s="333"/>
      <c r="I1415" s="73"/>
      <c r="J1415" s="73"/>
      <c r="K1415" s="73"/>
      <c r="L1415" s="75"/>
    </row>
    <row r="1416" spans="2:12" ht="12.75" customHeight="1" x14ac:dyDescent="0.2">
      <c r="B1416" s="293"/>
      <c r="C1416" s="611" t="s">
        <v>1752</v>
      </c>
      <c r="D1416" s="612">
        <v>20</v>
      </c>
      <c r="E1416" s="613" t="s">
        <v>1753</v>
      </c>
      <c r="F1416" s="73"/>
      <c r="G1416" s="73"/>
      <c r="H1416" s="333"/>
      <c r="I1416" s="73"/>
      <c r="J1416" s="73"/>
      <c r="K1416" s="73"/>
      <c r="L1416" s="75"/>
    </row>
    <row r="1417" spans="2:12" ht="12.75" customHeight="1" thickBot="1" x14ac:dyDescent="0.25">
      <c r="B1417" s="472"/>
      <c r="C1417" s="614" t="s">
        <v>1754</v>
      </c>
      <c r="D1417" s="615">
        <v>10</v>
      </c>
      <c r="E1417" s="616" t="s">
        <v>1755</v>
      </c>
      <c r="F1417" s="222"/>
      <c r="G1417" s="222"/>
      <c r="H1417" s="1988"/>
      <c r="I1417" s="222"/>
      <c r="J1417" s="222"/>
      <c r="K1417" s="222"/>
      <c r="L1417" s="223"/>
    </row>
    <row r="1418" spans="2:12" ht="12.75" customHeight="1" thickBot="1" x14ac:dyDescent="0.25">
      <c r="K1418" s="607"/>
    </row>
    <row r="1419" spans="2:12" ht="12.75" customHeight="1" thickBot="1" x14ac:dyDescent="0.25">
      <c r="B1419" s="4929" t="s">
        <v>1756</v>
      </c>
      <c r="D1419" s="4858" t="s">
        <v>9458</v>
      </c>
      <c r="F1419" s="3945" t="s">
        <v>9462</v>
      </c>
      <c r="G1419" s="3941"/>
      <c r="H1419" s="4921" t="s">
        <v>8787</v>
      </c>
      <c r="K1419" s="607"/>
    </row>
    <row r="1420" spans="2:12" ht="12.75" customHeight="1" thickBot="1" x14ac:dyDescent="0.25">
      <c r="B1420" s="4929"/>
      <c r="D1420" s="4859"/>
      <c r="F1420" s="4828"/>
      <c r="G1420" s="4829"/>
      <c r="H1420" s="4921" t="s">
        <v>8787</v>
      </c>
    </row>
    <row r="1421" spans="2:12" ht="12.75" customHeight="1" x14ac:dyDescent="0.2">
      <c r="B1421" s="617" t="s">
        <v>2570</v>
      </c>
      <c r="D1421" s="2214" t="s">
        <v>9464</v>
      </c>
      <c r="F1421" s="3945" t="s">
        <v>9496</v>
      </c>
      <c r="G1421" s="3941"/>
      <c r="H1421" s="150" t="s">
        <v>9497</v>
      </c>
    </row>
    <row r="1422" spans="2:12" ht="12.75" customHeight="1" x14ac:dyDescent="0.2">
      <c r="B1422" s="617" t="s">
        <v>2571</v>
      </c>
      <c r="D1422" s="2214" t="s">
        <v>9459</v>
      </c>
      <c r="F1422" s="4779"/>
      <c r="G1422" s="4781"/>
      <c r="H1422" s="150" t="s">
        <v>8942</v>
      </c>
    </row>
    <row r="1423" spans="2:12" ht="12.75" customHeight="1" thickBot="1" x14ac:dyDescent="0.25">
      <c r="B1423" s="617" t="s">
        <v>2472</v>
      </c>
      <c r="D1423" s="2214" t="s">
        <v>9460</v>
      </c>
      <c r="F1423" s="2227" t="s">
        <v>9466</v>
      </c>
      <c r="G1423" s="2228" t="s">
        <v>9467</v>
      </c>
      <c r="H1423" s="150" t="s">
        <v>9498</v>
      </c>
    </row>
    <row r="1424" spans="2:12" ht="12.75" customHeight="1" thickBot="1" x14ac:dyDescent="0.25">
      <c r="B1424" s="617" t="s">
        <v>2475</v>
      </c>
      <c r="D1424" s="2214" t="s">
        <v>9461</v>
      </c>
      <c r="F1424" s="2225">
        <v>1</v>
      </c>
      <c r="G1424" s="1680">
        <v>14</v>
      </c>
      <c r="H1424" s="150" t="s">
        <v>9499</v>
      </c>
    </row>
    <row r="1425" spans="2:17" ht="12.75" customHeight="1" thickBot="1" x14ac:dyDescent="0.25">
      <c r="B1425" s="617" t="s">
        <v>2479</v>
      </c>
      <c r="D1425" s="2215" t="s">
        <v>9462</v>
      </c>
      <c r="F1425" s="2225">
        <v>2</v>
      </c>
      <c r="G1425" s="1680">
        <v>18</v>
      </c>
      <c r="H1425" s="150" t="s">
        <v>9500</v>
      </c>
      <c r="K1425" s="4858" t="s">
        <v>9782</v>
      </c>
    </row>
    <row r="1426" spans="2:17" ht="12.75" customHeight="1" thickBot="1" x14ac:dyDescent="0.25">
      <c r="B1426" s="617" t="s">
        <v>2575</v>
      </c>
      <c r="F1426" s="2225">
        <v>3</v>
      </c>
      <c r="G1426" s="1680">
        <v>24</v>
      </c>
      <c r="H1426" s="150" t="s">
        <v>9501</v>
      </c>
      <c r="K1426" s="4859"/>
    </row>
    <row r="1427" spans="2:17" ht="12.75" customHeight="1" thickBot="1" x14ac:dyDescent="0.25">
      <c r="B1427" s="618" t="s">
        <v>1757</v>
      </c>
      <c r="F1427" s="2225">
        <v>4</v>
      </c>
      <c r="G1427" s="1680">
        <v>30</v>
      </c>
      <c r="H1427" s="150" t="s">
        <v>3068</v>
      </c>
      <c r="K1427" s="2598" t="s">
        <v>2570</v>
      </c>
    </row>
    <row r="1428" spans="2:17" ht="12.75" customHeight="1" thickBot="1" x14ac:dyDescent="0.25">
      <c r="F1428" s="2226">
        <v>5</v>
      </c>
      <c r="G1428" s="1685">
        <v>36</v>
      </c>
      <c r="H1428" s="150" t="s">
        <v>9502</v>
      </c>
      <c r="K1428" s="2598" t="s">
        <v>2571</v>
      </c>
    </row>
    <row r="1429" spans="2:17" ht="12.75" customHeight="1" thickBot="1" x14ac:dyDescent="0.25">
      <c r="B1429" s="4930" t="s">
        <v>1758</v>
      </c>
      <c r="H1429" s="552" t="s">
        <v>9505</v>
      </c>
      <c r="K1429" s="2598" t="s">
        <v>2479</v>
      </c>
    </row>
    <row r="1430" spans="2:17" ht="12.75" customHeight="1" thickBot="1" x14ac:dyDescent="0.25">
      <c r="B1430" s="4930"/>
      <c r="H1430" s="552" t="s">
        <v>9506</v>
      </c>
      <c r="K1430" s="2598" t="s">
        <v>2475</v>
      </c>
    </row>
    <row r="1431" spans="2:17" ht="12.75" customHeight="1" x14ac:dyDescent="0.2">
      <c r="B1431" s="619" t="s">
        <v>2570</v>
      </c>
      <c r="H1431" s="552" t="s">
        <v>9507</v>
      </c>
      <c r="K1431" s="2598" t="s">
        <v>2472</v>
      </c>
      <c r="N1431" s="2284" t="str">
        <f t="shared" ref="N1431" si="85">N1426&amp;" "&amp;O1426</f>
        <v xml:space="preserve"> </v>
      </c>
    </row>
    <row r="1432" spans="2:17" ht="12.75" customHeight="1" x14ac:dyDescent="0.2">
      <c r="B1432" s="619" t="s">
        <v>2571</v>
      </c>
      <c r="H1432" s="552" t="s">
        <v>9508</v>
      </c>
      <c r="K1432" s="2598" t="s">
        <v>2575</v>
      </c>
    </row>
    <row r="1433" spans="2:17" ht="12.75" customHeight="1" x14ac:dyDescent="0.2">
      <c r="B1433" s="619" t="s">
        <v>2479</v>
      </c>
      <c r="F1433" s="1854"/>
      <c r="H1433" s="447"/>
      <c r="K1433" s="2598" t="s">
        <v>2577</v>
      </c>
    </row>
    <row r="1434" spans="2:17" ht="12.75" customHeight="1" x14ac:dyDescent="0.2">
      <c r="B1434" s="619" t="s">
        <v>2475</v>
      </c>
      <c r="F1434" s="1854"/>
      <c r="H1434" s="447"/>
      <c r="K1434" s="2598" t="s">
        <v>2578</v>
      </c>
    </row>
    <row r="1435" spans="2:17" ht="12.75" customHeight="1" x14ac:dyDescent="0.2">
      <c r="B1435" s="619" t="s">
        <v>2472</v>
      </c>
      <c r="F1435" s="1854"/>
      <c r="H1435" s="447"/>
      <c r="K1435" s="2598" t="s">
        <v>2580</v>
      </c>
      <c r="P1435" s="4920"/>
      <c r="Q1435" s="4920"/>
    </row>
    <row r="1436" spans="2:17" ht="12.75" customHeight="1" x14ac:dyDescent="0.2">
      <c r="B1436" s="619" t="s">
        <v>2575</v>
      </c>
      <c r="F1436" s="1854"/>
      <c r="H1436" s="447"/>
      <c r="K1436" s="2598" t="s">
        <v>2582</v>
      </c>
      <c r="N1436" s="2284" t="str">
        <f t="shared" ref="N1436" si="86">N1431&amp;" "&amp;O1431</f>
        <v xml:space="preserve">  </v>
      </c>
    </row>
    <row r="1437" spans="2:17" ht="12.75" customHeight="1" x14ac:dyDescent="0.2">
      <c r="B1437" s="619" t="s">
        <v>2577</v>
      </c>
      <c r="F1437" s="1854"/>
      <c r="H1437" s="447"/>
      <c r="K1437" s="2598" t="s">
        <v>2584</v>
      </c>
    </row>
    <row r="1438" spans="2:17" ht="12.75" customHeight="1" thickBot="1" x14ac:dyDescent="0.25">
      <c r="B1438" s="619" t="s">
        <v>2578</v>
      </c>
      <c r="H1438" s="447"/>
      <c r="K1438" s="2599" t="s">
        <v>1759</v>
      </c>
    </row>
    <row r="1439" spans="2:17" ht="12.75" customHeight="1" x14ac:dyDescent="0.2">
      <c r="B1439" s="619" t="s">
        <v>2580</v>
      </c>
      <c r="H1439" s="447"/>
      <c r="K1439" s="2600" t="s">
        <v>259</v>
      </c>
    </row>
    <row r="1440" spans="2:17" ht="12.75" customHeight="1" x14ac:dyDescent="0.2">
      <c r="B1440" s="619" t="s">
        <v>2582</v>
      </c>
      <c r="H1440" s="447"/>
      <c r="K1440" s="2601" t="s">
        <v>260</v>
      </c>
    </row>
    <row r="1441" spans="2:12" ht="12.75" customHeight="1" x14ac:dyDescent="0.2">
      <c r="B1441" s="619" t="s">
        <v>2584</v>
      </c>
      <c r="H1441" s="447"/>
      <c r="K1441" s="2601" t="s">
        <v>261</v>
      </c>
    </row>
    <row r="1442" spans="2:12" ht="12.75" customHeight="1" thickBot="1" x14ac:dyDescent="0.25">
      <c r="B1442" s="620" t="s">
        <v>1759</v>
      </c>
      <c r="H1442" s="447"/>
      <c r="K1442" s="2601" t="s">
        <v>262</v>
      </c>
    </row>
    <row r="1443" spans="2:12" ht="12.75" customHeight="1" thickBot="1" x14ac:dyDescent="0.25">
      <c r="G1443" s="2464"/>
      <c r="K1443" s="2601" t="s">
        <v>263</v>
      </c>
    </row>
    <row r="1444" spans="2:12" ht="12.75" customHeight="1" thickBot="1" x14ac:dyDescent="0.25">
      <c r="B1444" s="3028" t="s">
        <v>1760</v>
      </c>
      <c r="G1444" s="2464"/>
      <c r="K1444" s="2601" t="s">
        <v>264</v>
      </c>
    </row>
    <row r="1445" spans="2:12" ht="12.75" customHeight="1" thickBot="1" x14ac:dyDescent="0.25">
      <c r="B1445" s="3028"/>
      <c r="G1445" s="2464"/>
      <c r="K1445" s="2601" t="s">
        <v>265</v>
      </c>
    </row>
    <row r="1446" spans="2:12" ht="12.75" customHeight="1" x14ac:dyDescent="0.2">
      <c r="B1446" s="552" t="s">
        <v>1761</v>
      </c>
      <c r="G1446" s="2464"/>
      <c r="K1446" s="2601" t="s">
        <v>266</v>
      </c>
    </row>
    <row r="1447" spans="2:12" ht="12.75" customHeight="1" x14ac:dyDescent="0.2">
      <c r="B1447" s="552" t="s">
        <v>2431</v>
      </c>
      <c r="G1447" s="2464"/>
      <c r="K1447" s="2601" t="s">
        <v>267</v>
      </c>
    </row>
    <row r="1448" spans="2:12" ht="12.75" customHeight="1" x14ac:dyDescent="0.2">
      <c r="B1448" s="552" t="s">
        <v>1762</v>
      </c>
      <c r="G1448" s="2464"/>
      <c r="K1448" s="2601" t="s">
        <v>268</v>
      </c>
    </row>
    <row r="1449" spans="2:12" ht="12.75" customHeight="1" x14ac:dyDescent="0.2">
      <c r="B1449" s="552" t="s">
        <v>1763</v>
      </c>
      <c r="G1449" s="2464"/>
      <c r="K1449" s="2601" t="s">
        <v>269</v>
      </c>
    </row>
    <row r="1450" spans="2:12" ht="12.75" customHeight="1" x14ac:dyDescent="0.2">
      <c r="B1450" s="552" t="s">
        <v>1764</v>
      </c>
      <c r="G1450" s="2142"/>
      <c r="H1450" s="2142"/>
      <c r="K1450" s="2601" t="s">
        <v>270</v>
      </c>
    </row>
    <row r="1451" spans="2:12" ht="12.75" customHeight="1" thickBot="1" x14ac:dyDescent="0.25">
      <c r="B1451" s="553" t="s">
        <v>1765</v>
      </c>
      <c r="G1451" s="2142"/>
      <c r="H1451" s="2142"/>
      <c r="K1451" s="2601" t="s">
        <v>3077</v>
      </c>
    </row>
    <row r="1452" spans="2:12" ht="12.75" customHeight="1" thickBot="1" x14ac:dyDescent="0.25">
      <c r="G1452" s="2142"/>
      <c r="H1452" s="2142"/>
      <c r="K1452" s="2602" t="s">
        <v>271</v>
      </c>
    </row>
    <row r="1453" spans="2:12" ht="12.75" customHeight="1" thickBot="1" x14ac:dyDescent="0.25">
      <c r="C1453" s="4884" t="s">
        <v>1766</v>
      </c>
      <c r="D1453" s="4884"/>
      <c r="E1453" s="4884"/>
      <c r="G1453" s="2464"/>
    </row>
    <row r="1454" spans="2:12" ht="12.75" customHeight="1" thickBot="1" x14ac:dyDescent="0.25">
      <c r="C1454" s="4884"/>
      <c r="D1454" s="4884"/>
      <c r="E1454" s="4884"/>
      <c r="G1454" s="2464"/>
    </row>
    <row r="1455" spans="2:12" ht="12.75" customHeight="1" x14ac:dyDescent="0.2">
      <c r="B1455" s="2200">
        <f>E1455</f>
        <v>1</v>
      </c>
      <c r="C1455" s="231" t="s">
        <v>2475</v>
      </c>
      <c r="D1455" s="383">
        <f>Místicos!H18</f>
        <v>0</v>
      </c>
      <c r="E1455" s="153">
        <f>IF(OR(Tablas!F648&gt;0,G1733&gt;0),1,IF(AND(Místicos!G17=Místicos!G18,Místicos!G18&gt;0),2,IF(AND(OR(Místicos!G17&gt;0,Místicos!G25&gt;0),OR(Místicos!G17&gt;Místicos!G18,Místicos!G25&gt;Místicos!G18)),2,1)))</f>
        <v>1</v>
      </c>
      <c r="G1455" s="2464"/>
    </row>
    <row r="1456" spans="2:12" ht="12.75" customHeight="1" x14ac:dyDescent="0.2">
      <c r="B1456" s="2200">
        <f t="shared" ref="B1456:B1465" si="87">E1456</f>
        <v>1</v>
      </c>
      <c r="C1456" s="231" t="s">
        <v>2472</v>
      </c>
      <c r="D1456" s="383">
        <f>Místicos!H19</f>
        <v>0</v>
      </c>
      <c r="E1456" s="153">
        <f>IF(OR(Tablas!F648&gt;0,G1733&gt;0),1,IF(AND(Místicos!G19=Místicos!G20,Místicos!G19&gt;0),2,IF(AND(OR(Místicos!G20&gt;0,Místicos!G25&gt;0),OR(Místicos!G20&gt;Místicos!G19,Místicos!G25&gt;Místicos!G19)),2,1)))</f>
        <v>1</v>
      </c>
      <c r="G1456" s="2464"/>
      <c r="J1456" s="2229"/>
      <c r="L1456" s="2229"/>
    </row>
    <row r="1457" spans="2:12" ht="12.75" customHeight="1" x14ac:dyDescent="0.2">
      <c r="B1457" s="2200">
        <f t="shared" si="87"/>
        <v>1</v>
      </c>
      <c r="C1457" s="231" t="s">
        <v>2577</v>
      </c>
      <c r="D1457" s="383">
        <f>Místicos!H21</f>
        <v>0</v>
      </c>
      <c r="E1457" s="153">
        <f>IF(OR(Tablas!F648&gt;0,G1733&gt;0),1,IF(AND(Místicos!G21=Místicos!G22,Místicos!G21&gt;0),2,IF(AND(OR(Místicos!G22&gt;0,Místicos!G25&gt;0),OR(Místicos!G22&gt;Místicos!G21,Místicos!G25&gt;Místicos!G21)),2,1)))</f>
        <v>1</v>
      </c>
      <c r="G1457" s="2464"/>
      <c r="L1457" s="2229"/>
    </row>
    <row r="1458" spans="2:12" ht="12.75" customHeight="1" x14ac:dyDescent="0.2">
      <c r="B1458" s="2200">
        <f t="shared" si="87"/>
        <v>1</v>
      </c>
      <c r="C1458" s="231" t="s">
        <v>2578</v>
      </c>
      <c r="D1458" s="383">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00">
        <f t="shared" si="87"/>
        <v>1</v>
      </c>
      <c r="C1459" s="231" t="s">
        <v>2580</v>
      </c>
      <c r="D1459" s="383">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00">
        <f t="shared" si="87"/>
        <v>1</v>
      </c>
      <c r="C1460" s="231" t="s">
        <v>2479</v>
      </c>
      <c r="D1460" s="383">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00">
        <f t="shared" si="87"/>
        <v>1</v>
      </c>
      <c r="C1461" s="231" t="s">
        <v>2582</v>
      </c>
      <c r="D1461" s="383">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00">
        <f t="shared" si="87"/>
        <v>1</v>
      </c>
      <c r="C1462" s="231" t="s">
        <v>2570</v>
      </c>
      <c r="D1462" s="383">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00">
        <f t="shared" si="87"/>
        <v>1</v>
      </c>
      <c r="C1463" s="231" t="s">
        <v>2584</v>
      </c>
      <c r="D1463" s="383">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47" t="str">
        <f t="shared" ref="K1463" si="88">K1458&amp;" "&amp;L1458</f>
        <v xml:space="preserve"> </v>
      </c>
    </row>
    <row r="1464" spans="2:12" ht="12.75" customHeight="1" x14ac:dyDescent="0.2">
      <c r="B1464" s="2200">
        <f t="shared" si="87"/>
        <v>1</v>
      </c>
      <c r="C1464" s="231" t="s">
        <v>2571</v>
      </c>
      <c r="D1464" s="383">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00">
        <f t="shared" si="87"/>
        <v>1</v>
      </c>
      <c r="C1465" s="526" t="s">
        <v>2575</v>
      </c>
      <c r="D1465" s="473">
        <f>Místicos!H20</f>
        <v>0</v>
      </c>
      <c r="E1465" s="515">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28" t="s">
        <v>1767</v>
      </c>
      <c r="C1467" s="4928"/>
    </row>
    <row r="1468" spans="2:12" ht="12.75" customHeight="1" thickBot="1" x14ac:dyDescent="0.25">
      <c r="B1468" s="452" t="s">
        <v>2366</v>
      </c>
      <c r="C1468" s="454" t="s">
        <v>1768</v>
      </c>
    </row>
    <row r="1469" spans="2:12" ht="12.75" customHeight="1" x14ac:dyDescent="0.2">
      <c r="B1469" s="621">
        <v>0</v>
      </c>
      <c r="C1469" s="622">
        <f>0+10*Tablas!F629+20*Tablas!F630+30*Tablas!F631+10*G1683</f>
        <v>0</v>
      </c>
    </row>
    <row r="1470" spans="2:12" ht="12.75" customHeight="1" x14ac:dyDescent="0.2">
      <c r="B1470" s="623">
        <v>10</v>
      </c>
      <c r="C1470" s="153">
        <f>10+10*Tablas!F629+20*Tablas!F630+30*Tablas!F631+10*G1683</f>
        <v>10</v>
      </c>
    </row>
    <row r="1471" spans="2:12" ht="12.75" customHeight="1" x14ac:dyDescent="0.2">
      <c r="B1471" s="623">
        <v>55</v>
      </c>
      <c r="C1471" s="153">
        <f>20+10*Tablas!F629+20*Tablas!F630+30*Tablas!F631+10*G1683</f>
        <v>20</v>
      </c>
    </row>
    <row r="1472" spans="2:12" ht="12.75" customHeight="1" x14ac:dyDescent="0.2">
      <c r="B1472" s="623">
        <v>75</v>
      </c>
      <c r="C1472" s="153">
        <f>30+10*Tablas!F629+20*Tablas!F630+30*Tablas!F631+10*G1683</f>
        <v>30</v>
      </c>
    </row>
    <row r="1473" spans="2:3" ht="12.75" customHeight="1" x14ac:dyDescent="0.2">
      <c r="B1473" s="623">
        <v>95</v>
      </c>
      <c r="C1473" s="153">
        <f>40+10*Tablas!F629+20*Tablas!F630+30*Tablas!F631+10*G1683</f>
        <v>40</v>
      </c>
    </row>
    <row r="1474" spans="2:3" ht="12.75" customHeight="1" x14ac:dyDescent="0.2">
      <c r="B1474" s="623">
        <v>115</v>
      </c>
      <c r="C1474" s="153">
        <f>50+10*Tablas!F629+20*Tablas!F630+30*Tablas!F631+10*G1683</f>
        <v>50</v>
      </c>
    </row>
    <row r="1475" spans="2:3" ht="12.75" customHeight="1" x14ac:dyDescent="0.2">
      <c r="B1475" s="623">
        <v>135</v>
      </c>
      <c r="C1475" s="153">
        <f>60+10*Tablas!F629+20*Tablas!F630+30*Tablas!F631+10*G1683</f>
        <v>60</v>
      </c>
    </row>
    <row r="1476" spans="2:3" ht="12.75" customHeight="1" x14ac:dyDescent="0.2">
      <c r="B1476" s="623">
        <v>155</v>
      </c>
      <c r="C1476" s="153">
        <f>70+10*Tablas!F629+20*Tablas!F630+30*Tablas!F631+10*G1683</f>
        <v>70</v>
      </c>
    </row>
    <row r="1477" spans="2:3" ht="12.75" customHeight="1" x14ac:dyDescent="0.2">
      <c r="B1477" s="623">
        <v>185</v>
      </c>
      <c r="C1477" s="153">
        <f>80+10*Tablas!F629+20*Tablas!F630+30*Tablas!F631+10*G1683</f>
        <v>80</v>
      </c>
    </row>
    <row r="1478" spans="2:3" ht="12.75" customHeight="1" thickBot="1" x14ac:dyDescent="0.25">
      <c r="B1478" s="624">
        <v>200</v>
      </c>
      <c r="C1478" s="515">
        <f>90+10*Tablas!F629+20*Tablas!F630+30*Tablas!F631+10*G1683</f>
        <v>90</v>
      </c>
    </row>
    <row r="1480" spans="2:3" ht="12.75" customHeight="1" x14ac:dyDescent="0.2">
      <c r="B1480" s="4928" t="s">
        <v>1769</v>
      </c>
      <c r="C1480" s="4928"/>
    </row>
    <row r="1481" spans="2:3" ht="12.75" customHeight="1" thickBot="1" x14ac:dyDescent="0.25">
      <c r="B1481" s="452" t="s">
        <v>2565</v>
      </c>
      <c r="C1481" s="454" t="s">
        <v>1770</v>
      </c>
    </row>
    <row r="1482" spans="2:3" ht="12.75" customHeight="1" x14ac:dyDescent="0.2">
      <c r="B1482" s="625" t="s">
        <v>2475</v>
      </c>
      <c r="C1482" s="622">
        <f>Tablas!F638</f>
        <v>0</v>
      </c>
    </row>
    <row r="1483" spans="2:3" ht="12.75" customHeight="1" x14ac:dyDescent="0.2">
      <c r="B1483" s="626" t="s">
        <v>2472</v>
      </c>
      <c r="C1483" s="153">
        <f>Tablas!F639</f>
        <v>0</v>
      </c>
    </row>
    <row r="1484" spans="2:3" ht="12.75" customHeight="1" x14ac:dyDescent="0.2">
      <c r="B1484" s="626" t="s">
        <v>2577</v>
      </c>
      <c r="C1484" s="153">
        <f>Tablas!F641</f>
        <v>0</v>
      </c>
    </row>
    <row r="1485" spans="2:3" ht="12.75" customHeight="1" x14ac:dyDescent="0.2">
      <c r="B1485" s="626" t="s">
        <v>2578</v>
      </c>
      <c r="C1485" s="153">
        <f>Tablas!F642</f>
        <v>0</v>
      </c>
    </row>
    <row r="1486" spans="2:3" ht="12.75" customHeight="1" x14ac:dyDescent="0.2">
      <c r="B1486" s="626" t="s">
        <v>2580</v>
      </c>
      <c r="C1486" s="153">
        <f>Tablas!F643</f>
        <v>0</v>
      </c>
    </row>
    <row r="1487" spans="2:3" ht="12.75" customHeight="1" x14ac:dyDescent="0.2">
      <c r="B1487" s="626" t="s">
        <v>2479</v>
      </c>
      <c r="C1487" s="153">
        <f>Tablas!F637</f>
        <v>0</v>
      </c>
    </row>
    <row r="1488" spans="2:3" ht="12.75" customHeight="1" x14ac:dyDescent="0.2">
      <c r="B1488" s="626" t="s">
        <v>2582</v>
      </c>
      <c r="C1488" s="153">
        <f>Tablas!F644</f>
        <v>0</v>
      </c>
    </row>
    <row r="1489" spans="2:3" ht="12.75" customHeight="1" x14ac:dyDescent="0.2">
      <c r="B1489" s="626" t="s">
        <v>2570</v>
      </c>
      <c r="C1489" s="153">
        <f>Tablas!F635</f>
        <v>0</v>
      </c>
    </row>
    <row r="1490" spans="2:3" ht="12.75" customHeight="1" x14ac:dyDescent="0.2">
      <c r="B1490" s="626" t="s">
        <v>2584</v>
      </c>
      <c r="C1490" s="153">
        <f>Tablas!F645</f>
        <v>0</v>
      </c>
    </row>
    <row r="1491" spans="2:3" ht="12.75" customHeight="1" x14ac:dyDescent="0.2">
      <c r="B1491" s="626" t="s">
        <v>2571</v>
      </c>
      <c r="C1491" s="153">
        <f>Tablas!F636</f>
        <v>0</v>
      </c>
    </row>
    <row r="1492" spans="2:3" ht="12.75" customHeight="1" x14ac:dyDescent="0.2">
      <c r="B1492" s="626" t="s">
        <v>2575</v>
      </c>
      <c r="C1492" s="153">
        <f>Tablas!F640</f>
        <v>0</v>
      </c>
    </row>
    <row r="1493" spans="2:3" ht="12.75" customHeight="1" thickBot="1" x14ac:dyDescent="0.25">
      <c r="B1493" s="627" t="s">
        <v>1771</v>
      </c>
      <c r="C1493" s="515">
        <f>Tablas!F646</f>
        <v>0</v>
      </c>
    </row>
    <row r="1495" spans="2:3" ht="12.75" customHeight="1" x14ac:dyDescent="0.2">
      <c r="B1495" s="4928" t="s">
        <v>1772</v>
      </c>
      <c r="C1495" s="4928"/>
    </row>
    <row r="1496" spans="2:3" ht="12.75" customHeight="1" thickBot="1" x14ac:dyDescent="0.25">
      <c r="B1496" s="452" t="s">
        <v>2245</v>
      </c>
      <c r="C1496" s="454" t="s">
        <v>1773</v>
      </c>
    </row>
    <row r="1497" spans="2:3" ht="12.75" customHeight="1" x14ac:dyDescent="0.2">
      <c r="B1497" s="477">
        <v>1</v>
      </c>
      <c r="C1497" s="312">
        <v>0</v>
      </c>
    </row>
    <row r="1498" spans="2:3" ht="12.75" customHeight="1" x14ac:dyDescent="0.2">
      <c r="B1498" s="477">
        <v>2</v>
      </c>
      <c r="C1498" s="312">
        <v>0</v>
      </c>
    </row>
    <row r="1499" spans="2:3" ht="12.75" customHeight="1" x14ac:dyDescent="0.2">
      <c r="B1499" s="477">
        <v>3</v>
      </c>
      <c r="C1499" s="312">
        <v>0</v>
      </c>
    </row>
    <row r="1500" spans="2:3" ht="12.75" customHeight="1" x14ac:dyDescent="0.2">
      <c r="B1500" s="477">
        <v>4</v>
      </c>
      <c r="C1500" s="312">
        <v>0</v>
      </c>
    </row>
    <row r="1501" spans="2:3" ht="12.75" customHeight="1" x14ac:dyDescent="0.2">
      <c r="B1501" s="477">
        <v>5</v>
      </c>
      <c r="C1501" s="312">
        <v>10</v>
      </c>
    </row>
    <row r="1502" spans="2:3" ht="12.75" customHeight="1" x14ac:dyDescent="0.2">
      <c r="B1502" s="478">
        <v>6</v>
      </c>
      <c r="C1502" s="312">
        <v>20</v>
      </c>
    </row>
    <row r="1503" spans="2:3" ht="12.75" customHeight="1" x14ac:dyDescent="0.2">
      <c r="B1503" s="478">
        <v>7</v>
      </c>
      <c r="C1503" s="312">
        <v>30</v>
      </c>
    </row>
    <row r="1504" spans="2:3" ht="12.75" customHeight="1" x14ac:dyDescent="0.2">
      <c r="B1504" s="478">
        <v>8</v>
      </c>
      <c r="C1504" s="312">
        <v>40</v>
      </c>
    </row>
    <row r="1505" spans="2:3" ht="12.75" customHeight="1" x14ac:dyDescent="0.2">
      <c r="B1505" s="478">
        <v>9</v>
      </c>
      <c r="C1505" s="312">
        <v>50</v>
      </c>
    </row>
    <row r="1506" spans="2:3" ht="12.75" customHeight="1" x14ac:dyDescent="0.2">
      <c r="B1506" s="477">
        <v>10</v>
      </c>
      <c r="C1506" s="312">
        <v>60</v>
      </c>
    </row>
    <row r="1507" spans="2:3" ht="12.75" customHeight="1" x14ac:dyDescent="0.2">
      <c r="B1507" s="478">
        <v>11</v>
      </c>
      <c r="C1507" s="312">
        <v>70</v>
      </c>
    </row>
    <row r="1508" spans="2:3" ht="12.75" customHeight="1" x14ac:dyDescent="0.2">
      <c r="B1508" s="478">
        <v>12</v>
      </c>
      <c r="C1508" s="312">
        <v>80</v>
      </c>
    </row>
    <row r="1509" spans="2:3" ht="12.75" customHeight="1" x14ac:dyDescent="0.2">
      <c r="B1509" s="478">
        <v>13</v>
      </c>
      <c r="C1509" s="312">
        <v>90</v>
      </c>
    </row>
    <row r="1510" spans="2:3" ht="12.75" customHeight="1" x14ac:dyDescent="0.2">
      <c r="B1510" s="478">
        <v>14</v>
      </c>
      <c r="C1510" s="312">
        <v>100</v>
      </c>
    </row>
    <row r="1511" spans="2:3" ht="12.75" customHeight="1" x14ac:dyDescent="0.2">
      <c r="B1511" s="477">
        <v>15</v>
      </c>
      <c r="C1511" s="312">
        <v>120</v>
      </c>
    </row>
    <row r="1512" spans="2:3" ht="12.75" customHeight="1" x14ac:dyDescent="0.2">
      <c r="B1512" s="477">
        <v>16</v>
      </c>
      <c r="C1512" s="312">
        <v>140</v>
      </c>
    </row>
    <row r="1513" spans="2:3" ht="12.75" customHeight="1" x14ac:dyDescent="0.2">
      <c r="B1513" s="478">
        <v>17</v>
      </c>
      <c r="C1513" s="312">
        <v>160</v>
      </c>
    </row>
    <row r="1514" spans="2:3" ht="12.75" customHeight="1" x14ac:dyDescent="0.2">
      <c r="B1514" s="478">
        <v>18</v>
      </c>
      <c r="C1514" s="312">
        <v>180</v>
      </c>
    </row>
    <row r="1515" spans="2:3" ht="12.75" customHeight="1" x14ac:dyDescent="0.2">
      <c r="B1515" s="479">
        <v>19</v>
      </c>
      <c r="C1515" s="312">
        <v>200</v>
      </c>
    </row>
    <row r="1516" spans="2:3" ht="12.75" customHeight="1" thickBot="1" x14ac:dyDescent="0.25">
      <c r="B1516" s="480">
        <v>20</v>
      </c>
      <c r="C1516" s="465">
        <v>220</v>
      </c>
    </row>
    <row r="1518" spans="2:3" ht="12.75" customHeight="1" x14ac:dyDescent="0.2">
      <c r="B1518" s="4933" t="s">
        <v>1774</v>
      </c>
      <c r="C1518" s="4933"/>
    </row>
    <row r="1519" spans="2:3" ht="12.75" customHeight="1" thickBot="1" x14ac:dyDescent="0.25">
      <c r="B1519" s="628" t="s">
        <v>2672</v>
      </c>
      <c r="C1519" s="531" t="s">
        <v>1775</v>
      </c>
    </row>
    <row r="1520" spans="2:3" ht="12.75" customHeight="1" x14ac:dyDescent="0.2">
      <c r="B1520" s="474">
        <v>1</v>
      </c>
      <c r="C1520" s="476">
        <v>10</v>
      </c>
    </row>
    <row r="1521" spans="2:3" ht="12.75" customHeight="1" x14ac:dyDescent="0.2">
      <c r="B1521" s="477">
        <v>3</v>
      </c>
      <c r="C1521" s="312">
        <v>20</v>
      </c>
    </row>
    <row r="1522" spans="2:3" ht="12.75" customHeight="1" x14ac:dyDescent="0.2">
      <c r="B1522" s="477">
        <v>6</v>
      </c>
      <c r="C1522" s="312">
        <v>30</v>
      </c>
    </row>
    <row r="1523" spans="2:3" ht="12.75" customHeight="1" x14ac:dyDescent="0.2">
      <c r="B1523" s="477">
        <v>10</v>
      </c>
      <c r="C1523" s="312">
        <v>40</v>
      </c>
    </row>
    <row r="1524" spans="2:3" ht="12.75" customHeight="1" x14ac:dyDescent="0.2">
      <c r="B1524" s="477">
        <v>15</v>
      </c>
      <c r="C1524" s="312">
        <v>50</v>
      </c>
    </row>
    <row r="1525" spans="2:3" ht="12.75" customHeight="1" x14ac:dyDescent="0.2">
      <c r="B1525" s="478">
        <v>21</v>
      </c>
      <c r="C1525" s="312">
        <v>60</v>
      </c>
    </row>
    <row r="1526" spans="2:3" ht="12.75" customHeight="1" x14ac:dyDescent="0.2">
      <c r="B1526" s="478">
        <v>28</v>
      </c>
      <c r="C1526" s="312">
        <v>70</v>
      </c>
    </row>
    <row r="1527" spans="2:3" ht="12.75" customHeight="1" x14ac:dyDescent="0.2">
      <c r="B1527" s="478">
        <v>36</v>
      </c>
      <c r="C1527" s="312">
        <v>80</v>
      </c>
    </row>
    <row r="1528" spans="2:3" ht="12.75" customHeight="1" x14ac:dyDescent="0.2">
      <c r="B1528" s="478">
        <v>45</v>
      </c>
      <c r="C1528" s="312">
        <v>90</v>
      </c>
    </row>
    <row r="1529" spans="2:3" ht="12.75" customHeight="1" thickBot="1" x14ac:dyDescent="0.25">
      <c r="B1529" s="480">
        <v>55</v>
      </c>
      <c r="C1529" s="465">
        <v>100</v>
      </c>
    </row>
    <row r="1531" spans="2:3" ht="12.75" customHeight="1" thickBot="1" x14ac:dyDescent="0.25">
      <c r="B1531" s="3028" t="s">
        <v>1776</v>
      </c>
      <c r="C1531" s="3028"/>
    </row>
    <row r="1532" spans="2:3" ht="12.75" customHeight="1" thickBot="1" x14ac:dyDescent="0.25">
      <c r="B1532" s="3028"/>
      <c r="C1532" s="3028"/>
    </row>
    <row r="1533" spans="2:3" ht="12.75" customHeight="1" x14ac:dyDescent="0.2">
      <c r="B1533" s="230">
        <v>0</v>
      </c>
      <c r="C1533" s="312">
        <v>200</v>
      </c>
    </row>
    <row r="1534" spans="2:3" ht="12.75" customHeight="1" x14ac:dyDescent="0.2">
      <c r="B1534" s="230">
        <v>4</v>
      </c>
      <c r="C1534" s="312">
        <v>280</v>
      </c>
    </row>
    <row r="1535" spans="2:3" ht="12.75" customHeight="1" x14ac:dyDescent="0.2">
      <c r="B1535" s="230">
        <v>7</v>
      </c>
      <c r="C1535" s="312">
        <v>320</v>
      </c>
    </row>
    <row r="1536" spans="2:3" ht="12.75" customHeight="1" thickBot="1" x14ac:dyDescent="0.25">
      <c r="B1536" s="605">
        <v>10</v>
      </c>
      <c r="C1536" s="465">
        <v>1000</v>
      </c>
    </row>
    <row r="1542" spans="2:9" ht="12.75" customHeight="1" thickBot="1" x14ac:dyDescent="0.25">
      <c r="B1542" s="4799" t="s">
        <v>1777</v>
      </c>
      <c r="C1542" s="4799"/>
      <c r="D1542" s="4799"/>
      <c r="E1542" s="4799"/>
      <c r="F1542" s="4799"/>
      <c r="G1542" s="4799"/>
      <c r="H1542" s="4799"/>
    </row>
    <row r="1543" spans="2:9" ht="12.75" customHeight="1" x14ac:dyDescent="0.2">
      <c r="B1543" s="4799"/>
      <c r="C1543" s="4799"/>
      <c r="D1543" s="4799"/>
      <c r="E1543" s="4799"/>
      <c r="F1543" s="4799"/>
      <c r="G1543" s="4799"/>
      <c r="H1543" s="4799"/>
    </row>
    <row r="1544" spans="2:9" ht="12.75" customHeight="1" thickBot="1" x14ac:dyDescent="0.25">
      <c r="B1544" s="629"/>
      <c r="C1544" s="630"/>
      <c r="D1544" s="2937" t="s">
        <v>2295</v>
      </c>
      <c r="E1544" s="2937" t="s">
        <v>1778</v>
      </c>
      <c r="F1544" s="2937" t="s">
        <v>2345</v>
      </c>
      <c r="G1544" s="2937" t="s">
        <v>3283</v>
      </c>
      <c r="H1544" s="2938" t="s">
        <v>2790</v>
      </c>
      <c r="I1544" s="2939" t="s">
        <v>1763</v>
      </c>
    </row>
    <row r="1545" spans="2:9" ht="12.75" customHeight="1" x14ac:dyDescent="0.2">
      <c r="B1545" s="1860" t="e">
        <f>VLOOKUP(A795,$C$751:$D$759,2,0)</f>
        <v>#N/A</v>
      </c>
      <c r="C1545" s="2723">
        <f>COUNTIF($D$751:$D$759,"&lt;="&amp;D1545)</f>
        <v>1</v>
      </c>
      <c r="D1545" s="525" t="s">
        <v>1779</v>
      </c>
      <c r="E1545" s="543">
        <v>0</v>
      </c>
      <c r="F1545" s="632">
        <v>0</v>
      </c>
      <c r="G1545" s="543"/>
      <c r="H1545" s="1995"/>
      <c r="I1545" s="1854"/>
    </row>
    <row r="1546" spans="2:9" ht="12.75" customHeight="1" x14ac:dyDescent="0.2">
      <c r="B1546" s="631"/>
      <c r="C1546" s="287"/>
      <c r="D1546" s="525" t="s">
        <v>1780</v>
      </c>
      <c r="E1546" s="543">
        <v>0</v>
      </c>
      <c r="F1546" s="632">
        <v>10</v>
      </c>
      <c r="G1546" s="543">
        <f>COUNTIF(HabilidadesEsenciales_Adquiridas,Tablas!D1546)</f>
        <v>0</v>
      </c>
      <c r="H1546" s="1995">
        <v>1</v>
      </c>
      <c r="I1546" s="1854"/>
    </row>
    <row r="1547" spans="2:9" ht="12.75" customHeight="1" x14ac:dyDescent="0.2">
      <c r="B1547" s="631"/>
      <c r="C1547" s="287"/>
      <c r="D1547" s="525" t="s">
        <v>3303</v>
      </c>
      <c r="E1547" s="543">
        <v>5</v>
      </c>
      <c r="F1547" s="632">
        <v>30</v>
      </c>
      <c r="G1547" s="543">
        <f>COUNTIF(HabilidadesEsenciales_Adquiridas,Tablas!D1547)</f>
        <v>0</v>
      </c>
      <c r="H1547" s="1995">
        <v>2</v>
      </c>
      <c r="I1547" s="1854"/>
    </row>
    <row r="1548" spans="2:9" ht="12.75" customHeight="1" x14ac:dyDescent="0.2">
      <c r="B1548" s="631"/>
      <c r="C1548" s="287"/>
      <c r="D1548" s="525" t="s">
        <v>1781</v>
      </c>
      <c r="E1548" s="543">
        <v>5</v>
      </c>
      <c r="F1548" s="632">
        <v>15</v>
      </c>
      <c r="G1548" s="543">
        <f>COUNTIF(HabilidadesEsenciales_Adquiridas,Tablas!D1548)</f>
        <v>0</v>
      </c>
      <c r="H1548" s="1995"/>
      <c r="I1548" s="1854"/>
    </row>
    <row r="1549" spans="2:9" ht="12.75" customHeight="1" x14ac:dyDescent="0.2">
      <c r="B1549" s="631"/>
      <c r="C1549" s="287"/>
      <c r="D1549" s="525" t="s">
        <v>1782</v>
      </c>
      <c r="E1549" s="543">
        <v>5</v>
      </c>
      <c r="F1549" s="632">
        <v>30</v>
      </c>
      <c r="G1549" s="543">
        <f>COUNTIF(HabilidadesEsenciales_Adquiridas,Tablas!D1549)</f>
        <v>0</v>
      </c>
      <c r="H1549" s="1995"/>
      <c r="I1549" s="1854"/>
    </row>
    <row r="1550" spans="2:9" ht="12.75" customHeight="1" x14ac:dyDescent="0.2">
      <c r="B1550" s="631"/>
      <c r="C1550" s="287"/>
      <c r="D1550" s="525" t="s">
        <v>1783</v>
      </c>
      <c r="E1550" s="543">
        <v>0</v>
      </c>
      <c r="F1550" s="632">
        <v>10</v>
      </c>
      <c r="G1550" s="543">
        <f>COUNTIF(HabilidadesEsenciales_Adquiridas,Tablas!D1550)</f>
        <v>0</v>
      </c>
      <c r="H1550" s="1995"/>
      <c r="I1550" s="1854"/>
    </row>
    <row r="1551" spans="2:9" ht="12.75" customHeight="1" x14ac:dyDescent="0.2">
      <c r="B1551" s="631"/>
      <c r="C1551" s="287"/>
      <c r="D1551" s="525" t="s">
        <v>1784</v>
      </c>
      <c r="E1551" s="543">
        <v>5</v>
      </c>
      <c r="F1551" s="632">
        <v>10</v>
      </c>
      <c r="G1551" s="543">
        <f>COUNTIF(HabilidadesEsenciales_Adquiridas,Tablas!D1551)</f>
        <v>0</v>
      </c>
      <c r="H1551" s="1995"/>
      <c r="I1551" s="1854"/>
    </row>
    <row r="1552" spans="2:9" ht="12.75" customHeight="1" x14ac:dyDescent="0.2">
      <c r="B1552" s="631"/>
      <c r="C1552" s="287"/>
      <c r="D1552" s="525" t="s">
        <v>1785</v>
      </c>
      <c r="E1552" s="543">
        <v>0</v>
      </c>
      <c r="F1552" s="632">
        <v>20</v>
      </c>
      <c r="G1552" s="543">
        <f>COUNTIF(HabilidadesEsenciales_Adquiridas,Tablas!D1552)</f>
        <v>0</v>
      </c>
      <c r="H1552" s="1995">
        <v>1</v>
      </c>
      <c r="I1552" s="1854"/>
    </row>
    <row r="1553" spans="2:14" ht="12.75" customHeight="1" x14ac:dyDescent="0.2">
      <c r="B1553" s="631"/>
      <c r="C1553" s="287"/>
      <c r="D1553" s="525" t="s">
        <v>1786</v>
      </c>
      <c r="E1553" s="543">
        <v>5</v>
      </c>
      <c r="F1553" s="632">
        <v>20</v>
      </c>
      <c r="G1553" s="543">
        <f>COUNTIF(HabilidadesEsenciales_Adquiridas,Tablas!D1553)</f>
        <v>0</v>
      </c>
      <c r="H1553" s="1995">
        <v>1</v>
      </c>
      <c r="I1553" s="1854"/>
    </row>
    <row r="1554" spans="2:14" ht="12.75" customHeight="1" x14ac:dyDescent="0.2">
      <c r="B1554" s="631"/>
      <c r="C1554" s="287"/>
      <c r="D1554" s="525" t="s">
        <v>1787</v>
      </c>
      <c r="E1554" s="543">
        <v>20</v>
      </c>
      <c r="F1554" s="632">
        <v>40</v>
      </c>
      <c r="G1554" s="543">
        <f>COUNTIF(HabilidadesEsenciales_Adquiridas,Tablas!D1554)</f>
        <v>0</v>
      </c>
      <c r="H1554" s="1995">
        <v>1</v>
      </c>
      <c r="I1554" s="1854"/>
    </row>
    <row r="1555" spans="2:14" ht="12.75" customHeight="1" x14ac:dyDescent="0.2">
      <c r="B1555" s="631"/>
      <c r="C1555" s="287"/>
      <c r="D1555" s="525" t="s">
        <v>1788</v>
      </c>
      <c r="E1555" s="543">
        <v>20</v>
      </c>
      <c r="F1555" s="632">
        <v>40</v>
      </c>
      <c r="G1555" s="543">
        <f>COUNTIF(HabilidadesEsenciales_Adquiridas,Tablas!D1555)</f>
        <v>0</v>
      </c>
      <c r="H1555" s="1995">
        <v>1</v>
      </c>
      <c r="I1555" s="1854"/>
    </row>
    <row r="1556" spans="2:14" ht="12.75" customHeight="1" x14ac:dyDescent="0.2">
      <c r="B1556" s="631"/>
      <c r="C1556" s="287"/>
      <c r="D1556" s="525" t="s">
        <v>1789</v>
      </c>
      <c r="E1556" s="543">
        <v>30</v>
      </c>
      <c r="F1556" s="632">
        <v>80</v>
      </c>
      <c r="G1556" s="543">
        <f>COUNTIF(HabilidadesEsenciales_Adquiridas,Tablas!D1556)</f>
        <v>0</v>
      </c>
      <c r="H1556" s="1995">
        <v>1</v>
      </c>
      <c r="I1556" s="1854"/>
    </row>
    <row r="1557" spans="2:14" ht="12.75" customHeight="1" x14ac:dyDescent="0.2">
      <c r="B1557" s="631"/>
      <c r="C1557" s="287"/>
      <c r="D1557" s="525" t="s">
        <v>1790</v>
      </c>
      <c r="E1557" s="543">
        <v>35</v>
      </c>
      <c r="F1557" s="632">
        <v>80</v>
      </c>
      <c r="G1557" s="543">
        <f>COUNTIF(HabilidadesEsenciales_Adquiridas,Tablas!D1557)</f>
        <v>0</v>
      </c>
      <c r="H1557" s="1995">
        <v>1</v>
      </c>
      <c r="I1557" s="2942" t="s">
        <v>9915</v>
      </c>
      <c r="J1557" s="2941"/>
      <c r="N1557" s="447"/>
    </row>
    <row r="1558" spans="2:14" ht="12.75" customHeight="1" x14ac:dyDescent="0.2">
      <c r="B1558" s="631"/>
      <c r="C1558" s="287"/>
      <c r="D1558" s="525" t="s">
        <v>1791</v>
      </c>
      <c r="E1558" s="543">
        <v>0</v>
      </c>
      <c r="F1558" s="632">
        <v>20</v>
      </c>
      <c r="G1558" s="543">
        <f>COUNTIF(HabilidadesEsenciales_Adquiridas,Tablas!D1558)</f>
        <v>0</v>
      </c>
      <c r="H1558" s="1995">
        <v>1</v>
      </c>
      <c r="I1558" s="654" t="s">
        <v>2226</v>
      </c>
      <c r="J1558" s="654">
        <f>SUMPRODUCT({1;2;3;4;5},G1558:G1562)</f>
        <v>0</v>
      </c>
      <c r="N1558" s="447"/>
    </row>
    <row r="1559" spans="2:14" ht="12.75" customHeight="1" x14ac:dyDescent="0.2">
      <c r="B1559" s="631"/>
      <c r="C1559" s="287"/>
      <c r="D1559" s="525" t="s">
        <v>1792</v>
      </c>
      <c r="E1559" s="543">
        <v>5</v>
      </c>
      <c r="F1559" s="632">
        <v>40</v>
      </c>
      <c r="G1559" s="543">
        <f>COUNTIF(HabilidadesEsenciales_Adquiridas,Tablas!D1559)</f>
        <v>0</v>
      </c>
      <c r="H1559" s="1995">
        <v>1</v>
      </c>
      <c r="I1559" s="654" t="str">
        <f>IF(OR($Y$11="Ánima",$Y$11="Ánima, Elemental",$Y$11="No muerto, Espectro"),"-","CON")</f>
        <v>CON</v>
      </c>
      <c r="J1559" s="654">
        <f>SUMPRODUCT({1;2;3;4;5},G1563:G1567)</f>
        <v>0</v>
      </c>
      <c r="N1559" s="447"/>
    </row>
    <row r="1560" spans="2:14" ht="12.75" customHeight="1" x14ac:dyDescent="0.2">
      <c r="B1560" s="631"/>
      <c r="C1560" s="287"/>
      <c r="D1560" s="525" t="s">
        <v>1793</v>
      </c>
      <c r="E1560" s="543">
        <v>15</v>
      </c>
      <c r="F1560" s="632">
        <v>60</v>
      </c>
      <c r="G1560" s="543">
        <f>COUNTIF(HabilidadesEsenciales_Adquiridas,Tablas!D1560)</f>
        <v>0</v>
      </c>
      <c r="H1560" s="1995">
        <v>1</v>
      </c>
      <c r="I1560" s="654" t="s">
        <v>2231</v>
      </c>
      <c r="J1560" s="654">
        <f>SUMPRODUCT({1;2;3;4;5},G1568:G1572)</f>
        <v>0</v>
      </c>
      <c r="N1560" s="447"/>
    </row>
    <row r="1561" spans="2:14" ht="12.75" customHeight="1" x14ac:dyDescent="0.2">
      <c r="B1561" s="631"/>
      <c r="C1561" s="287"/>
      <c r="D1561" s="525" t="s">
        <v>1265</v>
      </c>
      <c r="E1561" s="543">
        <v>20</v>
      </c>
      <c r="F1561" s="632">
        <v>120</v>
      </c>
      <c r="G1561" s="543">
        <f>COUNTIF(HabilidadesEsenciales_Adquiridas,Tablas!D1561)</f>
        <v>0</v>
      </c>
      <c r="H1561" s="1995"/>
      <c r="I1561" s="654" t="s">
        <v>2236</v>
      </c>
      <c r="J1561" s="654">
        <f>SUMPRODUCT({1;2;3;4;5},G1573:G1577)</f>
        <v>0</v>
      </c>
      <c r="N1561" s="447"/>
    </row>
    <row r="1562" spans="2:14" ht="12.75" customHeight="1" x14ac:dyDescent="0.2">
      <c r="B1562" s="631"/>
      <c r="C1562" s="287"/>
      <c r="D1562" s="525" t="s">
        <v>1266</v>
      </c>
      <c r="E1562" s="543">
        <v>25</v>
      </c>
      <c r="F1562" s="632">
        <v>180</v>
      </c>
      <c r="G1562" s="543">
        <f>COUNTIF(HabilidadesEsenciales_Adquiridas,Tablas!D1562)</f>
        <v>0</v>
      </c>
      <c r="H1562" s="1995"/>
      <c r="I1562" s="654" t="s">
        <v>2239</v>
      </c>
      <c r="J1562" s="654">
        <f>SUMPRODUCT({1;2;3;4;5},G1578:G1582)</f>
        <v>0</v>
      </c>
      <c r="N1562" s="447"/>
    </row>
    <row r="1563" spans="2:14" ht="12.75" customHeight="1" x14ac:dyDescent="0.2">
      <c r="B1563" s="631"/>
      <c r="C1563" s="287"/>
      <c r="D1563" s="525" t="s">
        <v>1794</v>
      </c>
      <c r="E1563" s="543">
        <v>0</v>
      </c>
      <c r="F1563" s="632">
        <v>20</v>
      </c>
      <c r="G1563" s="543">
        <f>COUNTIF(HabilidadesEsenciales_Adquiridas,Tablas!D1563)</f>
        <v>0</v>
      </c>
      <c r="H1563" s="1995">
        <v>1</v>
      </c>
      <c r="I1563" s="654" t="s">
        <v>2242</v>
      </c>
      <c r="J1563" s="654">
        <f>SUMPRODUCT({1;2;3;4;5},G1583:G1587)</f>
        <v>0</v>
      </c>
      <c r="N1563" s="447"/>
    </row>
    <row r="1564" spans="2:14" ht="12.75" customHeight="1" x14ac:dyDescent="0.2">
      <c r="B1564" s="631"/>
      <c r="C1564" s="287"/>
      <c r="D1564" s="525" t="s">
        <v>1795</v>
      </c>
      <c r="E1564" s="543">
        <v>5</v>
      </c>
      <c r="F1564" s="632">
        <v>40</v>
      </c>
      <c r="G1564" s="543">
        <f>COUNTIF(HabilidadesEsenciales_Adquiridas,Tablas!D1564)</f>
        <v>0</v>
      </c>
      <c r="H1564" s="1995">
        <v>1</v>
      </c>
      <c r="I1564" s="654" t="s">
        <v>2244</v>
      </c>
      <c r="J1564" s="654">
        <f>SUMPRODUCT({1;2;3;4;5},G1588:G1592)</f>
        <v>0</v>
      </c>
      <c r="N1564" s="447"/>
    </row>
    <row r="1565" spans="2:14" ht="12.75" customHeight="1" x14ac:dyDescent="0.2">
      <c r="B1565" s="631"/>
      <c r="C1565" s="287"/>
      <c r="D1565" s="525" t="s">
        <v>1796</v>
      </c>
      <c r="E1565" s="543">
        <v>15</v>
      </c>
      <c r="F1565" s="632">
        <v>60</v>
      </c>
      <c r="G1565" s="543">
        <f>COUNTIF(HabilidadesEsenciales_Adquiridas,Tablas!D1565)</f>
        <v>0</v>
      </c>
      <c r="H1565" s="1995">
        <v>1</v>
      </c>
      <c r="I1565" s="654" t="s">
        <v>2245</v>
      </c>
      <c r="J1565" s="654">
        <f>SUMPRODUCT({1;2;3;4;5},G1593:G1597)</f>
        <v>0</v>
      </c>
      <c r="N1565" s="447"/>
    </row>
    <row r="1566" spans="2:14" ht="12.75" customHeight="1" x14ac:dyDescent="0.2">
      <c r="B1566" s="631"/>
      <c r="C1566" s="287"/>
      <c r="D1566" s="525" t="s">
        <v>1267</v>
      </c>
      <c r="E1566" s="543">
        <v>20</v>
      </c>
      <c r="F1566" s="632">
        <v>120</v>
      </c>
      <c r="G1566" s="543">
        <f>COUNTIF(HabilidadesEsenciales_Adquiridas,Tablas!D1566)</f>
        <v>0</v>
      </c>
      <c r="H1566" s="1995"/>
      <c r="I1566" s="1854"/>
      <c r="N1566" s="447"/>
    </row>
    <row r="1567" spans="2:14" ht="12.75" customHeight="1" x14ac:dyDescent="0.2">
      <c r="B1567" s="631"/>
      <c r="C1567" s="287"/>
      <c r="D1567" s="525" t="s">
        <v>1268</v>
      </c>
      <c r="E1567" s="543">
        <v>25</v>
      </c>
      <c r="F1567" s="632">
        <v>180</v>
      </c>
      <c r="G1567" s="543">
        <f>COUNTIF(HabilidadesEsenciales_Adquiridas,Tablas!D1567)</f>
        <v>0</v>
      </c>
      <c r="H1567" s="1995"/>
      <c r="I1567" s="1854"/>
      <c r="N1567" s="447"/>
    </row>
    <row r="1568" spans="2:14" ht="12.75" customHeight="1" x14ac:dyDescent="0.2">
      <c r="B1568" s="631"/>
      <c r="C1568" s="287"/>
      <c r="D1568" s="525" t="s">
        <v>1797</v>
      </c>
      <c r="E1568" s="543">
        <v>0</v>
      </c>
      <c r="F1568" s="632">
        <v>20</v>
      </c>
      <c r="G1568" s="543">
        <f>COUNTIF(HabilidadesEsenciales_Adquiridas,Tablas!D1568)</f>
        <v>0</v>
      </c>
      <c r="H1568" s="1995">
        <v>1</v>
      </c>
      <c r="I1568" s="1854"/>
      <c r="N1568" s="447"/>
    </row>
    <row r="1569" spans="2:14" ht="12.75" customHeight="1" x14ac:dyDescent="0.2">
      <c r="B1569" s="631"/>
      <c r="C1569" s="287"/>
      <c r="D1569" s="525" t="s">
        <v>1798</v>
      </c>
      <c r="E1569" s="543">
        <v>5</v>
      </c>
      <c r="F1569" s="632">
        <v>40</v>
      </c>
      <c r="G1569" s="543">
        <f>COUNTIF(HabilidadesEsenciales_Adquiridas,Tablas!D1569)</f>
        <v>0</v>
      </c>
      <c r="H1569" s="1995">
        <v>1</v>
      </c>
      <c r="I1569" s="1854"/>
      <c r="N1569" s="447"/>
    </row>
    <row r="1570" spans="2:14" ht="12.75" customHeight="1" x14ac:dyDescent="0.2">
      <c r="B1570" s="631"/>
      <c r="C1570" s="287"/>
      <c r="D1570" s="525" t="s">
        <v>1799</v>
      </c>
      <c r="E1570" s="543">
        <v>15</v>
      </c>
      <c r="F1570" s="632">
        <v>60</v>
      </c>
      <c r="G1570" s="543">
        <f>COUNTIF(HabilidadesEsenciales_Adquiridas,Tablas!D1570)</f>
        <v>0</v>
      </c>
      <c r="H1570" s="1995">
        <v>1</v>
      </c>
      <c r="I1570" s="1854"/>
    </row>
    <row r="1571" spans="2:14" ht="12.75" customHeight="1" x14ac:dyDescent="0.2">
      <c r="B1571" s="631"/>
      <c r="C1571" s="287"/>
      <c r="D1571" s="525" t="s">
        <v>1269</v>
      </c>
      <c r="E1571" s="543">
        <v>20</v>
      </c>
      <c r="F1571" s="632">
        <v>120</v>
      </c>
      <c r="G1571" s="543">
        <f>COUNTIF(HabilidadesEsenciales_Adquiridas,Tablas!D1571)</f>
        <v>0</v>
      </c>
      <c r="H1571" s="1995"/>
      <c r="I1571" s="1854"/>
    </row>
    <row r="1572" spans="2:14" ht="12.75" customHeight="1" x14ac:dyDescent="0.2">
      <c r="B1572" s="631"/>
      <c r="C1572" s="287"/>
      <c r="D1572" s="525" t="s">
        <v>1270</v>
      </c>
      <c r="E1572" s="543">
        <v>25</v>
      </c>
      <c r="F1572" s="632">
        <v>180</v>
      </c>
      <c r="G1572" s="543">
        <f>COUNTIF(HabilidadesEsenciales_Adquiridas,Tablas!D1572)</f>
        <v>0</v>
      </c>
      <c r="H1572" s="1995"/>
      <c r="I1572" s="1854"/>
    </row>
    <row r="1573" spans="2:14" ht="12.75" customHeight="1" x14ac:dyDescent="0.2">
      <c r="B1573" s="631"/>
      <c r="C1573" s="287"/>
      <c r="D1573" s="525" t="s">
        <v>1800</v>
      </c>
      <c r="E1573" s="543">
        <v>0</v>
      </c>
      <c r="F1573" s="632">
        <v>20</v>
      </c>
      <c r="G1573" s="543">
        <f>COUNTIF(HabilidadesEsenciales_Adquiridas,Tablas!D1573)</f>
        <v>0</v>
      </c>
      <c r="H1573" s="1995">
        <v>1</v>
      </c>
      <c r="I1573" s="1854"/>
    </row>
    <row r="1574" spans="2:14" ht="12.75" customHeight="1" x14ac:dyDescent="0.2">
      <c r="B1574" s="631"/>
      <c r="C1574" s="287"/>
      <c r="D1574" s="525" t="s">
        <v>1801</v>
      </c>
      <c r="E1574" s="543">
        <v>5</v>
      </c>
      <c r="F1574" s="632">
        <v>40</v>
      </c>
      <c r="G1574" s="543">
        <f>COUNTIF(HabilidadesEsenciales_Adquiridas,Tablas!D1574)</f>
        <v>0</v>
      </c>
      <c r="H1574" s="1995">
        <v>1</v>
      </c>
      <c r="I1574" s="1854"/>
    </row>
    <row r="1575" spans="2:14" ht="12.75" customHeight="1" x14ac:dyDescent="0.2">
      <c r="B1575" s="631"/>
      <c r="C1575" s="287"/>
      <c r="D1575" s="525" t="s">
        <v>1802</v>
      </c>
      <c r="E1575" s="543">
        <v>15</v>
      </c>
      <c r="F1575" s="632">
        <v>60</v>
      </c>
      <c r="G1575" s="543">
        <f>COUNTIF(HabilidadesEsenciales_Adquiridas,Tablas!D1575)</f>
        <v>0</v>
      </c>
      <c r="H1575" s="1995">
        <v>1</v>
      </c>
      <c r="I1575" s="1854"/>
    </row>
    <row r="1576" spans="2:14" ht="12.75" customHeight="1" x14ac:dyDescent="0.2">
      <c r="B1576" s="631"/>
      <c r="C1576" s="287"/>
      <c r="D1576" s="525" t="s">
        <v>1271</v>
      </c>
      <c r="E1576" s="543">
        <v>20</v>
      </c>
      <c r="F1576" s="632">
        <v>120</v>
      </c>
      <c r="G1576" s="543">
        <f>COUNTIF(HabilidadesEsenciales_Adquiridas,Tablas!D1576)</f>
        <v>0</v>
      </c>
      <c r="H1576" s="1995"/>
      <c r="I1576" s="1854"/>
    </row>
    <row r="1577" spans="2:14" ht="12.75" customHeight="1" x14ac:dyDescent="0.2">
      <c r="B1577" s="631"/>
      <c r="C1577" s="287"/>
      <c r="D1577" s="525" t="s">
        <v>1272</v>
      </c>
      <c r="E1577" s="543">
        <v>25</v>
      </c>
      <c r="F1577" s="632">
        <v>180</v>
      </c>
      <c r="G1577" s="543">
        <f>COUNTIF(HabilidadesEsenciales_Adquiridas,Tablas!D1577)</f>
        <v>0</v>
      </c>
      <c r="H1577" s="1995"/>
      <c r="I1577" s="1854"/>
    </row>
    <row r="1578" spans="2:14" ht="12.75" customHeight="1" x14ac:dyDescent="0.2">
      <c r="B1578" s="631"/>
      <c r="C1578" s="287"/>
      <c r="D1578" s="525" t="s">
        <v>1803</v>
      </c>
      <c r="E1578" s="543">
        <v>0</v>
      </c>
      <c r="F1578" s="632">
        <v>20</v>
      </c>
      <c r="G1578" s="543">
        <f>COUNTIF(HabilidadesEsenciales_Adquiridas,Tablas!D1578)</f>
        <v>0</v>
      </c>
      <c r="H1578" s="1995">
        <v>1</v>
      </c>
      <c r="I1578" s="1854"/>
    </row>
    <row r="1579" spans="2:14" ht="12.75" customHeight="1" x14ac:dyDescent="0.2">
      <c r="B1579" s="631"/>
      <c r="C1579" s="287"/>
      <c r="D1579" s="525" t="s">
        <v>1804</v>
      </c>
      <c r="E1579" s="543">
        <v>5</v>
      </c>
      <c r="F1579" s="632">
        <v>40</v>
      </c>
      <c r="G1579" s="543">
        <f>COUNTIF(HabilidadesEsenciales_Adquiridas,Tablas!D1579)</f>
        <v>0</v>
      </c>
      <c r="H1579" s="1995">
        <v>1</v>
      </c>
      <c r="I1579" s="1854"/>
    </row>
    <row r="1580" spans="2:14" ht="12.75" customHeight="1" x14ac:dyDescent="0.2">
      <c r="B1580" s="631"/>
      <c r="C1580" s="287"/>
      <c r="D1580" s="525" t="s">
        <v>1805</v>
      </c>
      <c r="E1580" s="543">
        <v>15</v>
      </c>
      <c r="F1580" s="632">
        <v>60</v>
      </c>
      <c r="G1580" s="543">
        <f>COUNTIF(HabilidadesEsenciales_Adquiridas,Tablas!D1580)</f>
        <v>0</v>
      </c>
      <c r="H1580" s="1995">
        <v>1</v>
      </c>
      <c r="I1580" s="1854"/>
    </row>
    <row r="1581" spans="2:14" ht="12.75" customHeight="1" x14ac:dyDescent="0.2">
      <c r="B1581" s="631"/>
      <c r="C1581" s="287"/>
      <c r="D1581" s="525" t="s">
        <v>1263</v>
      </c>
      <c r="E1581" s="543">
        <v>20</v>
      </c>
      <c r="F1581" s="632">
        <v>120</v>
      </c>
      <c r="G1581" s="543">
        <f>COUNTIF(HabilidadesEsenciales_Adquiridas,Tablas!D1581)</f>
        <v>0</v>
      </c>
      <c r="H1581" s="1995">
        <v>1</v>
      </c>
      <c r="I1581" s="1854"/>
    </row>
    <row r="1582" spans="2:14" ht="12.75" customHeight="1" x14ac:dyDescent="0.2">
      <c r="B1582" s="631"/>
      <c r="C1582" s="287"/>
      <c r="D1582" s="525" t="s">
        <v>1264</v>
      </c>
      <c r="E1582" s="543">
        <v>25</v>
      </c>
      <c r="F1582" s="632">
        <v>180</v>
      </c>
      <c r="G1582" s="543">
        <f>COUNTIF(HabilidadesEsenciales_Adquiridas,Tablas!D1582)</f>
        <v>0</v>
      </c>
      <c r="H1582" s="1995">
        <v>1</v>
      </c>
      <c r="I1582" s="1854"/>
    </row>
    <row r="1583" spans="2:14" ht="12.75" customHeight="1" x14ac:dyDescent="0.2">
      <c r="B1583" s="631"/>
      <c r="C1583" s="287"/>
      <c r="D1583" s="525" t="s">
        <v>1806</v>
      </c>
      <c r="E1583" s="543">
        <v>0</v>
      </c>
      <c r="F1583" s="632">
        <v>20</v>
      </c>
      <c r="G1583" s="543">
        <f>COUNTIF(HabilidadesEsenciales_Adquiridas,Tablas!D1583)</f>
        <v>0</v>
      </c>
      <c r="H1583" s="1995">
        <v>1</v>
      </c>
      <c r="I1583" s="1854"/>
    </row>
    <row r="1584" spans="2:14" ht="12.75" customHeight="1" x14ac:dyDescent="0.2">
      <c r="B1584" s="631"/>
      <c r="C1584" s="287"/>
      <c r="D1584" s="525" t="s">
        <v>1807</v>
      </c>
      <c r="E1584" s="543">
        <v>5</v>
      </c>
      <c r="F1584" s="632">
        <v>40</v>
      </c>
      <c r="G1584" s="543">
        <f>COUNTIF(HabilidadesEsenciales_Adquiridas,Tablas!D1584)</f>
        <v>0</v>
      </c>
      <c r="H1584" s="1995">
        <v>1</v>
      </c>
      <c r="I1584" s="1854"/>
    </row>
    <row r="1585" spans="2:9" ht="12.75" customHeight="1" x14ac:dyDescent="0.2">
      <c r="B1585" s="631"/>
      <c r="C1585" s="287"/>
      <c r="D1585" s="525" t="s">
        <v>1808</v>
      </c>
      <c r="E1585" s="543">
        <v>15</v>
      </c>
      <c r="F1585" s="632">
        <v>60</v>
      </c>
      <c r="G1585" s="543">
        <f>COUNTIF(HabilidadesEsenciales_Adquiridas,Tablas!D1585)</f>
        <v>0</v>
      </c>
      <c r="H1585" s="1995">
        <v>1</v>
      </c>
      <c r="I1585" s="1854"/>
    </row>
    <row r="1586" spans="2:9" ht="12.75" customHeight="1" x14ac:dyDescent="0.2">
      <c r="B1586" s="631"/>
      <c r="C1586" s="287"/>
      <c r="D1586" s="525" t="s">
        <v>1273</v>
      </c>
      <c r="E1586" s="543">
        <v>20</v>
      </c>
      <c r="F1586" s="632">
        <v>120</v>
      </c>
      <c r="G1586" s="543">
        <f>COUNTIF(HabilidadesEsenciales_Adquiridas,Tablas!D1586)</f>
        <v>0</v>
      </c>
      <c r="H1586" s="1995"/>
      <c r="I1586" s="1854"/>
    </row>
    <row r="1587" spans="2:9" ht="12.75" customHeight="1" x14ac:dyDescent="0.2">
      <c r="B1587" s="631"/>
      <c r="C1587" s="287"/>
      <c r="D1587" s="525" t="s">
        <v>1274</v>
      </c>
      <c r="E1587" s="543">
        <v>25</v>
      </c>
      <c r="F1587" s="632">
        <v>180</v>
      </c>
      <c r="G1587" s="543">
        <f>COUNTIF(HabilidadesEsenciales_Adquiridas,Tablas!D1587)</f>
        <v>0</v>
      </c>
      <c r="H1587" s="1995"/>
      <c r="I1587" s="1854"/>
    </row>
    <row r="1588" spans="2:9" ht="12.75" customHeight="1" x14ac:dyDescent="0.2">
      <c r="B1588" s="631"/>
      <c r="C1588" s="287"/>
      <c r="D1588" s="525" t="s">
        <v>1809</v>
      </c>
      <c r="E1588" s="543">
        <v>0</v>
      </c>
      <c r="F1588" s="632">
        <v>20</v>
      </c>
      <c r="G1588" s="543">
        <f>COUNTIF(HabilidadesEsenciales_Adquiridas,Tablas!D1588)</f>
        <v>0</v>
      </c>
      <c r="H1588" s="1995">
        <v>1</v>
      </c>
      <c r="I1588" s="1854"/>
    </row>
    <row r="1589" spans="2:9" ht="12.75" customHeight="1" x14ac:dyDescent="0.2">
      <c r="B1589" s="631"/>
      <c r="C1589" s="287"/>
      <c r="D1589" s="525" t="s">
        <v>1810</v>
      </c>
      <c r="E1589" s="543">
        <v>5</v>
      </c>
      <c r="F1589" s="632">
        <v>40</v>
      </c>
      <c r="G1589" s="543">
        <f>COUNTIF(HabilidadesEsenciales_Adquiridas,Tablas!D1589)</f>
        <v>0</v>
      </c>
      <c r="H1589" s="1995">
        <v>1</v>
      </c>
      <c r="I1589" s="1854"/>
    </row>
    <row r="1590" spans="2:9" ht="12.75" customHeight="1" x14ac:dyDescent="0.2">
      <c r="B1590" s="631"/>
      <c r="C1590" s="287"/>
      <c r="D1590" s="525" t="s">
        <v>1811</v>
      </c>
      <c r="E1590" s="543">
        <v>15</v>
      </c>
      <c r="F1590" s="632">
        <v>60</v>
      </c>
      <c r="G1590" s="543">
        <f>COUNTIF(HabilidadesEsenciales_Adquiridas,Tablas!D1590)</f>
        <v>0</v>
      </c>
      <c r="H1590" s="1995">
        <v>1</v>
      </c>
      <c r="I1590" s="1854"/>
    </row>
    <row r="1591" spans="2:9" ht="12.75" customHeight="1" x14ac:dyDescent="0.2">
      <c r="B1591" s="631"/>
      <c r="C1591" s="287"/>
      <c r="D1591" s="525" t="s">
        <v>1275</v>
      </c>
      <c r="E1591" s="543">
        <v>20</v>
      </c>
      <c r="F1591" s="632">
        <v>120</v>
      </c>
      <c r="G1591" s="543">
        <f>COUNTIF(HabilidadesEsenciales_Adquiridas,Tablas!D1591)</f>
        <v>0</v>
      </c>
      <c r="H1591" s="1995"/>
      <c r="I1591" s="1854"/>
    </row>
    <row r="1592" spans="2:9" ht="12.75" customHeight="1" x14ac:dyDescent="0.2">
      <c r="B1592" s="631"/>
      <c r="C1592" s="287"/>
      <c r="D1592" s="525" t="s">
        <v>1276</v>
      </c>
      <c r="E1592" s="543">
        <v>25</v>
      </c>
      <c r="F1592" s="632">
        <v>180</v>
      </c>
      <c r="G1592" s="543">
        <f>COUNTIF(HabilidadesEsenciales_Adquiridas,Tablas!D1592)</f>
        <v>0</v>
      </c>
      <c r="H1592" s="1995"/>
      <c r="I1592" s="1854"/>
    </row>
    <row r="1593" spans="2:9" ht="12.75" customHeight="1" x14ac:dyDescent="0.2">
      <c r="B1593" s="631"/>
      <c r="C1593" s="287"/>
      <c r="D1593" s="525" t="s">
        <v>1812</v>
      </c>
      <c r="E1593" s="543">
        <v>0</v>
      </c>
      <c r="F1593" s="632">
        <v>20</v>
      </c>
      <c r="G1593" s="543">
        <f>COUNTIF(HabilidadesEsenciales_Adquiridas,Tablas!D1593)</f>
        <v>0</v>
      </c>
      <c r="H1593" s="1995">
        <v>1</v>
      </c>
      <c r="I1593" s="1854"/>
    </row>
    <row r="1594" spans="2:9" ht="12.75" customHeight="1" x14ac:dyDescent="0.2">
      <c r="B1594" s="631"/>
      <c r="C1594" s="287"/>
      <c r="D1594" s="525" t="s">
        <v>1813</v>
      </c>
      <c r="E1594" s="543">
        <v>5</v>
      </c>
      <c r="F1594" s="632">
        <v>40</v>
      </c>
      <c r="G1594" s="543">
        <f>COUNTIF(HabilidadesEsenciales_Adquiridas,Tablas!D1594)</f>
        <v>0</v>
      </c>
      <c r="H1594" s="1995">
        <v>1</v>
      </c>
      <c r="I1594" s="1854"/>
    </row>
    <row r="1595" spans="2:9" ht="12.75" customHeight="1" x14ac:dyDescent="0.2">
      <c r="B1595" s="631"/>
      <c r="C1595" s="287"/>
      <c r="D1595" s="525" t="s">
        <v>1814</v>
      </c>
      <c r="E1595" s="543">
        <v>15</v>
      </c>
      <c r="F1595" s="632">
        <v>60</v>
      </c>
      <c r="G1595" s="543">
        <f>COUNTIF(HabilidadesEsenciales_Adquiridas,Tablas!D1595)</f>
        <v>0</v>
      </c>
      <c r="H1595" s="1995">
        <v>1</v>
      </c>
      <c r="I1595" s="1854"/>
    </row>
    <row r="1596" spans="2:9" ht="12.75" customHeight="1" x14ac:dyDescent="0.2">
      <c r="B1596" s="631"/>
      <c r="C1596" s="287"/>
      <c r="D1596" s="525" t="s">
        <v>1277</v>
      </c>
      <c r="E1596" s="543">
        <v>20</v>
      </c>
      <c r="F1596" s="632">
        <v>120</v>
      </c>
      <c r="G1596" s="543">
        <f>COUNTIF(HabilidadesEsenciales_Adquiridas,Tablas!D1596)</f>
        <v>0</v>
      </c>
      <c r="H1596" s="1995"/>
      <c r="I1596" s="1854"/>
    </row>
    <row r="1597" spans="2:9" ht="12.75" customHeight="1" x14ac:dyDescent="0.2">
      <c r="B1597" s="631"/>
      <c r="C1597" s="287"/>
      <c r="D1597" s="525" t="s">
        <v>1278</v>
      </c>
      <c r="E1597" s="543">
        <v>25</v>
      </c>
      <c r="F1597" s="632">
        <v>180</v>
      </c>
      <c r="G1597" s="543">
        <f>COUNTIF(HabilidadesEsenciales_Adquiridas,Tablas!D1597)</f>
        <v>0</v>
      </c>
      <c r="H1597" s="1995"/>
      <c r="I1597" s="1854"/>
    </row>
    <row r="1598" spans="2:9" ht="12.75" customHeight="1" x14ac:dyDescent="0.2">
      <c r="B1598" s="631"/>
      <c r="C1598" s="287"/>
      <c r="D1598" s="525" t="s">
        <v>3334</v>
      </c>
      <c r="E1598" s="543">
        <v>0</v>
      </c>
      <c r="F1598" s="632">
        <v>10</v>
      </c>
      <c r="G1598" s="543">
        <f>COUNTIF(HabilidadesEsenciales_Adquiridas,Tablas!D1598)</f>
        <v>0</v>
      </c>
      <c r="H1598" s="1995">
        <v>1</v>
      </c>
      <c r="I1598" s="2940" t="s">
        <v>2787</v>
      </c>
    </row>
    <row r="1599" spans="2:9" ht="12.75" customHeight="1" x14ac:dyDescent="0.2">
      <c r="B1599" s="631"/>
      <c r="C1599" s="287"/>
      <c r="D1599" s="525" t="s">
        <v>3335</v>
      </c>
      <c r="E1599" s="543">
        <v>0</v>
      </c>
      <c r="F1599" s="632">
        <v>10</v>
      </c>
      <c r="G1599" s="543">
        <f>COUNTIF(HabilidadesEsenciales_Adquiridas,Tablas!D1599)</f>
        <v>0</v>
      </c>
      <c r="H1599" s="1995">
        <v>1</v>
      </c>
      <c r="I1599" s="654">
        <f>SUMPRODUCT({1;2;3;4;5;-1;-2;-3;-4;-5},G1598:G1607)</f>
        <v>0</v>
      </c>
    </row>
    <row r="1600" spans="2:9" ht="12.75" customHeight="1" x14ac:dyDescent="0.2">
      <c r="B1600" s="631"/>
      <c r="C1600" s="287"/>
      <c r="D1600" s="525" t="s">
        <v>3336</v>
      </c>
      <c r="E1600" s="543">
        <v>0</v>
      </c>
      <c r="F1600" s="632">
        <v>10</v>
      </c>
      <c r="G1600" s="543">
        <f>COUNTIF(HabilidadesEsenciales_Adquiridas,Tablas!D1600)</f>
        <v>0</v>
      </c>
      <c r="H1600" s="1995">
        <v>1</v>
      </c>
      <c r="I1600" s="1854"/>
    </row>
    <row r="1601" spans="2:9" ht="12.75" customHeight="1" x14ac:dyDescent="0.2">
      <c r="B1601" s="631"/>
      <c r="C1601" s="287"/>
      <c r="D1601" s="525" t="s">
        <v>3337</v>
      </c>
      <c r="E1601" s="543">
        <v>0</v>
      </c>
      <c r="F1601" s="632">
        <v>10</v>
      </c>
      <c r="G1601" s="543">
        <f>COUNTIF(HabilidadesEsenciales_Adquiridas,Tablas!D1601)</f>
        <v>0</v>
      </c>
      <c r="H1601" s="1995">
        <v>1</v>
      </c>
      <c r="I1601" s="1854"/>
    </row>
    <row r="1602" spans="2:9" ht="12.75" customHeight="1" x14ac:dyDescent="0.2">
      <c r="B1602" s="631"/>
      <c r="C1602" s="287"/>
      <c r="D1602" s="525" t="s">
        <v>3338</v>
      </c>
      <c r="E1602" s="543">
        <v>0</v>
      </c>
      <c r="F1602" s="632">
        <v>10</v>
      </c>
      <c r="G1602" s="543">
        <f>COUNTIF(HabilidadesEsenciales_Adquiridas,Tablas!D1602)</f>
        <v>0</v>
      </c>
      <c r="H1602" s="1995">
        <v>1</v>
      </c>
      <c r="I1602" s="1854"/>
    </row>
    <row r="1603" spans="2:9" ht="12.75" customHeight="1" x14ac:dyDescent="0.2">
      <c r="B1603" s="631"/>
      <c r="C1603" s="287"/>
      <c r="D1603" s="525" t="s">
        <v>3339</v>
      </c>
      <c r="E1603" s="543">
        <v>0</v>
      </c>
      <c r="F1603" s="632">
        <v>10</v>
      </c>
      <c r="G1603" s="543">
        <f>COUNTIF(HabilidadesEsenciales_Adquiridas,Tablas!D1603)</f>
        <v>0</v>
      </c>
      <c r="H1603" s="1995">
        <v>1</v>
      </c>
      <c r="I1603" s="1854"/>
    </row>
    <row r="1604" spans="2:9" ht="12.75" customHeight="1" x14ac:dyDescent="0.2">
      <c r="B1604" s="631"/>
      <c r="C1604" s="287"/>
      <c r="D1604" s="525" t="s">
        <v>3340</v>
      </c>
      <c r="E1604" s="543">
        <v>0</v>
      </c>
      <c r="F1604" s="632">
        <v>10</v>
      </c>
      <c r="G1604" s="543">
        <f>COUNTIF(HabilidadesEsenciales_Adquiridas,Tablas!D1604)</f>
        <v>0</v>
      </c>
      <c r="H1604" s="1995">
        <v>1</v>
      </c>
      <c r="I1604" s="1854"/>
    </row>
    <row r="1605" spans="2:9" ht="12.75" customHeight="1" x14ac:dyDescent="0.2">
      <c r="B1605" s="631"/>
      <c r="C1605" s="287"/>
      <c r="D1605" s="525" t="s">
        <v>3341</v>
      </c>
      <c r="E1605" s="543">
        <v>0</v>
      </c>
      <c r="F1605" s="632">
        <v>10</v>
      </c>
      <c r="G1605" s="543">
        <f>COUNTIF(HabilidadesEsenciales_Adquiridas,Tablas!D1605)</f>
        <v>0</v>
      </c>
      <c r="H1605" s="1995">
        <v>1</v>
      </c>
      <c r="I1605" s="1854"/>
    </row>
    <row r="1606" spans="2:9" ht="12.75" customHeight="1" x14ac:dyDescent="0.2">
      <c r="B1606" s="631"/>
      <c r="C1606" s="287"/>
      <c r="D1606" s="525" t="s">
        <v>3342</v>
      </c>
      <c r="E1606" s="543">
        <v>0</v>
      </c>
      <c r="F1606" s="632">
        <v>10</v>
      </c>
      <c r="G1606" s="543">
        <f>COUNTIF(HabilidadesEsenciales_Adquiridas,Tablas!D1606)</f>
        <v>0</v>
      </c>
      <c r="H1606" s="1995">
        <v>1</v>
      </c>
      <c r="I1606" s="1854"/>
    </row>
    <row r="1607" spans="2:9" ht="12.75" customHeight="1" x14ac:dyDescent="0.2">
      <c r="B1607" s="631"/>
      <c r="C1607" s="287"/>
      <c r="D1607" s="525" t="s">
        <v>3343</v>
      </c>
      <c r="E1607" s="543">
        <v>0</v>
      </c>
      <c r="F1607" s="632">
        <v>10</v>
      </c>
      <c r="G1607" s="543">
        <f>COUNTIF(HabilidadesEsenciales_Adquiridas,Tablas!D1607)</f>
        <v>0</v>
      </c>
      <c r="H1607" s="1995">
        <v>1</v>
      </c>
      <c r="I1607" s="1854"/>
    </row>
    <row r="1608" spans="2:9" ht="12.75" customHeight="1" x14ac:dyDescent="0.2">
      <c r="B1608" s="631"/>
      <c r="C1608" s="287"/>
      <c r="D1608" s="525" t="s">
        <v>1815</v>
      </c>
      <c r="E1608" s="543">
        <v>0</v>
      </c>
      <c r="F1608" s="632">
        <v>30</v>
      </c>
      <c r="G1608" s="543">
        <f>COUNTIF(HabilidadesEsenciales_Adquiridas,Tablas!D1608)</f>
        <v>0</v>
      </c>
      <c r="H1608" s="1995">
        <v>1</v>
      </c>
      <c r="I1608" s="1854"/>
    </row>
    <row r="1609" spans="2:9" ht="12.75" customHeight="1" x14ac:dyDescent="0.2">
      <c r="B1609" s="631"/>
      <c r="C1609" s="287"/>
      <c r="D1609" s="525" t="s">
        <v>2552</v>
      </c>
      <c r="E1609" s="543">
        <v>0</v>
      </c>
      <c r="F1609" s="632">
        <v>10</v>
      </c>
      <c r="G1609" s="543">
        <f>COUNTIF(HabilidadesEsenciales_Adquiridas,Tablas!D1609)</f>
        <v>0</v>
      </c>
      <c r="H1609" s="1995">
        <v>2</v>
      </c>
      <c r="I1609" s="1854"/>
    </row>
    <row r="1610" spans="2:9" ht="12.75" customHeight="1" x14ac:dyDescent="0.2">
      <c r="B1610" s="631"/>
      <c r="C1610" s="287"/>
      <c r="D1610" s="633" t="s">
        <v>2553</v>
      </c>
      <c r="E1610" s="634">
        <v>25</v>
      </c>
      <c r="F1610" s="632">
        <v>20</v>
      </c>
      <c r="G1610" s="543">
        <f>COUNTIF(HabilidadesEsenciales_Adquiridas,Tablas!D1610)</f>
        <v>0</v>
      </c>
      <c r="H1610" s="1995">
        <v>2</v>
      </c>
      <c r="I1610" s="1854"/>
    </row>
    <row r="1611" spans="2:9" ht="12.75" customHeight="1" x14ac:dyDescent="0.2">
      <c r="B1611" s="631"/>
      <c r="C1611" s="287"/>
      <c r="D1611" s="525" t="s">
        <v>1816</v>
      </c>
      <c r="E1611" s="543">
        <v>0</v>
      </c>
      <c r="F1611" s="632">
        <v>10</v>
      </c>
      <c r="G1611" s="543">
        <f>COUNTIF(HabilidadesEsenciales_Adquiridas,Tablas!D1611)</f>
        <v>0</v>
      </c>
      <c r="H1611" s="1995"/>
      <c r="I1611" s="1854"/>
    </row>
    <row r="1612" spans="2:9" ht="12.75" customHeight="1" x14ac:dyDescent="0.2">
      <c r="B1612" s="631"/>
      <c r="C1612" s="287"/>
      <c r="D1612" s="525" t="s">
        <v>1817</v>
      </c>
      <c r="E1612" s="543">
        <v>5</v>
      </c>
      <c r="F1612" s="632">
        <v>10</v>
      </c>
      <c r="G1612" s="543">
        <f>COUNTIF(HabilidadesEsenciales_Adquiridas,Tablas!D1612)</f>
        <v>0</v>
      </c>
      <c r="H1612" s="1995"/>
      <c r="I1612" s="1854"/>
    </row>
    <row r="1613" spans="2:9" ht="12.75" customHeight="1" x14ac:dyDescent="0.2">
      <c r="B1613" s="631"/>
      <c r="C1613" s="287"/>
      <c r="D1613" s="525" t="s">
        <v>1818</v>
      </c>
      <c r="E1613" s="543">
        <v>15</v>
      </c>
      <c r="F1613" s="632">
        <v>20</v>
      </c>
      <c r="G1613" s="543">
        <f>COUNTIF(HabilidadesEsenciales_Adquiridas,Tablas!D1613)</f>
        <v>0</v>
      </c>
      <c r="H1613" s="1995">
        <v>1</v>
      </c>
      <c r="I1613" s="1854"/>
    </row>
    <row r="1614" spans="2:9" ht="12.75" customHeight="1" x14ac:dyDescent="0.2">
      <c r="B1614" s="631"/>
      <c r="C1614" s="287"/>
      <c r="D1614" s="525" t="s">
        <v>1819</v>
      </c>
      <c r="E1614" s="543">
        <v>15</v>
      </c>
      <c r="F1614" s="632">
        <v>10</v>
      </c>
      <c r="G1614" s="543">
        <f>COUNTIF(HabilidadesEsenciales_Adquiridas,Tablas!D1614)</f>
        <v>0</v>
      </c>
      <c r="H1614" s="1995"/>
      <c r="I1614" s="1854"/>
    </row>
    <row r="1615" spans="2:9" ht="12.75" customHeight="1" x14ac:dyDescent="0.2">
      <c r="B1615" s="631"/>
      <c r="C1615" s="287"/>
      <c r="D1615" s="525" t="s">
        <v>1820</v>
      </c>
      <c r="E1615" s="543">
        <v>15</v>
      </c>
      <c r="F1615" s="632">
        <v>10</v>
      </c>
      <c r="G1615" s="543">
        <f>COUNTIF(HabilidadesEsenciales_Adquiridas,Tablas!D1615)</f>
        <v>0</v>
      </c>
      <c r="H1615" s="1995"/>
      <c r="I1615" s="1854"/>
    </row>
    <row r="1616" spans="2:9" ht="12.75" customHeight="1" x14ac:dyDescent="0.2">
      <c r="B1616" s="631"/>
      <c r="C1616" s="287"/>
      <c r="D1616" s="525" t="s">
        <v>1821</v>
      </c>
      <c r="E1616" s="543">
        <v>15</v>
      </c>
      <c r="F1616" s="632">
        <v>10</v>
      </c>
      <c r="G1616" s="543">
        <f>COUNTIF(HabilidadesEsenciales_Adquiridas,Tablas!D1616)</f>
        <v>0</v>
      </c>
      <c r="H1616" s="1995"/>
      <c r="I1616" s="1854"/>
    </row>
    <row r="1617" spans="2:9" ht="12.75" customHeight="1" x14ac:dyDescent="0.2">
      <c r="B1617" s="631"/>
      <c r="C1617" s="287"/>
      <c r="D1617" s="525" t="s">
        <v>1822</v>
      </c>
      <c r="E1617" s="543">
        <v>20</v>
      </c>
      <c r="F1617" s="632">
        <v>20</v>
      </c>
      <c r="G1617" s="543">
        <f>COUNTIF(HabilidadesEsenciales_Adquiridas,Tablas!D1617)</f>
        <v>0</v>
      </c>
      <c r="H1617" s="1995"/>
      <c r="I1617" s="1854"/>
    </row>
    <row r="1618" spans="2:9" ht="12.75" customHeight="1" x14ac:dyDescent="0.2">
      <c r="B1618" s="631"/>
      <c r="C1618" s="287"/>
      <c r="D1618" s="525" t="s">
        <v>1823</v>
      </c>
      <c r="E1618" s="543">
        <v>20</v>
      </c>
      <c r="F1618" s="632">
        <v>10</v>
      </c>
      <c r="G1618" s="543">
        <f>COUNTIF(HabilidadesEsenciales_Adquiridas,Tablas!D1618)</f>
        <v>0</v>
      </c>
      <c r="H1618" s="1995"/>
      <c r="I1618" s="1854"/>
    </row>
    <row r="1619" spans="2:9" ht="12.75" customHeight="1" x14ac:dyDescent="0.2">
      <c r="B1619" s="631"/>
      <c r="C1619" s="287"/>
      <c r="D1619" s="525" t="s">
        <v>1824</v>
      </c>
      <c r="E1619" s="543">
        <v>15</v>
      </c>
      <c r="F1619" s="632">
        <v>10</v>
      </c>
      <c r="G1619" s="543">
        <f>COUNTIF(HabilidadesEsenciales_Adquiridas,Tablas!D1619)</f>
        <v>0</v>
      </c>
      <c r="H1619" s="1995"/>
      <c r="I1619" s="1854"/>
    </row>
    <row r="1620" spans="2:9" ht="12.75" customHeight="1" x14ac:dyDescent="0.2">
      <c r="B1620" s="631"/>
      <c r="C1620" s="287"/>
      <c r="D1620" s="525" t="s">
        <v>1825</v>
      </c>
      <c r="E1620" s="543">
        <v>20</v>
      </c>
      <c r="F1620" s="632">
        <v>50</v>
      </c>
      <c r="G1620" s="543">
        <f>COUNTIF(HabilidadesEsenciales_Adquiridas,Tablas!D1620)</f>
        <v>0</v>
      </c>
      <c r="H1620" s="1995">
        <v>2</v>
      </c>
      <c r="I1620" s="1854"/>
    </row>
    <row r="1621" spans="2:9" ht="12.75" customHeight="1" x14ac:dyDescent="0.2">
      <c r="B1621" s="631"/>
      <c r="C1621" s="287"/>
      <c r="D1621" s="525" t="s">
        <v>1826</v>
      </c>
      <c r="E1621" s="543">
        <v>20</v>
      </c>
      <c r="F1621" s="632">
        <v>10</v>
      </c>
      <c r="G1621" s="543">
        <f>COUNTIF(HabilidadesEsenciales_Adquiridas,Tablas!D1621)</f>
        <v>0</v>
      </c>
      <c r="H1621" s="1995"/>
      <c r="I1621" s="1854"/>
    </row>
    <row r="1622" spans="2:9" ht="12.75" customHeight="1" x14ac:dyDescent="0.2">
      <c r="B1622" s="631"/>
      <c r="C1622" s="287"/>
      <c r="D1622" s="525" t="s">
        <v>1827</v>
      </c>
      <c r="E1622" s="543">
        <v>25</v>
      </c>
      <c r="F1622" s="632">
        <v>30</v>
      </c>
      <c r="G1622" s="543">
        <f>COUNTIF(HabilidadesEsenciales_Adquiridas,Tablas!D1622)</f>
        <v>0</v>
      </c>
      <c r="H1622" s="1995"/>
      <c r="I1622" s="1854"/>
    </row>
    <row r="1623" spans="2:9" ht="12.75" customHeight="1" x14ac:dyDescent="0.2">
      <c r="B1623" s="631"/>
      <c r="C1623" s="287"/>
      <c r="D1623" s="525" t="s">
        <v>1828</v>
      </c>
      <c r="E1623" s="543">
        <v>10</v>
      </c>
      <c r="F1623" s="632">
        <v>20</v>
      </c>
      <c r="G1623" s="543">
        <f>COUNTIF(HabilidadesEsenciales_Adquiridas,Tablas!D1623)</f>
        <v>0</v>
      </c>
      <c r="H1623" s="1995"/>
      <c r="I1623" s="1854"/>
    </row>
    <row r="1624" spans="2:9" ht="12.75" customHeight="1" x14ac:dyDescent="0.2">
      <c r="B1624" s="631"/>
      <c r="C1624" s="287"/>
      <c r="D1624" s="525" t="s">
        <v>1829</v>
      </c>
      <c r="E1624" s="543">
        <v>0</v>
      </c>
      <c r="F1624" s="632">
        <v>0</v>
      </c>
      <c r="G1624" s="543"/>
      <c r="H1624" s="1995"/>
      <c r="I1624" s="1854"/>
    </row>
    <row r="1625" spans="2:9" ht="12.75" customHeight="1" x14ac:dyDescent="0.2">
      <c r="B1625" s="631"/>
      <c r="C1625" s="287"/>
      <c r="D1625" s="525" t="s">
        <v>1830</v>
      </c>
      <c r="E1625" s="543">
        <v>5</v>
      </c>
      <c r="F1625" s="632">
        <v>30</v>
      </c>
      <c r="G1625" s="543">
        <f>COUNTIF(HabilidadesEsenciales_Adquiridas,Tablas!D1625)</f>
        <v>0</v>
      </c>
      <c r="H1625" s="1995">
        <v>1</v>
      </c>
      <c r="I1625" s="1854"/>
    </row>
    <row r="1626" spans="2:9" ht="12.75" customHeight="1" x14ac:dyDescent="0.2">
      <c r="B1626" s="631"/>
      <c r="C1626" s="287"/>
      <c r="D1626" s="525" t="s">
        <v>1831</v>
      </c>
      <c r="E1626" s="543">
        <v>10</v>
      </c>
      <c r="F1626" s="632">
        <v>10</v>
      </c>
      <c r="G1626" s="543">
        <f>COUNTIF(HabilidadesEsenciales_Adquiridas,Tablas!D1626)</f>
        <v>0</v>
      </c>
      <c r="H1626" s="1995">
        <v>1</v>
      </c>
      <c r="I1626" s="1854"/>
    </row>
    <row r="1627" spans="2:9" ht="12.75" customHeight="1" x14ac:dyDescent="0.2">
      <c r="B1627" s="631"/>
      <c r="C1627" s="287"/>
      <c r="D1627" s="525" t="s">
        <v>1832</v>
      </c>
      <c r="E1627" s="543">
        <v>15</v>
      </c>
      <c r="F1627" s="632">
        <v>20</v>
      </c>
      <c r="G1627" s="543">
        <f>COUNTIF(HabilidadesEsenciales_Adquiridas,Tablas!D1627)</f>
        <v>0</v>
      </c>
      <c r="H1627" s="1995">
        <v>1</v>
      </c>
      <c r="I1627" s="1854"/>
    </row>
    <row r="1628" spans="2:9" ht="12.75" customHeight="1" x14ac:dyDescent="0.2">
      <c r="B1628" s="631"/>
      <c r="C1628" s="287"/>
      <c r="D1628" s="525" t="s">
        <v>1833</v>
      </c>
      <c r="E1628" s="543">
        <v>20</v>
      </c>
      <c r="F1628" s="632">
        <v>30</v>
      </c>
      <c r="G1628" s="543">
        <f>COUNTIF(HabilidadesEsenciales_Adquiridas,Tablas!D1628)</f>
        <v>0</v>
      </c>
      <c r="H1628" s="1995">
        <v>1</v>
      </c>
      <c r="I1628" s="1854"/>
    </row>
    <row r="1629" spans="2:9" ht="12.75" customHeight="1" x14ac:dyDescent="0.2">
      <c r="B1629" s="631"/>
      <c r="C1629" s="287"/>
      <c r="D1629" s="525" t="s">
        <v>1834</v>
      </c>
      <c r="E1629" s="543">
        <v>25</v>
      </c>
      <c r="F1629" s="632">
        <v>40</v>
      </c>
      <c r="G1629" s="543">
        <f>COUNTIF(HabilidadesEsenciales_Adquiridas,Tablas!D1629)</f>
        <v>0</v>
      </c>
      <c r="H1629" s="1995">
        <v>1</v>
      </c>
      <c r="I1629" s="1854"/>
    </row>
    <row r="1630" spans="2:9" ht="12.75" customHeight="1" x14ac:dyDescent="0.2">
      <c r="B1630" s="631"/>
      <c r="C1630" s="287"/>
      <c r="D1630" s="525" t="s">
        <v>1835</v>
      </c>
      <c r="E1630" s="543">
        <v>30</v>
      </c>
      <c r="F1630" s="632">
        <v>50</v>
      </c>
      <c r="G1630" s="543">
        <f>COUNTIF(HabilidadesEsenciales_Adquiridas,Tablas!D1630)</f>
        <v>0</v>
      </c>
      <c r="H1630" s="1995">
        <v>1</v>
      </c>
      <c r="I1630" s="1854"/>
    </row>
    <row r="1631" spans="2:9" ht="12.75" customHeight="1" x14ac:dyDescent="0.2">
      <c r="B1631" s="631"/>
      <c r="C1631" s="287"/>
      <c r="D1631" s="525" t="s">
        <v>1836</v>
      </c>
      <c r="E1631" s="543">
        <v>10</v>
      </c>
      <c r="F1631" s="632">
        <v>10</v>
      </c>
      <c r="G1631" s="543">
        <f>COUNTIF(HabilidadesEsenciales_Adquiridas,Tablas!D1631)</f>
        <v>0</v>
      </c>
      <c r="H1631" s="1995">
        <v>1</v>
      </c>
      <c r="I1631" s="1854"/>
    </row>
    <row r="1632" spans="2:9" ht="12.75" customHeight="1" x14ac:dyDescent="0.2">
      <c r="B1632" s="631"/>
      <c r="C1632" s="287"/>
      <c r="D1632" s="525" t="s">
        <v>1837</v>
      </c>
      <c r="E1632" s="543">
        <v>15</v>
      </c>
      <c r="F1632" s="632">
        <v>20</v>
      </c>
      <c r="G1632" s="543">
        <f>COUNTIF(HabilidadesEsenciales_Adquiridas,Tablas!D1632)</f>
        <v>0</v>
      </c>
      <c r="H1632" s="1995">
        <v>1</v>
      </c>
      <c r="I1632" s="1854"/>
    </row>
    <row r="1633" spans="2:14" ht="12.75" customHeight="1" x14ac:dyDescent="0.2">
      <c r="B1633" s="631"/>
      <c r="C1633" s="287"/>
      <c r="D1633" s="525" t="s">
        <v>1838</v>
      </c>
      <c r="E1633" s="543">
        <v>20</v>
      </c>
      <c r="F1633" s="632">
        <v>30</v>
      </c>
      <c r="G1633" s="543">
        <f>COUNTIF(HabilidadesEsenciales_Adquiridas,Tablas!D1633)</f>
        <v>0</v>
      </c>
      <c r="H1633" s="1995">
        <v>1</v>
      </c>
      <c r="I1633" s="1854"/>
    </row>
    <row r="1634" spans="2:14" ht="12.75" customHeight="1" x14ac:dyDescent="0.2">
      <c r="B1634" s="631"/>
      <c r="C1634" s="287"/>
      <c r="D1634" s="525" t="s">
        <v>1839</v>
      </c>
      <c r="E1634" s="543">
        <v>25</v>
      </c>
      <c r="F1634" s="632">
        <v>40</v>
      </c>
      <c r="G1634" s="543">
        <f>COUNTIF(HabilidadesEsenciales_Adquiridas,Tablas!D1634)</f>
        <v>0</v>
      </c>
      <c r="H1634" s="1995">
        <v>1</v>
      </c>
      <c r="I1634" s="1854"/>
    </row>
    <row r="1635" spans="2:14" ht="12.75" customHeight="1" x14ac:dyDescent="0.2">
      <c r="B1635" s="631"/>
      <c r="C1635" s="287"/>
      <c r="D1635" s="525" t="s">
        <v>1840</v>
      </c>
      <c r="E1635" s="543">
        <v>30</v>
      </c>
      <c r="F1635" s="632">
        <v>50</v>
      </c>
      <c r="G1635" s="543">
        <f>COUNTIF(HabilidadesEsenciales_Adquiridas,Tablas!D1635)</f>
        <v>0</v>
      </c>
      <c r="H1635" s="1995">
        <v>1</v>
      </c>
      <c r="I1635" s="1854"/>
    </row>
    <row r="1636" spans="2:14" ht="12.75" customHeight="1" x14ac:dyDescent="0.2">
      <c r="B1636" s="631"/>
      <c r="C1636" s="287"/>
      <c r="D1636" s="525" t="s">
        <v>1841</v>
      </c>
      <c r="E1636" s="543">
        <v>10</v>
      </c>
      <c r="F1636" s="632">
        <v>10</v>
      </c>
      <c r="G1636" s="543">
        <f>COUNTIF(HabilidadesEsenciales_Adquiridas,Tablas!D1636)</f>
        <v>0</v>
      </c>
      <c r="H1636" s="1995">
        <v>1</v>
      </c>
      <c r="I1636" s="1854"/>
    </row>
    <row r="1637" spans="2:14" ht="12.75" customHeight="1" x14ac:dyDescent="0.2">
      <c r="B1637" s="631"/>
      <c r="C1637" s="287"/>
      <c r="D1637" s="525" t="s">
        <v>1842</v>
      </c>
      <c r="E1637" s="543">
        <v>15</v>
      </c>
      <c r="F1637" s="632">
        <v>20</v>
      </c>
      <c r="G1637" s="543">
        <f>COUNTIF(HabilidadesEsenciales_Adquiridas,Tablas!D1637)</f>
        <v>0</v>
      </c>
      <c r="H1637" s="1995">
        <v>1</v>
      </c>
      <c r="I1637" s="1854"/>
    </row>
    <row r="1638" spans="2:14" ht="12.75" customHeight="1" x14ac:dyDescent="0.2">
      <c r="B1638" s="631"/>
      <c r="C1638" s="287"/>
      <c r="D1638" s="525" t="s">
        <v>1843</v>
      </c>
      <c r="E1638" s="543">
        <v>20</v>
      </c>
      <c r="F1638" s="632">
        <v>30</v>
      </c>
      <c r="G1638" s="543">
        <f>COUNTIF(HabilidadesEsenciales_Adquiridas,Tablas!D1638)</f>
        <v>0</v>
      </c>
      <c r="H1638" s="1995">
        <v>1</v>
      </c>
      <c r="I1638" s="1854"/>
    </row>
    <row r="1639" spans="2:14" ht="12.75" customHeight="1" x14ac:dyDescent="0.2">
      <c r="B1639" s="631"/>
      <c r="C1639" s="287"/>
      <c r="D1639" s="525" t="s">
        <v>1844</v>
      </c>
      <c r="E1639" s="543">
        <v>25</v>
      </c>
      <c r="F1639" s="632">
        <v>40</v>
      </c>
      <c r="G1639" s="543">
        <f>COUNTIF(HabilidadesEsenciales_Adquiridas,Tablas!D1639)</f>
        <v>0</v>
      </c>
      <c r="H1639" s="1995">
        <v>1</v>
      </c>
      <c r="I1639" s="1854"/>
    </row>
    <row r="1640" spans="2:14" ht="12.75" customHeight="1" x14ac:dyDescent="0.2">
      <c r="B1640" s="631"/>
      <c r="C1640" s="287"/>
      <c r="D1640" s="525" t="s">
        <v>1845</v>
      </c>
      <c r="E1640" s="543">
        <v>30</v>
      </c>
      <c r="F1640" s="632">
        <v>50</v>
      </c>
      <c r="G1640" s="543">
        <f>COUNTIF(HabilidadesEsenciales_Adquiridas,Tablas!D1640)</f>
        <v>0</v>
      </c>
      <c r="H1640" s="1995">
        <v>1</v>
      </c>
      <c r="I1640" s="1854"/>
    </row>
    <row r="1641" spans="2:14" ht="12.75" customHeight="1" x14ac:dyDescent="0.2">
      <c r="B1641" s="631"/>
      <c r="C1641" s="287"/>
      <c r="D1641" s="525" t="s">
        <v>1846</v>
      </c>
      <c r="E1641" s="543">
        <v>10</v>
      </c>
      <c r="F1641" s="632">
        <v>10</v>
      </c>
      <c r="G1641" s="543">
        <f>COUNTIF(HabilidadesEsenciales_Adquiridas,Tablas!D1641)</f>
        <v>0</v>
      </c>
      <c r="H1641" s="1995">
        <v>1</v>
      </c>
      <c r="I1641" s="1854"/>
      <c r="J1641" s="635"/>
      <c r="K1641" s="636"/>
      <c r="L1641" s="636"/>
      <c r="M1641" s="636"/>
      <c r="N1641" s="2303"/>
    </row>
    <row r="1642" spans="2:14" ht="12.75" customHeight="1" x14ac:dyDescent="0.2">
      <c r="B1642" s="631"/>
      <c r="C1642" s="287"/>
      <c r="D1642" s="525" t="s">
        <v>1847</v>
      </c>
      <c r="E1642" s="543">
        <v>15</v>
      </c>
      <c r="F1642" s="632">
        <v>20</v>
      </c>
      <c r="G1642" s="543">
        <f>COUNTIF(HabilidadesEsenciales_Adquiridas,Tablas!D1642)</f>
        <v>0</v>
      </c>
      <c r="H1642" s="1995">
        <v>1</v>
      </c>
      <c r="I1642" s="1854"/>
      <c r="J1642" s="635"/>
      <c r="K1642" s="636"/>
      <c r="L1642" s="636"/>
      <c r="M1642" s="636"/>
      <c r="N1642" s="2303"/>
    </row>
    <row r="1643" spans="2:14" ht="12.75" customHeight="1" x14ac:dyDescent="0.2">
      <c r="B1643" s="631"/>
      <c r="C1643" s="287"/>
      <c r="D1643" s="525" t="s">
        <v>1848</v>
      </c>
      <c r="E1643" s="543">
        <v>20</v>
      </c>
      <c r="F1643" s="632">
        <v>30</v>
      </c>
      <c r="G1643" s="543">
        <f>COUNTIF(HabilidadesEsenciales_Adquiridas,Tablas!D1643)</f>
        <v>0</v>
      </c>
      <c r="H1643" s="1995">
        <v>1</v>
      </c>
      <c r="I1643" s="1854"/>
      <c r="J1643" s="635"/>
      <c r="K1643" s="636"/>
      <c r="L1643" s="636"/>
      <c r="M1643" s="636"/>
      <c r="N1643" s="2303"/>
    </row>
    <row r="1644" spans="2:14" ht="12.75" customHeight="1" x14ac:dyDescent="0.2">
      <c r="B1644" s="631"/>
      <c r="C1644" s="287"/>
      <c r="D1644" s="525" t="s">
        <v>1849</v>
      </c>
      <c r="E1644" s="543">
        <v>25</v>
      </c>
      <c r="F1644" s="632">
        <v>40</v>
      </c>
      <c r="G1644" s="543">
        <f>COUNTIF(HabilidadesEsenciales_Adquiridas,Tablas!D1644)</f>
        <v>0</v>
      </c>
      <c r="H1644" s="1995">
        <v>1</v>
      </c>
      <c r="I1644" s="1854"/>
      <c r="J1644" s="635"/>
      <c r="K1644" s="636"/>
      <c r="L1644" s="636"/>
      <c r="M1644" s="636"/>
      <c r="N1644" s="2303"/>
    </row>
    <row r="1645" spans="2:14" ht="12.75" customHeight="1" x14ac:dyDescent="0.2">
      <c r="B1645" s="631"/>
      <c r="C1645" s="287"/>
      <c r="D1645" s="525" t="s">
        <v>1850</v>
      </c>
      <c r="E1645" s="543">
        <v>30</v>
      </c>
      <c r="F1645" s="632">
        <v>50</v>
      </c>
      <c r="G1645" s="543">
        <f>COUNTIF(HabilidadesEsenciales_Adquiridas,Tablas!D1645)</f>
        <v>0</v>
      </c>
      <c r="H1645" s="1995">
        <v>1</v>
      </c>
      <c r="I1645" s="1854"/>
      <c r="J1645" s="635"/>
      <c r="K1645" s="636"/>
      <c r="L1645" s="636"/>
      <c r="M1645" s="636"/>
      <c r="N1645" s="2303"/>
    </row>
    <row r="1646" spans="2:14" ht="12.75" customHeight="1" x14ac:dyDescent="0.2">
      <c r="B1646" s="631"/>
      <c r="C1646" s="287"/>
      <c r="D1646" s="525" t="s">
        <v>1851</v>
      </c>
      <c r="E1646" s="543">
        <v>10</v>
      </c>
      <c r="F1646" s="632">
        <v>10</v>
      </c>
      <c r="G1646" s="543">
        <f>COUNTIF(HabilidadesEsenciales_Adquiridas,Tablas!D1646)</f>
        <v>0</v>
      </c>
      <c r="H1646" s="1995">
        <v>1</v>
      </c>
      <c r="I1646" s="1854"/>
      <c r="J1646" s="635"/>
      <c r="K1646" s="636"/>
      <c r="L1646" s="636"/>
      <c r="M1646" s="636"/>
      <c r="N1646" s="2303"/>
    </row>
    <row r="1647" spans="2:14" ht="12.75" customHeight="1" x14ac:dyDescent="0.2">
      <c r="B1647" s="631"/>
      <c r="C1647" s="287"/>
      <c r="D1647" s="525" t="s">
        <v>1852</v>
      </c>
      <c r="E1647" s="543">
        <v>15</v>
      </c>
      <c r="F1647" s="632">
        <v>20</v>
      </c>
      <c r="G1647" s="543">
        <f>COUNTIF(HabilidadesEsenciales_Adquiridas,Tablas!D1647)</f>
        <v>0</v>
      </c>
      <c r="H1647" s="1995">
        <v>1</v>
      </c>
      <c r="I1647" s="1854"/>
      <c r="J1647" s="635"/>
      <c r="K1647" s="636"/>
      <c r="L1647" s="636"/>
      <c r="M1647" s="636"/>
      <c r="N1647" s="2303"/>
    </row>
    <row r="1648" spans="2:14" ht="12.75" customHeight="1" x14ac:dyDescent="0.2">
      <c r="B1648" s="631"/>
      <c r="C1648" s="287"/>
      <c r="D1648" s="525" t="s">
        <v>1853</v>
      </c>
      <c r="E1648" s="543">
        <v>20</v>
      </c>
      <c r="F1648" s="632">
        <v>30</v>
      </c>
      <c r="G1648" s="543">
        <f>COUNTIF(HabilidadesEsenciales_Adquiridas,Tablas!D1648)</f>
        <v>0</v>
      </c>
      <c r="H1648" s="1995">
        <v>1</v>
      </c>
      <c r="I1648" s="1854"/>
      <c r="J1648" s="635"/>
      <c r="K1648" s="636"/>
      <c r="L1648" s="636"/>
      <c r="M1648" s="636"/>
      <c r="N1648" s="2303"/>
    </row>
    <row r="1649" spans="2:14" ht="12.75" customHeight="1" x14ac:dyDescent="0.2">
      <c r="B1649" s="631"/>
      <c r="C1649" s="287"/>
      <c r="D1649" s="525" t="s">
        <v>1854</v>
      </c>
      <c r="E1649" s="543">
        <v>25</v>
      </c>
      <c r="F1649" s="632">
        <v>40</v>
      </c>
      <c r="G1649" s="543">
        <f>COUNTIF(HabilidadesEsenciales_Adquiridas,Tablas!D1649)</f>
        <v>0</v>
      </c>
      <c r="H1649" s="1995">
        <v>1</v>
      </c>
      <c r="I1649" s="1854"/>
      <c r="J1649" s="635"/>
      <c r="K1649" s="636"/>
      <c r="L1649" s="636"/>
      <c r="M1649" s="636"/>
      <c r="N1649" s="2303"/>
    </row>
    <row r="1650" spans="2:14" ht="12.75" customHeight="1" x14ac:dyDescent="0.2">
      <c r="B1650" s="631"/>
      <c r="C1650" s="287"/>
      <c r="D1650" s="525" t="s">
        <v>1855</v>
      </c>
      <c r="E1650" s="543">
        <v>30</v>
      </c>
      <c r="F1650" s="632">
        <v>50</v>
      </c>
      <c r="G1650" s="543">
        <f>COUNTIF(HabilidadesEsenciales_Adquiridas,Tablas!D1650)</f>
        <v>0</v>
      </c>
      <c r="H1650" s="1995">
        <v>1</v>
      </c>
      <c r="I1650" s="1854"/>
      <c r="J1650" s="635"/>
      <c r="K1650" s="636"/>
      <c r="L1650" s="636"/>
      <c r="M1650" s="636"/>
      <c r="N1650" s="2303"/>
    </row>
    <row r="1651" spans="2:14" ht="12.75" customHeight="1" x14ac:dyDescent="0.2">
      <c r="B1651" s="631"/>
      <c r="C1651" s="287"/>
      <c r="D1651" s="525" t="s">
        <v>1856</v>
      </c>
      <c r="E1651" s="543">
        <v>10</v>
      </c>
      <c r="F1651" s="632">
        <v>10</v>
      </c>
      <c r="G1651" s="543">
        <f>COUNTIF(HabilidadesEsenciales_Adquiridas,Tablas!D1651)</f>
        <v>0</v>
      </c>
      <c r="H1651" s="1995">
        <v>1</v>
      </c>
      <c r="I1651" s="1854"/>
      <c r="J1651" s="635"/>
      <c r="K1651" s="636"/>
      <c r="L1651" s="636"/>
      <c r="M1651" s="636"/>
      <c r="N1651" s="2303"/>
    </row>
    <row r="1652" spans="2:14" ht="12.75" customHeight="1" x14ac:dyDescent="0.2">
      <c r="B1652" s="631"/>
      <c r="C1652" s="287"/>
      <c r="D1652" s="525" t="s">
        <v>1857</v>
      </c>
      <c r="E1652" s="543">
        <v>15</v>
      </c>
      <c r="F1652" s="632">
        <v>20</v>
      </c>
      <c r="G1652" s="543">
        <f>COUNTIF(HabilidadesEsenciales_Adquiridas,Tablas!D1652)</f>
        <v>0</v>
      </c>
      <c r="H1652" s="1995">
        <v>1</v>
      </c>
      <c r="I1652" s="1854"/>
      <c r="J1652" s="635"/>
      <c r="K1652" s="636"/>
      <c r="L1652" s="636"/>
      <c r="M1652" s="636"/>
      <c r="N1652" s="2303"/>
    </row>
    <row r="1653" spans="2:14" ht="12.75" customHeight="1" x14ac:dyDescent="0.2">
      <c r="B1653" s="631"/>
      <c r="C1653" s="287"/>
      <c r="D1653" s="525" t="s">
        <v>1858</v>
      </c>
      <c r="E1653" s="543">
        <v>20</v>
      </c>
      <c r="F1653" s="632">
        <v>30</v>
      </c>
      <c r="G1653" s="543">
        <f>COUNTIF(HabilidadesEsenciales_Adquiridas,Tablas!D1653)</f>
        <v>0</v>
      </c>
      <c r="H1653" s="1995">
        <v>1</v>
      </c>
      <c r="I1653" s="1854"/>
      <c r="J1653" s="635"/>
      <c r="K1653" s="636"/>
      <c r="L1653" s="636"/>
      <c r="M1653" s="636"/>
      <c r="N1653" s="2303"/>
    </row>
    <row r="1654" spans="2:14" ht="12.75" customHeight="1" x14ac:dyDescent="0.2">
      <c r="B1654" s="631"/>
      <c r="C1654" s="287"/>
      <c r="D1654" s="525" t="s">
        <v>1859</v>
      </c>
      <c r="E1654" s="543">
        <v>25</v>
      </c>
      <c r="F1654" s="632">
        <v>40</v>
      </c>
      <c r="G1654" s="543">
        <f>COUNTIF(HabilidadesEsenciales_Adquiridas,Tablas!D1654)</f>
        <v>0</v>
      </c>
      <c r="H1654" s="1995">
        <v>1</v>
      </c>
      <c r="I1654" s="1854"/>
      <c r="J1654" s="635"/>
      <c r="K1654" s="636"/>
      <c r="L1654" s="636"/>
      <c r="M1654" s="636"/>
      <c r="N1654" s="2303"/>
    </row>
    <row r="1655" spans="2:14" ht="12.75" customHeight="1" x14ac:dyDescent="0.2">
      <c r="B1655" s="631"/>
      <c r="C1655" s="287"/>
      <c r="D1655" s="525" t="s">
        <v>1860</v>
      </c>
      <c r="E1655" s="543">
        <v>30</v>
      </c>
      <c r="F1655" s="632">
        <v>50</v>
      </c>
      <c r="G1655" s="543">
        <f>COUNTIF(HabilidadesEsenciales_Adquiridas,Tablas!D1655)</f>
        <v>0</v>
      </c>
      <c r="H1655" s="1995">
        <v>1</v>
      </c>
      <c r="I1655" s="1854"/>
      <c r="J1655" s="635"/>
      <c r="K1655" s="636"/>
      <c r="L1655" s="636"/>
      <c r="M1655" s="636"/>
      <c r="N1655" s="2303"/>
    </row>
    <row r="1656" spans="2:14" ht="12.75" customHeight="1" x14ac:dyDescent="0.2">
      <c r="B1656" s="631"/>
      <c r="C1656" s="287"/>
      <c r="D1656" s="525" t="s">
        <v>1861</v>
      </c>
      <c r="E1656" s="543">
        <v>10</v>
      </c>
      <c r="F1656" s="632">
        <v>10</v>
      </c>
      <c r="G1656" s="543">
        <f>COUNTIF(HabilidadesEsenciales_Adquiridas,Tablas!D1656)</f>
        <v>0</v>
      </c>
      <c r="H1656" s="1995">
        <v>1</v>
      </c>
      <c r="I1656" s="1854"/>
      <c r="J1656" s="635"/>
      <c r="K1656" s="636"/>
      <c r="L1656" s="636"/>
      <c r="M1656" s="636"/>
      <c r="N1656" s="2303"/>
    </row>
    <row r="1657" spans="2:14" ht="12.75" customHeight="1" x14ac:dyDescent="0.2">
      <c r="B1657" s="631"/>
      <c r="C1657" s="287"/>
      <c r="D1657" s="525" t="s">
        <v>1862</v>
      </c>
      <c r="E1657" s="543">
        <v>15</v>
      </c>
      <c r="F1657" s="632">
        <v>20</v>
      </c>
      <c r="G1657" s="543">
        <f>COUNTIF(HabilidadesEsenciales_Adquiridas,Tablas!D1657)</f>
        <v>0</v>
      </c>
      <c r="H1657" s="1995">
        <v>1</v>
      </c>
      <c r="I1657" s="1854"/>
      <c r="J1657" s="635"/>
      <c r="K1657" s="636"/>
      <c r="L1657" s="636"/>
      <c r="M1657" s="636"/>
      <c r="N1657" s="2303"/>
    </row>
    <row r="1658" spans="2:14" ht="12.75" customHeight="1" x14ac:dyDescent="0.2">
      <c r="B1658" s="631"/>
      <c r="C1658" s="287"/>
      <c r="D1658" s="525" t="s">
        <v>1863</v>
      </c>
      <c r="E1658" s="543">
        <v>20</v>
      </c>
      <c r="F1658" s="632">
        <v>30</v>
      </c>
      <c r="G1658" s="543">
        <f>COUNTIF(HabilidadesEsenciales_Adquiridas,Tablas!D1658)</f>
        <v>0</v>
      </c>
      <c r="H1658" s="1995">
        <v>1</v>
      </c>
      <c r="I1658" s="1854"/>
      <c r="J1658" s="635"/>
      <c r="K1658" s="636"/>
      <c r="L1658" s="636"/>
      <c r="M1658" s="636"/>
      <c r="N1658" s="2303"/>
    </row>
    <row r="1659" spans="2:14" ht="12.75" customHeight="1" x14ac:dyDescent="0.2">
      <c r="B1659" s="631"/>
      <c r="C1659" s="287"/>
      <c r="D1659" s="525" t="s">
        <v>1864</v>
      </c>
      <c r="E1659" s="543">
        <v>25</v>
      </c>
      <c r="F1659" s="632">
        <v>40</v>
      </c>
      <c r="G1659" s="543">
        <f>COUNTIF(HabilidadesEsenciales_Adquiridas,Tablas!D1659)</f>
        <v>0</v>
      </c>
      <c r="H1659" s="1995">
        <v>1</v>
      </c>
      <c r="I1659" s="1854"/>
      <c r="J1659" s="635"/>
      <c r="K1659" s="636"/>
      <c r="L1659" s="636"/>
      <c r="M1659" s="636"/>
      <c r="N1659" s="2303"/>
    </row>
    <row r="1660" spans="2:14" ht="12.75" customHeight="1" x14ac:dyDescent="0.2">
      <c r="B1660" s="631"/>
      <c r="C1660" s="287"/>
      <c r="D1660" s="525" t="s">
        <v>1865</v>
      </c>
      <c r="E1660" s="543">
        <v>30</v>
      </c>
      <c r="F1660" s="632">
        <v>50</v>
      </c>
      <c r="G1660" s="543">
        <f>COUNTIF(HabilidadesEsenciales_Adquiridas,Tablas!D1660)</f>
        <v>0</v>
      </c>
      <c r="H1660" s="1995">
        <v>1</v>
      </c>
      <c r="I1660" s="1854"/>
      <c r="J1660" s="635"/>
      <c r="K1660" s="636"/>
      <c r="L1660" s="636"/>
      <c r="M1660" s="636"/>
      <c r="N1660" s="2303"/>
    </row>
    <row r="1661" spans="2:14" ht="12.75" customHeight="1" x14ac:dyDescent="0.2">
      <c r="B1661" s="631"/>
      <c r="C1661" s="287"/>
      <c r="D1661" s="525" t="s">
        <v>1866</v>
      </c>
      <c r="E1661" s="543">
        <v>10</v>
      </c>
      <c r="F1661" s="632">
        <v>10</v>
      </c>
      <c r="G1661" s="543">
        <f>COUNTIF(HabilidadesEsenciales_Adquiridas,Tablas!D1661)</f>
        <v>0</v>
      </c>
      <c r="H1661" s="1995">
        <v>1</v>
      </c>
      <c r="I1661" s="1854"/>
      <c r="J1661" s="635"/>
      <c r="K1661" s="636"/>
      <c r="L1661" s="636"/>
      <c r="M1661" s="636"/>
      <c r="N1661" s="2303"/>
    </row>
    <row r="1662" spans="2:14" ht="12.75" customHeight="1" x14ac:dyDescent="0.2">
      <c r="B1662" s="631"/>
      <c r="C1662" s="287"/>
      <c r="D1662" s="525" t="s">
        <v>1867</v>
      </c>
      <c r="E1662" s="543">
        <v>15</v>
      </c>
      <c r="F1662" s="632">
        <v>20</v>
      </c>
      <c r="G1662" s="543">
        <f>COUNTIF(HabilidadesEsenciales_Adquiridas,Tablas!D1662)</f>
        <v>0</v>
      </c>
      <c r="H1662" s="1995">
        <v>1</v>
      </c>
      <c r="I1662" s="1854"/>
      <c r="J1662" s="635"/>
      <c r="K1662" s="636"/>
      <c r="L1662" s="636"/>
      <c r="M1662" s="636"/>
      <c r="N1662" s="2303"/>
    </row>
    <row r="1663" spans="2:14" ht="12.75" customHeight="1" x14ac:dyDescent="0.2">
      <c r="B1663" s="631"/>
      <c r="C1663" s="287"/>
      <c r="D1663" s="525" t="s">
        <v>1868</v>
      </c>
      <c r="E1663" s="543">
        <v>20</v>
      </c>
      <c r="F1663" s="632">
        <v>30</v>
      </c>
      <c r="G1663" s="543">
        <f>COUNTIF(HabilidadesEsenciales_Adquiridas,Tablas!D1663)</f>
        <v>0</v>
      </c>
      <c r="H1663" s="1995">
        <v>1</v>
      </c>
      <c r="I1663" s="1854"/>
      <c r="J1663" s="635"/>
      <c r="K1663" s="636"/>
      <c r="L1663" s="636"/>
      <c r="M1663" s="636"/>
      <c r="N1663" s="2303"/>
    </row>
    <row r="1664" spans="2:14" ht="12.75" customHeight="1" x14ac:dyDescent="0.2">
      <c r="B1664" s="631"/>
      <c r="C1664" s="287"/>
      <c r="D1664" s="525" t="s">
        <v>1869</v>
      </c>
      <c r="E1664" s="543">
        <v>25</v>
      </c>
      <c r="F1664" s="632">
        <v>40</v>
      </c>
      <c r="G1664" s="543">
        <f>COUNTIF(HabilidadesEsenciales_Adquiridas,Tablas!D1664)</f>
        <v>0</v>
      </c>
      <c r="H1664" s="1995">
        <v>1</v>
      </c>
      <c r="I1664" s="1854"/>
      <c r="J1664" s="635"/>
      <c r="K1664" s="636"/>
      <c r="L1664" s="636"/>
      <c r="M1664" s="636"/>
      <c r="N1664" s="2303"/>
    </row>
    <row r="1665" spans="2:14" ht="12.75" customHeight="1" x14ac:dyDescent="0.2">
      <c r="B1665" s="631"/>
      <c r="C1665" s="287"/>
      <c r="D1665" s="525" t="s">
        <v>1870</v>
      </c>
      <c r="E1665" s="543">
        <v>30</v>
      </c>
      <c r="F1665" s="632">
        <v>50</v>
      </c>
      <c r="G1665" s="543">
        <f>COUNTIF(HabilidadesEsenciales_Adquiridas,Tablas!D1665)</f>
        <v>0</v>
      </c>
      <c r="H1665" s="1995">
        <v>1</v>
      </c>
      <c r="I1665" s="1854"/>
      <c r="J1665" s="635"/>
      <c r="K1665" s="636"/>
      <c r="L1665" s="636"/>
      <c r="M1665" s="636"/>
      <c r="N1665" s="2303"/>
    </row>
    <row r="1666" spans="2:14" ht="12.75" customHeight="1" x14ac:dyDescent="0.2">
      <c r="B1666" s="631"/>
      <c r="C1666" s="287"/>
      <c r="D1666" s="525" t="s">
        <v>1871</v>
      </c>
      <c r="E1666" s="543">
        <v>10</v>
      </c>
      <c r="F1666" s="632">
        <v>10</v>
      </c>
      <c r="G1666" s="543">
        <f>COUNTIF(HabilidadesEsenciales_Adquiridas,Tablas!D1666)</f>
        <v>0</v>
      </c>
      <c r="H1666" s="1995">
        <v>1</v>
      </c>
      <c r="I1666" s="1854"/>
      <c r="J1666" s="635"/>
      <c r="K1666" s="636"/>
      <c r="L1666" s="636"/>
      <c r="M1666" s="636"/>
      <c r="N1666" s="2303"/>
    </row>
    <row r="1667" spans="2:14" ht="12.75" customHeight="1" x14ac:dyDescent="0.2">
      <c r="B1667" s="631"/>
      <c r="C1667" s="287"/>
      <c r="D1667" s="525" t="s">
        <v>1872</v>
      </c>
      <c r="E1667" s="543">
        <v>15</v>
      </c>
      <c r="F1667" s="632">
        <v>20</v>
      </c>
      <c r="G1667" s="543">
        <f>COUNTIF(HabilidadesEsenciales_Adquiridas,Tablas!D1667)</f>
        <v>0</v>
      </c>
      <c r="H1667" s="1995">
        <v>1</v>
      </c>
      <c r="I1667" s="1854"/>
      <c r="J1667" s="635"/>
      <c r="K1667" s="636"/>
      <c r="L1667" s="636"/>
      <c r="M1667" s="636"/>
      <c r="N1667" s="2303"/>
    </row>
    <row r="1668" spans="2:14" ht="12.75" customHeight="1" x14ac:dyDescent="0.2">
      <c r="B1668" s="631"/>
      <c r="C1668" s="287"/>
      <c r="D1668" s="525" t="s">
        <v>1873</v>
      </c>
      <c r="E1668" s="543">
        <v>20</v>
      </c>
      <c r="F1668" s="632">
        <v>30</v>
      </c>
      <c r="G1668" s="543">
        <f>COUNTIF(HabilidadesEsenciales_Adquiridas,Tablas!D1668)</f>
        <v>0</v>
      </c>
      <c r="H1668" s="1995">
        <v>1</v>
      </c>
      <c r="I1668" s="1854"/>
      <c r="J1668" s="635"/>
      <c r="K1668" s="636"/>
      <c r="L1668" s="636"/>
      <c r="M1668" s="636"/>
      <c r="N1668" s="2303"/>
    </row>
    <row r="1669" spans="2:14" ht="12.75" customHeight="1" x14ac:dyDescent="0.2">
      <c r="B1669" s="631"/>
      <c r="C1669" s="287"/>
      <c r="D1669" s="525" t="s">
        <v>1874</v>
      </c>
      <c r="E1669" s="543">
        <v>25</v>
      </c>
      <c r="F1669" s="632">
        <v>40</v>
      </c>
      <c r="G1669" s="543">
        <f>COUNTIF(HabilidadesEsenciales_Adquiridas,Tablas!D1669)</f>
        <v>0</v>
      </c>
      <c r="H1669" s="1995">
        <v>1</v>
      </c>
      <c r="I1669" s="1854"/>
      <c r="J1669" s="635"/>
      <c r="K1669" s="636"/>
      <c r="L1669" s="636"/>
      <c r="M1669" s="636"/>
      <c r="N1669" s="2303"/>
    </row>
    <row r="1670" spans="2:14" ht="12.75" customHeight="1" x14ac:dyDescent="0.2">
      <c r="B1670" s="631"/>
      <c r="C1670" s="287"/>
      <c r="D1670" s="525" t="s">
        <v>1875</v>
      </c>
      <c r="E1670" s="543">
        <v>30</v>
      </c>
      <c r="F1670" s="632">
        <v>50</v>
      </c>
      <c r="G1670" s="543">
        <f>COUNTIF(HabilidadesEsenciales_Adquiridas,Tablas!D1670)</f>
        <v>0</v>
      </c>
      <c r="H1670" s="1995">
        <v>1</v>
      </c>
      <c r="I1670" s="1854"/>
      <c r="J1670" s="635"/>
      <c r="K1670" s="636"/>
      <c r="L1670" s="636"/>
      <c r="M1670" s="636"/>
      <c r="N1670" s="2303"/>
    </row>
    <row r="1671" spans="2:14" ht="12.75" customHeight="1" x14ac:dyDescent="0.2">
      <c r="B1671" s="631"/>
      <c r="C1671" s="287"/>
      <c r="D1671" s="525" t="s">
        <v>1876</v>
      </c>
      <c r="E1671" s="543">
        <v>10</v>
      </c>
      <c r="F1671" s="632">
        <v>10</v>
      </c>
      <c r="G1671" s="543">
        <f>COUNTIF(HabilidadesEsenciales_Adquiridas,Tablas!D1671)</f>
        <v>0</v>
      </c>
      <c r="H1671" s="1995">
        <v>1</v>
      </c>
      <c r="I1671" s="1854"/>
      <c r="J1671" s="635"/>
      <c r="K1671" s="636"/>
      <c r="L1671" s="636"/>
      <c r="M1671" s="636"/>
      <c r="N1671" s="2303"/>
    </row>
    <row r="1672" spans="2:14" ht="12.75" customHeight="1" x14ac:dyDescent="0.2">
      <c r="B1672" s="631"/>
      <c r="C1672" s="287"/>
      <c r="D1672" s="525" t="s">
        <v>1877</v>
      </c>
      <c r="E1672" s="543">
        <v>15</v>
      </c>
      <c r="F1672" s="632">
        <v>20</v>
      </c>
      <c r="G1672" s="543">
        <f>COUNTIF(HabilidadesEsenciales_Adquiridas,Tablas!D1672)</f>
        <v>0</v>
      </c>
      <c r="H1672" s="1995">
        <v>1</v>
      </c>
      <c r="I1672" s="1854"/>
      <c r="J1672" s="635"/>
      <c r="K1672" s="636"/>
      <c r="L1672" s="636"/>
      <c r="M1672" s="636"/>
      <c r="N1672" s="2303"/>
    </row>
    <row r="1673" spans="2:14" ht="12.75" customHeight="1" x14ac:dyDescent="0.2">
      <c r="B1673" s="631"/>
      <c r="C1673" s="287"/>
      <c r="D1673" s="525" t="s">
        <v>1878</v>
      </c>
      <c r="E1673" s="543">
        <v>20</v>
      </c>
      <c r="F1673" s="632">
        <v>30</v>
      </c>
      <c r="G1673" s="543">
        <f>COUNTIF(HabilidadesEsenciales_Adquiridas,Tablas!D1673)</f>
        <v>0</v>
      </c>
      <c r="H1673" s="1995">
        <v>1</v>
      </c>
      <c r="I1673" s="1854"/>
      <c r="J1673" s="635"/>
      <c r="K1673" s="636"/>
      <c r="L1673" s="636"/>
      <c r="M1673" s="636"/>
      <c r="N1673" s="2303"/>
    </row>
    <row r="1674" spans="2:14" ht="12.75" customHeight="1" x14ac:dyDescent="0.2">
      <c r="B1674" s="631"/>
      <c r="C1674" s="287"/>
      <c r="D1674" s="525" t="s">
        <v>1879</v>
      </c>
      <c r="E1674" s="543">
        <v>25</v>
      </c>
      <c r="F1674" s="632">
        <v>40</v>
      </c>
      <c r="G1674" s="543">
        <f>COUNTIF(HabilidadesEsenciales_Adquiridas,Tablas!D1674)</f>
        <v>0</v>
      </c>
      <c r="H1674" s="1995">
        <v>1</v>
      </c>
      <c r="I1674" s="1854"/>
      <c r="J1674" s="635"/>
      <c r="K1674" s="636"/>
      <c r="L1674" s="636"/>
      <c r="M1674" s="636"/>
      <c r="N1674" s="2303"/>
    </row>
    <row r="1675" spans="2:14" ht="12.75" customHeight="1" x14ac:dyDescent="0.2">
      <c r="B1675" s="631"/>
      <c r="C1675" s="287"/>
      <c r="D1675" s="525" t="s">
        <v>1880</v>
      </c>
      <c r="E1675" s="543">
        <v>30</v>
      </c>
      <c r="F1675" s="632">
        <v>50</v>
      </c>
      <c r="G1675" s="543">
        <f>COUNTIF(HabilidadesEsenciales_Adquiridas,Tablas!D1675)</f>
        <v>0</v>
      </c>
      <c r="H1675" s="1995">
        <v>1</v>
      </c>
      <c r="I1675" s="1854"/>
      <c r="J1675" s="635"/>
      <c r="K1675" s="636"/>
      <c r="L1675" s="636"/>
      <c r="M1675" s="636"/>
      <c r="N1675" s="2303"/>
    </row>
    <row r="1676" spans="2:14" ht="12.75" customHeight="1" x14ac:dyDescent="0.2">
      <c r="B1676" s="631"/>
      <c r="C1676" s="287"/>
      <c r="D1676" s="525" t="s">
        <v>1881</v>
      </c>
      <c r="E1676" s="543">
        <v>10</v>
      </c>
      <c r="F1676" s="632">
        <v>10</v>
      </c>
      <c r="G1676" s="543">
        <f>COUNTIF(HabilidadesEsenciales_Adquiridas,Tablas!D1676)</f>
        <v>0</v>
      </c>
      <c r="H1676" s="1995">
        <v>1</v>
      </c>
      <c r="I1676" s="1854"/>
      <c r="J1676" s="635"/>
      <c r="K1676" s="636"/>
      <c r="L1676" s="636"/>
      <c r="M1676" s="636"/>
      <c r="N1676" s="2303"/>
    </row>
    <row r="1677" spans="2:14" ht="12.75" customHeight="1" x14ac:dyDescent="0.2">
      <c r="B1677" s="631"/>
      <c r="C1677" s="287"/>
      <c r="D1677" s="525" t="s">
        <v>1882</v>
      </c>
      <c r="E1677" s="543">
        <v>15</v>
      </c>
      <c r="F1677" s="632">
        <v>20</v>
      </c>
      <c r="G1677" s="543">
        <f>COUNTIF(HabilidadesEsenciales_Adquiridas,Tablas!D1677)</f>
        <v>0</v>
      </c>
      <c r="H1677" s="1995">
        <v>1</v>
      </c>
      <c r="I1677" s="1854"/>
      <c r="J1677" s="635"/>
      <c r="K1677" s="636"/>
      <c r="L1677" s="636"/>
      <c r="M1677" s="636"/>
      <c r="N1677" s="2303"/>
    </row>
    <row r="1678" spans="2:14" ht="12.75" customHeight="1" x14ac:dyDescent="0.2">
      <c r="B1678" s="631"/>
      <c r="C1678" s="287"/>
      <c r="D1678" s="525" t="s">
        <v>1883</v>
      </c>
      <c r="E1678" s="543">
        <v>20</v>
      </c>
      <c r="F1678" s="632">
        <v>30</v>
      </c>
      <c r="G1678" s="543">
        <f>COUNTIF(HabilidadesEsenciales_Adquiridas,Tablas!D1678)</f>
        <v>0</v>
      </c>
      <c r="H1678" s="1995">
        <v>1</v>
      </c>
      <c r="I1678" s="1854"/>
      <c r="J1678" s="635"/>
      <c r="K1678" s="636"/>
      <c r="L1678" s="636"/>
      <c r="M1678" s="636"/>
      <c r="N1678" s="2303"/>
    </row>
    <row r="1679" spans="2:14" ht="12.75" customHeight="1" x14ac:dyDescent="0.2">
      <c r="B1679" s="631"/>
      <c r="C1679" s="287"/>
      <c r="D1679" s="525" t="s">
        <v>1884</v>
      </c>
      <c r="E1679" s="543">
        <v>25</v>
      </c>
      <c r="F1679" s="632">
        <v>40</v>
      </c>
      <c r="G1679" s="543">
        <f>COUNTIF(HabilidadesEsenciales_Adquiridas,Tablas!D1679)</f>
        <v>0</v>
      </c>
      <c r="H1679" s="1995">
        <v>1</v>
      </c>
      <c r="I1679" s="1854"/>
      <c r="J1679" s="635"/>
      <c r="K1679" s="636"/>
      <c r="L1679" s="636"/>
      <c r="M1679" s="636"/>
      <c r="N1679" s="2303"/>
    </row>
    <row r="1680" spans="2:14" ht="12.75" customHeight="1" x14ac:dyDescent="0.2">
      <c r="B1680" s="631"/>
      <c r="C1680" s="287"/>
      <c r="D1680" s="525" t="s">
        <v>1885</v>
      </c>
      <c r="E1680" s="543">
        <v>30</v>
      </c>
      <c r="F1680" s="632">
        <v>50</v>
      </c>
      <c r="G1680" s="543">
        <f>COUNTIF(HabilidadesEsenciales_Adquiridas,Tablas!D1680)</f>
        <v>0</v>
      </c>
      <c r="H1680" s="1995">
        <v>1</v>
      </c>
      <c r="J1680" s="635"/>
      <c r="K1680" s="636"/>
      <c r="L1680" s="636"/>
      <c r="M1680" s="636"/>
      <c r="N1680" s="2303"/>
    </row>
    <row r="1681" spans="2:14" ht="12.75" customHeight="1" x14ac:dyDescent="0.2">
      <c r="B1681" s="631"/>
      <c r="C1681" s="287"/>
      <c r="D1681" s="525" t="s">
        <v>3388</v>
      </c>
      <c r="E1681" s="543">
        <v>5</v>
      </c>
      <c r="F1681" s="632">
        <v>20</v>
      </c>
      <c r="G1681" s="543">
        <f>COUNTIF(HabilidadesEsenciales_Adquiridas,Tablas!D1681)</f>
        <v>0</v>
      </c>
      <c r="H1681" s="1995"/>
      <c r="J1681" s="635"/>
      <c r="K1681" s="636"/>
      <c r="L1681" s="636"/>
      <c r="M1681" s="636"/>
      <c r="N1681" s="2303"/>
    </row>
    <row r="1682" spans="2:14" ht="12.75" customHeight="1" x14ac:dyDescent="0.2">
      <c r="B1682" s="631"/>
      <c r="C1682" s="287"/>
      <c r="D1682" s="525" t="s">
        <v>3389</v>
      </c>
      <c r="E1682" s="543">
        <v>5</v>
      </c>
      <c r="F1682" s="632">
        <v>20</v>
      </c>
      <c r="G1682" s="543">
        <f>COUNTIF(HabilidadesEsenciales_Adquiridas,Tablas!D1682)</f>
        <v>0</v>
      </c>
      <c r="H1682" s="1995"/>
      <c r="J1682" s="635"/>
      <c r="K1682" s="636"/>
      <c r="L1682" s="636"/>
      <c r="M1682" s="636"/>
      <c r="N1682" s="2303"/>
    </row>
    <row r="1683" spans="2:14" ht="12.75" customHeight="1" x14ac:dyDescent="0.2">
      <c r="B1683" s="631"/>
      <c r="C1683" s="287"/>
      <c r="D1683" s="525" t="s">
        <v>1886</v>
      </c>
      <c r="E1683" s="543">
        <v>5</v>
      </c>
      <c r="F1683" s="632">
        <v>20</v>
      </c>
      <c r="G1683" s="543">
        <f>COUNTIF(HabilidadesEsenciales_Adquiridas,Tablas!D1683)</f>
        <v>0</v>
      </c>
      <c r="H1683" s="1995">
        <v>1</v>
      </c>
      <c r="J1683" s="635"/>
      <c r="K1683" s="636"/>
      <c r="L1683" s="636"/>
      <c r="M1683" s="636"/>
      <c r="N1683" s="2303"/>
    </row>
    <row r="1684" spans="2:14" ht="12.75" customHeight="1" x14ac:dyDescent="0.2">
      <c r="B1684" s="631"/>
      <c r="C1684" s="287"/>
      <c r="D1684" s="525" t="s">
        <v>1887</v>
      </c>
      <c r="E1684" s="543">
        <v>0</v>
      </c>
      <c r="F1684" s="632">
        <v>0</v>
      </c>
      <c r="G1684" s="543"/>
      <c r="H1684" s="1995"/>
      <c r="J1684" s="635"/>
      <c r="K1684" s="636"/>
      <c r="L1684" s="636"/>
      <c r="M1684" s="636"/>
      <c r="N1684" s="2303"/>
    </row>
    <row r="1685" spans="2:14" ht="12.75" customHeight="1" x14ac:dyDescent="0.2">
      <c r="B1685" s="631"/>
      <c r="C1685" s="287"/>
      <c r="D1685" s="525" t="s">
        <v>2645</v>
      </c>
      <c r="E1685" s="543">
        <v>5</v>
      </c>
      <c r="F1685" s="632">
        <v>30</v>
      </c>
      <c r="G1685" s="543">
        <f>COUNTIF(HabilidadesEsenciales_Adquiridas,Tablas!D1685)</f>
        <v>0</v>
      </c>
      <c r="H1685" s="1995"/>
      <c r="J1685" s="635"/>
      <c r="K1685" s="636"/>
      <c r="L1685" s="636"/>
      <c r="M1685" s="636"/>
      <c r="N1685" s="2303"/>
    </row>
    <row r="1686" spans="2:14" ht="12.75" customHeight="1" x14ac:dyDescent="0.2">
      <c r="B1686" s="631"/>
      <c r="C1686" s="287"/>
      <c r="D1686" s="525" t="s">
        <v>1888</v>
      </c>
      <c r="E1686" s="543">
        <v>5</v>
      </c>
      <c r="F1686" s="632">
        <v>30</v>
      </c>
      <c r="G1686" s="543">
        <f>COUNTIF(HabilidadesEsenciales_Adquiridas,Tablas!D1686)</f>
        <v>0</v>
      </c>
      <c r="H1686" s="1995"/>
      <c r="J1686" s="635"/>
      <c r="K1686" s="636"/>
      <c r="L1686" s="636"/>
      <c r="M1686" s="636"/>
      <c r="N1686" s="2303"/>
    </row>
    <row r="1687" spans="2:14" ht="12.75" customHeight="1" x14ac:dyDescent="0.2">
      <c r="B1687" s="631"/>
      <c r="C1687" s="287"/>
      <c r="D1687" s="525" t="s">
        <v>1889</v>
      </c>
      <c r="E1687" s="543">
        <v>5</v>
      </c>
      <c r="F1687" s="632">
        <v>20</v>
      </c>
      <c r="G1687" s="543">
        <f>COUNTIF(HabilidadesEsenciales_Adquiridas,Tablas!D1687)</f>
        <v>0</v>
      </c>
      <c r="H1687" s="1995"/>
      <c r="J1687" s="635"/>
      <c r="K1687" s="636"/>
      <c r="L1687" s="636"/>
      <c r="M1687" s="636"/>
      <c r="N1687" s="2303"/>
    </row>
    <row r="1688" spans="2:14" ht="12.75" customHeight="1" x14ac:dyDescent="0.2">
      <c r="B1688" s="631"/>
      <c r="C1688" s="287"/>
      <c r="D1688" s="525" t="s">
        <v>3403</v>
      </c>
      <c r="E1688" s="543">
        <v>5</v>
      </c>
      <c r="F1688" s="632">
        <v>30</v>
      </c>
      <c r="G1688" s="543">
        <f>COUNTIF(HabilidadesEsenciales_Adquiridas,Tablas!D1688)</f>
        <v>0</v>
      </c>
      <c r="H1688" s="1995">
        <v>1</v>
      </c>
      <c r="J1688" s="635"/>
      <c r="K1688" s="636"/>
      <c r="L1688" s="636"/>
      <c r="M1688" s="636"/>
      <c r="N1688" s="2303"/>
    </row>
    <row r="1689" spans="2:14" ht="12.75" customHeight="1" x14ac:dyDescent="0.2">
      <c r="B1689" s="631"/>
      <c r="C1689" s="287"/>
      <c r="D1689" s="525" t="s">
        <v>3404</v>
      </c>
      <c r="E1689" s="543">
        <v>5</v>
      </c>
      <c r="F1689" s="632">
        <v>20</v>
      </c>
      <c r="G1689" s="543">
        <f>COUNTIF(HabilidadesEsenciales_Adquiridas,Tablas!D1689)</f>
        <v>0</v>
      </c>
      <c r="H1689" s="1995">
        <v>1</v>
      </c>
      <c r="J1689" s="635"/>
      <c r="K1689" s="636"/>
      <c r="L1689" s="636"/>
      <c r="M1689" s="636"/>
      <c r="N1689" s="2303"/>
    </row>
    <row r="1690" spans="2:14" ht="12.75" customHeight="1" x14ac:dyDescent="0.2">
      <c r="B1690" s="631"/>
      <c r="C1690" s="287"/>
      <c r="D1690" s="525" t="s">
        <v>3409</v>
      </c>
      <c r="E1690" s="543">
        <v>5</v>
      </c>
      <c r="F1690" s="632">
        <v>20</v>
      </c>
      <c r="G1690" s="543">
        <f>COUNTIF(HabilidadesEsenciales_Adquiridas,Tablas!D1690)</f>
        <v>0</v>
      </c>
      <c r="H1690" s="1995">
        <v>1</v>
      </c>
      <c r="J1690" s="635"/>
      <c r="K1690" s="636"/>
      <c r="L1690" s="636"/>
      <c r="M1690" s="636"/>
      <c r="N1690" s="2303"/>
    </row>
    <row r="1691" spans="2:14" ht="12.75" customHeight="1" x14ac:dyDescent="0.2">
      <c r="B1691" s="631"/>
      <c r="C1691" s="287"/>
      <c r="D1691" s="525" t="s">
        <v>3410</v>
      </c>
      <c r="E1691" s="543">
        <v>5</v>
      </c>
      <c r="F1691" s="632">
        <v>20</v>
      </c>
      <c r="G1691" s="543">
        <f>COUNTIF(HabilidadesEsenciales_Adquiridas,Tablas!D1691)</f>
        <v>0</v>
      </c>
      <c r="H1691" s="1995">
        <v>1</v>
      </c>
      <c r="J1691" s="635"/>
      <c r="K1691" s="636"/>
      <c r="L1691" s="636"/>
      <c r="M1691" s="636"/>
      <c r="N1691" s="2303"/>
    </row>
    <row r="1692" spans="2:14" ht="12.75" customHeight="1" x14ac:dyDescent="0.2">
      <c r="B1692" s="631"/>
      <c r="C1692" s="287"/>
      <c r="D1692" s="525" t="s">
        <v>3411</v>
      </c>
      <c r="E1692" s="543">
        <v>5</v>
      </c>
      <c r="F1692" s="632">
        <v>20</v>
      </c>
      <c r="G1692" s="543">
        <f>COUNTIF(HabilidadesEsenciales_Adquiridas,Tablas!D1692)</f>
        <v>0</v>
      </c>
      <c r="H1692" s="1995">
        <v>1</v>
      </c>
      <c r="J1692" s="635"/>
      <c r="K1692" s="636"/>
      <c r="L1692" s="636"/>
      <c r="M1692" s="636"/>
      <c r="N1692" s="2303"/>
    </row>
    <row r="1693" spans="2:14" ht="12.75" customHeight="1" x14ac:dyDescent="0.2">
      <c r="B1693" s="631"/>
      <c r="C1693" s="287"/>
      <c r="D1693" s="525" t="s">
        <v>3412</v>
      </c>
      <c r="E1693" s="543">
        <v>5</v>
      </c>
      <c r="F1693" s="632">
        <v>20</v>
      </c>
      <c r="G1693" s="543">
        <f>COUNTIF(HabilidadesEsenciales_Adquiridas,Tablas!D1693)</f>
        <v>0</v>
      </c>
      <c r="H1693" s="1995">
        <v>1</v>
      </c>
      <c r="J1693" s="635"/>
      <c r="K1693" s="636"/>
      <c r="L1693" s="636"/>
      <c r="M1693" s="636"/>
      <c r="N1693" s="2303"/>
    </row>
    <row r="1694" spans="2:14" ht="12.75" customHeight="1" x14ac:dyDescent="0.2">
      <c r="B1694" s="631"/>
      <c r="C1694" s="287"/>
      <c r="D1694" s="525" t="s">
        <v>3413</v>
      </c>
      <c r="E1694" s="543">
        <v>5</v>
      </c>
      <c r="F1694" s="632">
        <v>20</v>
      </c>
      <c r="G1694" s="543">
        <f>COUNTIF(HabilidadesEsenciales_Adquiridas,Tablas!D1694)</f>
        <v>0</v>
      </c>
      <c r="H1694" s="1995">
        <v>1</v>
      </c>
      <c r="J1694" s="635"/>
      <c r="K1694" s="636"/>
      <c r="L1694" s="636"/>
      <c r="M1694" s="636"/>
      <c r="N1694" s="2303"/>
    </row>
    <row r="1695" spans="2:14" ht="12.75" customHeight="1" x14ac:dyDescent="0.2">
      <c r="B1695" s="631"/>
      <c r="C1695" s="287"/>
      <c r="D1695" s="525" t="s">
        <v>1890</v>
      </c>
      <c r="E1695" s="543">
        <v>5</v>
      </c>
      <c r="F1695" s="632">
        <v>20</v>
      </c>
      <c r="G1695" s="543">
        <f>COUNTIF(HabilidadesEsenciales_Adquiridas,Tablas!D1695)</f>
        <v>0</v>
      </c>
      <c r="H1695" s="1995">
        <v>1</v>
      </c>
      <c r="J1695" s="635"/>
      <c r="K1695" s="636"/>
      <c r="L1695" s="636"/>
      <c r="M1695" s="636"/>
      <c r="N1695" s="2303"/>
    </row>
    <row r="1696" spans="2:14" ht="12.75" customHeight="1" x14ac:dyDescent="0.2">
      <c r="B1696" s="631"/>
      <c r="C1696" s="287"/>
      <c r="D1696" s="525" t="s">
        <v>3415</v>
      </c>
      <c r="E1696" s="543">
        <v>5</v>
      </c>
      <c r="F1696" s="632">
        <v>20</v>
      </c>
      <c r="G1696" s="543">
        <f>COUNTIF(HabilidadesEsenciales_Adquiridas,Tablas!D1696)</f>
        <v>0</v>
      </c>
      <c r="H1696" s="1995">
        <v>1</v>
      </c>
      <c r="J1696" s="635"/>
      <c r="K1696" s="636"/>
      <c r="L1696" s="636"/>
      <c r="M1696" s="636"/>
      <c r="N1696" s="2303"/>
    </row>
    <row r="1697" spans="2:14" ht="12.75" customHeight="1" x14ac:dyDescent="0.2">
      <c r="B1697" s="631"/>
      <c r="C1697" s="287"/>
      <c r="D1697" s="525" t="s">
        <v>3416</v>
      </c>
      <c r="E1697" s="543">
        <v>5</v>
      </c>
      <c r="F1697" s="632">
        <v>20</v>
      </c>
      <c r="G1697" s="543">
        <f>COUNTIF(HabilidadesEsenciales_Adquiridas,Tablas!D1697)</f>
        <v>0</v>
      </c>
      <c r="H1697" s="1995">
        <v>1</v>
      </c>
      <c r="J1697" s="635"/>
      <c r="K1697" s="636"/>
      <c r="L1697" s="636"/>
      <c r="M1697" s="636"/>
      <c r="N1697" s="2303"/>
    </row>
    <row r="1698" spans="2:14" ht="12.75" customHeight="1" x14ac:dyDescent="0.2">
      <c r="B1698" s="631"/>
      <c r="C1698" s="287"/>
      <c r="D1698" s="525" t="s">
        <v>3417</v>
      </c>
      <c r="E1698" s="543">
        <v>5</v>
      </c>
      <c r="F1698" s="632">
        <v>20</v>
      </c>
      <c r="G1698" s="543">
        <f>COUNTIF(HabilidadesEsenciales_Adquiridas,Tablas!D1698)</f>
        <v>0</v>
      </c>
      <c r="H1698" s="1995">
        <v>1</v>
      </c>
      <c r="J1698" s="635"/>
      <c r="K1698" s="636"/>
      <c r="L1698" s="636"/>
      <c r="M1698" s="636"/>
      <c r="N1698" s="2303"/>
    </row>
    <row r="1699" spans="2:14" ht="12.75" customHeight="1" x14ac:dyDescent="0.2">
      <c r="B1699" s="631"/>
      <c r="C1699" s="287"/>
      <c r="D1699" s="525" t="s">
        <v>1891</v>
      </c>
      <c r="E1699" s="543">
        <v>5</v>
      </c>
      <c r="F1699" s="632">
        <v>20</v>
      </c>
      <c r="G1699" s="543">
        <f>COUNTIF(HabilidadesEsenciales_Adquiridas,Tablas!D1699)</f>
        <v>0</v>
      </c>
      <c r="H1699" s="1995">
        <v>1</v>
      </c>
      <c r="J1699" s="635"/>
      <c r="K1699" s="636"/>
      <c r="L1699" s="636"/>
      <c r="M1699" s="636"/>
      <c r="N1699" s="2303"/>
    </row>
    <row r="1700" spans="2:14" ht="12.75" customHeight="1" x14ac:dyDescent="0.2">
      <c r="B1700" s="631"/>
      <c r="C1700" s="287"/>
      <c r="D1700" s="525" t="s">
        <v>3419</v>
      </c>
      <c r="E1700" s="543">
        <v>5</v>
      </c>
      <c r="F1700" s="632">
        <v>20</v>
      </c>
      <c r="G1700" s="543">
        <f>COUNTIF(HabilidadesEsenciales_Adquiridas,Tablas!D1700)</f>
        <v>0</v>
      </c>
      <c r="H1700" s="1995">
        <v>1</v>
      </c>
      <c r="J1700" s="635"/>
      <c r="K1700" s="636"/>
      <c r="L1700" s="636"/>
      <c r="M1700" s="636"/>
      <c r="N1700" s="2303"/>
    </row>
    <row r="1701" spans="2:14" ht="12.75" customHeight="1" x14ac:dyDescent="0.2">
      <c r="B1701" s="631"/>
      <c r="C1701" s="287"/>
      <c r="D1701" s="525" t="s">
        <v>3420</v>
      </c>
      <c r="E1701" s="543">
        <v>5</v>
      </c>
      <c r="F1701" s="632">
        <v>20</v>
      </c>
      <c r="G1701" s="543">
        <f>COUNTIF(HabilidadesEsenciales_Adquiridas,Tablas!D1701)</f>
        <v>0</v>
      </c>
      <c r="H1701" s="1995">
        <v>1</v>
      </c>
      <c r="J1701" s="635"/>
      <c r="K1701" s="636"/>
      <c r="L1701" s="636"/>
      <c r="M1701" s="636"/>
      <c r="N1701" s="2303"/>
    </row>
    <row r="1702" spans="2:14" ht="12.75" customHeight="1" x14ac:dyDescent="0.2">
      <c r="B1702" s="631"/>
      <c r="C1702" s="287"/>
      <c r="D1702" s="525" t="s">
        <v>1892</v>
      </c>
      <c r="E1702" s="543">
        <v>5</v>
      </c>
      <c r="F1702" s="632">
        <v>20</v>
      </c>
      <c r="G1702" s="543">
        <f>COUNTIF(HabilidadesEsenciales_Adquiridas,Tablas!D1702)</f>
        <v>0</v>
      </c>
      <c r="H1702" s="1995">
        <v>1</v>
      </c>
      <c r="J1702" s="635"/>
      <c r="K1702" s="636"/>
      <c r="L1702" s="636"/>
      <c r="M1702" s="636"/>
      <c r="N1702" s="2303"/>
    </row>
    <row r="1703" spans="2:14" ht="12.75" customHeight="1" x14ac:dyDescent="0.2">
      <c r="B1703" s="631"/>
      <c r="C1703" s="287"/>
      <c r="D1703" s="525" t="s">
        <v>3422</v>
      </c>
      <c r="E1703" s="543">
        <v>5</v>
      </c>
      <c r="F1703" s="632">
        <v>30</v>
      </c>
      <c r="G1703" s="543">
        <f>COUNTIF(HabilidadesEsenciales_Adquiridas,Tablas!D1703)</f>
        <v>0</v>
      </c>
      <c r="H1703" s="1995"/>
      <c r="J1703" s="635"/>
      <c r="K1703" s="636"/>
      <c r="L1703" s="636"/>
      <c r="M1703" s="636"/>
      <c r="N1703" s="2303"/>
    </row>
    <row r="1704" spans="2:14" ht="12.75" customHeight="1" x14ac:dyDescent="0.2">
      <c r="B1704" s="631"/>
      <c r="C1704" s="287"/>
      <c r="D1704" s="525" t="s">
        <v>1893</v>
      </c>
      <c r="E1704" s="543">
        <v>0</v>
      </c>
      <c r="F1704" s="632">
        <v>0</v>
      </c>
      <c r="G1704" s="543"/>
      <c r="H1704" s="1995"/>
      <c r="J1704" s="635"/>
      <c r="K1704" s="636"/>
      <c r="L1704" s="636"/>
      <c r="M1704" s="636"/>
      <c r="N1704" s="2303"/>
    </row>
    <row r="1705" spans="2:14" ht="12.75" customHeight="1" x14ac:dyDescent="0.2">
      <c r="B1705" s="631"/>
      <c r="C1705" s="287"/>
      <c r="D1705" s="525" t="s">
        <v>1894</v>
      </c>
      <c r="E1705" s="543">
        <v>0</v>
      </c>
      <c r="F1705" s="632">
        <v>-10</v>
      </c>
      <c r="G1705" s="543">
        <f>COUNTIF(HabilidadesEsenciales_Adquiridas,Tablas!D1705)</f>
        <v>0</v>
      </c>
      <c r="H1705" s="1995"/>
      <c r="J1705" s="635"/>
      <c r="K1705" s="636"/>
      <c r="L1705" s="636"/>
      <c r="M1705" s="636"/>
      <c r="N1705" s="2303"/>
    </row>
    <row r="1706" spans="2:14" ht="12.75" customHeight="1" x14ac:dyDescent="0.2">
      <c r="B1706" s="631"/>
      <c r="C1706" s="287"/>
      <c r="D1706" s="525" t="s">
        <v>1895</v>
      </c>
      <c r="E1706" s="543">
        <v>0</v>
      </c>
      <c r="F1706" s="632">
        <v>-20</v>
      </c>
      <c r="G1706" s="543">
        <f>COUNTIF(HabilidadesEsenciales_Adquiridas,Tablas!D1706)</f>
        <v>0</v>
      </c>
      <c r="H1706" s="1995"/>
      <c r="J1706" s="635"/>
      <c r="K1706" s="636"/>
      <c r="L1706" s="636"/>
      <c r="M1706" s="636"/>
      <c r="N1706" s="2303"/>
    </row>
    <row r="1707" spans="2:14" ht="12.75" customHeight="1" x14ac:dyDescent="0.2">
      <c r="B1707" s="631"/>
      <c r="C1707" s="287"/>
      <c r="D1707" s="525" t="s">
        <v>1896</v>
      </c>
      <c r="E1707" s="543">
        <v>10</v>
      </c>
      <c r="F1707" s="632">
        <v>-10</v>
      </c>
      <c r="G1707" s="543">
        <f>COUNTIF(HabilidadesEsenciales_Adquiridas,Tablas!D1707)</f>
        <v>0</v>
      </c>
      <c r="H1707" s="1995"/>
      <c r="J1707" s="635"/>
      <c r="K1707" s="636"/>
      <c r="L1707" s="636"/>
      <c r="M1707" s="636"/>
      <c r="N1707" s="2303"/>
    </row>
    <row r="1708" spans="2:14" ht="12.75" customHeight="1" x14ac:dyDescent="0.2">
      <c r="B1708" s="631"/>
      <c r="C1708" s="287"/>
      <c r="D1708" s="525" t="s">
        <v>1897</v>
      </c>
      <c r="E1708" s="543">
        <v>10</v>
      </c>
      <c r="F1708" s="632">
        <v>-20</v>
      </c>
      <c r="G1708" s="543">
        <f>COUNTIF(HabilidadesEsenciales_Adquiridas,Tablas!D1708)</f>
        <v>0</v>
      </c>
      <c r="H1708" s="1995"/>
      <c r="J1708" s="635"/>
      <c r="K1708" s="636"/>
      <c r="L1708" s="636"/>
      <c r="M1708" s="636"/>
      <c r="N1708" s="2303"/>
    </row>
    <row r="1709" spans="2:14" ht="12.75" customHeight="1" x14ac:dyDescent="0.2">
      <c r="B1709" s="631"/>
      <c r="C1709" s="287"/>
      <c r="D1709" s="525" t="s">
        <v>1898</v>
      </c>
      <c r="E1709" s="543">
        <v>0</v>
      </c>
      <c r="F1709" s="632">
        <v>-10</v>
      </c>
      <c r="G1709" s="543">
        <f>COUNTIF(HabilidadesEsenciales_Adquiridas,Tablas!D1709)</f>
        <v>0</v>
      </c>
      <c r="H1709" s="1995"/>
      <c r="J1709" s="635"/>
      <c r="K1709" s="636"/>
      <c r="L1709" s="636"/>
      <c r="M1709" s="636"/>
      <c r="N1709" s="2303"/>
    </row>
    <row r="1710" spans="2:14" ht="12.75" customHeight="1" x14ac:dyDescent="0.2">
      <c r="B1710" s="631"/>
      <c r="C1710" s="287"/>
      <c r="D1710" s="525" t="s">
        <v>3440</v>
      </c>
      <c r="E1710" s="543">
        <v>0</v>
      </c>
      <c r="F1710" s="632">
        <v>-20</v>
      </c>
      <c r="G1710" s="543">
        <f>COUNTIF(HabilidadesEsenciales_Adquiridas,Tablas!D1710)</f>
        <v>0</v>
      </c>
      <c r="H1710" s="1995"/>
      <c r="J1710" s="635"/>
      <c r="K1710" s="636"/>
      <c r="L1710" s="636"/>
      <c r="M1710" s="636"/>
      <c r="N1710" s="2303"/>
    </row>
    <row r="1711" spans="2:14" ht="12.75" customHeight="1" x14ac:dyDescent="0.2">
      <c r="B1711" s="631"/>
      <c r="C1711" s="287"/>
      <c r="D1711" s="525" t="s">
        <v>1899</v>
      </c>
      <c r="E1711" s="543">
        <v>0</v>
      </c>
      <c r="F1711" s="632">
        <v>-10</v>
      </c>
      <c r="G1711" s="543">
        <f>COUNTIF(HabilidadesEsenciales_Adquiridas,Tablas!D1711)</f>
        <v>0</v>
      </c>
      <c r="H1711" s="1995"/>
      <c r="J1711" s="635"/>
      <c r="K1711" s="636"/>
      <c r="L1711" s="636"/>
      <c r="M1711" s="636"/>
      <c r="N1711" s="2303"/>
    </row>
    <row r="1712" spans="2:14" ht="12.75" customHeight="1" x14ac:dyDescent="0.2">
      <c r="B1712" s="631"/>
      <c r="C1712" s="287"/>
      <c r="D1712" s="525" t="s">
        <v>1900</v>
      </c>
      <c r="E1712" s="543">
        <v>10</v>
      </c>
      <c r="F1712" s="632">
        <v>-20</v>
      </c>
      <c r="G1712" s="543">
        <f>COUNTIF(HabilidadesEsenciales_Adquiridas,Tablas!D1712)</f>
        <v>0</v>
      </c>
      <c r="H1712" s="1995"/>
      <c r="J1712" s="635"/>
      <c r="K1712" s="636"/>
      <c r="L1712" s="636"/>
      <c r="M1712" s="636"/>
      <c r="N1712" s="2303"/>
    </row>
    <row r="1713" spans="2:14" ht="12.75" customHeight="1" x14ac:dyDescent="0.2">
      <c r="B1713" s="631"/>
      <c r="C1713" s="287"/>
      <c r="D1713" s="525" t="s">
        <v>1901</v>
      </c>
      <c r="E1713" s="543">
        <v>20</v>
      </c>
      <c r="F1713" s="632">
        <v>-10</v>
      </c>
      <c r="G1713" s="543">
        <f>COUNTIF(HabilidadesEsenciales_Adquiridas,Tablas!D1713)</f>
        <v>0</v>
      </c>
      <c r="H1713" s="1995"/>
      <c r="J1713" s="635"/>
      <c r="K1713" s="636"/>
      <c r="L1713" s="636"/>
      <c r="M1713" s="636"/>
      <c r="N1713" s="2303"/>
    </row>
    <row r="1714" spans="2:14" ht="12.75" customHeight="1" x14ac:dyDescent="0.2">
      <c r="B1714" s="70"/>
      <c r="C1714" s="73"/>
      <c r="D1714" s="525" t="s">
        <v>1902</v>
      </c>
      <c r="E1714" s="543">
        <v>20</v>
      </c>
      <c r="F1714" s="632">
        <v>-20</v>
      </c>
      <c r="G1714" s="543">
        <f>COUNTIF(HabilidadesEsenciales_Adquiridas,Tablas!D1714)</f>
        <v>0</v>
      </c>
      <c r="H1714" s="1995"/>
      <c r="J1714" s="635"/>
      <c r="K1714" s="636"/>
      <c r="L1714" s="636"/>
      <c r="M1714" s="636"/>
      <c r="N1714" s="2303"/>
    </row>
    <row r="1715" spans="2:14" ht="12.75" customHeight="1" x14ac:dyDescent="0.2">
      <c r="B1715" s="631"/>
      <c r="C1715" s="287"/>
      <c r="D1715" s="525" t="s">
        <v>1903</v>
      </c>
      <c r="E1715" s="543">
        <v>10</v>
      </c>
      <c r="F1715" s="632">
        <v>-20</v>
      </c>
      <c r="G1715" s="543">
        <f>COUNTIF(HabilidadesEsenciales_Adquiridas,Tablas!D1715)</f>
        <v>0</v>
      </c>
      <c r="H1715" s="1995"/>
      <c r="J1715" s="635"/>
      <c r="K1715" s="636"/>
      <c r="L1715" s="636"/>
      <c r="M1715" s="636"/>
      <c r="N1715" s="2303"/>
    </row>
    <row r="1716" spans="2:14" ht="12.75" customHeight="1" x14ac:dyDescent="0.2">
      <c r="B1716" s="631"/>
      <c r="C1716" s="287"/>
      <c r="D1716" s="525" t="s">
        <v>1904</v>
      </c>
      <c r="E1716" s="543">
        <v>0</v>
      </c>
      <c r="F1716" s="632">
        <v>0</v>
      </c>
      <c r="G1716" s="543"/>
      <c r="H1716" s="1995"/>
      <c r="J1716" s="635"/>
      <c r="K1716" s="636"/>
      <c r="L1716" s="636"/>
      <c r="M1716" s="636"/>
      <c r="N1716" s="2303"/>
    </row>
    <row r="1717" spans="2:14" ht="12.75" customHeight="1" x14ac:dyDescent="0.2">
      <c r="B1717" s="631"/>
      <c r="C1717" s="287"/>
      <c r="D1717" s="525" t="s">
        <v>3451</v>
      </c>
      <c r="E1717" s="543">
        <v>5</v>
      </c>
      <c r="F1717" s="632">
        <v>-10</v>
      </c>
      <c r="G1717" s="543">
        <f>COUNTIF(HabilidadesEsenciales_Adquiridas,Tablas!D1717)</f>
        <v>0</v>
      </c>
      <c r="H1717" s="1995"/>
      <c r="J1717" s="635"/>
      <c r="K1717" s="636"/>
      <c r="L1717" s="636"/>
      <c r="M1717" s="636"/>
      <c r="N1717" s="2303"/>
    </row>
    <row r="1718" spans="2:14" ht="12.75" customHeight="1" x14ac:dyDescent="0.2">
      <c r="B1718" s="631"/>
      <c r="C1718" s="287"/>
      <c r="D1718" s="525" t="s">
        <v>3452</v>
      </c>
      <c r="E1718" s="543">
        <v>5</v>
      </c>
      <c r="F1718" s="632">
        <v>-10</v>
      </c>
      <c r="G1718" s="543">
        <f>COUNTIF(HabilidadesEsenciales_Adquiridas,Tablas!D1718)</f>
        <v>0</v>
      </c>
      <c r="H1718" s="1995"/>
      <c r="J1718" s="635"/>
      <c r="K1718" s="636"/>
      <c r="L1718" s="636"/>
      <c r="M1718" s="636"/>
      <c r="N1718" s="2303"/>
    </row>
    <row r="1719" spans="2:14" ht="12.75" customHeight="1" x14ac:dyDescent="0.2">
      <c r="B1719" s="631"/>
      <c r="C1719" s="287"/>
      <c r="D1719" s="525" t="s">
        <v>1905</v>
      </c>
      <c r="E1719" s="543">
        <v>5</v>
      </c>
      <c r="F1719" s="632">
        <v>-10</v>
      </c>
      <c r="G1719" s="543">
        <f>COUNTIF(HabilidadesEsenciales_Adquiridas,Tablas!D1719)</f>
        <v>0</v>
      </c>
      <c r="H1719" s="1995">
        <v>1</v>
      </c>
      <c r="J1719" s="635"/>
      <c r="K1719" s="636"/>
      <c r="L1719" s="636"/>
      <c r="M1719" s="636"/>
      <c r="N1719" s="2303"/>
    </row>
    <row r="1720" spans="2:14" ht="12.75" customHeight="1" x14ac:dyDescent="0.2">
      <c r="B1720" s="631"/>
      <c r="C1720" s="287"/>
      <c r="D1720" s="525" t="s">
        <v>3456</v>
      </c>
      <c r="E1720" s="543">
        <v>5</v>
      </c>
      <c r="F1720" s="632">
        <v>-30</v>
      </c>
      <c r="G1720" s="543">
        <f>COUNTIF(HabilidadesEsenciales_Adquiridas,Tablas!D1720)</f>
        <v>0</v>
      </c>
      <c r="H1720" s="1995">
        <v>1</v>
      </c>
      <c r="J1720" s="635"/>
      <c r="K1720" s="636"/>
      <c r="L1720" s="636"/>
      <c r="M1720" s="636"/>
      <c r="N1720" s="2303"/>
    </row>
    <row r="1721" spans="2:14" ht="12.75" customHeight="1" x14ac:dyDescent="0.2">
      <c r="B1721" s="631"/>
      <c r="C1721" s="287"/>
      <c r="D1721" s="525" t="s">
        <v>3453</v>
      </c>
      <c r="E1721" s="543">
        <v>5</v>
      </c>
      <c r="F1721" s="632">
        <v>-10</v>
      </c>
      <c r="G1721" s="543">
        <f>COUNTIF(HabilidadesEsenciales_Adquiridas,Tablas!D1721)</f>
        <v>0</v>
      </c>
      <c r="H1721" s="1995"/>
      <c r="J1721" s="635"/>
      <c r="K1721" s="636"/>
      <c r="L1721" s="636"/>
      <c r="M1721" s="636"/>
      <c r="N1721" s="2303"/>
    </row>
    <row r="1722" spans="2:14" ht="12.75" customHeight="1" x14ac:dyDescent="0.2">
      <c r="B1722" s="631"/>
      <c r="C1722" s="287"/>
      <c r="D1722" s="525" t="s">
        <v>1906</v>
      </c>
      <c r="E1722" s="543">
        <v>5</v>
      </c>
      <c r="F1722" s="632">
        <v>-20</v>
      </c>
      <c r="G1722" s="543">
        <f>COUNTIF(HabilidadesEsenciales_Adquiridas,Tablas!D1722)</f>
        <v>0</v>
      </c>
      <c r="H1722" s="1995"/>
      <c r="J1722" s="635"/>
      <c r="K1722" s="636"/>
      <c r="L1722" s="636"/>
      <c r="M1722" s="636"/>
      <c r="N1722" s="2303"/>
    </row>
    <row r="1723" spans="2:14" ht="12.75" customHeight="1" x14ac:dyDescent="0.2">
      <c r="B1723" s="631"/>
      <c r="C1723" s="287"/>
      <c r="D1723" s="525" t="s">
        <v>1907</v>
      </c>
      <c r="E1723" s="543">
        <v>0</v>
      </c>
      <c r="F1723" s="632">
        <v>0</v>
      </c>
      <c r="G1723" s="543"/>
      <c r="H1723" s="1995"/>
      <c r="J1723" s="635"/>
      <c r="K1723" s="636"/>
      <c r="L1723" s="636"/>
      <c r="M1723" s="636"/>
      <c r="N1723" s="2303"/>
    </row>
    <row r="1724" spans="2:14" ht="12.75" customHeight="1" x14ac:dyDescent="0.2">
      <c r="B1724" s="631"/>
      <c r="C1724" s="287"/>
      <c r="D1724" s="525" t="s">
        <v>3460</v>
      </c>
      <c r="E1724" s="543">
        <v>5</v>
      </c>
      <c r="F1724" s="632">
        <v>-10</v>
      </c>
      <c r="G1724" s="543">
        <f>COUNTIF(HabilidadesEsenciales_Adquiridas,Tablas!D1724)</f>
        <v>0</v>
      </c>
      <c r="H1724" s="1995">
        <v>1</v>
      </c>
      <c r="J1724" s="635"/>
      <c r="K1724" s="636"/>
      <c r="L1724" s="636"/>
      <c r="M1724" s="636"/>
      <c r="N1724" s="2303"/>
    </row>
    <row r="1725" spans="2:14" ht="12.75" customHeight="1" x14ac:dyDescent="0.2">
      <c r="B1725" s="631"/>
      <c r="C1725" s="287"/>
      <c r="D1725" s="525" t="s">
        <v>3461</v>
      </c>
      <c r="E1725" s="543">
        <v>5</v>
      </c>
      <c r="F1725" s="632">
        <v>-10</v>
      </c>
      <c r="G1725" s="543">
        <f>COUNTIF(HabilidadesEsenciales_Adquiridas,Tablas!D1725)</f>
        <v>0</v>
      </c>
      <c r="H1725" s="1995"/>
      <c r="J1725" s="635"/>
      <c r="K1725" s="636"/>
      <c r="L1725" s="636"/>
      <c r="M1725" s="636"/>
      <c r="N1725" s="2303"/>
    </row>
    <row r="1726" spans="2:14" ht="12.75" customHeight="1" x14ac:dyDescent="0.2">
      <c r="B1726" s="631"/>
      <c r="C1726" s="287"/>
      <c r="D1726" s="525" t="s">
        <v>1908</v>
      </c>
      <c r="E1726" s="543">
        <v>5</v>
      </c>
      <c r="F1726" s="632">
        <v>-20</v>
      </c>
      <c r="G1726" s="543">
        <f>COUNTIF(HabilidadesEsenciales_Adquiridas,Tablas!D1726)</f>
        <v>0</v>
      </c>
      <c r="H1726" s="1995"/>
      <c r="J1726" s="635"/>
      <c r="K1726" s="636"/>
      <c r="L1726" s="636"/>
      <c r="M1726" s="636"/>
      <c r="N1726" s="2303"/>
    </row>
    <row r="1727" spans="2:14" ht="12.75" customHeight="1" x14ac:dyDescent="0.2">
      <c r="B1727" s="631"/>
      <c r="C1727" s="287"/>
      <c r="D1727" s="525" t="s">
        <v>1909</v>
      </c>
      <c r="E1727" s="543">
        <v>0</v>
      </c>
      <c r="F1727" s="632">
        <v>0</v>
      </c>
      <c r="G1727" s="543"/>
      <c r="H1727" s="1995"/>
      <c r="J1727" s="635"/>
      <c r="K1727" s="636"/>
      <c r="L1727" s="636"/>
      <c r="M1727" s="636"/>
      <c r="N1727" s="2303"/>
    </row>
    <row r="1728" spans="2:14" ht="12.75" customHeight="1" x14ac:dyDescent="0.2">
      <c r="B1728" s="631"/>
      <c r="C1728" s="287"/>
      <c r="D1728" s="525" t="s">
        <v>3344</v>
      </c>
      <c r="E1728" s="543">
        <v>20</v>
      </c>
      <c r="F1728" s="632">
        <v>40</v>
      </c>
      <c r="G1728" s="543">
        <f>COUNTIF(HabilidadesEsenciales_Adquiridas,Tablas!D1728)</f>
        <v>0</v>
      </c>
      <c r="H1728" s="1995"/>
      <c r="J1728" s="635"/>
      <c r="K1728" s="636"/>
      <c r="L1728" s="636"/>
      <c r="M1728" s="636"/>
      <c r="N1728" s="2303"/>
    </row>
    <row r="1729" spans="2:14" ht="12.75" customHeight="1" x14ac:dyDescent="0.2">
      <c r="B1729" s="631"/>
      <c r="C1729" s="287"/>
      <c r="D1729" s="525" t="s">
        <v>1910</v>
      </c>
      <c r="E1729" s="543">
        <v>20</v>
      </c>
      <c r="F1729" s="632">
        <v>20</v>
      </c>
      <c r="G1729" s="543">
        <f>COUNTIF(HabilidadesEsenciales_Adquiridas,Tablas!D1729)</f>
        <v>0</v>
      </c>
      <c r="H1729" s="1995"/>
      <c r="J1729" s="635"/>
      <c r="K1729" s="636"/>
      <c r="L1729" s="636"/>
      <c r="M1729" s="636"/>
      <c r="N1729" s="2303"/>
    </row>
    <row r="1730" spans="2:14" ht="12.75" customHeight="1" x14ac:dyDescent="0.2">
      <c r="B1730" s="631"/>
      <c r="C1730" s="287"/>
      <c r="D1730" s="525" t="s">
        <v>3387</v>
      </c>
      <c r="E1730" s="543">
        <v>10</v>
      </c>
      <c r="F1730" s="632">
        <v>10</v>
      </c>
      <c r="G1730" s="543">
        <f>COUNTIF(HabilidadesEsenciales_Adquiridas,Tablas!D1730)</f>
        <v>0</v>
      </c>
      <c r="H1730" s="1995"/>
      <c r="J1730" s="635"/>
      <c r="K1730" s="636"/>
      <c r="L1730" s="636"/>
      <c r="M1730" s="636"/>
      <c r="N1730" s="2303"/>
    </row>
    <row r="1731" spans="2:14" ht="12.75" customHeight="1" x14ac:dyDescent="0.2">
      <c r="B1731" s="631"/>
      <c r="C1731" s="287"/>
      <c r="D1731" s="525" t="s">
        <v>3468</v>
      </c>
      <c r="E1731" s="543">
        <v>5</v>
      </c>
      <c r="F1731" s="632">
        <v>20</v>
      </c>
      <c r="G1731" s="543">
        <f>COUNTIF(HabilidadesEsenciales_Adquiridas,Tablas!D1731)</f>
        <v>0</v>
      </c>
      <c r="H1731" s="1995"/>
      <c r="J1731" s="635"/>
      <c r="K1731" s="636"/>
      <c r="L1731" s="636"/>
      <c r="M1731" s="636"/>
      <c r="N1731" s="2303"/>
    </row>
    <row r="1732" spans="2:14" ht="12.75" customHeight="1" x14ac:dyDescent="0.2">
      <c r="B1732" s="631"/>
      <c r="C1732" s="287"/>
      <c r="D1732" s="525" t="s">
        <v>3481</v>
      </c>
      <c r="E1732" s="543">
        <v>0</v>
      </c>
      <c r="F1732" s="632">
        <v>10</v>
      </c>
      <c r="G1732" s="543">
        <f>COUNTIF(HabilidadesEsenciales_Adquiridas,Tablas!D1732)</f>
        <v>0</v>
      </c>
      <c r="H1732" s="1995"/>
      <c r="J1732" s="635"/>
      <c r="K1732" s="636"/>
      <c r="L1732" s="636"/>
      <c r="M1732" s="636"/>
      <c r="N1732" s="2303"/>
    </row>
    <row r="1733" spans="2:14" ht="12.75" customHeight="1" x14ac:dyDescent="0.2">
      <c r="B1733" s="631"/>
      <c r="C1733" s="287"/>
      <c r="D1733" s="525" t="s">
        <v>3488</v>
      </c>
      <c r="E1733" s="543">
        <v>10</v>
      </c>
      <c r="F1733" s="632">
        <v>20</v>
      </c>
      <c r="G1733" s="543">
        <f>COUNTIF(HabilidadesEsenciales_Adquiridas,Tablas!D1733)</f>
        <v>0</v>
      </c>
      <c r="H1733" s="1995">
        <v>1</v>
      </c>
      <c r="J1733" s="635"/>
      <c r="K1733" s="636"/>
      <c r="L1733" s="636"/>
      <c r="M1733" s="636"/>
      <c r="N1733" s="2303"/>
    </row>
    <row r="1734" spans="2:14" ht="12.75" customHeight="1" x14ac:dyDescent="0.2">
      <c r="B1734" s="631"/>
      <c r="C1734" s="287"/>
      <c r="D1734" s="525" t="s">
        <v>3492</v>
      </c>
      <c r="E1734" s="543">
        <v>10</v>
      </c>
      <c r="F1734" s="632">
        <v>20</v>
      </c>
      <c r="G1734" s="543">
        <f>COUNTIF(HabilidadesEsenciales_Adquiridas,Tablas!D1734)</f>
        <v>0</v>
      </c>
      <c r="H1734" s="1995"/>
      <c r="J1734" s="635"/>
      <c r="K1734" s="636"/>
      <c r="L1734" s="636"/>
      <c r="M1734" s="636"/>
      <c r="N1734" s="2303"/>
    </row>
    <row r="1735" spans="2:14" ht="12.75" customHeight="1" x14ac:dyDescent="0.2">
      <c r="B1735" s="631"/>
      <c r="C1735" s="287"/>
      <c r="D1735" s="525" t="s">
        <v>3495</v>
      </c>
      <c r="E1735" s="543">
        <v>15</v>
      </c>
      <c r="F1735" s="632">
        <v>30</v>
      </c>
      <c r="G1735" s="543">
        <f>COUNTIF(HabilidadesEsenciales_Adquiridas,Tablas!D1735)</f>
        <v>0</v>
      </c>
      <c r="H1735" s="1995"/>
      <c r="J1735" s="635"/>
      <c r="K1735" s="636"/>
      <c r="L1735" s="636"/>
      <c r="M1735" s="636"/>
      <c r="N1735" s="2303"/>
    </row>
    <row r="1736" spans="2:14" ht="12.75" customHeight="1" x14ac:dyDescent="0.2">
      <c r="B1736" s="631"/>
      <c r="C1736" s="287"/>
      <c r="D1736" s="525" t="s">
        <v>1911</v>
      </c>
      <c r="E1736" s="543">
        <v>10</v>
      </c>
      <c r="F1736" s="632">
        <v>20</v>
      </c>
      <c r="G1736" s="543">
        <f>COUNTIF(HabilidadesEsenciales_Adquiridas,Tablas!D1736)</f>
        <v>0</v>
      </c>
      <c r="H1736" s="1995"/>
      <c r="J1736" s="635"/>
      <c r="K1736" s="636"/>
      <c r="L1736" s="636"/>
      <c r="M1736" s="636"/>
      <c r="N1736" s="2303"/>
    </row>
    <row r="1737" spans="2:14" ht="12.75" customHeight="1" x14ac:dyDescent="0.2">
      <c r="B1737" s="631"/>
      <c r="C1737" s="287"/>
      <c r="D1737" s="525" t="s">
        <v>3508</v>
      </c>
      <c r="E1737" s="543">
        <v>5</v>
      </c>
      <c r="F1737" s="632">
        <v>20</v>
      </c>
      <c r="G1737" s="543">
        <f>COUNTIF(HabilidadesEsenciales_Adquiridas,Tablas!D1737)</f>
        <v>0</v>
      </c>
      <c r="H1737" s="1995">
        <v>1</v>
      </c>
      <c r="J1737" s="635"/>
      <c r="K1737" s="636"/>
      <c r="L1737" s="636"/>
      <c r="M1737" s="636"/>
      <c r="N1737" s="2303"/>
    </row>
    <row r="1738" spans="2:14" ht="12.75" customHeight="1" x14ac:dyDescent="0.2">
      <c r="B1738" s="631"/>
      <c r="C1738" s="287"/>
      <c r="D1738" s="525" t="s">
        <v>1912</v>
      </c>
      <c r="E1738" s="543">
        <v>0</v>
      </c>
      <c r="F1738" s="632">
        <v>20</v>
      </c>
      <c r="G1738" s="543">
        <f>COUNTIF(HabilidadesEsenciales_Adquiridas,Tablas!D1738)</f>
        <v>0</v>
      </c>
      <c r="H1738" s="1995">
        <v>1</v>
      </c>
      <c r="J1738" s="635"/>
      <c r="K1738" s="636"/>
      <c r="L1738" s="636"/>
      <c r="M1738" s="636"/>
      <c r="N1738" s="2303"/>
    </row>
    <row r="1739" spans="2:14" ht="12.75" customHeight="1" x14ac:dyDescent="0.2">
      <c r="B1739" s="631"/>
      <c r="C1739" s="287"/>
      <c r="D1739" s="525" t="s">
        <v>1913</v>
      </c>
      <c r="E1739" s="543">
        <v>0</v>
      </c>
      <c r="F1739" s="632">
        <v>0</v>
      </c>
      <c r="G1739" s="543"/>
      <c r="H1739" s="1995"/>
      <c r="J1739" s="635"/>
      <c r="K1739" s="636"/>
      <c r="L1739" s="636"/>
      <c r="M1739" s="636"/>
      <c r="N1739" s="2303"/>
    </row>
    <row r="1740" spans="2:14" ht="12.75" customHeight="1" x14ac:dyDescent="0.2">
      <c r="B1740" s="631"/>
      <c r="C1740" s="287"/>
      <c r="D1740" s="525" t="s">
        <v>1914</v>
      </c>
      <c r="E1740" s="543">
        <v>0</v>
      </c>
      <c r="F1740" s="632">
        <v>-30</v>
      </c>
      <c r="G1740" s="543">
        <f>COUNTIF(HabilidadesEsenciales_Adquiridas,Tablas!D1740)</f>
        <v>0</v>
      </c>
      <c r="H1740" s="1995"/>
      <c r="J1740" s="635"/>
      <c r="K1740" s="636"/>
      <c r="L1740" s="636"/>
      <c r="M1740" s="636"/>
      <c r="N1740" s="2303"/>
    </row>
    <row r="1741" spans="2:14" ht="12.75" customHeight="1" x14ac:dyDescent="0.2">
      <c r="B1741" s="631"/>
      <c r="C1741" s="287"/>
      <c r="D1741" s="525" t="s">
        <v>1915</v>
      </c>
      <c r="E1741" s="543">
        <v>0</v>
      </c>
      <c r="F1741" s="632">
        <v>-20</v>
      </c>
      <c r="G1741" s="543">
        <f>COUNTIF(HabilidadesEsenciales_Adquiridas,Tablas!D1741)</f>
        <v>0</v>
      </c>
      <c r="H1741" s="1995"/>
      <c r="J1741" s="635"/>
      <c r="K1741" s="636"/>
      <c r="L1741" s="636"/>
      <c r="M1741" s="636"/>
      <c r="N1741" s="2303"/>
    </row>
    <row r="1742" spans="2:14" ht="12.75" customHeight="1" x14ac:dyDescent="0.2">
      <c r="B1742" s="631"/>
      <c r="C1742" s="287"/>
      <c r="D1742" s="525" t="s">
        <v>1916</v>
      </c>
      <c r="E1742" s="543"/>
      <c r="F1742" s="632"/>
      <c r="G1742" s="543"/>
      <c r="H1742" s="1995"/>
      <c r="J1742" s="635"/>
      <c r="K1742" s="636"/>
      <c r="L1742" s="636"/>
      <c r="M1742" s="636"/>
      <c r="N1742" s="2303"/>
    </row>
    <row r="1743" spans="2:14" ht="12.75" customHeight="1" x14ac:dyDescent="0.2">
      <c r="B1743" s="631"/>
      <c r="C1743" s="287"/>
      <c r="D1743" s="525" t="str">
        <f>IF('Elan y Personalización'!AB8=0,"Habilidad #1",'Elan y Personalización'!AB8)</f>
        <v>Habilidad #1</v>
      </c>
      <c r="E1743" s="543">
        <f>'Elan y Personalización'!AI8</f>
        <v>0</v>
      </c>
      <c r="F1743" s="632">
        <f>'Elan y Personalización'!AJ8</f>
        <v>0</v>
      </c>
      <c r="G1743" s="543">
        <f>COUNTIF(HabilidadesEsenciales_Adquiridas,Tablas!D1743)</f>
        <v>0</v>
      </c>
      <c r="H1743" s="1995"/>
      <c r="J1743" s="635"/>
      <c r="K1743" s="636"/>
      <c r="L1743" s="636"/>
      <c r="M1743" s="636"/>
      <c r="N1743" s="2303"/>
    </row>
    <row r="1744" spans="2:14" ht="12.75" customHeight="1" x14ac:dyDescent="0.2">
      <c r="B1744" s="631"/>
      <c r="C1744" s="287"/>
      <c r="D1744" s="525" t="str">
        <f>IF('Elan y Personalización'!AB9=0,"Habilidad #2",'Elan y Personalización'!AB9)</f>
        <v>Habilidad #2</v>
      </c>
      <c r="E1744" s="543">
        <f>'Elan y Personalización'!AI9</f>
        <v>0</v>
      </c>
      <c r="F1744" s="632">
        <f>'Elan y Personalización'!AJ9</f>
        <v>0</v>
      </c>
      <c r="G1744" s="543">
        <f>COUNTIF(HabilidadesEsenciales_Adquiridas,Tablas!D1744)</f>
        <v>0</v>
      </c>
      <c r="H1744" s="1995"/>
      <c r="J1744" s="635"/>
      <c r="K1744" s="636"/>
      <c r="L1744" s="636"/>
      <c r="M1744" s="636"/>
      <c r="N1744" s="2303"/>
    </row>
    <row r="1745" spans="2:14" ht="12.75" customHeight="1" x14ac:dyDescent="0.2">
      <c r="B1745" s="631"/>
      <c r="C1745" s="287"/>
      <c r="D1745" s="525" t="str">
        <f>IF('Elan y Personalización'!AB10=0,"Habilidad #3",'Elan y Personalización'!AB10)</f>
        <v>Habilidad #3</v>
      </c>
      <c r="E1745" s="543">
        <f>'Elan y Personalización'!AI10</f>
        <v>0</v>
      </c>
      <c r="F1745" s="632">
        <f>'Elan y Personalización'!AJ10</f>
        <v>0</v>
      </c>
      <c r="G1745" s="543">
        <f>COUNTIF(HabilidadesEsenciales_Adquiridas,Tablas!D1745)</f>
        <v>0</v>
      </c>
      <c r="H1745" s="1995"/>
      <c r="J1745" s="635"/>
      <c r="K1745" s="636"/>
      <c r="L1745" s="636"/>
      <c r="M1745" s="636"/>
      <c r="N1745" s="2303"/>
    </row>
    <row r="1746" spans="2:14" ht="12.75" customHeight="1" x14ac:dyDescent="0.2">
      <c r="B1746" s="631"/>
      <c r="C1746" s="287"/>
      <c r="D1746" s="525" t="str">
        <f>IF('Elan y Personalización'!AB11=0,"Habilidad #4",'Elan y Personalización'!AB11)</f>
        <v>Habilidad #4</v>
      </c>
      <c r="E1746" s="543">
        <f>'Elan y Personalización'!AI11</f>
        <v>0</v>
      </c>
      <c r="F1746" s="632">
        <f>'Elan y Personalización'!AJ11</f>
        <v>0</v>
      </c>
      <c r="G1746" s="543">
        <f>COUNTIF(HabilidadesEsenciales_Adquiridas,Tablas!D1746)</f>
        <v>0</v>
      </c>
      <c r="H1746" s="1995"/>
      <c r="J1746" s="635"/>
      <c r="K1746" s="636"/>
      <c r="L1746" s="636"/>
      <c r="M1746" s="636"/>
      <c r="N1746" s="2303"/>
    </row>
    <row r="1747" spans="2:14" ht="12.75" customHeight="1" thickBot="1" x14ac:dyDescent="0.25">
      <c r="B1747" s="637"/>
      <c r="C1747" s="638"/>
      <c r="D1747" s="639" t="str">
        <f>IF('Elan y Personalización'!AB12=0,"Habilidad #5",'Elan y Personalización'!AB12)</f>
        <v>Habilidad #5</v>
      </c>
      <c r="E1747" s="546">
        <f>'Elan y Personalización'!AI12</f>
        <v>0</v>
      </c>
      <c r="F1747" s="640">
        <f>'Elan y Personalización'!AJ12</f>
        <v>0</v>
      </c>
      <c r="G1747" s="546">
        <f>COUNTIF(HabilidadesEsenciales_Adquiridas,Tablas!D1747)</f>
        <v>0</v>
      </c>
      <c r="H1747" s="1996"/>
      <c r="J1747" s="635"/>
      <c r="K1747" s="636"/>
      <c r="L1747" s="636"/>
      <c r="M1747" s="636"/>
      <c r="N1747" s="2303"/>
    </row>
    <row r="1748" spans="2:14" ht="12.75" customHeight="1" thickBot="1" x14ac:dyDescent="0.25">
      <c r="J1748" s="635"/>
      <c r="K1748" s="636"/>
      <c r="L1748" s="636"/>
      <c r="M1748" s="636"/>
      <c r="N1748" s="2303"/>
    </row>
    <row r="1749" spans="2:14" ht="12.75" customHeight="1" thickBot="1" x14ac:dyDescent="0.25">
      <c r="B1749" s="3028" t="s">
        <v>1917</v>
      </c>
      <c r="J1749" s="635"/>
      <c r="K1749" s="636"/>
      <c r="L1749" s="636"/>
      <c r="M1749" s="636"/>
      <c r="N1749" s="2303"/>
    </row>
    <row r="1750" spans="2:14" ht="12.75" customHeight="1" thickBot="1" x14ac:dyDescent="0.25">
      <c r="B1750" s="3028"/>
      <c r="J1750" s="635"/>
      <c r="K1750" s="636"/>
      <c r="L1750" s="636"/>
      <c r="M1750" s="636"/>
      <c r="N1750" s="2303"/>
    </row>
    <row r="1751" spans="2:14" ht="12.75" customHeight="1" x14ac:dyDescent="0.2">
      <c r="B1751" s="552" t="s">
        <v>1918</v>
      </c>
      <c r="J1751" s="635"/>
      <c r="K1751" s="636"/>
      <c r="L1751" s="636"/>
      <c r="M1751" s="636"/>
      <c r="N1751" s="2303"/>
    </row>
    <row r="1752" spans="2:14" ht="12.75" customHeight="1" thickBot="1" x14ac:dyDescent="0.25">
      <c r="B1752" s="553" t="s">
        <v>1919</v>
      </c>
      <c r="J1752" s="635"/>
      <c r="K1752" s="636"/>
      <c r="L1752" s="636"/>
      <c r="M1752" s="636"/>
      <c r="N1752" s="2303"/>
    </row>
    <row r="1753" spans="2:14" ht="12.75" customHeight="1" x14ac:dyDescent="0.2">
      <c r="J1753" s="635"/>
      <c r="K1753" s="636"/>
      <c r="L1753" s="636"/>
      <c r="M1753" s="636"/>
      <c r="N1753" s="2303"/>
    </row>
    <row r="1754" spans="2:14" ht="12.75" customHeight="1" x14ac:dyDescent="0.2">
      <c r="J1754" s="635"/>
      <c r="K1754" s="636"/>
      <c r="L1754" s="636"/>
      <c r="M1754" s="636"/>
      <c r="N1754" s="2303"/>
    </row>
    <row r="1755" spans="2:14" ht="12.75" customHeight="1" x14ac:dyDescent="0.2">
      <c r="J1755" s="635"/>
      <c r="K1755" s="636"/>
      <c r="L1755" s="636"/>
      <c r="M1755" s="636"/>
      <c r="N1755" s="2303"/>
    </row>
    <row r="1756" spans="2:14" ht="12.75" customHeight="1" x14ac:dyDescent="0.2">
      <c r="J1756" s="635"/>
      <c r="K1756" s="636"/>
      <c r="L1756" s="636"/>
      <c r="M1756" s="636"/>
      <c r="N1756" s="2303"/>
    </row>
    <row r="1757" spans="2:14" ht="12.75" customHeight="1" x14ac:dyDescent="0.2">
      <c r="J1757" s="635"/>
      <c r="K1757" s="636"/>
      <c r="L1757" s="636"/>
      <c r="M1757" s="636"/>
      <c r="N1757" s="2303"/>
    </row>
    <row r="1758" spans="2:14" ht="12.75" customHeight="1" x14ac:dyDescent="0.2">
      <c r="J1758" s="635"/>
      <c r="K1758" s="636"/>
      <c r="L1758" s="636"/>
      <c r="M1758" s="636"/>
      <c r="N1758" s="2303"/>
    </row>
    <row r="1759" spans="2:14" ht="12.75" customHeight="1" x14ac:dyDescent="0.2">
      <c r="J1759" s="635"/>
      <c r="K1759" s="636"/>
      <c r="L1759" s="636"/>
      <c r="M1759" s="636"/>
      <c r="N1759" s="2303"/>
    </row>
    <row r="1760" spans="2:14" ht="12.75" customHeight="1" x14ac:dyDescent="0.2">
      <c r="J1760" s="635"/>
      <c r="K1760" s="636"/>
      <c r="L1760" s="636"/>
      <c r="M1760" s="636"/>
      <c r="N1760" s="2303"/>
    </row>
    <row r="1761" spans="2:14" ht="12.75" customHeight="1" x14ac:dyDescent="0.2">
      <c r="J1761" s="635"/>
      <c r="K1761" s="636"/>
      <c r="L1761" s="636"/>
      <c r="M1761" s="636"/>
      <c r="N1761" s="2303"/>
    </row>
    <row r="1762" spans="2:14" ht="12.75" customHeight="1" x14ac:dyDescent="0.2">
      <c r="J1762" s="635"/>
      <c r="K1762" s="636"/>
      <c r="L1762" s="636"/>
      <c r="M1762" s="636"/>
      <c r="N1762" s="2303"/>
    </row>
    <row r="1763" spans="2:14" ht="12.75" customHeight="1" x14ac:dyDescent="0.2">
      <c r="J1763" s="635"/>
      <c r="K1763" s="636"/>
      <c r="L1763" s="636"/>
      <c r="M1763" s="636"/>
      <c r="N1763" s="2303"/>
    </row>
    <row r="1764" spans="2:14" ht="12.75" customHeight="1" x14ac:dyDescent="0.2">
      <c r="J1764" s="635"/>
      <c r="K1764" s="636"/>
      <c r="L1764" s="636"/>
      <c r="M1764" s="636"/>
      <c r="N1764" s="2303"/>
    </row>
    <row r="1765" spans="2:14" ht="12.75" customHeight="1" thickBot="1" x14ac:dyDescent="0.25"/>
    <row r="1766" spans="2:14" ht="12.75" customHeight="1" x14ac:dyDescent="0.2">
      <c r="B1766" s="3945" t="s">
        <v>2293</v>
      </c>
      <c r="C1766" s="3800"/>
      <c r="D1766" s="3800"/>
      <c r="E1766" s="3800"/>
      <c r="F1766" s="3800"/>
      <c r="G1766" s="3941"/>
    </row>
    <row r="1767" spans="2:14" ht="12.75" customHeight="1" x14ac:dyDescent="0.2">
      <c r="B1767" s="4779"/>
      <c r="C1767" s="4780"/>
      <c r="D1767" s="4780"/>
      <c r="E1767" s="4780"/>
      <c r="F1767" s="4780"/>
      <c r="G1767" s="4781"/>
    </row>
    <row r="1768" spans="2:14" ht="12.75" customHeight="1" thickBot="1" x14ac:dyDescent="0.25">
      <c r="B1768" s="4931" t="s">
        <v>2295</v>
      </c>
      <c r="C1768" s="4932"/>
      <c r="D1768" s="4932"/>
      <c r="E1768" s="630" t="s">
        <v>2229</v>
      </c>
      <c r="F1768" s="641" t="s">
        <v>2345</v>
      </c>
      <c r="G1768" s="2505" t="s">
        <v>3283</v>
      </c>
    </row>
    <row r="1769" spans="2:14" ht="12.75" customHeight="1" x14ac:dyDescent="0.2">
      <c r="B1769" s="2506" t="s">
        <v>1920</v>
      </c>
      <c r="C1769" s="145"/>
      <c r="D1769" s="145"/>
      <c r="E1769" s="497"/>
      <c r="F1769" s="497"/>
      <c r="G1769" s="2502"/>
    </row>
    <row r="1770" spans="2:14" ht="12.75" customHeight="1" x14ac:dyDescent="0.2">
      <c r="B1770" s="1679" t="s">
        <v>2853</v>
      </c>
      <c r="C1770" s="111"/>
      <c r="D1770" s="111"/>
      <c r="E1770" s="456">
        <v>0</v>
      </c>
      <c r="F1770" s="644">
        <v>20</v>
      </c>
      <c r="G1770" s="2503">
        <f>COUNTIF(PoderesDeCriatura_Adquiridos,Tablas!B1770)</f>
        <v>0</v>
      </c>
    </row>
    <row r="1771" spans="2:14" ht="12.75" customHeight="1" x14ac:dyDescent="0.2">
      <c r="B1771" s="1856" t="s">
        <v>1921</v>
      </c>
      <c r="C1771" s="111"/>
      <c r="D1771" s="111"/>
      <c r="E1771" s="456">
        <v>0</v>
      </c>
      <c r="F1771" s="644">
        <v>20</v>
      </c>
      <c r="G1771" s="2503">
        <f>COUNTIF(PoderesDeCriatura_Adquiridos,Tablas!B1771)</f>
        <v>0</v>
      </c>
    </row>
    <row r="1772" spans="2:14" ht="12.75" customHeight="1" x14ac:dyDescent="0.2">
      <c r="B1772" s="1856" t="s">
        <v>1922</v>
      </c>
      <c r="C1772" s="111"/>
      <c r="D1772" s="111"/>
      <c r="E1772" s="456">
        <v>0</v>
      </c>
      <c r="F1772" s="644">
        <v>30</v>
      </c>
      <c r="G1772" s="2503">
        <f>COUNTIF(PoderesDeCriatura_Adquiridos,Tablas!B1772)</f>
        <v>0</v>
      </c>
    </row>
    <row r="1773" spans="2:14" ht="12.75" customHeight="1" x14ac:dyDescent="0.2">
      <c r="B1773" s="1856" t="s">
        <v>1923</v>
      </c>
      <c r="C1773" s="111"/>
      <c r="D1773" s="111"/>
      <c r="E1773" s="456">
        <v>0</v>
      </c>
      <c r="F1773" s="644">
        <v>40</v>
      </c>
      <c r="G1773" s="2503">
        <f>COUNTIF(PoderesDeCriatura_Adquiridos,Tablas!B1773)</f>
        <v>0</v>
      </c>
    </row>
    <row r="1774" spans="2:14" ht="12.75" customHeight="1" x14ac:dyDescent="0.2">
      <c r="B1774" s="1856" t="s">
        <v>1924</v>
      </c>
      <c r="C1774" s="111"/>
      <c r="D1774" s="111"/>
      <c r="E1774" s="456">
        <v>5</v>
      </c>
      <c r="F1774" s="644">
        <v>50</v>
      </c>
      <c r="G1774" s="2503">
        <f>COUNTIF(PoderesDeCriatura_Adquiridos,Tablas!B1774)</f>
        <v>0</v>
      </c>
    </row>
    <row r="1775" spans="2:14" ht="12.75" customHeight="1" x14ac:dyDescent="0.2">
      <c r="B1775" s="1856" t="s">
        <v>1925</v>
      </c>
      <c r="C1775" s="111"/>
      <c r="D1775" s="111"/>
      <c r="E1775" s="456">
        <v>5</v>
      </c>
      <c r="F1775" s="644">
        <v>60</v>
      </c>
      <c r="G1775" s="2503">
        <f>COUNTIF(PoderesDeCriatura_Adquiridos,Tablas!B1775)</f>
        <v>0</v>
      </c>
    </row>
    <row r="1776" spans="2:14" ht="12.75" customHeight="1" x14ac:dyDescent="0.2">
      <c r="B1776" s="1856" t="s">
        <v>1926</v>
      </c>
      <c r="C1776" s="111"/>
      <c r="D1776" s="111"/>
      <c r="E1776" s="456">
        <v>10</v>
      </c>
      <c r="F1776" s="644">
        <v>80</v>
      </c>
      <c r="G1776" s="2503">
        <f>COUNTIF(PoderesDeCriatura_Adquiridos,Tablas!B1776)</f>
        <v>0</v>
      </c>
    </row>
    <row r="1777" spans="2:9" ht="12.75" customHeight="1" x14ac:dyDescent="0.2">
      <c r="B1777" s="1856" t="s">
        <v>1927</v>
      </c>
      <c r="C1777" s="111"/>
      <c r="D1777" s="111"/>
      <c r="E1777" s="456">
        <v>15</v>
      </c>
      <c r="F1777" s="644">
        <v>100</v>
      </c>
      <c r="G1777" s="2503">
        <f>COUNTIF(PoderesDeCriatura_Adquiridos,Tablas!B1777)</f>
        <v>0</v>
      </c>
    </row>
    <row r="1778" spans="2:9" ht="12.75" customHeight="1" x14ac:dyDescent="0.2">
      <c r="B1778" s="1856" t="s">
        <v>1928</v>
      </c>
      <c r="C1778" s="111"/>
      <c r="D1778" s="111"/>
      <c r="E1778" s="456">
        <v>0</v>
      </c>
      <c r="F1778" s="644">
        <v>10</v>
      </c>
      <c r="G1778" s="2503">
        <f>COUNTIF(PoderesDeCriatura_Adquiridos,Tablas!B1778)</f>
        <v>0</v>
      </c>
    </row>
    <row r="1779" spans="2:9" ht="12.75" customHeight="1" x14ac:dyDescent="0.2">
      <c r="B1779" s="1856" t="s">
        <v>1929</v>
      </c>
      <c r="C1779" s="111"/>
      <c r="D1779" s="147"/>
      <c r="E1779" s="456">
        <v>0</v>
      </c>
      <c r="F1779" s="644">
        <v>20</v>
      </c>
      <c r="G1779" s="2503">
        <f>COUNTIF(PoderesDeCriatura_Adquiridos,Tablas!B1779)</f>
        <v>0</v>
      </c>
    </row>
    <row r="1780" spans="2:9" ht="12.75" customHeight="1" x14ac:dyDescent="0.2">
      <c r="B1780" s="1856" t="s">
        <v>1930</v>
      </c>
      <c r="C1780" s="111"/>
      <c r="D1780" s="111"/>
      <c r="E1780" s="456">
        <v>0</v>
      </c>
      <c r="F1780" s="644">
        <v>30</v>
      </c>
      <c r="G1780" s="2503">
        <f>COUNTIF(PoderesDeCriatura_Adquiridos,Tablas!B1780)</f>
        <v>0</v>
      </c>
    </row>
    <row r="1781" spans="2:9" ht="12.75" customHeight="1" x14ac:dyDescent="0.2">
      <c r="B1781" s="1856" t="s">
        <v>1931</v>
      </c>
      <c r="C1781" s="111"/>
      <c r="D1781" s="111"/>
      <c r="E1781" s="456">
        <v>0</v>
      </c>
      <c r="F1781" s="644">
        <v>40</v>
      </c>
      <c r="G1781" s="2503">
        <f>COUNTIF(PoderesDeCriatura_Adquiridos,Tablas!B1781)</f>
        <v>0</v>
      </c>
      <c r="H1781" s="559"/>
    </row>
    <row r="1782" spans="2:9" ht="12.75" customHeight="1" x14ac:dyDescent="0.2">
      <c r="B1782" s="1856" t="s">
        <v>1932</v>
      </c>
      <c r="C1782" s="111"/>
      <c r="D1782" s="111"/>
      <c r="E1782" s="456">
        <v>5</v>
      </c>
      <c r="F1782" s="644">
        <v>50</v>
      </c>
      <c r="G1782" s="2503">
        <f>COUNTIF(PoderesDeCriatura_Adquiridos,Tablas!B1782)</f>
        <v>0</v>
      </c>
      <c r="H1782" s="559"/>
    </row>
    <row r="1783" spans="2:9" ht="12.75" customHeight="1" x14ac:dyDescent="0.2">
      <c r="B1783" s="1856" t="s">
        <v>1933</v>
      </c>
      <c r="C1783" s="111"/>
      <c r="D1783" s="111"/>
      <c r="E1783" s="456">
        <v>10</v>
      </c>
      <c r="F1783" s="644">
        <v>60</v>
      </c>
      <c r="G1783" s="2503">
        <f>COUNTIF(PoderesDeCriatura_Adquiridos,Tablas!B1783)</f>
        <v>0</v>
      </c>
      <c r="H1783" s="559"/>
    </row>
    <row r="1784" spans="2:9" ht="12.75" customHeight="1" x14ac:dyDescent="0.2">
      <c r="B1784" s="1856" t="s">
        <v>1934</v>
      </c>
      <c r="C1784" s="111"/>
      <c r="D1784" s="111"/>
      <c r="E1784" s="456">
        <v>20</v>
      </c>
      <c r="F1784" s="644">
        <v>80</v>
      </c>
      <c r="G1784" s="2503">
        <f>COUNTIF(PoderesDeCriatura_Adquiridos,Tablas!B1784)</f>
        <v>0</v>
      </c>
      <c r="H1784" s="559"/>
    </row>
    <row r="1785" spans="2:9" ht="12.75" customHeight="1" x14ac:dyDescent="0.2">
      <c r="B1785" s="1856" t="s">
        <v>1935</v>
      </c>
      <c r="C1785" s="111"/>
      <c r="D1785" s="111"/>
      <c r="E1785" s="456">
        <v>25</v>
      </c>
      <c r="F1785" s="644">
        <v>100</v>
      </c>
      <c r="G1785" s="2503">
        <f>COUNTIF(PoderesDeCriatura_Adquiridos,Tablas!B1785)</f>
        <v>0</v>
      </c>
      <c r="H1785" s="559"/>
    </row>
    <row r="1786" spans="2:9" ht="12.75" customHeight="1" x14ac:dyDescent="0.2">
      <c r="B1786" s="1856" t="s">
        <v>1936</v>
      </c>
      <c r="C1786" s="111"/>
      <c r="D1786" s="111"/>
      <c r="E1786" s="456">
        <v>30</v>
      </c>
      <c r="F1786" s="644">
        <v>120</v>
      </c>
      <c r="G1786" s="2503">
        <f>COUNTIF(PoderesDeCriatura_Adquiridos,Tablas!B1786)</f>
        <v>0</v>
      </c>
      <c r="H1786" s="559"/>
    </row>
    <row r="1787" spans="2:9" ht="12.75" customHeight="1" x14ac:dyDescent="0.2">
      <c r="B1787" s="1856" t="s">
        <v>1937</v>
      </c>
      <c r="C1787" s="111"/>
      <c r="D1787" s="111"/>
      <c r="E1787" s="456">
        <v>0</v>
      </c>
      <c r="F1787" s="644">
        <v>10</v>
      </c>
      <c r="G1787" s="2503">
        <f>COUNTIF(PoderesDeCriatura_Adquiridos,Tablas!B1787)</f>
        <v>0</v>
      </c>
      <c r="H1787" s="2527" t="s">
        <v>9721</v>
      </c>
    </row>
    <row r="1788" spans="2:9" ht="12.75" customHeight="1" x14ac:dyDescent="0.2">
      <c r="B1788" s="1856" t="s">
        <v>1938</v>
      </c>
      <c r="C1788" s="111"/>
      <c r="D1788" s="111"/>
      <c r="E1788" s="456">
        <v>10</v>
      </c>
      <c r="F1788" s="644">
        <v>20</v>
      </c>
      <c r="G1788" s="2503">
        <f>COUNTIF(PoderesDeCriatura_Adquiridos,Tablas!B1788)</f>
        <v>0</v>
      </c>
      <c r="H1788" s="2527" t="s">
        <v>2246</v>
      </c>
      <c r="I1788" s="1999">
        <f>IF(G1787=1,10,IF(G1788=1,20,IF(G1789=1,30,0)))</f>
        <v>0</v>
      </c>
    </row>
    <row r="1789" spans="2:9" ht="12.75" customHeight="1" x14ac:dyDescent="0.2">
      <c r="B1789" s="1856" t="s">
        <v>1939</v>
      </c>
      <c r="C1789" s="111"/>
      <c r="D1789" s="111"/>
      <c r="E1789" s="456">
        <v>20</v>
      </c>
      <c r="F1789" s="644">
        <v>30</v>
      </c>
      <c r="G1789" s="2503">
        <f>COUNTIF(PoderesDeCriatura_Adquiridos,Tablas!B1789)</f>
        <v>0</v>
      </c>
      <c r="H1789" s="559"/>
    </row>
    <row r="1790" spans="2:9" ht="12.75" customHeight="1" x14ac:dyDescent="0.2">
      <c r="B1790" s="1679" t="s">
        <v>1940</v>
      </c>
      <c r="C1790" s="111"/>
      <c r="D1790" s="111"/>
      <c r="E1790" s="456">
        <v>10</v>
      </c>
      <c r="F1790" s="644">
        <v>10</v>
      </c>
      <c r="G1790" s="2503">
        <f>COUNTIF(PoderesDeCriatura_Adquiridos,Tablas!B1790)</f>
        <v>0</v>
      </c>
      <c r="H1790" s="559"/>
    </row>
    <row r="1791" spans="2:9" ht="12.75" customHeight="1" x14ac:dyDescent="0.2">
      <c r="B1791" s="1856" t="s">
        <v>1941</v>
      </c>
      <c r="C1791" s="111"/>
      <c r="D1791" s="111"/>
      <c r="E1791" s="456">
        <v>0</v>
      </c>
      <c r="F1791" s="644">
        <v>10</v>
      </c>
      <c r="G1791" s="2503">
        <f>COUNTIF(PoderesDeCriatura_Adquiridos,Tablas!B1791)</f>
        <v>0</v>
      </c>
      <c r="H1791" s="559"/>
    </row>
    <row r="1792" spans="2:9" ht="12.75" customHeight="1" x14ac:dyDescent="0.2">
      <c r="B1792" s="1856" t="s">
        <v>1942</v>
      </c>
      <c r="C1792" s="111"/>
      <c r="D1792" s="111"/>
      <c r="E1792" s="456">
        <v>10</v>
      </c>
      <c r="F1792" s="644">
        <v>15</v>
      </c>
      <c r="G1792" s="2503">
        <f>COUNTIF(PoderesDeCriatura_Adquiridos,Tablas!B1792)</f>
        <v>0</v>
      </c>
      <c r="H1792" s="559"/>
    </row>
    <row r="1793" spans="2:9" ht="12.75" customHeight="1" x14ac:dyDescent="0.2">
      <c r="B1793" s="1856" t="s">
        <v>1943</v>
      </c>
      <c r="C1793" s="111"/>
      <c r="D1793" s="111"/>
      <c r="E1793" s="456">
        <v>15</v>
      </c>
      <c r="F1793" s="644">
        <v>20</v>
      </c>
      <c r="G1793" s="2503">
        <f>COUNTIF(PoderesDeCriatura_Adquiridos,Tablas!B1793)</f>
        <v>0</v>
      </c>
      <c r="H1793" s="642"/>
    </row>
    <row r="1794" spans="2:9" ht="12.75" customHeight="1" x14ac:dyDescent="0.2">
      <c r="B1794" s="1856" t="s">
        <v>1944</v>
      </c>
      <c r="C1794" s="111"/>
      <c r="D1794" s="111"/>
      <c r="E1794" s="456">
        <v>20</v>
      </c>
      <c r="F1794" s="644">
        <v>25</v>
      </c>
      <c r="G1794" s="2503">
        <f>COUNTIF(PoderesDeCriatura_Adquiridos,Tablas!B1794)</f>
        <v>0</v>
      </c>
      <c r="H1794" s="559"/>
    </row>
    <row r="1795" spans="2:9" ht="12.75" customHeight="1" x14ac:dyDescent="0.2">
      <c r="B1795" s="1856" t="s">
        <v>1945</v>
      </c>
      <c r="C1795" s="111"/>
      <c r="D1795" s="111"/>
      <c r="E1795" s="456">
        <v>25</v>
      </c>
      <c r="F1795" s="644">
        <v>30</v>
      </c>
      <c r="G1795" s="2503">
        <f>COUNTIF(PoderesDeCriatura_Adquiridos,Tablas!B1795)</f>
        <v>0</v>
      </c>
      <c r="H1795" s="559"/>
      <c r="I1795" s="643"/>
    </row>
    <row r="1796" spans="2:9" ht="12.75" customHeight="1" x14ac:dyDescent="0.2">
      <c r="B1796" s="1856" t="s">
        <v>1946</v>
      </c>
      <c r="C1796" s="111"/>
      <c r="D1796" s="111"/>
      <c r="E1796" s="456">
        <v>5</v>
      </c>
      <c r="F1796" s="644">
        <v>10</v>
      </c>
      <c r="G1796" s="2503">
        <f>COUNTIF(PoderesDeCriatura_Adquiridos,Tablas!B1796)</f>
        <v>0</v>
      </c>
      <c r="H1796" s="559"/>
    </row>
    <row r="1797" spans="2:9" ht="12.75" customHeight="1" x14ac:dyDescent="0.2">
      <c r="B1797" s="1856" t="s">
        <v>1947</v>
      </c>
      <c r="C1797" s="111"/>
      <c r="D1797" s="111"/>
      <c r="E1797" s="456">
        <v>10</v>
      </c>
      <c r="F1797" s="644">
        <v>20</v>
      </c>
      <c r="G1797" s="2503">
        <f>COUNTIF(PoderesDeCriatura_Adquiridos,Tablas!B1797)</f>
        <v>0</v>
      </c>
      <c r="H1797" s="559"/>
    </row>
    <row r="1798" spans="2:9" ht="12.75" customHeight="1" x14ac:dyDescent="0.2">
      <c r="B1798" s="1856" t="s">
        <v>1948</v>
      </c>
      <c r="C1798" s="111"/>
      <c r="D1798" s="111"/>
      <c r="E1798" s="456">
        <v>15</v>
      </c>
      <c r="F1798" s="644">
        <v>30</v>
      </c>
      <c r="G1798" s="2503">
        <f>COUNTIF(PoderesDeCriatura_Adquiridos,Tablas!B1798)</f>
        <v>0</v>
      </c>
      <c r="H1798" s="559"/>
    </row>
    <row r="1799" spans="2:9" ht="12.75" customHeight="1" x14ac:dyDescent="0.2">
      <c r="B1799" s="1856" t="s">
        <v>1949</v>
      </c>
      <c r="C1799" s="111"/>
      <c r="D1799" s="111"/>
      <c r="E1799" s="456">
        <v>20</v>
      </c>
      <c r="F1799" s="644">
        <v>40</v>
      </c>
      <c r="G1799" s="2503">
        <f>COUNTIF(PoderesDeCriatura_Adquiridos,Tablas!B1799)</f>
        <v>0</v>
      </c>
      <c r="H1799" s="559"/>
    </row>
    <row r="1800" spans="2:9" ht="12.75" customHeight="1" x14ac:dyDescent="0.2">
      <c r="B1800" s="1856" t="s">
        <v>1950</v>
      </c>
      <c r="C1800" s="111"/>
      <c r="D1800" s="111"/>
      <c r="E1800" s="456">
        <v>25</v>
      </c>
      <c r="F1800" s="644">
        <v>50</v>
      </c>
      <c r="G1800" s="2503">
        <f>COUNTIF(PoderesDeCriatura_Adquiridos,Tablas!B1800)</f>
        <v>0</v>
      </c>
      <c r="H1800" s="559"/>
    </row>
    <row r="1801" spans="2:9" ht="12.75" customHeight="1" x14ac:dyDescent="0.2">
      <c r="B1801" s="1856" t="s">
        <v>1951</v>
      </c>
      <c r="C1801" s="111"/>
      <c r="D1801" s="111"/>
      <c r="E1801" s="456">
        <v>30</v>
      </c>
      <c r="F1801" s="644">
        <v>60</v>
      </c>
      <c r="G1801" s="2503">
        <f>COUNTIF(PoderesDeCriatura_Adquiridos,Tablas!B1801)</f>
        <v>0</v>
      </c>
      <c r="H1801" s="559"/>
    </row>
    <row r="1802" spans="2:9" ht="12.75" customHeight="1" x14ac:dyDescent="0.2">
      <c r="B1802" s="1856" t="s">
        <v>1952</v>
      </c>
      <c r="C1802" s="111"/>
      <c r="D1802" s="111"/>
      <c r="E1802" s="456">
        <v>35</v>
      </c>
      <c r="F1802" s="644">
        <v>70</v>
      </c>
      <c r="G1802" s="2503">
        <f>COUNTIF(PoderesDeCriatura_Adquiridos,Tablas!B1802)</f>
        <v>0</v>
      </c>
      <c r="H1802" s="559"/>
    </row>
    <row r="1803" spans="2:9" ht="12.75" customHeight="1" x14ac:dyDescent="0.2">
      <c r="B1803" s="1856" t="s">
        <v>1953</v>
      </c>
      <c r="C1803" s="111"/>
      <c r="D1803" s="111"/>
      <c r="E1803" s="456">
        <v>40</v>
      </c>
      <c r="F1803" s="644">
        <v>80</v>
      </c>
      <c r="G1803" s="2503">
        <f>COUNTIF(PoderesDeCriatura_Adquiridos,Tablas!B1803)</f>
        <v>0</v>
      </c>
      <c r="H1803" s="559"/>
    </row>
    <row r="1804" spans="2:9" ht="12.75" customHeight="1" x14ac:dyDescent="0.2">
      <c r="B1804" s="1856" t="s">
        <v>1954</v>
      </c>
      <c r="C1804" s="111"/>
      <c r="D1804" s="111"/>
      <c r="E1804" s="456">
        <v>5</v>
      </c>
      <c r="F1804" s="644">
        <f>10+IF(OR(TipoDeCriatura="Entre mundos, Elemental",TipoDeCriatura="Ánima, Elemental"),10,0)</f>
        <v>10</v>
      </c>
      <c r="G1804" s="2503">
        <f>COUNTIF(PoderesDeCriatura_Adquiridos,Tablas!B1804)</f>
        <v>0</v>
      </c>
    </row>
    <row r="1805" spans="2:9" ht="12.75" customHeight="1" x14ac:dyDescent="0.2">
      <c r="B1805" s="1856" t="s">
        <v>1955</v>
      </c>
      <c r="C1805" s="111"/>
      <c r="D1805" s="111"/>
      <c r="E1805" s="456">
        <v>10</v>
      </c>
      <c r="F1805" s="644">
        <f>15+IF(OR(TipoDeCriatura="Entre mundos, Elemental",TipoDeCriatura="Ánima, Elemental"),10,0)</f>
        <v>15</v>
      </c>
      <c r="G1805" s="2503">
        <f>COUNTIF(PoderesDeCriatura_Adquiridos,Tablas!B1805)</f>
        <v>0</v>
      </c>
    </row>
    <row r="1806" spans="2:9" ht="12.75" customHeight="1" x14ac:dyDescent="0.2">
      <c r="B1806" s="1856" t="s">
        <v>1956</v>
      </c>
      <c r="C1806" s="111"/>
      <c r="D1806" s="111"/>
      <c r="E1806" s="456">
        <v>10</v>
      </c>
      <c r="F1806" s="644">
        <f>20+IF(OR(TipoDeCriatura="Entre mundos, Elemental",TipoDeCriatura="Ánima, Elemental"),10,0)</f>
        <v>20</v>
      </c>
      <c r="G1806" s="2503">
        <f>COUNTIF(PoderesDeCriatura_Adquiridos,Tablas!B1806)</f>
        <v>0</v>
      </c>
    </row>
    <row r="1807" spans="2:9" ht="12.75" customHeight="1" x14ac:dyDescent="0.2">
      <c r="B1807" s="1856" t="s">
        <v>1957</v>
      </c>
      <c r="C1807" s="111"/>
      <c r="D1807" s="111"/>
      <c r="E1807" s="456">
        <v>10</v>
      </c>
      <c r="F1807" s="644">
        <f>25+IF(OR(TipoDeCriatura="Entre mundos, Elemental",TipoDeCriatura="Ánima, Elemental"),10,0)</f>
        <v>25</v>
      </c>
      <c r="G1807" s="2503">
        <f>COUNTIF(PoderesDeCriatura_Adquiridos,Tablas!B1807)</f>
        <v>0</v>
      </c>
    </row>
    <row r="1808" spans="2:9" ht="12.75" customHeight="1" x14ac:dyDescent="0.2">
      <c r="B1808" s="1856" t="s">
        <v>1958</v>
      </c>
      <c r="C1808" s="111"/>
      <c r="D1808" s="111"/>
      <c r="E1808" s="456">
        <v>15</v>
      </c>
      <c r="F1808" s="644">
        <f>30+IF(OR(TipoDeCriatura="Entre mundos, Elemental",TipoDeCriatura="Ánima, Elemental"),10,0)</f>
        <v>30</v>
      </c>
      <c r="G1808" s="2503">
        <f>COUNTIF(PoderesDeCriatura_Adquiridos,Tablas!B1808)</f>
        <v>0</v>
      </c>
    </row>
    <row r="1809" spans="2:7" ht="12.75" customHeight="1" x14ac:dyDescent="0.2">
      <c r="B1809" s="1856" t="s">
        <v>1959</v>
      </c>
      <c r="C1809" s="111"/>
      <c r="D1809" s="111"/>
      <c r="E1809" s="456">
        <v>20</v>
      </c>
      <c r="F1809" s="644">
        <f>50+IF(OR(TipoDeCriatura="Entre mundos, Elemental",TipoDeCriatura="Ánima, Elemental"),10,0)</f>
        <v>50</v>
      </c>
      <c r="G1809" s="2503">
        <f>COUNTIF(PoderesDeCriatura_Adquiridos,Tablas!B1809)</f>
        <v>0</v>
      </c>
    </row>
    <row r="1810" spans="2:7" ht="12.75" customHeight="1" x14ac:dyDescent="0.2">
      <c r="B1810" s="1856" t="s">
        <v>1960</v>
      </c>
      <c r="C1810" s="111"/>
      <c r="D1810" s="111"/>
      <c r="E1810" s="456">
        <v>20</v>
      </c>
      <c r="F1810" s="644">
        <f>60+IF(OR(TipoDeCriatura="Entre mundos, Elemental",TipoDeCriatura="Ánima, Elemental"),10,0)</f>
        <v>60</v>
      </c>
      <c r="G1810" s="2503">
        <f>COUNTIF(PoderesDeCriatura_Adquiridos,Tablas!B1810)</f>
        <v>0</v>
      </c>
    </row>
    <row r="1811" spans="2:7" ht="12.75" customHeight="1" x14ac:dyDescent="0.2">
      <c r="B1811" s="1856" t="s">
        <v>1961</v>
      </c>
      <c r="C1811" s="111"/>
      <c r="D1811" s="111"/>
      <c r="E1811" s="456">
        <v>25</v>
      </c>
      <c r="F1811" s="644">
        <f>80+IF(OR(TipoDeCriatura="Entre mundos, Elemental",TipoDeCriatura="Ánima, Elemental"),10,0)</f>
        <v>80</v>
      </c>
      <c r="G1811" s="2503">
        <f>COUNTIF(PoderesDeCriatura_Adquiridos,Tablas!B1811)</f>
        <v>0</v>
      </c>
    </row>
    <row r="1812" spans="2:7" ht="12.75" customHeight="1" x14ac:dyDescent="0.2">
      <c r="B1812" s="1856" t="s">
        <v>1962</v>
      </c>
      <c r="C1812" s="111"/>
      <c r="D1812" s="111"/>
      <c r="E1812" s="456">
        <v>30</v>
      </c>
      <c r="F1812" s="644">
        <f>100+IF(OR(TipoDeCriatura="Entre mundos, Elemental",TipoDeCriatura="Ánima, Elemental"),10,0)</f>
        <v>100</v>
      </c>
      <c r="G1812" s="2503">
        <f>COUNTIF(PoderesDeCriatura_Adquiridos,Tablas!B1812)</f>
        <v>0</v>
      </c>
    </row>
    <row r="1813" spans="2:7" ht="12.75" customHeight="1" x14ac:dyDescent="0.2">
      <c r="B1813" s="1856" t="s">
        <v>1963</v>
      </c>
      <c r="C1813" s="111"/>
      <c r="D1813" s="111"/>
      <c r="E1813" s="456">
        <v>10</v>
      </c>
      <c r="F1813" s="644">
        <f>10+IF(OR(TipoDeCriatura="Entre mundos, Elemental",TipoDeCriatura="Ánima, Elemental"),10,0)</f>
        <v>10</v>
      </c>
      <c r="G1813" s="2503">
        <f>COUNTIF(PoderesDeCriatura_Adquiridos,Tablas!B1813)</f>
        <v>0</v>
      </c>
    </row>
    <row r="1814" spans="2:7" ht="12.75" customHeight="1" x14ac:dyDescent="0.2">
      <c r="B1814" s="1856" t="s">
        <v>1964</v>
      </c>
      <c r="C1814" s="111"/>
      <c r="D1814" s="111"/>
      <c r="E1814" s="456">
        <v>10</v>
      </c>
      <c r="F1814" s="644">
        <f>20+IF(OR(TipoDeCriatura="Entre mundos, Elemental",TipoDeCriatura="Ánima, Elemental"),10,0)</f>
        <v>20</v>
      </c>
      <c r="G1814" s="2503">
        <f>COUNTIF(PoderesDeCriatura_Adquiridos,Tablas!B1814)</f>
        <v>0</v>
      </c>
    </row>
    <row r="1815" spans="2:7" ht="12.75" customHeight="1" x14ac:dyDescent="0.2">
      <c r="B1815" s="1856" t="s">
        <v>1965</v>
      </c>
      <c r="C1815" s="111"/>
      <c r="D1815" s="111"/>
      <c r="E1815" s="456">
        <v>15</v>
      </c>
      <c r="F1815" s="644">
        <f>30+IF(OR(TipoDeCriatura="Entre mundos, Elemental",TipoDeCriatura="Ánima, Elemental"),10,0)</f>
        <v>30</v>
      </c>
      <c r="G1815" s="2503">
        <f>COUNTIF(PoderesDeCriatura_Adquiridos,Tablas!B1815)</f>
        <v>0</v>
      </c>
    </row>
    <row r="1816" spans="2:7" ht="12.75" customHeight="1" x14ac:dyDescent="0.2">
      <c r="B1816" s="1856" t="s">
        <v>1966</v>
      </c>
      <c r="C1816" s="111"/>
      <c r="D1816" s="111"/>
      <c r="E1816" s="456">
        <v>20</v>
      </c>
      <c r="F1816" s="644">
        <f>40+IF(OR(TipoDeCriatura="Entre mundos, Elemental",TipoDeCriatura="Ánima, Elemental"),10,0)</f>
        <v>40</v>
      </c>
      <c r="G1816" s="2503">
        <f>COUNTIF(PoderesDeCriatura_Adquiridos,Tablas!B1816)</f>
        <v>0</v>
      </c>
    </row>
    <row r="1817" spans="2:7" ht="12.75" customHeight="1" x14ac:dyDescent="0.2">
      <c r="B1817" s="1856" t="s">
        <v>1967</v>
      </c>
      <c r="C1817" s="111"/>
      <c r="D1817" s="111"/>
      <c r="E1817" s="456">
        <v>25</v>
      </c>
      <c r="F1817" s="644">
        <f>50+IF(OR(TipoDeCriatura="Entre mundos, Elemental",TipoDeCriatura="Ánima, Elemental"),10,0)</f>
        <v>50</v>
      </c>
      <c r="G1817" s="2503">
        <f>COUNTIF(PoderesDeCriatura_Adquiridos,Tablas!B1817)</f>
        <v>0</v>
      </c>
    </row>
    <row r="1818" spans="2:7" ht="12.75" customHeight="1" x14ac:dyDescent="0.2">
      <c r="B1818" s="1856" t="s">
        <v>1968</v>
      </c>
      <c r="C1818" s="111"/>
      <c r="D1818" s="111"/>
      <c r="E1818" s="456">
        <v>30</v>
      </c>
      <c r="F1818" s="644">
        <f>60+IF(OR(TipoDeCriatura="Entre mundos, Elemental",TipoDeCriatura="Ánima, Elemental"),10,0)</f>
        <v>60</v>
      </c>
      <c r="G1818" s="2503">
        <f>COUNTIF(PoderesDeCriatura_Adquiridos,Tablas!B1818)</f>
        <v>0</v>
      </c>
    </row>
    <row r="1819" spans="2:7" ht="12.75" customHeight="1" x14ac:dyDescent="0.2">
      <c r="B1819" s="1856" t="s">
        <v>1969</v>
      </c>
      <c r="C1819" s="111"/>
      <c r="D1819" s="111"/>
      <c r="E1819" s="456">
        <v>35</v>
      </c>
      <c r="F1819" s="644">
        <f>80+IF(OR(TipoDeCriatura="Entre mundos, Elemental",TipoDeCriatura="Ánima, Elemental"),10,0)</f>
        <v>80</v>
      </c>
      <c r="G1819" s="2503">
        <f>COUNTIF(PoderesDeCriatura_Adquiridos,Tablas!B1819)</f>
        <v>0</v>
      </c>
    </row>
    <row r="1820" spans="2:7" ht="12.75" customHeight="1" x14ac:dyDescent="0.2">
      <c r="B1820" s="1856" t="s">
        <v>1970</v>
      </c>
      <c r="C1820" s="111"/>
      <c r="D1820" s="111"/>
      <c r="E1820" s="456">
        <v>10</v>
      </c>
      <c r="F1820" s="644">
        <f>5+IF(OR(TipoDeCriatura="Entre mundos, Elemental",TipoDeCriatura="Ánima, Elemental"),5,0)</f>
        <v>5</v>
      </c>
      <c r="G1820" s="2503">
        <f>COUNTIF(PoderesDeCriatura_Adquiridos,Tablas!B1820)</f>
        <v>0</v>
      </c>
    </row>
    <row r="1821" spans="2:7" ht="12.75" customHeight="1" x14ac:dyDescent="0.2">
      <c r="B1821" s="1856" t="s">
        <v>1971</v>
      </c>
      <c r="C1821" s="111"/>
      <c r="D1821" s="111"/>
      <c r="E1821" s="456">
        <v>20</v>
      </c>
      <c r="F1821" s="644">
        <f>60+IF(OR(TipoDeCriatura="Entre mundos, Elemental",TipoDeCriatura="Ánima, Elemental"),10,0)</f>
        <v>60</v>
      </c>
      <c r="G1821" s="2503">
        <f>COUNTIF(PoderesDeCriatura_Adquiridos,Tablas!B1821)</f>
        <v>0</v>
      </c>
    </row>
    <row r="1822" spans="2:7" ht="12.75" customHeight="1" x14ac:dyDescent="0.2">
      <c r="B1822" s="1856" t="s">
        <v>1972</v>
      </c>
      <c r="C1822" s="111"/>
      <c r="D1822" s="111"/>
      <c r="E1822" s="456">
        <v>5</v>
      </c>
      <c r="F1822" s="644">
        <v>-10</v>
      </c>
      <c r="G1822" s="2503">
        <f>COUNTIF(PoderesDeCriatura_Adquiridos,Tablas!B1822)</f>
        <v>0</v>
      </c>
    </row>
    <row r="1823" spans="2:7" ht="12.75" customHeight="1" x14ac:dyDescent="0.2">
      <c r="B1823" s="1856" t="s">
        <v>1973</v>
      </c>
      <c r="C1823" s="111"/>
      <c r="D1823" s="111"/>
      <c r="E1823" s="456">
        <v>5</v>
      </c>
      <c r="F1823" s="644">
        <v>-20</v>
      </c>
      <c r="G1823" s="2503">
        <f>COUNTIF(PoderesDeCriatura_Adquiridos,Tablas!B1823)</f>
        <v>0</v>
      </c>
    </row>
    <row r="1824" spans="2:7" ht="12.75" customHeight="1" x14ac:dyDescent="0.2">
      <c r="B1824" s="1856" t="s">
        <v>1974</v>
      </c>
      <c r="C1824" s="111"/>
      <c r="D1824" s="111"/>
      <c r="E1824" s="456">
        <v>5</v>
      </c>
      <c r="F1824" s="644">
        <v>-30</v>
      </c>
      <c r="G1824" s="2503">
        <f>COUNTIF(PoderesDeCriatura_Adquiridos,Tablas!B1824)</f>
        <v>0</v>
      </c>
    </row>
    <row r="1825" spans="2:10" ht="12.75" customHeight="1" x14ac:dyDescent="0.2">
      <c r="B1825" s="1856" t="s">
        <v>1975</v>
      </c>
      <c r="C1825" s="111"/>
      <c r="D1825" s="111"/>
      <c r="E1825" s="456">
        <v>5</v>
      </c>
      <c r="F1825" s="644">
        <v>-40</v>
      </c>
      <c r="G1825" s="2503">
        <f>COUNTIF(PoderesDeCriatura_Adquiridos,Tablas!B1825)</f>
        <v>0</v>
      </c>
    </row>
    <row r="1826" spans="2:10" ht="12.75" customHeight="1" x14ac:dyDescent="0.2">
      <c r="B1826" s="1856" t="s">
        <v>1976</v>
      </c>
      <c r="C1826" s="111"/>
      <c r="D1826" s="111"/>
      <c r="E1826" s="383">
        <v>5</v>
      </c>
      <c r="F1826" s="383">
        <v>-50</v>
      </c>
      <c r="G1826" s="2503">
        <f>COUNTIF(PoderesDeCriatura_Adquiridos,Tablas!B1826)</f>
        <v>0</v>
      </c>
    </row>
    <row r="1827" spans="2:10" ht="12.75" customHeight="1" x14ac:dyDescent="0.2">
      <c r="B1827" s="2507" t="s">
        <v>1977</v>
      </c>
      <c r="C1827" s="111"/>
      <c r="D1827" s="111"/>
      <c r="E1827" s="456">
        <v>0</v>
      </c>
      <c r="F1827" s="644">
        <v>10</v>
      </c>
      <c r="G1827" s="2503">
        <f>COUNTIF(PoderesDeCriatura_Adquiridos,Tablas!B1827)</f>
        <v>0</v>
      </c>
    </row>
    <row r="1828" spans="2:10" ht="12.75" customHeight="1" x14ac:dyDescent="0.2">
      <c r="B1828" s="2507" t="s">
        <v>1978</v>
      </c>
      <c r="C1828" s="111"/>
      <c r="D1828" s="111"/>
      <c r="E1828" s="456">
        <v>0</v>
      </c>
      <c r="F1828" s="644">
        <v>20</v>
      </c>
      <c r="G1828" s="2503">
        <f>COUNTIF(PoderesDeCriatura_Adquiridos,Tablas!B1828)</f>
        <v>0</v>
      </c>
    </row>
    <row r="1829" spans="2:10" ht="12.75" customHeight="1" x14ac:dyDescent="0.2">
      <c r="B1829" s="2507" t="s">
        <v>1979</v>
      </c>
      <c r="C1829" s="111"/>
      <c r="D1829" s="111"/>
      <c r="E1829" s="456">
        <v>0</v>
      </c>
      <c r="F1829" s="644">
        <v>30</v>
      </c>
      <c r="G1829" s="2503">
        <f>COUNTIF(PoderesDeCriatura_Adquiridos,Tablas!B1829)</f>
        <v>0</v>
      </c>
    </row>
    <row r="1830" spans="2:10" ht="12.75" customHeight="1" x14ac:dyDescent="0.2">
      <c r="B1830" s="2507" t="s">
        <v>1980</v>
      </c>
      <c r="C1830" s="111"/>
      <c r="D1830" s="111"/>
      <c r="E1830" s="456">
        <v>0</v>
      </c>
      <c r="F1830" s="644">
        <v>40</v>
      </c>
      <c r="G1830" s="2503">
        <f>COUNTIF(PoderesDeCriatura_Adquiridos,Tablas!B1830)</f>
        <v>0</v>
      </c>
    </row>
    <row r="1831" spans="2:10" ht="12.75" customHeight="1" x14ac:dyDescent="0.2">
      <c r="B1831" s="2507" t="s">
        <v>1981</v>
      </c>
      <c r="C1831" s="111"/>
      <c r="D1831" s="111"/>
      <c r="E1831" s="456">
        <v>0</v>
      </c>
      <c r="F1831" s="644">
        <v>50</v>
      </c>
      <c r="G1831" s="2503">
        <f>COUNTIF(PoderesDeCriatura_Adquiridos,Tablas!B1831)</f>
        <v>0</v>
      </c>
    </row>
    <row r="1832" spans="2:10" ht="12.75" customHeight="1" x14ac:dyDescent="0.2">
      <c r="B1832" s="2507" t="s">
        <v>1982</v>
      </c>
      <c r="C1832" s="111"/>
      <c r="D1832" s="111"/>
      <c r="E1832" s="644">
        <v>0</v>
      </c>
      <c r="F1832" s="644">
        <v>60</v>
      </c>
      <c r="G1832" s="2503">
        <f>COUNTIF(PoderesDeCriatura_Adquiridos,Tablas!B1832)</f>
        <v>0</v>
      </c>
    </row>
    <row r="1833" spans="2:10" ht="12.75" customHeight="1" x14ac:dyDescent="0.2">
      <c r="B1833" s="2507" t="s">
        <v>1983</v>
      </c>
      <c r="C1833" s="111"/>
      <c r="D1833" s="111"/>
      <c r="E1833" s="644">
        <v>0</v>
      </c>
      <c r="F1833" s="644">
        <v>80</v>
      </c>
      <c r="G1833" s="2503">
        <f>COUNTIF(PoderesDeCriatura_Adquiridos,Tablas!B1833)</f>
        <v>0</v>
      </c>
    </row>
    <row r="1834" spans="2:10" ht="12.75" customHeight="1" x14ac:dyDescent="0.2">
      <c r="B1834" s="2507" t="s">
        <v>1984</v>
      </c>
      <c r="C1834" s="111"/>
      <c r="D1834" s="111"/>
      <c r="E1834" s="644">
        <v>10</v>
      </c>
      <c r="F1834" s="644">
        <v>100</v>
      </c>
      <c r="G1834" s="2503">
        <f>COUNTIF(PoderesDeCriatura_Adquiridos,Tablas!B1834)</f>
        <v>0</v>
      </c>
    </row>
    <row r="1835" spans="2:10" ht="12.75" customHeight="1" x14ac:dyDescent="0.2">
      <c r="B1835" s="2507" t="s">
        <v>1985</v>
      </c>
      <c r="C1835" s="111"/>
      <c r="D1835" s="111"/>
      <c r="E1835" s="644">
        <v>20</v>
      </c>
      <c r="F1835" s="644">
        <v>140</v>
      </c>
      <c r="G1835" s="2503">
        <f>COUNTIF(PoderesDeCriatura_Adquiridos,Tablas!B1835)</f>
        <v>0</v>
      </c>
    </row>
    <row r="1836" spans="2:10" ht="12.75" customHeight="1" x14ac:dyDescent="0.2">
      <c r="B1836" s="2507" t="s">
        <v>1986</v>
      </c>
      <c r="C1836" s="111"/>
      <c r="D1836" s="111"/>
      <c r="E1836" s="644">
        <v>30</v>
      </c>
      <c r="F1836" s="644">
        <v>180</v>
      </c>
      <c r="G1836" s="2503">
        <f>COUNTIF(PoderesDeCriatura_Adquiridos,Tablas!B1836)</f>
        <v>0</v>
      </c>
    </row>
    <row r="1837" spans="2:10" ht="12.75" customHeight="1" x14ac:dyDescent="0.2">
      <c r="B1837" s="1856" t="s">
        <v>1987</v>
      </c>
      <c r="C1837" s="111"/>
      <c r="D1837" s="111"/>
      <c r="E1837" s="456">
        <v>5</v>
      </c>
      <c r="F1837" s="644">
        <v>20</v>
      </c>
      <c r="G1837" s="2503">
        <f>COUNTIF(PoderesDeCriatura_Adquiridos,Tablas!B1837)</f>
        <v>0</v>
      </c>
    </row>
    <row r="1838" spans="2:10" ht="12.75" customHeight="1" x14ac:dyDescent="0.2">
      <c r="B1838" s="1856" t="s">
        <v>1988</v>
      </c>
      <c r="C1838" s="111"/>
      <c r="D1838" s="111"/>
      <c r="E1838" s="456">
        <v>10</v>
      </c>
      <c r="F1838" s="644">
        <v>30</v>
      </c>
      <c r="G1838" s="2503">
        <f>COUNTIF(PoderesDeCriatura_Adquiridos,Tablas!B1838)</f>
        <v>0</v>
      </c>
    </row>
    <row r="1839" spans="2:10" ht="12.75" customHeight="1" x14ac:dyDescent="0.2">
      <c r="B1839" s="1856" t="s">
        <v>1989</v>
      </c>
      <c r="C1839" s="111"/>
      <c r="D1839" s="111"/>
      <c r="E1839" s="644">
        <v>15</v>
      </c>
      <c r="F1839" s="644">
        <v>40</v>
      </c>
      <c r="G1839" s="2503">
        <f>COUNTIF(PoderesDeCriatura_Adquiridos,Tablas!B1839)</f>
        <v>0</v>
      </c>
    </row>
    <row r="1840" spans="2:10" ht="12.75" customHeight="1" x14ac:dyDescent="0.2">
      <c r="B1840" s="1856" t="s">
        <v>1990</v>
      </c>
      <c r="C1840" s="111"/>
      <c r="D1840" s="111"/>
      <c r="E1840" s="644">
        <v>15</v>
      </c>
      <c r="F1840" s="644">
        <v>50</v>
      </c>
      <c r="G1840" s="2503">
        <f>COUNTIF(PoderesDeCriatura_Adquiridos,Tablas!B1840)</f>
        <v>0</v>
      </c>
      <c r="H1840" s="642"/>
      <c r="I1840" s="518"/>
      <c r="J1840" s="518"/>
    </row>
    <row r="1841" spans="2:10" ht="12.75" customHeight="1" x14ac:dyDescent="0.2">
      <c r="B1841" s="1856" t="s">
        <v>1991</v>
      </c>
      <c r="C1841" s="111"/>
      <c r="D1841" s="111"/>
      <c r="E1841" s="644">
        <v>20</v>
      </c>
      <c r="F1841" s="644">
        <v>60</v>
      </c>
      <c r="G1841" s="2503">
        <f>COUNTIF(PoderesDeCriatura_Adquiridos,Tablas!B1841)</f>
        <v>0</v>
      </c>
      <c r="H1841" s="642"/>
      <c r="I1841" s="645"/>
      <c r="J1841" s="643"/>
    </row>
    <row r="1842" spans="2:10" ht="12.75" customHeight="1" x14ac:dyDescent="0.2">
      <c r="B1842" s="1856" t="s">
        <v>1992</v>
      </c>
      <c r="C1842" s="111"/>
      <c r="D1842" s="111"/>
      <c r="E1842" s="644">
        <v>25</v>
      </c>
      <c r="F1842" s="644">
        <v>80</v>
      </c>
      <c r="G1842" s="2503">
        <f>COUNTIF(PoderesDeCriatura_Adquiridos,Tablas!B1842)</f>
        <v>0</v>
      </c>
      <c r="H1842" s="1997"/>
      <c r="I1842" s="518"/>
      <c r="J1842" s="518"/>
    </row>
    <row r="1843" spans="2:10" ht="12.75" customHeight="1" x14ac:dyDescent="0.2">
      <c r="B1843" s="1856" t="s">
        <v>1993</v>
      </c>
      <c r="C1843" s="111"/>
      <c r="D1843" s="111"/>
      <c r="E1843" s="644">
        <v>30</v>
      </c>
      <c r="F1843" s="644">
        <v>100</v>
      </c>
      <c r="G1843" s="2503">
        <f>COUNTIF(PoderesDeCriatura_Adquiridos,Tablas!B1843)</f>
        <v>0</v>
      </c>
      <c r="H1843" s="1997"/>
      <c r="I1843" s="518"/>
      <c r="J1843" s="518"/>
    </row>
    <row r="1844" spans="2:10" ht="12.75" customHeight="1" x14ac:dyDescent="0.2">
      <c r="B1844" s="1856" t="s">
        <v>1994</v>
      </c>
      <c r="C1844" s="111"/>
      <c r="D1844" s="111"/>
      <c r="E1844" s="644">
        <v>35</v>
      </c>
      <c r="F1844" s="644">
        <v>120</v>
      </c>
      <c r="G1844" s="2503">
        <f>COUNTIF(PoderesDeCriatura_Adquiridos,Tablas!B1844)</f>
        <v>0</v>
      </c>
      <c r="H1844" s="646"/>
      <c r="I1844" s="518"/>
      <c r="J1844" s="518"/>
    </row>
    <row r="1845" spans="2:10" ht="12.75" customHeight="1" x14ac:dyDescent="0.2">
      <c r="B1845" s="1856" t="s">
        <v>1995</v>
      </c>
      <c r="C1845" s="111"/>
      <c r="D1845" s="111"/>
      <c r="E1845" s="644">
        <v>40</v>
      </c>
      <c r="F1845" s="644">
        <v>140</v>
      </c>
      <c r="G1845" s="2503">
        <f>COUNTIF(PoderesDeCriatura_Adquiridos,Tablas!B1845)</f>
        <v>0</v>
      </c>
      <c r="H1845" s="1998"/>
      <c r="I1845" s="518"/>
      <c r="J1845" s="518"/>
    </row>
    <row r="1846" spans="2:10" ht="12.75" customHeight="1" x14ac:dyDescent="0.2">
      <c r="B1846" s="1856" t="s">
        <v>1996</v>
      </c>
      <c r="C1846" s="111"/>
      <c r="D1846" s="111"/>
      <c r="E1846" s="456">
        <v>10</v>
      </c>
      <c r="F1846" s="644">
        <f>20+IF(OR(TipoDeCriatura="Entre mundos, Elemental",TipoDeCriatura="Ánima, Elemental"),10,0)</f>
        <v>20</v>
      </c>
      <c r="G1846" s="2503">
        <f>COUNTIF(PoderesDeCriatura_Adquiridos,Tablas!B1846)</f>
        <v>0</v>
      </c>
      <c r="H1846" s="1999"/>
      <c r="I1846" s="647"/>
      <c r="J1846" s="647"/>
    </row>
    <row r="1847" spans="2:10" ht="12.75" customHeight="1" x14ac:dyDescent="0.2">
      <c r="B1847" s="1856" t="s">
        <v>1997</v>
      </c>
      <c r="C1847" s="111"/>
      <c r="D1847" s="111"/>
      <c r="E1847" s="456">
        <v>20</v>
      </c>
      <c r="F1847" s="644">
        <f>20+IF(OR(TipoDeCriatura="Entre mundos, Elemental",TipoDeCriatura="Ánima, Elemental"),10,0)</f>
        <v>20</v>
      </c>
      <c r="G1847" s="2503">
        <f>COUNTIF(PoderesDeCriatura_Adquiridos,Tablas!B1847)</f>
        <v>0</v>
      </c>
      <c r="H1847" s="1999"/>
      <c r="I1847" s="647"/>
      <c r="J1847" s="647"/>
    </row>
    <row r="1848" spans="2:10" ht="12.75" customHeight="1" x14ac:dyDescent="0.2">
      <c r="B1848" s="1856" t="s">
        <v>1998</v>
      </c>
      <c r="C1848" s="111"/>
      <c r="D1848" s="111"/>
      <c r="E1848" s="644">
        <v>10</v>
      </c>
      <c r="F1848" s="644">
        <f>20+IF(OR(TipoDeCriatura="Entre mundos, Elemental",TipoDeCriatura="Ánima, Elemental"),10,0)</f>
        <v>20</v>
      </c>
      <c r="G1848" s="2503">
        <f>COUNTIF(PoderesDeCriatura_Adquiridos,Tablas!B1848)</f>
        <v>0</v>
      </c>
      <c r="H1848" s="1999"/>
      <c r="I1848" s="647"/>
      <c r="J1848" s="647"/>
    </row>
    <row r="1849" spans="2:10" ht="12.75" customHeight="1" x14ac:dyDescent="0.2">
      <c r="B1849" s="1856" t="s">
        <v>1999</v>
      </c>
      <c r="C1849" s="111"/>
      <c r="D1849" s="111"/>
      <c r="E1849" s="644">
        <v>20</v>
      </c>
      <c r="F1849" s="644">
        <f>40+IF(OR(TipoDeCriatura="Entre mundos, Elemental",TipoDeCriatura="Ánima, Elemental"),10,0)</f>
        <v>40</v>
      </c>
      <c r="G1849" s="2503">
        <f>COUNTIF(PoderesDeCriatura_Adquiridos,Tablas!B1849)</f>
        <v>0</v>
      </c>
      <c r="H1849" s="1999"/>
      <c r="I1849" s="647"/>
      <c r="J1849" s="647"/>
    </row>
    <row r="1850" spans="2:10" ht="12.75" customHeight="1" x14ac:dyDescent="0.2">
      <c r="B1850" s="1856" t="s">
        <v>2000</v>
      </c>
      <c r="C1850" s="111"/>
      <c r="D1850" s="111"/>
      <c r="E1850" s="644">
        <v>10</v>
      </c>
      <c r="F1850" s="644">
        <f>50+IF(OR(TipoDeCriatura="Entre mundos, Elemental",TipoDeCriatura="Ánima, Elemental"),10,0)</f>
        <v>50</v>
      </c>
      <c r="G1850" s="2503">
        <f>COUNTIF(PoderesDeCriatura_Adquiridos,Tablas!B1850)</f>
        <v>0</v>
      </c>
      <c r="H1850" s="1999"/>
      <c r="I1850" s="647"/>
      <c r="J1850" s="647"/>
    </row>
    <row r="1851" spans="2:10" ht="12.75" customHeight="1" x14ac:dyDescent="0.2">
      <c r="B1851" s="1856" t="s">
        <v>2001</v>
      </c>
      <c r="C1851" s="111"/>
      <c r="D1851" s="111"/>
      <c r="E1851" s="644">
        <v>20</v>
      </c>
      <c r="F1851" s="644">
        <f>40+IF(OR(TipoDeCriatura="Entre mundos, Elemental",TipoDeCriatura="Ánima, Elemental"),10,0)</f>
        <v>40</v>
      </c>
      <c r="G1851" s="2503">
        <f>COUNTIF(PoderesDeCriatura_Adquiridos,Tablas!B1851)</f>
        <v>0</v>
      </c>
      <c r="H1851" s="1999"/>
      <c r="I1851" s="647"/>
      <c r="J1851" s="647"/>
    </row>
    <row r="1852" spans="2:10" ht="12.75" customHeight="1" x14ac:dyDescent="0.2">
      <c r="B1852" s="1856" t="s">
        <v>2002</v>
      </c>
      <c r="C1852" s="111"/>
      <c r="D1852" s="111"/>
      <c r="E1852" s="644">
        <v>20</v>
      </c>
      <c r="F1852" s="644">
        <f>80+IF(OR(TipoDeCriatura="Entre mundos, Elemental",TipoDeCriatura="Ánima, Elemental"),10,0)</f>
        <v>80</v>
      </c>
      <c r="G1852" s="2503">
        <f>COUNTIF(PoderesDeCriatura_Adquiridos,Tablas!B1852)</f>
        <v>0</v>
      </c>
      <c r="H1852" s="1999"/>
      <c r="I1852" s="647"/>
      <c r="J1852" s="647"/>
    </row>
    <row r="1853" spans="2:10" ht="12.75" customHeight="1" x14ac:dyDescent="0.2">
      <c r="B1853" s="1856" t="s">
        <v>2003</v>
      </c>
      <c r="C1853" s="111"/>
      <c r="D1853" s="111"/>
      <c r="E1853" s="644">
        <v>20</v>
      </c>
      <c r="F1853" s="644">
        <f>20+IF(OR(TipoDeCriatura="Entre mundos, Elemental",TipoDeCriatura="Ánima, Elemental"),10,0)</f>
        <v>20</v>
      </c>
      <c r="G1853" s="2503">
        <f>COUNTIF(PoderesDeCriatura_Adquiridos,Tablas!B1853)</f>
        <v>0</v>
      </c>
      <c r="H1853" s="1999"/>
      <c r="I1853" s="647"/>
      <c r="J1853" s="647"/>
    </row>
    <row r="1854" spans="2:10" ht="12.75" customHeight="1" x14ac:dyDescent="0.2">
      <c r="B1854" s="1856" t="s">
        <v>2004</v>
      </c>
      <c r="C1854" s="111"/>
      <c r="D1854" s="111"/>
      <c r="E1854" s="644">
        <v>10</v>
      </c>
      <c r="F1854" s="644">
        <f>50+IF(OR(TipoDeCriatura="Entre mundos, Elemental",TipoDeCriatura="Ánima, Elemental"),10,0)</f>
        <v>50</v>
      </c>
      <c r="G1854" s="2503">
        <f>COUNTIF(PoderesDeCriatura_Adquiridos,Tablas!B1854)</f>
        <v>0</v>
      </c>
      <c r="H1854" s="1999"/>
      <c r="I1854" s="647"/>
      <c r="J1854" s="647"/>
    </row>
    <row r="1855" spans="2:10" ht="12.75" customHeight="1" x14ac:dyDescent="0.2">
      <c r="B1855" s="1856" t="s">
        <v>2005</v>
      </c>
      <c r="C1855" s="111"/>
      <c r="D1855" s="111"/>
      <c r="E1855" s="644">
        <v>10</v>
      </c>
      <c r="F1855" s="644">
        <f>10+IF(OR(TipoDeCriatura="Entre mundos, Elemental",TipoDeCriatura="Ánima, Elemental"),10,0)</f>
        <v>10</v>
      </c>
      <c r="G1855" s="2503">
        <f>COUNTIF(PoderesDeCriatura_Adquiridos,Tablas!B1855)</f>
        <v>0</v>
      </c>
      <c r="H1855" s="1999"/>
      <c r="I1855" s="647"/>
      <c r="J1855" s="647"/>
    </row>
    <row r="1856" spans="2:10" ht="12.75" customHeight="1" x14ac:dyDescent="0.2">
      <c r="B1856" s="1856" t="s">
        <v>2006</v>
      </c>
      <c r="C1856" s="111"/>
      <c r="D1856" s="111"/>
      <c r="E1856" s="644">
        <v>10</v>
      </c>
      <c r="F1856" s="644">
        <f>10+IF(OR(TipoDeCriatura="Entre mundos, Elemental",TipoDeCriatura="Ánima, Elemental"),10,0)</f>
        <v>10</v>
      </c>
      <c r="G1856" s="2503">
        <f>COUNTIF(PoderesDeCriatura_Adquiridos,Tablas!B1856)</f>
        <v>0</v>
      </c>
      <c r="H1856" s="1999"/>
      <c r="I1856" s="647"/>
      <c r="J1856" s="647"/>
    </row>
    <row r="1857" spans="2:10" ht="12.75" customHeight="1" x14ac:dyDescent="0.2">
      <c r="B1857" s="1856" t="s">
        <v>2007</v>
      </c>
      <c r="C1857" s="111"/>
      <c r="D1857" s="111"/>
      <c r="E1857" s="644">
        <v>20</v>
      </c>
      <c r="F1857" s="644">
        <f>20+IF(OR(TipoDeCriatura="Entre mundos, Elemental",TipoDeCriatura="Ánima, Elemental"),10,0)</f>
        <v>20</v>
      </c>
      <c r="G1857" s="2503">
        <f>COUNTIF(PoderesDeCriatura_Adquiridos,Tablas!B1857)</f>
        <v>0</v>
      </c>
      <c r="H1857" s="1999"/>
      <c r="I1857" s="647"/>
      <c r="J1857" s="647"/>
    </row>
    <row r="1858" spans="2:10" ht="12.75" customHeight="1" x14ac:dyDescent="0.2">
      <c r="B1858" s="1856" t="s">
        <v>2008</v>
      </c>
      <c r="C1858" s="111"/>
      <c r="D1858" s="111"/>
      <c r="E1858" s="644">
        <v>10</v>
      </c>
      <c r="F1858" s="644">
        <f>30+IF(OR(TipoDeCriatura="Entre mundos, Elemental",TipoDeCriatura="Ánima, Elemental"),10,0)</f>
        <v>30</v>
      </c>
      <c r="G1858" s="2503">
        <f>COUNTIF(PoderesDeCriatura_Adquiridos,Tablas!B1858)</f>
        <v>0</v>
      </c>
      <c r="H1858" s="1999"/>
      <c r="I1858" s="647"/>
      <c r="J1858" s="647"/>
    </row>
    <row r="1859" spans="2:10" ht="12.75" customHeight="1" x14ac:dyDescent="0.2">
      <c r="B1859" s="1856" t="s">
        <v>2009</v>
      </c>
      <c r="C1859" s="111"/>
      <c r="D1859" s="111"/>
      <c r="E1859" s="644">
        <v>20</v>
      </c>
      <c r="F1859" s="644">
        <f>60+IF(OR(TipoDeCriatura="Entre mundos, Elemental",TipoDeCriatura="Ánima, Elemental"),10,0)</f>
        <v>60</v>
      </c>
      <c r="G1859" s="2503">
        <f>COUNTIF(PoderesDeCriatura_Adquiridos,Tablas!B1859)</f>
        <v>0</v>
      </c>
      <c r="H1859" s="1999"/>
      <c r="I1859" s="647"/>
      <c r="J1859" s="647"/>
    </row>
    <row r="1860" spans="2:10" ht="12.75" customHeight="1" x14ac:dyDescent="0.2">
      <c r="B1860" s="1856" t="s">
        <v>2010</v>
      </c>
      <c r="C1860" s="111"/>
      <c r="D1860" s="111"/>
      <c r="E1860" s="644">
        <v>20</v>
      </c>
      <c r="F1860" s="644">
        <f>10+IF(OR(TipoDeCriatura="Entre mundos, Elemental",TipoDeCriatura="Ánima, Elemental"),10,0)</f>
        <v>10</v>
      </c>
      <c r="G1860" s="2503">
        <f>COUNTIF(PoderesDeCriatura_Adquiridos,Tablas!B1860)</f>
        <v>0</v>
      </c>
      <c r="H1860" s="1999"/>
      <c r="I1860" s="647"/>
      <c r="J1860" s="647"/>
    </row>
    <row r="1861" spans="2:10" ht="12.75" customHeight="1" x14ac:dyDescent="0.2">
      <c r="B1861" s="1856" t="s">
        <v>2011</v>
      </c>
      <c r="C1861" s="111"/>
      <c r="D1861" s="111"/>
      <c r="E1861" s="644">
        <v>25</v>
      </c>
      <c r="F1861" s="644">
        <f>120+IF(OR(TipoDeCriatura="Entre mundos, Elemental",TipoDeCriatura="Ánima, Elemental"),10,0)</f>
        <v>120</v>
      </c>
      <c r="G1861" s="2503">
        <f>COUNTIF(PoderesDeCriatura_Adquiridos,Tablas!B1861)</f>
        <v>0</v>
      </c>
      <c r="H1861" s="1999"/>
      <c r="I1861" s="647"/>
      <c r="J1861" s="647"/>
    </row>
    <row r="1862" spans="2:10" ht="12.75" customHeight="1" x14ac:dyDescent="0.2">
      <c r="B1862" s="1856" t="s">
        <v>2012</v>
      </c>
      <c r="C1862" s="111"/>
      <c r="D1862" s="111"/>
      <c r="E1862" s="644">
        <v>25</v>
      </c>
      <c r="F1862" s="644">
        <f>140+IF(OR(TipoDeCriatura="Entre mundos, Elemental",TipoDeCriatura="Ánima, Elemental"),10,0)</f>
        <v>140</v>
      </c>
      <c r="G1862" s="2503">
        <f>COUNTIF(PoderesDeCriatura_Adquiridos,Tablas!B1862)</f>
        <v>0</v>
      </c>
      <c r="H1862" s="1999"/>
      <c r="I1862" s="647"/>
      <c r="J1862" s="647"/>
    </row>
    <row r="1863" spans="2:10" ht="12.75" customHeight="1" x14ac:dyDescent="0.2">
      <c r="B1863" s="1856" t="s">
        <v>2013</v>
      </c>
      <c r="C1863" s="111"/>
      <c r="D1863" s="111"/>
      <c r="E1863" s="644">
        <v>20</v>
      </c>
      <c r="F1863" s="644">
        <f>20+IF(OR(TipoDeCriatura="Entre mundos, Elemental",TipoDeCriatura="Ánima, Elemental"),10,0)</f>
        <v>20</v>
      </c>
      <c r="G1863" s="2503">
        <f>COUNTIF(PoderesDeCriatura_Adquiridos,Tablas!B1863)</f>
        <v>0</v>
      </c>
      <c r="H1863" s="1999"/>
      <c r="I1863" s="647"/>
      <c r="J1863" s="647"/>
    </row>
    <row r="1864" spans="2:10" ht="12.75" customHeight="1" x14ac:dyDescent="0.2">
      <c r="B1864" s="1856" t="s">
        <v>2014</v>
      </c>
      <c r="C1864" s="111"/>
      <c r="D1864" s="111"/>
      <c r="E1864" s="644">
        <v>20</v>
      </c>
      <c r="F1864" s="644">
        <f>60+IF(OR(TipoDeCriatura="Entre mundos, Elemental",TipoDeCriatura="Ánima, Elemental"),10,0)</f>
        <v>60</v>
      </c>
      <c r="G1864" s="2503">
        <f>COUNTIF(PoderesDeCriatura_Adquiridos,Tablas!B1864)</f>
        <v>0</v>
      </c>
      <c r="H1864" s="1999"/>
      <c r="I1864" s="647"/>
      <c r="J1864" s="647"/>
    </row>
    <row r="1865" spans="2:10" ht="12.75" customHeight="1" x14ac:dyDescent="0.2">
      <c r="B1865" s="1856" t="s">
        <v>2015</v>
      </c>
      <c r="C1865" s="111"/>
      <c r="D1865" s="111"/>
      <c r="E1865" s="644">
        <v>20</v>
      </c>
      <c r="F1865" s="644">
        <f>120+IF(OR(TipoDeCriatura="Entre mundos, Elemental",TipoDeCriatura="Ánima, Elemental"),10,0)</f>
        <v>120</v>
      </c>
      <c r="G1865" s="2503">
        <f>COUNTIF(PoderesDeCriatura_Adquiridos,Tablas!B1865)</f>
        <v>0</v>
      </c>
      <c r="H1865" s="1999"/>
      <c r="I1865" s="647"/>
      <c r="J1865" s="647"/>
    </row>
    <row r="1866" spans="2:10" ht="12.75" customHeight="1" x14ac:dyDescent="0.2">
      <c r="B1866" s="1856" t="s">
        <v>2016</v>
      </c>
      <c r="C1866" s="111"/>
      <c r="D1866" s="111"/>
      <c r="E1866" s="644">
        <v>20</v>
      </c>
      <c r="F1866" s="644">
        <f>60+IF(OR(TipoDeCriatura="Entre mundos, Elemental",TipoDeCriatura="Ánima, Elemental"),10,0)</f>
        <v>60</v>
      </c>
      <c r="G1866" s="2503">
        <f>COUNTIF(PoderesDeCriatura_Adquiridos,Tablas!B1866)</f>
        <v>0</v>
      </c>
      <c r="H1866" s="1999"/>
      <c r="I1866" s="647"/>
      <c r="J1866" s="647"/>
    </row>
    <row r="1867" spans="2:10" ht="12.75" customHeight="1" x14ac:dyDescent="0.2">
      <c r="B1867" s="1856" t="s">
        <v>2017</v>
      </c>
      <c r="C1867" s="111"/>
      <c r="D1867" s="111"/>
      <c r="E1867" s="644">
        <v>20</v>
      </c>
      <c r="F1867" s="644">
        <f>120+IF(OR(TipoDeCriatura="Entre mundos, Elemental",TipoDeCriatura="Ánima, Elemental"),10,0)</f>
        <v>120</v>
      </c>
      <c r="G1867" s="2503">
        <f>COUNTIF(PoderesDeCriatura_Adquiridos,Tablas!B1867)</f>
        <v>0</v>
      </c>
      <c r="H1867" s="1999"/>
      <c r="I1867" s="647"/>
      <c r="J1867" s="647"/>
    </row>
    <row r="1868" spans="2:10" ht="12.75" customHeight="1" x14ac:dyDescent="0.2">
      <c r="B1868" s="1856" t="s">
        <v>2018</v>
      </c>
      <c r="C1868" s="111"/>
      <c r="D1868" s="111"/>
      <c r="E1868" s="644">
        <v>25</v>
      </c>
      <c r="F1868" s="644">
        <f>120+IF(OR(TipoDeCriatura="Entre mundos, Elemental",TipoDeCriatura="Ánima, Elemental"),10,0)</f>
        <v>120</v>
      </c>
      <c r="G1868" s="2503">
        <f>COUNTIF(PoderesDeCriatura_Adquiridos,Tablas!B1868)</f>
        <v>0</v>
      </c>
      <c r="H1868" s="1999"/>
      <c r="I1868" s="647"/>
      <c r="J1868" s="647"/>
    </row>
    <row r="1869" spans="2:10" ht="12.75" customHeight="1" x14ac:dyDescent="0.2">
      <c r="B1869" s="1856" t="s">
        <v>2019</v>
      </c>
      <c r="C1869" s="111"/>
      <c r="D1869" s="111"/>
      <c r="E1869" s="644">
        <v>10</v>
      </c>
      <c r="F1869" s="644">
        <f>20+IF(OR(TipoDeCriatura="Entre mundos, Elemental",TipoDeCriatura="Ánima, Elemental"),10,0)</f>
        <v>20</v>
      </c>
      <c r="G1869" s="2503">
        <f>COUNTIF(PoderesDeCriatura_Adquiridos,Tablas!B1869)</f>
        <v>0</v>
      </c>
      <c r="H1869" s="1999"/>
      <c r="I1869" s="647"/>
      <c r="J1869" s="647"/>
    </row>
    <row r="1870" spans="2:10" ht="12.75" customHeight="1" x14ac:dyDescent="0.2">
      <c r="B1870" s="1856" t="s">
        <v>2020</v>
      </c>
      <c r="C1870" s="111"/>
      <c r="D1870" s="111"/>
      <c r="E1870" s="644">
        <v>15</v>
      </c>
      <c r="F1870" s="644">
        <f>50+IF(OR(TipoDeCriatura="Entre mundos, Elemental",TipoDeCriatura="Ánima, Elemental"),10,0)</f>
        <v>50</v>
      </c>
      <c r="G1870" s="2503">
        <f>COUNTIF(PoderesDeCriatura_Adquiridos,Tablas!B1870)</f>
        <v>0</v>
      </c>
      <c r="H1870" s="1999"/>
      <c r="I1870" s="647"/>
      <c r="J1870" s="647"/>
    </row>
    <row r="1871" spans="2:10" ht="12.75" customHeight="1" x14ac:dyDescent="0.2">
      <c r="B1871" s="1856" t="s">
        <v>2021</v>
      </c>
      <c r="C1871" s="111"/>
      <c r="D1871" s="111"/>
      <c r="E1871" s="644">
        <v>20</v>
      </c>
      <c r="F1871" s="644">
        <f>100+IF(OR(TipoDeCriatura="Entre mundos, Elemental",TipoDeCriatura="Ánima, Elemental"),10,0)</f>
        <v>100</v>
      </c>
      <c r="G1871" s="2503">
        <f>COUNTIF(PoderesDeCriatura_Adquiridos,Tablas!B1871)</f>
        <v>0</v>
      </c>
      <c r="H1871" s="1999"/>
      <c r="I1871" s="647"/>
      <c r="J1871" s="647"/>
    </row>
    <row r="1872" spans="2:10" ht="12.75" customHeight="1" x14ac:dyDescent="0.2">
      <c r="B1872" s="1856" t="s">
        <v>2022</v>
      </c>
      <c r="C1872" s="111"/>
      <c r="D1872" s="111"/>
      <c r="E1872" s="644">
        <v>10</v>
      </c>
      <c r="F1872" s="644">
        <f>10+IF(OR(TipoDeCriatura="Entre mundos, Elemental",TipoDeCriatura="Ánima, Elemental"),10,0)</f>
        <v>10</v>
      </c>
      <c r="G1872" s="2503">
        <f>COUNTIF(PoderesDeCriatura_Adquiridos,Tablas!B1872)</f>
        <v>0</v>
      </c>
      <c r="H1872" s="1999"/>
      <c r="I1872" s="647"/>
      <c r="J1872" s="647"/>
    </row>
    <row r="1873" spans="2:10" ht="12.75" customHeight="1" x14ac:dyDescent="0.2">
      <c r="B1873" s="1856" t="s">
        <v>2023</v>
      </c>
      <c r="C1873" s="111"/>
      <c r="D1873" s="111"/>
      <c r="E1873" s="456">
        <v>10</v>
      </c>
      <c r="F1873" s="644">
        <v>-20</v>
      </c>
      <c r="G1873" s="2503">
        <f>COUNTIF(PoderesDeCriatura_Adquiridos,Tablas!B1873)</f>
        <v>0</v>
      </c>
      <c r="H1873" s="1999"/>
      <c r="I1873" s="647"/>
      <c r="J1873" s="647"/>
    </row>
    <row r="1874" spans="2:10" ht="12.75" customHeight="1" x14ac:dyDescent="0.2">
      <c r="B1874" s="2507" t="s">
        <v>2024</v>
      </c>
      <c r="C1874" s="111"/>
      <c r="D1874" s="111"/>
      <c r="E1874" s="644">
        <v>0</v>
      </c>
      <c r="F1874" s="644">
        <v>10</v>
      </c>
      <c r="G1874" s="2503">
        <f>COUNTIF(PoderesDeCriatura_Adquiridos,Tablas!B1874)</f>
        <v>0</v>
      </c>
      <c r="H1874" s="1999"/>
      <c r="I1874" s="647"/>
      <c r="J1874" s="647"/>
    </row>
    <row r="1875" spans="2:10" ht="12.75" customHeight="1" x14ac:dyDescent="0.2">
      <c r="B1875" s="1856" t="s">
        <v>2025</v>
      </c>
      <c r="C1875" s="111"/>
      <c r="D1875" s="111"/>
      <c r="E1875" s="644">
        <v>0</v>
      </c>
      <c r="F1875" s="644">
        <v>20</v>
      </c>
      <c r="G1875" s="2503">
        <f>COUNTIF(PoderesDeCriatura_Adquiridos,Tablas!B1875)</f>
        <v>0</v>
      </c>
      <c r="H1875" s="1999"/>
      <c r="I1875" s="647"/>
      <c r="J1875" s="647"/>
    </row>
    <row r="1876" spans="2:10" ht="12.75" customHeight="1" x14ac:dyDescent="0.2">
      <c r="B1876" s="1856" t="s">
        <v>2026</v>
      </c>
      <c r="C1876" s="111"/>
      <c r="D1876" s="111"/>
      <c r="E1876" s="644">
        <v>0</v>
      </c>
      <c r="F1876" s="644">
        <v>30</v>
      </c>
      <c r="G1876" s="2503">
        <f>COUNTIF(PoderesDeCriatura_Adquiridos,Tablas!B1876)</f>
        <v>0</v>
      </c>
      <c r="H1876" s="1999"/>
      <c r="I1876" s="647"/>
      <c r="J1876" s="647"/>
    </row>
    <row r="1877" spans="2:10" ht="12.75" customHeight="1" x14ac:dyDescent="0.2">
      <c r="B1877" s="1856" t="s">
        <v>2027</v>
      </c>
      <c r="C1877" s="111"/>
      <c r="D1877" s="111"/>
      <c r="E1877" s="644">
        <v>5</v>
      </c>
      <c r="F1877" s="644">
        <v>40</v>
      </c>
      <c r="G1877" s="2503">
        <f>COUNTIF(PoderesDeCriatura_Adquiridos,Tablas!B1877)</f>
        <v>0</v>
      </c>
      <c r="H1877" s="1999"/>
      <c r="I1877" s="647"/>
      <c r="J1877" s="647"/>
    </row>
    <row r="1878" spans="2:10" ht="12.75" customHeight="1" x14ac:dyDescent="0.2">
      <c r="B1878" s="1856" t="s">
        <v>2028</v>
      </c>
      <c r="C1878" s="111"/>
      <c r="D1878" s="111"/>
      <c r="E1878" s="644">
        <v>5</v>
      </c>
      <c r="F1878" s="644">
        <v>50</v>
      </c>
      <c r="G1878" s="2503">
        <f>COUNTIF(PoderesDeCriatura_Adquiridos,Tablas!B1878)</f>
        <v>0</v>
      </c>
      <c r="H1878" s="1999"/>
      <c r="I1878" s="647"/>
      <c r="J1878" s="647"/>
    </row>
    <row r="1879" spans="2:10" ht="12.75" customHeight="1" x14ac:dyDescent="0.2">
      <c r="B1879" s="1856" t="s">
        <v>2029</v>
      </c>
      <c r="C1879" s="111"/>
      <c r="D1879" s="111"/>
      <c r="E1879" s="644">
        <v>10</v>
      </c>
      <c r="F1879" s="644">
        <v>60</v>
      </c>
      <c r="G1879" s="2503">
        <f>COUNTIF(PoderesDeCriatura_Adquiridos,Tablas!B1879)</f>
        <v>0</v>
      </c>
      <c r="H1879" s="1999"/>
      <c r="I1879" s="647"/>
      <c r="J1879" s="647"/>
    </row>
    <row r="1880" spans="2:10" ht="12.75" customHeight="1" x14ac:dyDescent="0.2">
      <c r="B1880" s="1856" t="s">
        <v>2030</v>
      </c>
      <c r="C1880" s="111"/>
      <c r="D1880" s="111"/>
      <c r="E1880" s="644">
        <v>20</v>
      </c>
      <c r="F1880" s="644">
        <v>70</v>
      </c>
      <c r="G1880" s="2503">
        <f>COUNTIF(PoderesDeCriatura_Adquiridos,Tablas!B1880)</f>
        <v>0</v>
      </c>
      <c r="H1880" s="1999"/>
      <c r="I1880" s="647"/>
      <c r="J1880" s="647"/>
    </row>
    <row r="1881" spans="2:10" ht="12.75" customHeight="1" x14ac:dyDescent="0.2">
      <c r="B1881" s="1856" t="s">
        <v>2031</v>
      </c>
      <c r="C1881" s="111"/>
      <c r="D1881" s="111"/>
      <c r="E1881" s="644">
        <v>30</v>
      </c>
      <c r="F1881" s="644">
        <v>80</v>
      </c>
      <c r="G1881" s="2503">
        <f>COUNTIF(PoderesDeCriatura_Adquiridos,Tablas!B1881)</f>
        <v>0</v>
      </c>
      <c r="H1881" s="1999"/>
      <c r="I1881" s="647"/>
      <c r="J1881" s="647"/>
    </row>
    <row r="1882" spans="2:10" ht="12.75" customHeight="1" x14ac:dyDescent="0.2">
      <c r="B1882" s="1856" t="s">
        <v>2032</v>
      </c>
      <c r="C1882" s="111"/>
      <c r="D1882" s="111"/>
      <c r="E1882" s="644">
        <v>30</v>
      </c>
      <c r="F1882" s="644">
        <v>90</v>
      </c>
      <c r="G1882" s="2503">
        <f>COUNTIF(PoderesDeCriatura_Adquiridos,Tablas!B1882)</f>
        <v>0</v>
      </c>
      <c r="H1882" s="1999"/>
      <c r="I1882" s="647"/>
      <c r="J1882" s="647"/>
    </row>
    <row r="1883" spans="2:10" ht="12.75" customHeight="1" x14ac:dyDescent="0.2">
      <c r="B1883" s="1856" t="s">
        <v>2033</v>
      </c>
      <c r="C1883" s="111"/>
      <c r="D1883" s="111"/>
      <c r="E1883" s="644">
        <v>40</v>
      </c>
      <c r="F1883" s="644">
        <v>100</v>
      </c>
      <c r="G1883" s="2503">
        <f>COUNTIF(PoderesDeCriatura_Adquiridos,Tablas!B1883)</f>
        <v>0</v>
      </c>
      <c r="H1883" s="1999"/>
      <c r="I1883" s="647"/>
      <c r="J1883" s="647"/>
    </row>
    <row r="1884" spans="2:10" ht="12.75" customHeight="1" x14ac:dyDescent="0.2">
      <c r="B1884" s="1856" t="s">
        <v>2034</v>
      </c>
      <c r="C1884" s="111"/>
      <c r="D1884" s="111"/>
      <c r="E1884" s="456">
        <v>0</v>
      </c>
      <c r="F1884" s="644">
        <v>10</v>
      </c>
      <c r="G1884" s="2503">
        <f>COUNTIF(PoderesDeCriatura_Adquiridos,Tablas!B1884)</f>
        <v>0</v>
      </c>
      <c r="H1884" s="1999"/>
      <c r="I1884" s="647"/>
      <c r="J1884" s="647"/>
    </row>
    <row r="1885" spans="2:10" ht="12.75" customHeight="1" x14ac:dyDescent="0.2">
      <c r="B1885" s="1856" t="s">
        <v>2035</v>
      </c>
      <c r="C1885" s="111"/>
      <c r="D1885" s="111"/>
      <c r="E1885" s="456">
        <v>0</v>
      </c>
      <c r="F1885" s="644">
        <v>20</v>
      </c>
      <c r="G1885" s="2503">
        <f>COUNTIF(PoderesDeCriatura_Adquiridos,Tablas!B1885)</f>
        <v>0</v>
      </c>
      <c r="H1885" s="1999"/>
      <c r="I1885" s="647"/>
      <c r="J1885" s="647"/>
    </row>
    <row r="1886" spans="2:10" ht="12.75" customHeight="1" x14ac:dyDescent="0.2">
      <c r="B1886" s="1856" t="s">
        <v>2036</v>
      </c>
      <c r="C1886" s="111"/>
      <c r="D1886" s="111"/>
      <c r="E1886" s="456">
        <v>0</v>
      </c>
      <c r="F1886" s="644">
        <v>30</v>
      </c>
      <c r="G1886" s="2503">
        <f>COUNTIF(PoderesDeCriatura_Adquiridos,Tablas!B1886)</f>
        <v>0</v>
      </c>
      <c r="H1886" s="1999"/>
      <c r="I1886" s="647"/>
      <c r="J1886" s="647"/>
    </row>
    <row r="1887" spans="2:10" ht="12.75" customHeight="1" x14ac:dyDescent="0.2">
      <c r="B1887" s="1856" t="s">
        <v>2037</v>
      </c>
      <c r="C1887" s="111"/>
      <c r="D1887" s="111"/>
      <c r="E1887" s="456">
        <v>10</v>
      </c>
      <c r="F1887" s="644">
        <v>40</v>
      </c>
      <c r="G1887" s="2503">
        <f>COUNTIF(PoderesDeCriatura_Adquiridos,Tablas!B1887)</f>
        <v>0</v>
      </c>
      <c r="H1887" s="1999"/>
      <c r="I1887" s="647"/>
      <c r="J1887" s="647"/>
    </row>
    <row r="1888" spans="2:10" ht="12.75" customHeight="1" x14ac:dyDescent="0.2">
      <c r="B1888" s="1856" t="s">
        <v>2038</v>
      </c>
      <c r="C1888" s="111"/>
      <c r="D1888" s="111"/>
      <c r="E1888" s="456">
        <v>20</v>
      </c>
      <c r="F1888" s="644">
        <v>60</v>
      </c>
      <c r="G1888" s="2503">
        <f>COUNTIF(PoderesDeCriatura_Adquiridos,Tablas!B1888)</f>
        <v>0</v>
      </c>
      <c r="H1888" s="1999"/>
      <c r="I1888" s="647"/>
      <c r="J1888" s="647"/>
    </row>
    <row r="1889" spans="2:10" ht="12.75" customHeight="1" x14ac:dyDescent="0.2">
      <c r="B1889" s="1856" t="s">
        <v>2039</v>
      </c>
      <c r="C1889" s="111"/>
      <c r="D1889" s="111"/>
      <c r="E1889" s="456">
        <v>25</v>
      </c>
      <c r="F1889" s="644">
        <v>80</v>
      </c>
      <c r="G1889" s="2503">
        <f>COUNTIF(PoderesDeCriatura_Adquiridos,Tablas!B1889)</f>
        <v>0</v>
      </c>
      <c r="H1889" s="1999"/>
      <c r="I1889" s="647"/>
      <c r="J1889" s="647"/>
    </row>
    <row r="1890" spans="2:10" ht="12.75" customHeight="1" x14ac:dyDescent="0.2">
      <c r="B1890" s="1856" t="s">
        <v>2040</v>
      </c>
      <c r="C1890" s="111"/>
      <c r="D1890" s="111"/>
      <c r="E1890" s="456">
        <v>20</v>
      </c>
      <c r="F1890" s="644">
        <v>60</v>
      </c>
      <c r="G1890" s="2503">
        <f>COUNTIF(PoderesDeCriatura_Adquiridos,Tablas!B1890)</f>
        <v>0</v>
      </c>
      <c r="H1890" s="1999"/>
      <c r="I1890" s="647"/>
      <c r="J1890" s="647"/>
    </row>
    <row r="1891" spans="2:10" ht="12.75" customHeight="1" x14ac:dyDescent="0.2">
      <c r="B1891" s="1856" t="s">
        <v>2506</v>
      </c>
      <c r="C1891" s="111"/>
      <c r="D1891" s="111"/>
      <c r="E1891" s="456">
        <v>10</v>
      </c>
      <c r="F1891" s="644">
        <v>10</v>
      </c>
      <c r="G1891" s="2503">
        <f>COUNTIF(PoderesDeCriatura_Adquiridos,Tablas!B1891)</f>
        <v>0</v>
      </c>
      <c r="H1891" s="1999"/>
      <c r="I1891" s="647"/>
      <c r="J1891" s="647"/>
    </row>
    <row r="1892" spans="2:10" ht="12.75" customHeight="1" x14ac:dyDescent="0.2">
      <c r="B1892" s="1856" t="s">
        <v>2041</v>
      </c>
      <c r="C1892" s="111"/>
      <c r="D1892" s="111"/>
      <c r="E1892" s="456"/>
      <c r="F1892" s="644"/>
      <c r="G1892" s="2503"/>
      <c r="H1892" s="1999"/>
      <c r="I1892" s="647"/>
      <c r="J1892" s="647"/>
    </row>
    <row r="1893" spans="2:10" ht="12.75" customHeight="1" x14ac:dyDescent="0.2">
      <c r="B1893" s="1856" t="s">
        <v>3580</v>
      </c>
      <c r="C1893" s="111"/>
      <c r="D1893" s="111"/>
      <c r="E1893" s="456">
        <v>0</v>
      </c>
      <c r="F1893" s="644">
        <v>20</v>
      </c>
      <c r="G1893" s="2503">
        <f>COUNTIF(PoderesDeCriatura_Adquiridos,Tablas!B1893)</f>
        <v>0</v>
      </c>
      <c r="H1893" s="1999"/>
      <c r="I1893" s="647"/>
      <c r="J1893" s="647"/>
    </row>
    <row r="1894" spans="2:10" ht="12.75" customHeight="1" x14ac:dyDescent="0.2">
      <c r="B1894" s="1856" t="s">
        <v>2042</v>
      </c>
      <c r="C1894" s="111"/>
      <c r="D1894" s="111"/>
      <c r="E1894" s="456">
        <v>5</v>
      </c>
      <c r="F1894" s="644">
        <v>20</v>
      </c>
      <c r="G1894" s="2503">
        <f>COUNTIF(PoderesDeCriatura_Adquiridos,Tablas!B1894)</f>
        <v>0</v>
      </c>
      <c r="H1894" s="1999"/>
      <c r="I1894" s="647"/>
      <c r="J1894" s="647"/>
    </row>
    <row r="1895" spans="2:10" ht="12.75" customHeight="1" x14ac:dyDescent="0.2">
      <c r="B1895" s="1856" t="s">
        <v>2043</v>
      </c>
      <c r="C1895" s="111"/>
      <c r="D1895" s="111"/>
      <c r="E1895" s="456">
        <v>15</v>
      </c>
      <c r="F1895" s="644">
        <v>10</v>
      </c>
      <c r="G1895" s="2503">
        <f>COUNTIF(PoderesDeCriatura_Adquiridos,Tablas!B1895)</f>
        <v>0</v>
      </c>
      <c r="H1895" s="1999"/>
      <c r="I1895" s="647"/>
      <c r="J1895" s="647"/>
    </row>
    <row r="1896" spans="2:10" ht="12.75" customHeight="1" x14ac:dyDescent="0.2">
      <c r="B1896" s="1856" t="s">
        <v>2044</v>
      </c>
      <c r="C1896" s="111"/>
      <c r="D1896" s="111"/>
      <c r="E1896" s="456">
        <v>0</v>
      </c>
      <c r="F1896" s="644">
        <v>10</v>
      </c>
      <c r="G1896" s="2503">
        <f>COUNTIF(PoderesDeCriatura_Adquiridos,Tablas!B1896)</f>
        <v>0</v>
      </c>
      <c r="H1896" s="1999"/>
      <c r="I1896" s="647"/>
      <c r="J1896" s="647"/>
    </row>
    <row r="1897" spans="2:10" ht="12.75" customHeight="1" x14ac:dyDescent="0.2">
      <c r="B1897" s="1856" t="s">
        <v>2045</v>
      </c>
      <c r="C1897" s="111"/>
      <c r="D1897" s="111"/>
      <c r="E1897" s="456">
        <v>20</v>
      </c>
      <c r="F1897" s="644">
        <v>30</v>
      </c>
      <c r="G1897" s="2503">
        <f>COUNTIF(PoderesDeCriatura_Adquiridos,Tablas!B1897)</f>
        <v>0</v>
      </c>
      <c r="H1897" s="1999"/>
      <c r="I1897" s="647"/>
      <c r="J1897" s="647"/>
    </row>
    <row r="1898" spans="2:10" ht="12.75" customHeight="1" x14ac:dyDescent="0.2">
      <c r="B1898" s="1856" t="s">
        <v>2046</v>
      </c>
      <c r="C1898" s="111"/>
      <c r="D1898" s="111"/>
      <c r="E1898" s="456">
        <v>10</v>
      </c>
      <c r="F1898" s="644">
        <v>10</v>
      </c>
      <c r="G1898" s="2503">
        <f>COUNTIF(PoderesDeCriatura_Adquiridos,Tablas!B1898)</f>
        <v>0</v>
      </c>
      <c r="H1898" s="1999"/>
      <c r="I1898" s="647"/>
      <c r="J1898" s="647"/>
    </row>
    <row r="1899" spans="2:10" ht="12.75" customHeight="1" x14ac:dyDescent="0.2">
      <c r="B1899" s="1856" t="s">
        <v>2047</v>
      </c>
      <c r="C1899" s="111"/>
      <c r="D1899" s="111"/>
      <c r="E1899" s="456">
        <v>10</v>
      </c>
      <c r="F1899" s="644">
        <v>10</v>
      </c>
      <c r="G1899" s="2503">
        <f>COUNTIF(PoderesDeCriatura_Adquiridos,Tablas!B1899)</f>
        <v>0</v>
      </c>
      <c r="H1899" s="1999"/>
      <c r="I1899" s="647"/>
      <c r="J1899" s="647"/>
    </row>
    <row r="1900" spans="2:10" ht="12.75" customHeight="1" x14ac:dyDescent="0.2">
      <c r="B1900" s="1856" t="s">
        <v>2048</v>
      </c>
      <c r="C1900" s="111"/>
      <c r="D1900" s="111"/>
      <c r="E1900" s="456">
        <v>10</v>
      </c>
      <c r="F1900" s="644">
        <v>20</v>
      </c>
      <c r="G1900" s="2503">
        <f>COUNTIF(PoderesDeCriatura_Adquiridos,Tablas!B1900)</f>
        <v>0</v>
      </c>
      <c r="H1900" s="1999"/>
      <c r="I1900" s="647"/>
      <c r="J1900" s="647"/>
    </row>
    <row r="1901" spans="2:10" ht="12.75" customHeight="1" x14ac:dyDescent="0.2">
      <c r="B1901" s="1856" t="s">
        <v>2049</v>
      </c>
      <c r="C1901" s="111"/>
      <c r="D1901" s="111"/>
      <c r="E1901" s="456">
        <v>15</v>
      </c>
      <c r="F1901" s="644">
        <v>40</v>
      </c>
      <c r="G1901" s="2503">
        <f>COUNTIF(PoderesDeCriatura_Adquiridos,Tablas!B1901)</f>
        <v>0</v>
      </c>
      <c r="H1901" s="1999"/>
      <c r="I1901" s="647"/>
      <c r="J1901" s="647"/>
    </row>
    <row r="1902" spans="2:10" ht="12.75" customHeight="1" x14ac:dyDescent="0.2">
      <c r="B1902" s="1856" t="s">
        <v>2050</v>
      </c>
      <c r="C1902" s="111"/>
      <c r="D1902" s="111"/>
      <c r="E1902" s="456">
        <v>15</v>
      </c>
      <c r="F1902" s="644">
        <v>60</v>
      </c>
      <c r="G1902" s="2503">
        <f>COUNTIF(PoderesDeCriatura_Adquiridos,Tablas!B1902)</f>
        <v>0</v>
      </c>
      <c r="H1902" s="1999"/>
      <c r="I1902" s="647"/>
      <c r="J1902" s="647"/>
    </row>
    <row r="1903" spans="2:10" ht="12.75" customHeight="1" x14ac:dyDescent="0.2">
      <c r="B1903" s="1856" t="s">
        <v>2051</v>
      </c>
      <c r="C1903" s="111"/>
      <c r="D1903" s="111"/>
      <c r="E1903" s="456">
        <v>20</v>
      </c>
      <c r="F1903" s="644">
        <v>80</v>
      </c>
      <c r="G1903" s="2503">
        <f>COUNTIF(PoderesDeCriatura_Adquiridos,Tablas!B1903)</f>
        <v>0</v>
      </c>
      <c r="H1903" s="1999"/>
      <c r="I1903" s="647"/>
      <c r="J1903" s="647"/>
    </row>
    <row r="1904" spans="2:10" ht="12.75" customHeight="1" x14ac:dyDescent="0.2">
      <c r="B1904" s="1856" t="s">
        <v>2052</v>
      </c>
      <c r="C1904" s="111"/>
      <c r="D1904" s="111"/>
      <c r="E1904" s="456">
        <v>20</v>
      </c>
      <c r="F1904" s="644">
        <v>100</v>
      </c>
      <c r="G1904" s="2503">
        <f>COUNTIF(PoderesDeCriatura_Adquiridos,Tablas!B1904)</f>
        <v>0</v>
      </c>
      <c r="H1904" s="1999"/>
      <c r="I1904" s="647"/>
      <c r="J1904" s="647"/>
    </row>
    <row r="1905" spans="2:10" ht="12.75" customHeight="1" x14ac:dyDescent="0.2">
      <c r="B1905" s="1856" t="s">
        <v>2053</v>
      </c>
      <c r="C1905" s="111"/>
      <c r="D1905" s="111"/>
      <c r="E1905" s="456">
        <v>25</v>
      </c>
      <c r="F1905" s="644">
        <v>120</v>
      </c>
      <c r="G1905" s="2503">
        <f>COUNTIF(PoderesDeCriatura_Adquiridos,Tablas!B1905)</f>
        <v>0</v>
      </c>
      <c r="H1905" s="1999"/>
      <c r="I1905" s="647"/>
      <c r="J1905" s="647"/>
    </row>
    <row r="1906" spans="2:10" ht="12.75" customHeight="1" x14ac:dyDescent="0.2">
      <c r="B1906" s="1856" t="s">
        <v>2054</v>
      </c>
      <c r="C1906" s="111"/>
      <c r="D1906" s="111"/>
      <c r="E1906" s="456">
        <v>30</v>
      </c>
      <c r="F1906" s="644">
        <v>140</v>
      </c>
      <c r="G1906" s="2503">
        <f>COUNTIF(PoderesDeCriatura_Adquiridos,Tablas!B1906)</f>
        <v>0</v>
      </c>
      <c r="H1906" s="1999"/>
      <c r="I1906" s="647"/>
      <c r="J1906" s="647"/>
    </row>
    <row r="1907" spans="2:10" ht="12.75" customHeight="1" x14ac:dyDescent="0.2">
      <c r="B1907" s="1856" t="s">
        <v>2055</v>
      </c>
      <c r="C1907" s="111"/>
      <c r="D1907" s="111"/>
      <c r="E1907" s="456">
        <v>35</v>
      </c>
      <c r="F1907" s="644">
        <v>160</v>
      </c>
      <c r="G1907" s="2503">
        <f>COUNTIF(PoderesDeCriatura_Adquiridos,Tablas!B1907)</f>
        <v>0</v>
      </c>
      <c r="H1907" s="1999"/>
      <c r="I1907" s="647"/>
      <c r="J1907" s="647"/>
    </row>
    <row r="1908" spans="2:10" ht="12.75" customHeight="1" x14ac:dyDescent="0.2">
      <c r="B1908" s="1856" t="s">
        <v>2056</v>
      </c>
      <c r="C1908" s="111"/>
      <c r="D1908" s="111"/>
      <c r="E1908" s="456">
        <v>35</v>
      </c>
      <c r="F1908" s="644">
        <f>200+IF(OR(TipoDeCriatura="Entre mundos, Elemental",TipoDeCriatura="Ánima, Elemental"),10,0)</f>
        <v>200</v>
      </c>
      <c r="G1908" s="2503">
        <f>COUNTIF(PoderesDeCriatura_Adquiridos,Tablas!B1908)</f>
        <v>0</v>
      </c>
      <c r="H1908" s="1999"/>
      <c r="I1908" s="647"/>
      <c r="J1908" s="647"/>
    </row>
    <row r="1909" spans="2:10" ht="12.75" customHeight="1" x14ac:dyDescent="0.2">
      <c r="B1909" s="1856" t="s">
        <v>2057</v>
      </c>
      <c r="C1909" s="111"/>
      <c r="D1909" s="111"/>
      <c r="E1909" s="456">
        <v>10</v>
      </c>
      <c r="F1909" s="644">
        <f>10+IF(OR(TipoDeCriatura="Entre mundos, Elemental",TipoDeCriatura="Ánima, Elemental"),10,0)</f>
        <v>10</v>
      </c>
      <c r="G1909" s="2503">
        <f>COUNTIF(PoderesDeCriatura_Adquiridos,Tablas!B1909)</f>
        <v>0</v>
      </c>
      <c r="H1909" s="1999"/>
      <c r="I1909" s="647"/>
      <c r="J1909" s="647"/>
    </row>
    <row r="1910" spans="2:10" ht="12.75" customHeight="1" x14ac:dyDescent="0.2">
      <c r="B1910" s="1856" t="s">
        <v>2058</v>
      </c>
      <c r="C1910" s="111"/>
      <c r="D1910" s="111"/>
      <c r="E1910" s="456">
        <v>35</v>
      </c>
      <c r="F1910" s="644">
        <f>100+IF(OR(TipoDeCriatura="Entre mundos, Elemental",TipoDeCriatura="Ánima, Elemental"),10,0)</f>
        <v>100</v>
      </c>
      <c r="G1910" s="2503">
        <f>COUNTIF(PoderesDeCriatura_Adquiridos,Tablas!B1910)</f>
        <v>0</v>
      </c>
      <c r="H1910" s="1999"/>
      <c r="I1910" s="647"/>
      <c r="J1910" s="647"/>
    </row>
    <row r="1911" spans="2:10" ht="12.75" customHeight="1" x14ac:dyDescent="0.2">
      <c r="B1911" s="1856" t="s">
        <v>2059</v>
      </c>
      <c r="C1911" s="111"/>
      <c r="D1911" s="111"/>
      <c r="E1911" s="456">
        <v>10</v>
      </c>
      <c r="F1911" s="644">
        <v>-10</v>
      </c>
      <c r="G1911" s="2503">
        <f>COUNTIF(PoderesDeCriatura_Adquiridos,Tablas!B1911)</f>
        <v>0</v>
      </c>
      <c r="H1911" s="1999"/>
      <c r="I1911" s="647"/>
      <c r="J1911" s="647"/>
    </row>
    <row r="1912" spans="2:10" ht="12.75" customHeight="1" x14ac:dyDescent="0.2">
      <c r="B1912" s="1856" t="s">
        <v>2060</v>
      </c>
      <c r="C1912" s="111"/>
      <c r="D1912" s="111"/>
      <c r="E1912" s="456">
        <v>10</v>
      </c>
      <c r="F1912" s="644">
        <v>-30</v>
      </c>
      <c r="G1912" s="2503">
        <f>COUNTIF(PoderesDeCriatura_Adquiridos,Tablas!B1912)</f>
        <v>0</v>
      </c>
      <c r="H1912" s="1999"/>
      <c r="I1912" s="647"/>
      <c r="J1912" s="647"/>
    </row>
    <row r="1913" spans="2:10" ht="12.75" customHeight="1" x14ac:dyDescent="0.2">
      <c r="B1913" s="1856" t="s">
        <v>2061</v>
      </c>
      <c r="C1913" s="111"/>
      <c r="D1913" s="111"/>
      <c r="E1913" s="456">
        <v>10</v>
      </c>
      <c r="F1913" s="644">
        <v>-50</v>
      </c>
      <c r="G1913" s="2503">
        <f>COUNTIF(PoderesDeCriatura_Adquiridos,Tablas!B1913)</f>
        <v>0</v>
      </c>
      <c r="H1913" s="1999"/>
      <c r="I1913" s="647"/>
      <c r="J1913" s="647"/>
    </row>
    <row r="1914" spans="2:10" ht="12.75" customHeight="1" x14ac:dyDescent="0.2">
      <c r="B1914" s="1856" t="s">
        <v>2062</v>
      </c>
      <c r="C1914" s="111"/>
      <c r="D1914" s="111"/>
      <c r="E1914" s="456">
        <v>10</v>
      </c>
      <c r="F1914" s="644">
        <v>-30</v>
      </c>
      <c r="G1914" s="2503">
        <f>COUNTIF(PoderesDeCriatura_Adquiridos,Tablas!B1914)</f>
        <v>0</v>
      </c>
      <c r="H1914" s="1999"/>
      <c r="I1914" s="647"/>
      <c r="J1914" s="647"/>
    </row>
    <row r="1915" spans="2:10" ht="12.75" customHeight="1" x14ac:dyDescent="0.2">
      <c r="B1915" s="1856" t="s">
        <v>2063</v>
      </c>
      <c r="C1915" s="111"/>
      <c r="D1915" s="111"/>
      <c r="E1915" s="456">
        <v>0</v>
      </c>
      <c r="F1915" s="644">
        <v>10</v>
      </c>
      <c r="G1915" s="2503">
        <f>COUNTIF(PoderesDeCriatura_Adquiridos,Tablas!B1915)</f>
        <v>0</v>
      </c>
      <c r="H1915" s="2527" t="s">
        <v>9721</v>
      </c>
      <c r="I1915" s="647"/>
      <c r="J1915" s="647"/>
    </row>
    <row r="1916" spans="2:10" ht="12.75" customHeight="1" x14ac:dyDescent="0.2">
      <c r="B1916" s="1856" t="s">
        <v>2064</v>
      </c>
      <c r="C1916" s="111"/>
      <c r="D1916" s="111"/>
      <c r="E1916" s="456">
        <v>5</v>
      </c>
      <c r="F1916" s="644">
        <v>20</v>
      </c>
      <c r="G1916" s="2503">
        <f>COUNTIF(PoderesDeCriatura_Adquiridos,Tablas!B1916)</f>
        <v>0</v>
      </c>
      <c r="H1916" s="2952">
        <f>SUMPRODUCT({1;2;3;4},G1915:G1918)</f>
        <v>0</v>
      </c>
      <c r="I1916" s="647"/>
      <c r="J1916" s="647"/>
    </row>
    <row r="1917" spans="2:10" ht="12.75" customHeight="1" x14ac:dyDescent="0.2">
      <c r="B1917" s="1856" t="s">
        <v>2065</v>
      </c>
      <c r="C1917" s="111"/>
      <c r="D1917" s="111"/>
      <c r="E1917" s="456">
        <v>10</v>
      </c>
      <c r="F1917" s="644">
        <v>30</v>
      </c>
      <c r="G1917" s="2503">
        <f>COUNTIF(PoderesDeCriatura_Adquiridos,Tablas!B1917)</f>
        <v>0</v>
      </c>
      <c r="H1917" s="1999"/>
      <c r="I1917" s="647"/>
      <c r="J1917" s="647"/>
    </row>
    <row r="1918" spans="2:10" ht="12.75" customHeight="1" x14ac:dyDescent="0.2">
      <c r="B1918" s="1856" t="s">
        <v>2066</v>
      </c>
      <c r="C1918" s="111"/>
      <c r="D1918" s="111"/>
      <c r="E1918" s="456">
        <v>20</v>
      </c>
      <c r="F1918" s="644">
        <v>40</v>
      </c>
      <c r="G1918" s="2503">
        <f>COUNTIF(PoderesDeCriatura_Adquiridos,Tablas!B1918)</f>
        <v>0</v>
      </c>
      <c r="H1918" s="1999"/>
      <c r="I1918" s="647"/>
      <c r="J1918" s="647"/>
    </row>
    <row r="1919" spans="2:10" ht="12.75" customHeight="1" x14ac:dyDescent="0.2">
      <c r="B1919" s="1856" t="s">
        <v>2067</v>
      </c>
      <c r="C1919" s="111"/>
      <c r="D1919" s="111"/>
      <c r="E1919" s="456">
        <v>0</v>
      </c>
      <c r="F1919" s="644">
        <v>40</v>
      </c>
      <c r="G1919" s="2503">
        <f>COUNTIF(PoderesDeCriatura_Adquiridos,Tablas!B1919)</f>
        <v>0</v>
      </c>
      <c r="H1919" s="1999"/>
      <c r="I1919" s="647"/>
      <c r="J1919" s="647"/>
    </row>
    <row r="1920" spans="2:10" ht="12.75" customHeight="1" x14ac:dyDescent="0.2">
      <c r="B1920" s="1856" t="s">
        <v>2068</v>
      </c>
      <c r="C1920" s="111"/>
      <c r="D1920" s="111"/>
      <c r="E1920" s="456">
        <v>0</v>
      </c>
      <c r="F1920" s="644">
        <v>60</v>
      </c>
      <c r="G1920" s="2503">
        <f>COUNTIF(PoderesDeCriatura_Adquiridos,Tablas!B1920)</f>
        <v>0</v>
      </c>
      <c r="H1920" s="1999"/>
      <c r="I1920" s="647"/>
      <c r="J1920" s="647"/>
    </row>
    <row r="1921" spans="2:10" ht="12.75" customHeight="1" x14ac:dyDescent="0.2">
      <c r="B1921" s="1856" t="s">
        <v>2069</v>
      </c>
      <c r="C1921" s="111"/>
      <c r="D1921" s="111"/>
      <c r="E1921" s="456">
        <v>0</v>
      </c>
      <c r="F1921" s="644">
        <v>80</v>
      </c>
      <c r="G1921" s="2503">
        <f>COUNTIF(PoderesDeCriatura_Adquiridos,Tablas!B1921)</f>
        <v>0</v>
      </c>
      <c r="H1921" s="1999"/>
      <c r="I1921" s="647"/>
      <c r="J1921" s="647"/>
    </row>
    <row r="1922" spans="2:10" ht="12.75" customHeight="1" x14ac:dyDescent="0.2">
      <c r="B1922" s="1856" t="s">
        <v>2070</v>
      </c>
      <c r="C1922" s="111"/>
      <c r="D1922" s="111"/>
      <c r="E1922" s="456">
        <v>0</v>
      </c>
      <c r="F1922" s="644">
        <v>100</v>
      </c>
      <c r="G1922" s="2503">
        <f>COUNTIF(PoderesDeCriatura_Adquiridos,Tablas!B1922)</f>
        <v>0</v>
      </c>
      <c r="H1922" s="1999"/>
      <c r="I1922" s="647"/>
      <c r="J1922" s="647"/>
    </row>
    <row r="1923" spans="2:10" ht="12.75" customHeight="1" x14ac:dyDescent="0.2">
      <c r="B1923" s="1856" t="s">
        <v>2071</v>
      </c>
      <c r="C1923" s="111"/>
      <c r="D1923" s="111"/>
      <c r="E1923" s="456">
        <v>10</v>
      </c>
      <c r="F1923" s="644">
        <v>120</v>
      </c>
      <c r="G1923" s="2503">
        <f>COUNTIF(PoderesDeCriatura_Adquiridos,Tablas!B1923)</f>
        <v>0</v>
      </c>
      <c r="H1923" s="1999"/>
      <c r="I1923" s="647"/>
      <c r="J1923" s="647"/>
    </row>
    <row r="1924" spans="2:10" ht="12.75" customHeight="1" x14ac:dyDescent="0.2">
      <c r="B1924" s="1856" t="s">
        <v>2072</v>
      </c>
      <c r="C1924" s="111"/>
      <c r="D1924" s="111"/>
      <c r="E1924" s="456">
        <v>10</v>
      </c>
      <c r="F1924" s="644">
        <v>20</v>
      </c>
      <c r="G1924" s="2503">
        <f>COUNTIF(PoderesDeCriatura_Adquiridos,Tablas!B1924)</f>
        <v>0</v>
      </c>
      <c r="H1924" s="1999"/>
      <c r="I1924" s="647"/>
      <c r="J1924" s="647"/>
    </row>
    <row r="1925" spans="2:10" ht="12.75" customHeight="1" x14ac:dyDescent="0.2">
      <c r="B1925" s="1856" t="s">
        <v>2073</v>
      </c>
      <c r="C1925" s="111"/>
      <c r="D1925" s="111"/>
      <c r="E1925" s="456">
        <v>15</v>
      </c>
      <c r="F1925" s="644">
        <v>40</v>
      </c>
      <c r="G1925" s="2503">
        <f>COUNTIF(PoderesDeCriatura_Adquiridos,Tablas!B1925)</f>
        <v>0</v>
      </c>
      <c r="H1925" s="1999"/>
      <c r="I1925" s="647"/>
      <c r="J1925" s="647"/>
    </row>
    <row r="1926" spans="2:10" ht="12.75" customHeight="1" x14ac:dyDescent="0.2">
      <c r="B1926" s="1856" t="s">
        <v>2074</v>
      </c>
      <c r="C1926" s="111"/>
      <c r="D1926" s="111"/>
      <c r="E1926" s="456">
        <v>20</v>
      </c>
      <c r="F1926" s="644">
        <v>60</v>
      </c>
      <c r="G1926" s="2503">
        <f>COUNTIF(PoderesDeCriatura_Adquiridos,Tablas!B1926)</f>
        <v>0</v>
      </c>
      <c r="H1926" s="1999"/>
      <c r="I1926" s="647"/>
      <c r="J1926" s="647"/>
    </row>
    <row r="1927" spans="2:10" ht="12.75" customHeight="1" x14ac:dyDescent="0.2">
      <c r="B1927" s="1856" t="s">
        <v>2075</v>
      </c>
      <c r="C1927" s="111"/>
      <c r="D1927" s="111"/>
      <c r="E1927" s="456">
        <v>20</v>
      </c>
      <c r="F1927" s="644">
        <v>80</v>
      </c>
      <c r="G1927" s="2503">
        <f>COUNTIF(PoderesDeCriatura_Adquiridos,Tablas!B1927)</f>
        <v>0</v>
      </c>
      <c r="H1927" s="1999"/>
      <c r="I1927" s="647"/>
      <c r="J1927" s="647"/>
    </row>
    <row r="1928" spans="2:10" ht="12.75" customHeight="1" x14ac:dyDescent="0.2">
      <c r="B1928" s="1856" t="s">
        <v>2076</v>
      </c>
      <c r="C1928" s="111"/>
      <c r="D1928" s="111"/>
      <c r="E1928" s="456">
        <v>25</v>
      </c>
      <c r="F1928" s="644">
        <v>100</v>
      </c>
      <c r="G1928" s="2503">
        <f>COUNTIF(PoderesDeCriatura_Adquiridos,Tablas!B1928)</f>
        <v>0</v>
      </c>
      <c r="H1928" s="1999"/>
      <c r="I1928" s="647"/>
      <c r="J1928" s="647"/>
    </row>
    <row r="1929" spans="2:10" ht="12.75" customHeight="1" x14ac:dyDescent="0.2">
      <c r="B1929" s="1856" t="s">
        <v>2077</v>
      </c>
      <c r="C1929" s="111"/>
      <c r="D1929" s="111"/>
      <c r="E1929" s="456">
        <v>30</v>
      </c>
      <c r="F1929" s="644">
        <v>120</v>
      </c>
      <c r="G1929" s="2503">
        <f>COUNTIF(PoderesDeCriatura_Adquiridos,Tablas!B1929)</f>
        <v>0</v>
      </c>
      <c r="H1929" s="1999"/>
      <c r="I1929" s="647"/>
      <c r="J1929" s="647"/>
    </row>
    <row r="1930" spans="2:10" ht="12.75" customHeight="1" x14ac:dyDescent="0.2">
      <c r="B1930" s="1856" t="s">
        <v>2078</v>
      </c>
      <c r="C1930" s="111"/>
      <c r="D1930" s="111"/>
      <c r="E1930" s="456">
        <v>35</v>
      </c>
      <c r="F1930" s="644">
        <v>140</v>
      </c>
      <c r="G1930" s="2503">
        <f>COUNTIF(PoderesDeCriatura_Adquiridos,Tablas!B1930)</f>
        <v>0</v>
      </c>
      <c r="H1930" s="1999"/>
      <c r="I1930" s="647"/>
      <c r="J1930" s="647"/>
    </row>
    <row r="1931" spans="2:10" ht="12.75" customHeight="1" x14ac:dyDescent="0.2">
      <c r="B1931" s="1856" t="s">
        <v>2079</v>
      </c>
      <c r="C1931" s="111"/>
      <c r="D1931" s="111"/>
      <c r="E1931" s="456">
        <v>10</v>
      </c>
      <c r="F1931" s="644">
        <v>-20</v>
      </c>
      <c r="G1931" s="2503">
        <f>COUNTIF(PoderesDeCriatura_Adquiridos,Tablas!B1931)</f>
        <v>0</v>
      </c>
      <c r="H1931" s="1999"/>
      <c r="I1931" s="647"/>
      <c r="J1931" s="647"/>
    </row>
    <row r="1932" spans="2:10" ht="12.75" customHeight="1" x14ac:dyDescent="0.2">
      <c r="B1932" s="1856" t="s">
        <v>2080</v>
      </c>
      <c r="C1932" s="111"/>
      <c r="D1932" s="111"/>
      <c r="E1932" s="456"/>
      <c r="F1932" s="644"/>
      <c r="G1932" s="2503"/>
      <c r="H1932" s="2527" t="s">
        <v>9721</v>
      </c>
      <c r="I1932" s="647"/>
      <c r="J1932" s="647"/>
    </row>
    <row r="1933" spans="2:10" ht="12.75" customHeight="1" x14ac:dyDescent="0.2">
      <c r="B1933" s="1856" t="s">
        <v>2081</v>
      </c>
      <c r="C1933" s="111"/>
      <c r="D1933" s="111"/>
      <c r="E1933" s="456">
        <v>0</v>
      </c>
      <c r="F1933" s="644">
        <v>10</v>
      </c>
      <c r="G1933" s="2503">
        <f>COUNTIF(PoderesDeCriatura_Adquiridos,Tablas!B1933)</f>
        <v>0</v>
      </c>
      <c r="H1933" s="2527" t="s">
        <v>2313</v>
      </c>
      <c r="I1933" s="1999">
        <f>IF(OR(G$1939=1,G$1940=1),0,IF(G$1933=0,0,10)+IF(G$1934=0,0,20)+IF(G$1935=0,0,30)+IF(G$1936=0,0,40)+IF(G$1937=0,0,50))</f>
        <v>0</v>
      </c>
      <c r="J1933" s="647"/>
    </row>
    <row r="1934" spans="2:10" ht="12.75" customHeight="1" x14ac:dyDescent="0.2">
      <c r="B1934" s="1856" t="s">
        <v>2082</v>
      </c>
      <c r="C1934" s="111"/>
      <c r="D1934" s="111"/>
      <c r="E1934" s="456">
        <v>0</v>
      </c>
      <c r="F1934" s="644">
        <v>20</v>
      </c>
      <c r="G1934" s="2503">
        <f>COUNTIF(PoderesDeCriatura_Adquiridos,Tablas!B1934)</f>
        <v>0</v>
      </c>
      <c r="H1934" s="2527" t="s">
        <v>2315</v>
      </c>
      <c r="I1934" s="1999">
        <f>IF(OR(G$1938=1,G$1940=1),0,IF(G$1933=0,0,10)+IF(G$1934=0,0,20)+IF(G$1935=0,0,30)+IF(G$1936=0,0,40)+IF(G$1937=0,0,50))</f>
        <v>0</v>
      </c>
      <c r="J1934" s="647"/>
    </row>
    <row r="1935" spans="2:10" ht="12.75" customHeight="1" x14ac:dyDescent="0.2">
      <c r="B1935" s="1856" t="s">
        <v>2083</v>
      </c>
      <c r="C1935" s="111"/>
      <c r="D1935" s="111"/>
      <c r="E1935" s="456">
        <v>10</v>
      </c>
      <c r="F1935" s="644">
        <v>30</v>
      </c>
      <c r="G1935" s="2503">
        <f>COUNTIF(PoderesDeCriatura_Adquiridos,Tablas!B1935)</f>
        <v>0</v>
      </c>
      <c r="H1935" s="2527" t="s">
        <v>2317</v>
      </c>
      <c r="I1935" s="1999">
        <f>IF(OR(G$1938=1,G$1939=1),0,IF(G$1933=0,0,10)+IF(G$1934=0,0,20)+IF(G$1935=0,0,30)+IF(G$1936=0,0,40)+IF(G$1937=0,0,50))</f>
        <v>0</v>
      </c>
      <c r="J1935" s="647"/>
    </row>
    <row r="1936" spans="2:10" ht="12.75" customHeight="1" x14ac:dyDescent="0.2">
      <c r="B1936" s="1856" t="s">
        <v>2084</v>
      </c>
      <c r="C1936" s="111"/>
      <c r="D1936" s="111"/>
      <c r="E1936" s="456">
        <v>20</v>
      </c>
      <c r="F1936" s="644">
        <v>40</v>
      </c>
      <c r="G1936" s="2503">
        <f>COUNTIF(PoderesDeCriatura_Adquiridos,Tablas!B1936)</f>
        <v>0</v>
      </c>
      <c r="H1936" s="2527"/>
      <c r="I1936" s="647"/>
      <c r="J1936" s="647"/>
    </row>
    <row r="1937" spans="2:10" ht="12.75" customHeight="1" x14ac:dyDescent="0.2">
      <c r="B1937" s="1856" t="s">
        <v>2085</v>
      </c>
      <c r="C1937" s="111"/>
      <c r="D1937" s="111"/>
      <c r="E1937" s="456">
        <v>30</v>
      </c>
      <c r="F1937" s="644">
        <v>50</v>
      </c>
      <c r="G1937" s="2503">
        <f>COUNTIF(PoderesDeCriatura_Adquiridos,Tablas!B1937)</f>
        <v>0</v>
      </c>
      <c r="H1937" s="2527"/>
      <c r="I1937" s="647"/>
      <c r="J1937" s="647"/>
    </row>
    <row r="1938" spans="2:10" ht="12.75" customHeight="1" x14ac:dyDescent="0.2">
      <c r="B1938" s="1856" t="s">
        <v>9722</v>
      </c>
      <c r="C1938" s="111"/>
      <c r="D1938" s="111"/>
      <c r="E1938" s="456">
        <v>10</v>
      </c>
      <c r="F1938" s="644">
        <v>-20</v>
      </c>
      <c r="G1938" s="2503">
        <f>COUNTIF(PoderesDeCriatura_Adquiridos,Tablas!B1938)</f>
        <v>0</v>
      </c>
      <c r="H1938" s="2527"/>
      <c r="I1938" s="647"/>
      <c r="J1938" s="647"/>
    </row>
    <row r="1939" spans="2:10" ht="12.75" customHeight="1" x14ac:dyDescent="0.2">
      <c r="B1939" s="1856" t="s">
        <v>9723</v>
      </c>
      <c r="C1939" s="111"/>
      <c r="D1939" s="111"/>
      <c r="E1939" s="456">
        <v>10</v>
      </c>
      <c r="F1939" s="644">
        <v>-20</v>
      </c>
      <c r="G1939" s="2503">
        <f>COUNTIF(PoderesDeCriatura_Adquiridos,Tablas!B1939)</f>
        <v>0</v>
      </c>
      <c r="J1939" s="647"/>
    </row>
    <row r="1940" spans="2:10" ht="12.75" customHeight="1" x14ac:dyDescent="0.2">
      <c r="B1940" s="1856" t="s">
        <v>9724</v>
      </c>
      <c r="C1940" s="111"/>
      <c r="D1940" s="111"/>
      <c r="E1940" s="456">
        <v>10</v>
      </c>
      <c r="F1940" s="644">
        <v>-20</v>
      </c>
      <c r="G1940" s="2503">
        <f>COUNTIF(PoderesDeCriatura_Adquiridos,Tablas!B1940)</f>
        <v>0</v>
      </c>
      <c r="H1940" s="2527" t="s">
        <v>9721</v>
      </c>
      <c r="I1940" s="647"/>
      <c r="J1940" s="647"/>
    </row>
    <row r="1941" spans="2:10" ht="12.75" customHeight="1" x14ac:dyDescent="0.2">
      <c r="B1941" s="1856" t="s">
        <v>9725</v>
      </c>
      <c r="C1941" s="111"/>
      <c r="D1941" s="111"/>
      <c r="E1941" s="456">
        <v>10</v>
      </c>
      <c r="F1941" s="644">
        <v>10</v>
      </c>
      <c r="G1941" s="2503">
        <f>COUNTIF(PoderesDeCriatura_Adquiridos,Tablas!B1941)</f>
        <v>0</v>
      </c>
      <c r="H1941" s="2527" t="s">
        <v>2321</v>
      </c>
      <c r="I1941" s="1999">
        <f>IF(G1941=0,0,10)+IF(G1942=0,0,20)+IF(G1943=0,0,30)+IF(G1944=0,0,40)+IF(G1945=0,0,50)-IF(G1946=0,0,10)-IF(G1947=0,0,20)-IF(G1948=0,0,30)-IF(G1949=0,0,40)-IF(G1950=0,0,50)</f>
        <v>0</v>
      </c>
      <c r="J1941" s="647"/>
    </row>
    <row r="1942" spans="2:10" ht="12.75" customHeight="1" x14ac:dyDescent="0.2">
      <c r="B1942" s="1856" t="s">
        <v>9726</v>
      </c>
      <c r="C1942" s="111"/>
      <c r="D1942" s="111"/>
      <c r="E1942" s="456">
        <v>15</v>
      </c>
      <c r="F1942" s="644">
        <v>20</v>
      </c>
      <c r="G1942" s="2503">
        <f>COUNTIF(PoderesDeCriatura_Adquiridos,Tablas!B1942)</f>
        <v>0</v>
      </c>
      <c r="H1942" s="2527"/>
      <c r="I1942" s="1999"/>
      <c r="J1942" s="647"/>
    </row>
    <row r="1943" spans="2:10" ht="12.75" customHeight="1" x14ac:dyDescent="0.2">
      <c r="B1943" s="1856" t="s">
        <v>9727</v>
      </c>
      <c r="C1943" s="111"/>
      <c r="D1943" s="111"/>
      <c r="E1943" s="456">
        <v>20</v>
      </c>
      <c r="F1943" s="644">
        <v>30</v>
      </c>
      <c r="G1943" s="2503">
        <f>COUNTIF(PoderesDeCriatura_Adquiridos,Tablas!B1943)</f>
        <v>0</v>
      </c>
      <c r="H1943" s="2527"/>
      <c r="I1943" s="1999"/>
      <c r="J1943" s="647"/>
    </row>
    <row r="1944" spans="2:10" ht="12.75" customHeight="1" x14ac:dyDescent="0.2">
      <c r="B1944" s="1856" t="s">
        <v>9728</v>
      </c>
      <c r="C1944" s="111"/>
      <c r="D1944" s="111"/>
      <c r="E1944" s="456">
        <v>25</v>
      </c>
      <c r="F1944" s="644">
        <v>40</v>
      </c>
      <c r="G1944" s="2503">
        <f>COUNTIF(PoderesDeCriatura_Adquiridos,Tablas!B1944)</f>
        <v>0</v>
      </c>
      <c r="H1944" s="2527"/>
      <c r="I1944" s="647"/>
      <c r="J1944" s="647"/>
    </row>
    <row r="1945" spans="2:10" ht="12.75" customHeight="1" x14ac:dyDescent="0.2">
      <c r="B1945" s="1856" t="s">
        <v>9729</v>
      </c>
      <c r="C1945" s="111"/>
      <c r="D1945" s="111"/>
      <c r="E1945" s="456">
        <v>35</v>
      </c>
      <c r="F1945" s="644">
        <v>50</v>
      </c>
      <c r="G1945" s="2503">
        <f>COUNTIF(PoderesDeCriatura_Adquiridos,Tablas!B1945)</f>
        <v>0</v>
      </c>
      <c r="H1945" s="2527"/>
      <c r="I1945" s="647"/>
      <c r="J1945" s="647"/>
    </row>
    <row r="1946" spans="2:10" ht="12.75" customHeight="1" x14ac:dyDescent="0.2">
      <c r="B1946" s="1856" t="s">
        <v>9730</v>
      </c>
      <c r="C1946" s="111"/>
      <c r="D1946" s="111"/>
      <c r="E1946" s="456">
        <v>10</v>
      </c>
      <c r="F1946" s="644">
        <v>-10</v>
      </c>
      <c r="G1946" s="2503">
        <f>COUNTIF(PoderesDeCriatura_Adquiridos,Tablas!B1946)</f>
        <v>0</v>
      </c>
      <c r="H1946" s="2527"/>
      <c r="I1946" s="647"/>
      <c r="J1946" s="647"/>
    </row>
    <row r="1947" spans="2:10" ht="12.75" customHeight="1" x14ac:dyDescent="0.2">
      <c r="B1947" s="1856" t="s">
        <v>9731</v>
      </c>
      <c r="C1947" s="111"/>
      <c r="D1947" s="111"/>
      <c r="E1947" s="456">
        <v>10</v>
      </c>
      <c r="F1947" s="644">
        <v>-15</v>
      </c>
      <c r="G1947" s="2503">
        <f>COUNTIF(PoderesDeCriatura_Adquiridos,Tablas!B1947)</f>
        <v>0</v>
      </c>
      <c r="H1947" s="2527"/>
      <c r="I1947" s="647"/>
      <c r="J1947" s="647"/>
    </row>
    <row r="1948" spans="2:10" ht="12.75" customHeight="1" x14ac:dyDescent="0.2">
      <c r="B1948" s="1856" t="s">
        <v>9732</v>
      </c>
      <c r="C1948" s="111"/>
      <c r="D1948" s="111"/>
      <c r="E1948" s="456">
        <v>10</v>
      </c>
      <c r="F1948" s="644">
        <v>-20</v>
      </c>
      <c r="G1948" s="2503">
        <f>COUNTIF(PoderesDeCriatura_Adquiridos,Tablas!B1948)</f>
        <v>0</v>
      </c>
      <c r="H1948" s="2527"/>
      <c r="I1948" s="647"/>
      <c r="J1948" s="647"/>
    </row>
    <row r="1949" spans="2:10" ht="12.75" customHeight="1" x14ac:dyDescent="0.2">
      <c r="B1949" s="1856" t="s">
        <v>9733</v>
      </c>
      <c r="C1949" s="111"/>
      <c r="D1949" s="111"/>
      <c r="E1949" s="456">
        <v>20</v>
      </c>
      <c r="F1949" s="644">
        <v>-25</v>
      </c>
      <c r="G1949" s="2503">
        <f>COUNTIF(PoderesDeCriatura_Adquiridos,Tablas!B1949)</f>
        <v>0</v>
      </c>
      <c r="H1949" s="2527"/>
      <c r="I1949" s="647"/>
      <c r="J1949" s="647"/>
    </row>
    <row r="1950" spans="2:10" ht="12.75" customHeight="1" x14ac:dyDescent="0.2">
      <c r="B1950" s="1856" t="s">
        <v>9734</v>
      </c>
      <c r="C1950" s="111"/>
      <c r="D1950" s="111"/>
      <c r="E1950" s="456">
        <v>20</v>
      </c>
      <c r="F1950" s="644">
        <v>-30</v>
      </c>
      <c r="G1950" s="2503">
        <f>COUNTIF(PoderesDeCriatura_Adquiridos,Tablas!B1950)</f>
        <v>0</v>
      </c>
      <c r="H1950" s="2527" t="s">
        <v>9721</v>
      </c>
      <c r="I1950" s="647"/>
      <c r="J1950" s="647"/>
    </row>
    <row r="1951" spans="2:10" ht="12.75" customHeight="1" x14ac:dyDescent="0.2">
      <c r="B1951" s="1856" t="s">
        <v>9735</v>
      </c>
      <c r="C1951" s="111"/>
      <c r="D1951" s="111"/>
      <c r="E1951" s="456">
        <v>10</v>
      </c>
      <c r="F1951" s="644">
        <v>10</v>
      </c>
      <c r="G1951" s="2503">
        <f>COUNTIF(PoderesDeCriatura_Adquiridos,Tablas!B1951)</f>
        <v>0</v>
      </c>
      <c r="H1951" s="2527" t="s">
        <v>2319</v>
      </c>
      <c r="I1951" s="1999">
        <f>IF(G1951=0,0,10)+IF(G1952=0,0,20)+IF(G1953=0,0,30)+IF(G1954=0,0,40)+IF(G1955=0,0,50)-IF(G1956=0,0,10)-IF(G1957=0,0,20)-IF(G1958=0,0,30)-IF(G1959=0,0,40)-IF(G1960=0,0,50)</f>
        <v>0</v>
      </c>
      <c r="J1951" s="647"/>
    </row>
    <row r="1952" spans="2:10" ht="12.75" customHeight="1" x14ac:dyDescent="0.2">
      <c r="B1952" s="1856" t="s">
        <v>9736</v>
      </c>
      <c r="C1952" s="111"/>
      <c r="D1952" s="111"/>
      <c r="E1952" s="456">
        <v>15</v>
      </c>
      <c r="F1952" s="644">
        <v>20</v>
      </c>
      <c r="G1952" s="2503">
        <f>COUNTIF(PoderesDeCriatura_Adquiridos,Tablas!B1952)</f>
        <v>0</v>
      </c>
      <c r="H1952" s="2527"/>
      <c r="I1952" s="647"/>
      <c r="J1952" s="647"/>
    </row>
    <row r="1953" spans="1:10" ht="12.75" customHeight="1" x14ac:dyDescent="0.2">
      <c r="B1953" s="1856" t="s">
        <v>9737</v>
      </c>
      <c r="C1953" s="111"/>
      <c r="D1953" s="111"/>
      <c r="E1953" s="456">
        <v>20</v>
      </c>
      <c r="F1953" s="644">
        <v>30</v>
      </c>
      <c r="G1953" s="2503">
        <f>COUNTIF(PoderesDeCriatura_Adquiridos,Tablas!B1953)</f>
        <v>0</v>
      </c>
      <c r="H1953" s="2527"/>
      <c r="I1953" s="647"/>
      <c r="J1953" s="647"/>
    </row>
    <row r="1954" spans="1:10" ht="12.75" customHeight="1" x14ac:dyDescent="0.2">
      <c r="B1954" s="1856" t="s">
        <v>9738</v>
      </c>
      <c r="C1954" s="111"/>
      <c r="D1954" s="111"/>
      <c r="E1954" s="456">
        <v>25</v>
      </c>
      <c r="F1954" s="644">
        <v>40</v>
      </c>
      <c r="G1954" s="2503">
        <f>COUNTIF(PoderesDeCriatura_Adquiridos,Tablas!B1954)</f>
        <v>0</v>
      </c>
      <c r="H1954" s="2527"/>
      <c r="I1954" s="647"/>
      <c r="J1954" s="647"/>
    </row>
    <row r="1955" spans="1:10" ht="12.75" customHeight="1" x14ac:dyDescent="0.2">
      <c r="B1955" s="1856" t="s">
        <v>9739</v>
      </c>
      <c r="C1955" s="111"/>
      <c r="D1955" s="111"/>
      <c r="E1955" s="456">
        <v>35</v>
      </c>
      <c r="F1955" s="644">
        <v>50</v>
      </c>
      <c r="G1955" s="2503">
        <f>COUNTIF(PoderesDeCriatura_Adquiridos,Tablas!B1955)</f>
        <v>0</v>
      </c>
      <c r="H1955" s="2527"/>
      <c r="I1955" s="647"/>
      <c r="J1955" s="647"/>
    </row>
    <row r="1956" spans="1:10" ht="12.75" customHeight="1" x14ac:dyDescent="0.2">
      <c r="B1956" s="1856" t="s">
        <v>9740</v>
      </c>
      <c r="C1956" s="111"/>
      <c r="D1956" s="111"/>
      <c r="E1956" s="456">
        <v>10</v>
      </c>
      <c r="F1956" s="644">
        <v>-10</v>
      </c>
      <c r="G1956" s="2503">
        <f>COUNTIF(PoderesDeCriatura_Adquiridos,Tablas!B1956)</f>
        <v>0</v>
      </c>
      <c r="H1956" s="2527"/>
      <c r="I1956" s="647"/>
      <c r="J1956" s="647"/>
    </row>
    <row r="1957" spans="1:10" ht="12.75" customHeight="1" x14ac:dyDescent="0.2">
      <c r="B1957" s="1856" t="s">
        <v>9741</v>
      </c>
      <c r="C1957" s="111"/>
      <c r="D1957" s="111"/>
      <c r="E1957" s="456">
        <v>10</v>
      </c>
      <c r="F1957" s="644">
        <v>-15</v>
      </c>
      <c r="G1957" s="2503">
        <f>COUNTIF(PoderesDeCriatura_Adquiridos,Tablas!B1957)</f>
        <v>0</v>
      </c>
      <c r="H1957" s="1999"/>
      <c r="I1957" s="647"/>
      <c r="J1957" s="647"/>
    </row>
    <row r="1958" spans="1:10" ht="12.75" customHeight="1" x14ac:dyDescent="0.2">
      <c r="B1958" s="1856" t="s">
        <v>9742</v>
      </c>
      <c r="C1958" s="111"/>
      <c r="D1958" s="111"/>
      <c r="E1958" s="456">
        <v>10</v>
      </c>
      <c r="F1958" s="644">
        <v>-20</v>
      </c>
      <c r="G1958" s="2503">
        <f>COUNTIF(PoderesDeCriatura_Adquiridos,Tablas!B1958)</f>
        <v>0</v>
      </c>
      <c r="H1958" s="1999"/>
      <c r="I1958" s="647"/>
      <c r="J1958" s="647"/>
    </row>
    <row r="1959" spans="1:10" ht="12.75" customHeight="1" x14ac:dyDescent="0.2">
      <c r="B1959" s="1856" t="s">
        <v>9743</v>
      </c>
      <c r="C1959" s="111"/>
      <c r="D1959" s="111"/>
      <c r="E1959" s="456">
        <v>20</v>
      </c>
      <c r="F1959" s="644">
        <v>-25</v>
      </c>
      <c r="G1959" s="2503">
        <f>COUNTIF(PoderesDeCriatura_Adquiridos,Tablas!B1959)</f>
        <v>0</v>
      </c>
      <c r="H1959" s="1999"/>
      <c r="I1959" s="647"/>
      <c r="J1959" s="647"/>
    </row>
    <row r="1960" spans="1:10" ht="12.75" customHeight="1" x14ac:dyDescent="0.2">
      <c r="A1960" s="2180" t="s">
        <v>9745</v>
      </c>
      <c r="B1960" s="1856" t="s">
        <v>9744</v>
      </c>
      <c r="C1960" s="111"/>
      <c r="D1960" s="111"/>
      <c r="E1960" s="456">
        <v>20</v>
      </c>
      <c r="F1960" s="644">
        <v>-30</v>
      </c>
      <c r="G1960" s="2503">
        <f>COUNTIF(PoderesDeCriatura_Adquiridos,Tablas!B1960)</f>
        <v>0</v>
      </c>
      <c r="H1960" s="2527" t="s">
        <v>9721</v>
      </c>
      <c r="I1960" s="647"/>
      <c r="J1960" s="647"/>
    </row>
    <row r="1961" spans="1:10" ht="12.75" customHeight="1" x14ac:dyDescent="0.2">
      <c r="A1961" s="2528">
        <f>G1961</f>
        <v>0</v>
      </c>
      <c r="B1961" s="1856" t="s">
        <v>2086</v>
      </c>
      <c r="C1961" s="111"/>
      <c r="D1961" s="111"/>
      <c r="E1961" s="456">
        <v>0</v>
      </c>
      <c r="F1961" s="644">
        <v>10</v>
      </c>
      <c r="G1961" s="2503">
        <f>COUNTIF(PoderesDeCriatura_Adquiridos,Tablas!B1961)</f>
        <v>0</v>
      </c>
      <c r="H1961" s="2527" t="s">
        <v>2221</v>
      </c>
      <c r="I1961" s="2529" t="e">
        <f>IF(OR(G1974&gt;0,G1975&gt;0,G1976&gt;0,G1977&gt;0,G1978&gt;0),0,VALUE(RIGHT(VLOOKUP(1,A1961:B1971,2,FALSE),2)))</f>
        <v>#N/A</v>
      </c>
      <c r="J1961" s="647"/>
    </row>
    <row r="1962" spans="1:10" ht="12.75" customHeight="1" x14ac:dyDescent="0.2">
      <c r="A1962" s="2528">
        <f t="shared" ref="A1962:A1971" si="89">G1962</f>
        <v>0</v>
      </c>
      <c r="B1962" s="1856" t="s">
        <v>2087</v>
      </c>
      <c r="C1962" s="111"/>
      <c r="D1962" s="111"/>
      <c r="E1962" s="456">
        <v>0</v>
      </c>
      <c r="F1962" s="644">
        <v>20</v>
      </c>
      <c r="G1962" s="2503">
        <f>COUNTIF(PoderesDeCriatura_Adquiridos,Tablas!B1962)</f>
        <v>0</v>
      </c>
      <c r="H1962" s="1999"/>
      <c r="I1962" s="2529"/>
      <c r="J1962" s="647"/>
    </row>
    <row r="1963" spans="1:10" ht="12.75" customHeight="1" x14ac:dyDescent="0.2">
      <c r="A1963" s="2528">
        <f t="shared" si="89"/>
        <v>0</v>
      </c>
      <c r="B1963" s="1856" t="s">
        <v>2088</v>
      </c>
      <c r="C1963" s="111"/>
      <c r="D1963" s="111"/>
      <c r="E1963" s="456">
        <v>0</v>
      </c>
      <c r="F1963" s="644">
        <v>30</v>
      </c>
      <c r="G1963" s="2503">
        <f>COUNTIF(PoderesDeCriatura_Adquiridos,Tablas!B1963)</f>
        <v>0</v>
      </c>
      <c r="H1963" s="1999"/>
      <c r="I1963" s="2529"/>
      <c r="J1963" s="647"/>
    </row>
    <row r="1964" spans="1:10" ht="12.75" customHeight="1" x14ac:dyDescent="0.2">
      <c r="A1964" s="2528">
        <f t="shared" si="89"/>
        <v>0</v>
      </c>
      <c r="B1964" s="1856" t="s">
        <v>2089</v>
      </c>
      <c r="C1964" s="111"/>
      <c r="D1964" s="111"/>
      <c r="E1964" s="456">
        <v>5</v>
      </c>
      <c r="F1964" s="644">
        <v>40</v>
      </c>
      <c r="G1964" s="2503">
        <f>COUNTIF(PoderesDeCriatura_Adquiridos,Tablas!B1964)</f>
        <v>0</v>
      </c>
      <c r="H1964" s="1999"/>
      <c r="I1964" s="2529"/>
      <c r="J1964" s="647"/>
    </row>
    <row r="1965" spans="1:10" ht="12.75" customHeight="1" x14ac:dyDescent="0.2">
      <c r="A1965" s="2528">
        <f t="shared" si="89"/>
        <v>0</v>
      </c>
      <c r="B1965" s="1856" t="s">
        <v>2090</v>
      </c>
      <c r="C1965" s="111"/>
      <c r="D1965" s="111"/>
      <c r="E1965" s="456">
        <v>10</v>
      </c>
      <c r="F1965" s="644">
        <v>60</v>
      </c>
      <c r="G1965" s="2503">
        <f>COUNTIF(PoderesDeCriatura_Adquiridos,Tablas!B1965)</f>
        <v>0</v>
      </c>
      <c r="H1965" s="1999"/>
      <c r="I1965" s="2529"/>
      <c r="J1965" s="647"/>
    </row>
    <row r="1966" spans="1:10" ht="12.75" customHeight="1" x14ac:dyDescent="0.2">
      <c r="A1966" s="2528">
        <f t="shared" si="89"/>
        <v>0</v>
      </c>
      <c r="B1966" s="1856" t="s">
        <v>2091</v>
      </c>
      <c r="C1966" s="111"/>
      <c r="D1966" s="111"/>
      <c r="E1966" s="456">
        <v>15</v>
      </c>
      <c r="F1966" s="644">
        <v>100</v>
      </c>
      <c r="G1966" s="2503">
        <f>COUNTIF(PoderesDeCriatura_Adquiridos,Tablas!B1966)</f>
        <v>0</v>
      </c>
      <c r="H1966" s="1999"/>
      <c r="I1966" s="2529"/>
      <c r="J1966" s="647"/>
    </row>
    <row r="1967" spans="1:10" ht="12.75" customHeight="1" x14ac:dyDescent="0.2">
      <c r="A1967" s="2528">
        <f t="shared" si="89"/>
        <v>0</v>
      </c>
      <c r="B1967" s="1856" t="s">
        <v>2092</v>
      </c>
      <c r="C1967" s="111"/>
      <c r="D1967" s="111"/>
      <c r="E1967" s="456">
        <v>20</v>
      </c>
      <c r="F1967" s="644">
        <v>140</v>
      </c>
      <c r="G1967" s="2503">
        <f>COUNTIF(PoderesDeCriatura_Adquiridos,Tablas!B1967)</f>
        <v>0</v>
      </c>
      <c r="H1967" s="1999"/>
      <c r="I1967" s="2529"/>
      <c r="J1967" s="647"/>
    </row>
    <row r="1968" spans="1:10" ht="12.75" customHeight="1" x14ac:dyDescent="0.2">
      <c r="A1968" s="2528">
        <f t="shared" si="89"/>
        <v>0</v>
      </c>
      <c r="B1968" s="1856" t="s">
        <v>2093</v>
      </c>
      <c r="C1968" s="111"/>
      <c r="D1968" s="111"/>
      <c r="E1968" s="456">
        <v>25</v>
      </c>
      <c r="F1968" s="644">
        <v>160</v>
      </c>
      <c r="G1968" s="2503">
        <f>COUNTIF(PoderesDeCriatura_Adquiridos,Tablas!B1968)</f>
        <v>0</v>
      </c>
      <c r="H1968" s="1999"/>
      <c r="I1968" s="2529"/>
      <c r="J1968" s="647"/>
    </row>
    <row r="1969" spans="1:10" ht="12.75" customHeight="1" x14ac:dyDescent="0.2">
      <c r="A1969" s="2528">
        <f t="shared" si="89"/>
        <v>0</v>
      </c>
      <c r="B1969" s="1856" t="s">
        <v>2094</v>
      </c>
      <c r="C1969" s="111"/>
      <c r="D1969" s="111"/>
      <c r="E1969" s="456">
        <v>35</v>
      </c>
      <c r="F1969" s="644">
        <v>180</v>
      </c>
      <c r="G1969" s="2503">
        <f>COUNTIF(PoderesDeCriatura_Adquiridos,Tablas!B1969)</f>
        <v>0</v>
      </c>
      <c r="H1969" s="1999"/>
      <c r="I1969" s="2529"/>
      <c r="J1969" s="647"/>
    </row>
    <row r="1970" spans="1:10" ht="12.75" customHeight="1" x14ac:dyDescent="0.2">
      <c r="A1970" s="2528">
        <f t="shared" si="89"/>
        <v>0</v>
      </c>
      <c r="B1970" s="1856" t="s">
        <v>2095</v>
      </c>
      <c r="C1970" s="111"/>
      <c r="D1970" s="111"/>
      <c r="E1970" s="456">
        <v>45</v>
      </c>
      <c r="F1970" s="644">
        <v>200</v>
      </c>
      <c r="G1970" s="2503">
        <f>COUNTIF(PoderesDeCriatura_Adquiridos,Tablas!B1970)</f>
        <v>0</v>
      </c>
      <c r="H1970" s="1999"/>
      <c r="I1970" s="2529"/>
      <c r="J1970" s="647"/>
    </row>
    <row r="1971" spans="1:10" ht="12.75" customHeight="1" x14ac:dyDescent="0.2">
      <c r="A1971" s="2528">
        <f t="shared" si="89"/>
        <v>0</v>
      </c>
      <c r="B1971" s="1856" t="s">
        <v>2096</v>
      </c>
      <c r="C1971" s="111"/>
      <c r="D1971" s="111"/>
      <c r="E1971" s="456">
        <v>50</v>
      </c>
      <c r="F1971" s="644">
        <v>220</v>
      </c>
      <c r="G1971" s="2503">
        <f>COUNTIF(PoderesDeCriatura_Adquiridos,Tablas!B1971)</f>
        <v>0</v>
      </c>
      <c r="H1971" s="1999"/>
      <c r="I1971" s="2529"/>
      <c r="J1971" s="647"/>
    </row>
    <row r="1972" spans="1:10" ht="12.75" customHeight="1" x14ac:dyDescent="0.2">
      <c r="A1972" s="2528"/>
      <c r="B1972" s="1856" t="s">
        <v>2097</v>
      </c>
      <c r="C1972" s="111"/>
      <c r="D1972" s="111"/>
      <c r="E1972" s="456">
        <v>0</v>
      </c>
      <c r="F1972" s="644">
        <v>-10</v>
      </c>
      <c r="G1972" s="2503">
        <f>COUNTIF(PoderesDeCriatura_Adquiridos,Tablas!B1972)</f>
        <v>0</v>
      </c>
      <c r="H1972" s="1999"/>
      <c r="I1972" s="2529"/>
      <c r="J1972" s="647"/>
    </row>
    <row r="1973" spans="1:10" ht="12.75" customHeight="1" x14ac:dyDescent="0.2">
      <c r="A1973" s="2528"/>
      <c r="B1973" s="1856" t="s">
        <v>2098</v>
      </c>
      <c r="C1973" s="111"/>
      <c r="D1973" s="111"/>
      <c r="E1973" s="456">
        <v>10</v>
      </c>
      <c r="F1973" s="644">
        <v>-40</v>
      </c>
      <c r="G1973" s="2503">
        <f>COUNTIF(PoderesDeCriatura_Adquiridos,Tablas!B1973)</f>
        <v>0</v>
      </c>
      <c r="H1973" s="1999"/>
      <c r="I1973" s="2529"/>
      <c r="J1973" s="647"/>
    </row>
    <row r="1974" spans="1:10" ht="12.75" customHeight="1" x14ac:dyDescent="0.2">
      <c r="A1974" s="2528"/>
      <c r="B1974" s="1856" t="s">
        <v>2099</v>
      </c>
      <c r="C1974" s="111"/>
      <c r="D1974" s="111"/>
      <c r="E1974" s="456">
        <v>10</v>
      </c>
      <c r="F1974" s="644">
        <v>-30</v>
      </c>
      <c r="G1974" s="2503">
        <f>COUNTIF(PoderesDeCriatura_Adquiridos,Tablas!B1974)</f>
        <v>0</v>
      </c>
      <c r="H1974" s="2527" t="s">
        <v>9721</v>
      </c>
      <c r="I1974" s="2529"/>
      <c r="J1974" s="647"/>
    </row>
    <row r="1975" spans="1:10" ht="12.75" customHeight="1" x14ac:dyDescent="0.2">
      <c r="B1975" s="1856" t="s">
        <v>2100</v>
      </c>
      <c r="C1975" s="111"/>
      <c r="D1975" s="111"/>
      <c r="E1975" s="456">
        <v>10</v>
      </c>
      <c r="F1975" s="644">
        <v>-40</v>
      </c>
      <c r="G1975" s="2503">
        <f>COUNTIF(PoderesDeCriatura_Adquiridos,Tablas!B1975)</f>
        <v>0</v>
      </c>
      <c r="H1975" s="2527" t="s">
        <v>9746</v>
      </c>
      <c r="I1975" s="2529" t="str">
        <f>IF(G1975=0,"",-10)&amp;IF(G1976=0,"",-25)&amp;IF(G1977=0,"",-50)&amp;IF(G1978=0,"",-100)</f>
        <v/>
      </c>
      <c r="J1975" s="647"/>
    </row>
    <row r="1976" spans="1:10" ht="12.75" customHeight="1" x14ac:dyDescent="0.2">
      <c r="B1976" s="1856" t="s">
        <v>2101</v>
      </c>
      <c r="C1976" s="111"/>
      <c r="D1976" s="111"/>
      <c r="E1976" s="456">
        <v>10</v>
      </c>
      <c r="F1976" s="644">
        <v>-45</v>
      </c>
      <c r="G1976" s="2503">
        <f>COUNTIF(PoderesDeCriatura_Adquiridos,Tablas!B1976)</f>
        <v>0</v>
      </c>
      <c r="H1976" s="1999"/>
      <c r="I1976" s="2529"/>
      <c r="J1976" s="647"/>
    </row>
    <row r="1977" spans="1:10" ht="12.75" customHeight="1" x14ac:dyDescent="0.2">
      <c r="B1977" s="1856" t="s">
        <v>2102</v>
      </c>
      <c r="C1977" s="111"/>
      <c r="D1977" s="111"/>
      <c r="E1977" s="456">
        <v>10</v>
      </c>
      <c r="F1977" s="644">
        <v>-50</v>
      </c>
      <c r="G1977" s="2503">
        <f>COUNTIF(PoderesDeCriatura_Adquiridos,Tablas!B1977)</f>
        <v>0</v>
      </c>
      <c r="H1977" s="1999"/>
      <c r="I1977" s="647"/>
      <c r="J1977" s="647"/>
    </row>
    <row r="1978" spans="1:10" ht="12.75" customHeight="1" x14ac:dyDescent="0.2">
      <c r="B1978" s="1856" t="s">
        <v>2103</v>
      </c>
      <c r="C1978" s="111"/>
      <c r="D1978" s="111"/>
      <c r="E1978" s="456">
        <v>10</v>
      </c>
      <c r="F1978" s="644">
        <v>-60</v>
      </c>
      <c r="G1978" s="2503">
        <f>COUNTIF(PoderesDeCriatura_Adquiridos,Tablas!B1978)</f>
        <v>0</v>
      </c>
      <c r="H1978" s="1999"/>
      <c r="I1978" s="647"/>
      <c r="J1978" s="647"/>
    </row>
    <row r="1979" spans="1:10" ht="12.75" customHeight="1" x14ac:dyDescent="0.2">
      <c r="B1979" s="1856" t="s">
        <v>2104</v>
      </c>
      <c r="C1979" s="111"/>
      <c r="D1979" s="111"/>
      <c r="E1979" s="456"/>
      <c r="F1979" s="644"/>
      <c r="G1979" s="2503"/>
      <c r="H1979" s="1999"/>
      <c r="I1979" s="647"/>
      <c r="J1979" s="647"/>
    </row>
    <row r="1980" spans="1:10" ht="12.75" customHeight="1" x14ac:dyDescent="0.2">
      <c r="B1980" s="1856" t="s">
        <v>2105</v>
      </c>
      <c r="C1980" s="111"/>
      <c r="D1980" s="111"/>
      <c r="E1980" s="456">
        <v>15</v>
      </c>
      <c r="F1980" s="644">
        <v>40</v>
      </c>
      <c r="G1980" s="2503">
        <f>COUNTIF(PoderesDeCriatura_Adquiridos,Tablas!B1980)</f>
        <v>0</v>
      </c>
      <c r="H1980" s="1999"/>
      <c r="I1980" s="647"/>
      <c r="J1980" s="647"/>
    </row>
    <row r="1981" spans="1:10" ht="12.75" customHeight="1" x14ac:dyDescent="0.2">
      <c r="B1981" s="1856" t="s">
        <v>2106</v>
      </c>
      <c r="C1981" s="111"/>
      <c r="D1981" s="111"/>
      <c r="E1981" s="456">
        <v>20</v>
      </c>
      <c r="F1981" s="644">
        <v>60</v>
      </c>
      <c r="G1981" s="2503">
        <f>COUNTIF(PoderesDeCriatura_Adquiridos,Tablas!B1981)</f>
        <v>0</v>
      </c>
      <c r="H1981" s="1999"/>
      <c r="I1981" s="647"/>
      <c r="J1981" s="647"/>
    </row>
    <row r="1982" spans="1:10" ht="12.75" customHeight="1" x14ac:dyDescent="0.2">
      <c r="B1982" s="1856" t="s">
        <v>2107</v>
      </c>
      <c r="C1982" s="111"/>
      <c r="D1982" s="111"/>
      <c r="E1982" s="456">
        <v>20</v>
      </c>
      <c r="F1982" s="644">
        <v>80</v>
      </c>
      <c r="G1982" s="2503">
        <f>COUNTIF(PoderesDeCriatura_Adquiridos,Tablas!B1982)</f>
        <v>0</v>
      </c>
      <c r="H1982" s="1999"/>
      <c r="I1982" s="647"/>
      <c r="J1982" s="647"/>
    </row>
    <row r="1983" spans="1:10" ht="12.75" customHeight="1" x14ac:dyDescent="0.2">
      <c r="B1983" s="1856" t="s">
        <v>2108</v>
      </c>
      <c r="C1983" s="111"/>
      <c r="D1983" s="111"/>
      <c r="E1983" s="456">
        <v>25</v>
      </c>
      <c r="F1983" s="644">
        <v>100</v>
      </c>
      <c r="G1983" s="2503">
        <f>COUNTIF(PoderesDeCriatura_Adquiridos,Tablas!B1983)</f>
        <v>0</v>
      </c>
      <c r="H1983" s="1999"/>
      <c r="I1983" s="647"/>
      <c r="J1983" s="647"/>
    </row>
    <row r="1984" spans="1:10" ht="12.75" customHeight="1" x14ac:dyDescent="0.2">
      <c r="B1984" s="1856" t="s">
        <v>2109</v>
      </c>
      <c r="C1984" s="111"/>
      <c r="D1984" s="111"/>
      <c r="E1984" s="456">
        <v>30</v>
      </c>
      <c r="F1984" s="644">
        <v>140</v>
      </c>
      <c r="G1984" s="2503">
        <f>COUNTIF(PoderesDeCriatura_Adquiridos,Tablas!B1984)</f>
        <v>0</v>
      </c>
      <c r="H1984" s="1999"/>
      <c r="I1984" s="647"/>
      <c r="J1984" s="647"/>
    </row>
    <row r="1985" spans="2:10" ht="12.75" customHeight="1" x14ac:dyDescent="0.2">
      <c r="B1985" s="1856" t="s">
        <v>2110</v>
      </c>
      <c r="C1985" s="111"/>
      <c r="D1985" s="111"/>
      <c r="E1985" s="456">
        <v>35</v>
      </c>
      <c r="F1985" s="644">
        <v>180</v>
      </c>
      <c r="G1985" s="2503">
        <f>COUNTIF(PoderesDeCriatura_Adquiridos,Tablas!B1985)</f>
        <v>0</v>
      </c>
      <c r="H1985" s="1999"/>
      <c r="I1985" s="647"/>
      <c r="J1985" s="647"/>
    </row>
    <row r="1986" spans="2:10" ht="12.75" customHeight="1" x14ac:dyDescent="0.2">
      <c r="B1986" s="1856" t="s">
        <v>2111</v>
      </c>
      <c r="C1986" s="111"/>
      <c r="D1986" s="111"/>
      <c r="E1986" s="456">
        <v>15</v>
      </c>
      <c r="F1986" s="644">
        <v>30</v>
      </c>
      <c r="G1986" s="2503">
        <f>COUNTIF(PoderesDeCriatura_Adquiridos,Tablas!B1986)</f>
        <v>0</v>
      </c>
      <c r="H1986" s="1999"/>
      <c r="I1986" s="647"/>
      <c r="J1986" s="647"/>
    </row>
    <row r="1987" spans="2:10" ht="12.75" customHeight="1" x14ac:dyDescent="0.2">
      <c r="B1987" s="1856" t="s">
        <v>2112</v>
      </c>
      <c r="C1987" s="111"/>
      <c r="D1987" s="111"/>
      <c r="E1987" s="456">
        <v>15</v>
      </c>
      <c r="F1987" s="644">
        <v>40</v>
      </c>
      <c r="G1987" s="2503">
        <f>COUNTIF(PoderesDeCriatura_Adquiridos,Tablas!B1987)</f>
        <v>0</v>
      </c>
      <c r="H1987" s="1999"/>
      <c r="I1987" s="647"/>
      <c r="J1987" s="647"/>
    </row>
    <row r="1988" spans="2:10" ht="12.75" customHeight="1" x14ac:dyDescent="0.2">
      <c r="B1988" s="1856" t="s">
        <v>2113</v>
      </c>
      <c r="C1988" s="111"/>
      <c r="D1988" s="111"/>
      <c r="E1988" s="456">
        <v>20</v>
      </c>
      <c r="F1988" s="644">
        <v>50</v>
      </c>
      <c r="G1988" s="2503">
        <f>COUNTIF(PoderesDeCriatura_Adquiridos,Tablas!B1988)</f>
        <v>0</v>
      </c>
      <c r="H1988" s="1999"/>
      <c r="I1988" s="647"/>
      <c r="J1988" s="647"/>
    </row>
    <row r="1989" spans="2:10" ht="12.75" customHeight="1" x14ac:dyDescent="0.2">
      <c r="B1989" s="1856" t="s">
        <v>2114</v>
      </c>
      <c r="C1989" s="111"/>
      <c r="D1989" s="111"/>
      <c r="E1989" s="456">
        <v>20</v>
      </c>
      <c r="F1989" s="644">
        <v>75</v>
      </c>
      <c r="G1989" s="2503">
        <f>COUNTIF(PoderesDeCriatura_Adquiridos,Tablas!B1989)</f>
        <v>0</v>
      </c>
      <c r="H1989" s="1999"/>
      <c r="I1989" s="647"/>
      <c r="J1989" s="647"/>
    </row>
    <row r="1990" spans="2:10" ht="12.75" customHeight="1" x14ac:dyDescent="0.2">
      <c r="B1990" s="1856" t="s">
        <v>2115</v>
      </c>
      <c r="C1990" s="111"/>
      <c r="D1990" s="111"/>
      <c r="E1990" s="456">
        <v>25</v>
      </c>
      <c r="F1990" s="644">
        <v>100</v>
      </c>
      <c r="G1990" s="2503">
        <f>COUNTIF(PoderesDeCriatura_Adquiridos,Tablas!B1990)</f>
        <v>0</v>
      </c>
      <c r="H1990" s="1999"/>
      <c r="I1990" s="647"/>
      <c r="J1990" s="647"/>
    </row>
    <row r="1991" spans="2:10" ht="12.75" customHeight="1" x14ac:dyDescent="0.2">
      <c r="B1991" s="1856" t="s">
        <v>2116</v>
      </c>
      <c r="C1991" s="111"/>
      <c r="D1991" s="111"/>
      <c r="E1991" s="456">
        <v>30</v>
      </c>
      <c r="F1991" s="644">
        <v>125</v>
      </c>
      <c r="G1991" s="2503">
        <f>COUNTIF(PoderesDeCriatura_Adquiridos,Tablas!B1991)</f>
        <v>0</v>
      </c>
      <c r="H1991" s="1999"/>
      <c r="I1991" s="647"/>
      <c r="J1991" s="647"/>
    </row>
    <row r="1992" spans="2:10" ht="12.75" customHeight="1" x14ac:dyDescent="0.2">
      <c r="B1992" s="1856" t="s">
        <v>2117</v>
      </c>
      <c r="C1992" s="111"/>
      <c r="D1992" s="111"/>
      <c r="E1992" s="456">
        <v>35</v>
      </c>
      <c r="F1992" s="644">
        <v>150</v>
      </c>
      <c r="G1992" s="2503">
        <f>COUNTIF(PoderesDeCriatura_Adquiridos,Tablas!B1992)</f>
        <v>0</v>
      </c>
      <c r="H1992" s="1999"/>
      <c r="I1992" s="647"/>
      <c r="J1992" s="647"/>
    </row>
    <row r="1993" spans="2:10" ht="12.75" customHeight="1" x14ac:dyDescent="0.2">
      <c r="B1993" s="1856" t="s">
        <v>2118</v>
      </c>
      <c r="C1993" s="111"/>
      <c r="D1993" s="111"/>
      <c r="E1993" s="456">
        <v>15</v>
      </c>
      <c r="F1993" s="644">
        <v>60</v>
      </c>
      <c r="G1993" s="2503">
        <f>COUNTIF(PoderesDeCriatura_Adquiridos,Tablas!B1993)</f>
        <v>0</v>
      </c>
      <c r="H1993" s="1999"/>
      <c r="I1993" s="647"/>
      <c r="J1993" s="647"/>
    </row>
    <row r="1994" spans="2:10" ht="12.75" customHeight="1" x14ac:dyDescent="0.2">
      <c r="B1994" s="1856" t="s">
        <v>2119</v>
      </c>
      <c r="C1994" s="111"/>
      <c r="D1994" s="111"/>
      <c r="E1994" s="456">
        <v>20</v>
      </c>
      <c r="F1994" s="644">
        <v>80</v>
      </c>
      <c r="G1994" s="2503">
        <f>COUNTIF(PoderesDeCriatura_Adquiridos,Tablas!B1994)</f>
        <v>0</v>
      </c>
      <c r="H1994" s="1999"/>
      <c r="I1994" s="647"/>
      <c r="J1994" s="647"/>
    </row>
    <row r="1995" spans="2:10" ht="12.75" customHeight="1" x14ac:dyDescent="0.2">
      <c r="B1995" s="1856" t="s">
        <v>2120</v>
      </c>
      <c r="C1995" s="111"/>
      <c r="D1995" s="111"/>
      <c r="E1995" s="456">
        <v>25</v>
      </c>
      <c r="F1995" s="644">
        <v>120</v>
      </c>
      <c r="G1995" s="2503">
        <f>COUNTIF(PoderesDeCriatura_Adquiridos,Tablas!B1995)</f>
        <v>0</v>
      </c>
      <c r="H1995" s="1999"/>
      <c r="I1995" s="647"/>
      <c r="J1995" s="647"/>
    </row>
    <row r="1996" spans="2:10" ht="12.75" customHeight="1" x14ac:dyDescent="0.2">
      <c r="B1996" s="1856" t="s">
        <v>2121</v>
      </c>
      <c r="C1996" s="111"/>
      <c r="D1996" s="111"/>
      <c r="E1996" s="456">
        <v>30</v>
      </c>
      <c r="F1996" s="644">
        <v>140</v>
      </c>
      <c r="G1996" s="2503">
        <f>COUNTIF(PoderesDeCriatura_Adquiridos,Tablas!B1996)</f>
        <v>0</v>
      </c>
      <c r="H1996" s="1999"/>
      <c r="I1996" s="647"/>
      <c r="J1996" s="647"/>
    </row>
    <row r="1997" spans="2:10" ht="12.75" customHeight="1" x14ac:dyDescent="0.2">
      <c r="B1997" s="1856" t="s">
        <v>2122</v>
      </c>
      <c r="C1997" s="111"/>
      <c r="D1997" s="111"/>
      <c r="E1997" s="456">
        <v>15</v>
      </c>
      <c r="F1997" s="644">
        <v>-30</v>
      </c>
      <c r="G1997" s="2503">
        <f>COUNTIF(PoderesDeCriatura_Adquiridos,Tablas!B1997)</f>
        <v>0</v>
      </c>
      <c r="H1997" s="1999"/>
      <c r="I1997" s="647"/>
      <c r="J1997" s="647"/>
    </row>
    <row r="1998" spans="2:10" ht="12.75" customHeight="1" x14ac:dyDescent="0.2">
      <c r="B1998" s="1856" t="s">
        <v>2123</v>
      </c>
      <c r="C1998" s="111"/>
      <c r="D1998" s="111"/>
      <c r="E1998" s="456">
        <v>15</v>
      </c>
      <c r="F1998" s="644">
        <v>-20</v>
      </c>
      <c r="G1998" s="2503">
        <f>COUNTIF(PoderesDeCriatura_Adquiridos,Tablas!B1998)</f>
        <v>0</v>
      </c>
      <c r="H1998" s="1999"/>
      <c r="I1998" s="647"/>
      <c r="J1998" s="647"/>
    </row>
    <row r="1999" spans="2:10" ht="12.75" customHeight="1" x14ac:dyDescent="0.2">
      <c r="B1999" s="1856" t="s">
        <v>2124</v>
      </c>
      <c r="C1999" s="111"/>
      <c r="D1999" s="111"/>
      <c r="E1999" s="456">
        <v>15</v>
      </c>
      <c r="F1999" s="644">
        <v>-10</v>
      </c>
      <c r="G1999" s="2503">
        <f>COUNTIF(PoderesDeCriatura_Adquiridos,Tablas!B1999)</f>
        <v>0</v>
      </c>
      <c r="H1999" s="1999"/>
      <c r="I1999" s="647"/>
      <c r="J1999" s="647"/>
    </row>
    <row r="2000" spans="2:10" ht="12.75" customHeight="1" x14ac:dyDescent="0.2">
      <c r="B2000" s="1856" t="s">
        <v>2125</v>
      </c>
      <c r="C2000" s="111"/>
      <c r="D2000" s="111"/>
      <c r="E2000" s="456">
        <v>15</v>
      </c>
      <c r="F2000" s="644">
        <v>-10</v>
      </c>
      <c r="G2000" s="2503">
        <f>COUNTIF(PoderesDeCriatura_Adquiridos,Tablas!B2000)</f>
        <v>0</v>
      </c>
      <c r="H2000" s="1999"/>
      <c r="I2000" s="647"/>
      <c r="J2000" s="647"/>
    </row>
    <row r="2001" spans="2:10" ht="12.75" customHeight="1" x14ac:dyDescent="0.2">
      <c r="B2001" s="1856" t="s">
        <v>2126</v>
      </c>
      <c r="C2001" s="111"/>
      <c r="D2001" s="111"/>
      <c r="E2001" s="456">
        <v>15</v>
      </c>
      <c r="F2001" s="644">
        <v>-20</v>
      </c>
      <c r="G2001" s="2503">
        <f>COUNTIF(PoderesDeCriatura_Adquiridos,Tablas!B2001)</f>
        <v>0</v>
      </c>
      <c r="H2001" s="1999"/>
      <c r="I2001" s="647"/>
      <c r="J2001" s="647"/>
    </row>
    <row r="2002" spans="2:10" ht="12.75" customHeight="1" x14ac:dyDescent="0.2">
      <c r="B2002" s="1856" t="s">
        <v>2127</v>
      </c>
      <c r="C2002" s="111"/>
      <c r="D2002" s="111"/>
      <c r="E2002" s="456">
        <v>15</v>
      </c>
      <c r="F2002" s="644">
        <v>-10</v>
      </c>
      <c r="G2002" s="2503">
        <f>COUNTIF(PoderesDeCriatura_Adquiridos,Tablas!B2002)</f>
        <v>0</v>
      </c>
      <c r="H2002" s="1999"/>
      <c r="I2002" s="647"/>
      <c r="J2002" s="647"/>
    </row>
    <row r="2003" spans="2:10" ht="12.75" customHeight="1" x14ac:dyDescent="0.2">
      <c r="B2003" s="1856" t="s">
        <v>2128</v>
      </c>
      <c r="C2003" s="111"/>
      <c r="D2003" s="111"/>
      <c r="E2003" s="456">
        <v>20</v>
      </c>
      <c r="F2003" s="644">
        <v>-10</v>
      </c>
      <c r="G2003" s="2503">
        <f>COUNTIF(PoderesDeCriatura_Adquiridos,Tablas!B2003)</f>
        <v>0</v>
      </c>
      <c r="H2003" s="1999"/>
      <c r="I2003" s="647"/>
      <c r="J2003" s="647"/>
    </row>
    <row r="2004" spans="2:10" ht="12.75" customHeight="1" x14ac:dyDescent="0.2">
      <c r="B2004" s="1856" t="s">
        <v>2129</v>
      </c>
      <c r="C2004" s="111"/>
      <c r="D2004" s="111"/>
      <c r="E2004" s="456">
        <v>25</v>
      </c>
      <c r="F2004" s="644">
        <v>-10</v>
      </c>
      <c r="G2004" s="2503">
        <f>COUNTIF(PoderesDeCriatura_Adquiridos,Tablas!B2004)</f>
        <v>0</v>
      </c>
      <c r="H2004" s="1999"/>
      <c r="I2004" s="647"/>
      <c r="J2004" s="647"/>
    </row>
    <row r="2005" spans="2:10" ht="12.75" customHeight="1" x14ac:dyDescent="0.2">
      <c r="B2005" s="1856" t="s">
        <v>2130</v>
      </c>
      <c r="C2005" s="111"/>
      <c r="D2005" s="111"/>
      <c r="E2005" s="456">
        <v>20</v>
      </c>
      <c r="F2005" s="644">
        <v>-10</v>
      </c>
      <c r="G2005" s="2503">
        <f>COUNTIF(PoderesDeCriatura_Adquiridos,Tablas!B2005)</f>
        <v>0</v>
      </c>
      <c r="H2005" s="1999"/>
      <c r="I2005" s="647"/>
      <c r="J2005" s="647"/>
    </row>
    <row r="2006" spans="2:10" ht="12.75" customHeight="1" x14ac:dyDescent="0.2">
      <c r="B2006" s="1856" t="s">
        <v>2131</v>
      </c>
      <c r="C2006" s="111"/>
      <c r="D2006" s="111"/>
      <c r="E2006" s="456">
        <v>20</v>
      </c>
      <c r="F2006" s="644">
        <v>-10</v>
      </c>
      <c r="G2006" s="2503">
        <f>COUNTIF(PoderesDeCriatura_Adquiridos,Tablas!B2006)</f>
        <v>0</v>
      </c>
      <c r="H2006" s="1999"/>
      <c r="I2006" s="647"/>
      <c r="J2006" s="647"/>
    </row>
    <row r="2007" spans="2:10" ht="12.75" customHeight="1" x14ac:dyDescent="0.2">
      <c r="B2007" s="2507" t="s">
        <v>2132</v>
      </c>
      <c r="C2007" s="111"/>
      <c r="D2007" s="111"/>
      <c r="E2007" s="456">
        <v>20</v>
      </c>
      <c r="F2007" s="644">
        <v>-20</v>
      </c>
      <c r="G2007" s="2503">
        <f>COUNTIF(PoderesDeCriatura_Adquiridos,Tablas!B2007)</f>
        <v>0</v>
      </c>
      <c r="H2007" s="1999"/>
      <c r="I2007" s="647"/>
      <c r="J2007" s="647"/>
    </row>
    <row r="2008" spans="2:10" ht="12.75" customHeight="1" x14ac:dyDescent="0.2">
      <c r="B2008" s="1856" t="s">
        <v>2133</v>
      </c>
      <c r="C2008" s="111"/>
      <c r="D2008" s="111"/>
      <c r="E2008" s="456">
        <v>20</v>
      </c>
      <c r="F2008" s="644">
        <v>-15</v>
      </c>
      <c r="G2008" s="2503">
        <f>COUNTIF(PoderesDeCriatura_Adquiridos,Tablas!B2008)</f>
        <v>0</v>
      </c>
      <c r="H2008" s="1999"/>
      <c r="I2008" s="647"/>
      <c r="J2008" s="647"/>
    </row>
    <row r="2009" spans="2:10" ht="12.75" customHeight="1" x14ac:dyDescent="0.2">
      <c r="B2009" s="1856" t="s">
        <v>2134</v>
      </c>
      <c r="C2009" s="111"/>
      <c r="D2009" s="111"/>
      <c r="E2009" s="456">
        <v>20</v>
      </c>
      <c r="F2009" s="644">
        <v>-10</v>
      </c>
      <c r="G2009" s="2503">
        <f>COUNTIF(PoderesDeCriatura_Adquiridos,Tablas!B2009)</f>
        <v>0</v>
      </c>
      <c r="H2009" s="1999"/>
      <c r="I2009" s="647"/>
      <c r="J2009" s="647"/>
    </row>
    <row r="2010" spans="2:10" ht="12.75" customHeight="1" x14ac:dyDescent="0.2">
      <c r="B2010" s="1856" t="s">
        <v>2135</v>
      </c>
      <c r="C2010" s="111"/>
      <c r="D2010" s="111"/>
      <c r="E2010" s="456">
        <v>20</v>
      </c>
      <c r="F2010" s="644">
        <v>-30</v>
      </c>
      <c r="G2010" s="2503">
        <f>COUNTIF(PoderesDeCriatura_Adquiridos,Tablas!B2010)</f>
        <v>0</v>
      </c>
      <c r="H2010" s="1999"/>
      <c r="I2010" s="647"/>
      <c r="J2010" s="647"/>
    </row>
    <row r="2011" spans="2:10" ht="12.75" customHeight="1" x14ac:dyDescent="0.2">
      <c r="B2011" s="1856" t="s">
        <v>2136</v>
      </c>
      <c r="C2011" s="111"/>
      <c r="D2011" s="111"/>
      <c r="E2011" s="456">
        <v>20</v>
      </c>
      <c r="F2011" s="644">
        <v>-10</v>
      </c>
      <c r="G2011" s="2503">
        <f>COUNTIF(PoderesDeCriatura_Adquiridos,Tablas!B2011)</f>
        <v>0</v>
      </c>
      <c r="H2011" s="1999"/>
      <c r="I2011" s="647"/>
      <c r="J2011" s="647"/>
    </row>
    <row r="2012" spans="2:10" ht="12.75" customHeight="1" x14ac:dyDescent="0.2">
      <c r="B2012" s="1856" t="s">
        <v>2137</v>
      </c>
      <c r="C2012" s="111"/>
      <c r="D2012" s="111"/>
      <c r="E2012" s="456">
        <v>20</v>
      </c>
      <c r="F2012" s="644">
        <v>-15</v>
      </c>
      <c r="G2012" s="2503">
        <f>COUNTIF(PoderesDeCriatura_Adquiridos,Tablas!B2012)</f>
        <v>0</v>
      </c>
      <c r="H2012" s="1999"/>
      <c r="I2012" s="647"/>
      <c r="J2012" s="647"/>
    </row>
    <row r="2013" spans="2:10" ht="12.75" customHeight="1" x14ac:dyDescent="0.2">
      <c r="B2013" s="1856" t="s">
        <v>2138</v>
      </c>
      <c r="C2013" s="111"/>
      <c r="D2013" s="111"/>
      <c r="E2013" s="456">
        <v>20</v>
      </c>
      <c r="F2013" s="644">
        <v>-20</v>
      </c>
      <c r="G2013" s="2503">
        <f>COUNTIF(PoderesDeCriatura_Adquiridos,Tablas!B2013)</f>
        <v>0</v>
      </c>
      <c r="H2013" s="1999"/>
      <c r="I2013" s="647"/>
      <c r="J2013" s="647"/>
    </row>
    <row r="2014" spans="2:10" ht="12.75" customHeight="1" x14ac:dyDescent="0.2">
      <c r="B2014" s="1856" t="s">
        <v>2139</v>
      </c>
      <c r="C2014" s="111"/>
      <c r="D2014" s="111"/>
      <c r="E2014" s="456">
        <v>20</v>
      </c>
      <c r="F2014" s="644">
        <v>-25</v>
      </c>
      <c r="G2014" s="2503">
        <f>COUNTIF(PoderesDeCriatura_Adquiridos,Tablas!B2014)</f>
        <v>0</v>
      </c>
      <c r="H2014" s="1999"/>
      <c r="I2014" s="647"/>
      <c r="J2014" s="647"/>
    </row>
    <row r="2015" spans="2:10" ht="12.75" customHeight="1" x14ac:dyDescent="0.2">
      <c r="B2015" s="1856" t="s">
        <v>2140</v>
      </c>
      <c r="C2015" s="111"/>
      <c r="D2015" s="111"/>
      <c r="E2015" s="456">
        <f>IF(General!R65="Xavi",10,0)</f>
        <v>0</v>
      </c>
      <c r="F2015" s="644">
        <f>IF(General!R65="Xavi",10,5)</f>
        <v>5</v>
      </c>
      <c r="G2015" s="2503">
        <f>COUNTIF(PoderesDeCriatura_Adquiridos,Tablas!B2015)</f>
        <v>0</v>
      </c>
      <c r="H2015" s="1999"/>
      <c r="I2015" s="647"/>
      <c r="J2015" s="647"/>
    </row>
    <row r="2016" spans="2:10" ht="12.75" customHeight="1" x14ac:dyDescent="0.2">
      <c r="B2016" s="1856" t="s">
        <v>2141</v>
      </c>
      <c r="C2016" s="111"/>
      <c r="D2016" s="111"/>
      <c r="E2016" s="456">
        <f>IF(General!R65="Xavi",20,0)</f>
        <v>0</v>
      </c>
      <c r="F2016" s="644">
        <f>IF(General!R65="Xavi",20,10)</f>
        <v>10</v>
      </c>
      <c r="G2016" s="2503">
        <f>COUNTIF(PoderesDeCriatura_Adquiridos,Tablas!B2016)</f>
        <v>0</v>
      </c>
      <c r="H2016" s="1999"/>
      <c r="I2016" s="647"/>
      <c r="J2016" s="647"/>
    </row>
    <row r="2017" spans="1:14" ht="12.75" customHeight="1" x14ac:dyDescent="0.2">
      <c r="B2017" s="1856" t="s">
        <v>2142</v>
      </c>
      <c r="C2017" s="111"/>
      <c r="D2017" s="111"/>
      <c r="E2017" s="456">
        <f>IF(General!R65="Xavi",20,5)</f>
        <v>5</v>
      </c>
      <c r="F2017" s="644">
        <f>IF(General!R65="Xavi",30,15)</f>
        <v>15</v>
      </c>
      <c r="G2017" s="2503">
        <f>COUNTIF(PoderesDeCriatura_Adquiridos,Tablas!B2017)</f>
        <v>0</v>
      </c>
      <c r="H2017" s="1999"/>
      <c r="I2017" s="647"/>
      <c r="J2017" s="647"/>
    </row>
    <row r="2018" spans="1:14" ht="12.75" customHeight="1" x14ac:dyDescent="0.2">
      <c r="B2018" s="1856" t="s">
        <v>2143</v>
      </c>
      <c r="C2018" s="111"/>
      <c r="D2018" s="111"/>
      <c r="E2018" s="456">
        <f>IF(General!R65="Xavi",25,5)</f>
        <v>5</v>
      </c>
      <c r="F2018" s="644">
        <f>IF(General!R65="Xavi",40,20)</f>
        <v>20</v>
      </c>
      <c r="G2018" s="2503">
        <f>COUNTIF(PoderesDeCriatura_Adquiridos,Tablas!B2018)</f>
        <v>0</v>
      </c>
      <c r="H2018" s="1999"/>
      <c r="I2018" s="647"/>
      <c r="J2018" s="647"/>
    </row>
    <row r="2019" spans="1:14" ht="12.75" customHeight="1" x14ac:dyDescent="0.2">
      <c r="B2019" s="1856" t="s">
        <v>2144</v>
      </c>
      <c r="C2019" s="111"/>
      <c r="D2019" s="111"/>
      <c r="E2019" s="456">
        <f>IF(General!R65="Xavi",25,10)</f>
        <v>10</v>
      </c>
      <c r="F2019" s="644">
        <f>IF(General!R65="Xavi",50,25)</f>
        <v>25</v>
      </c>
      <c r="G2019" s="2503">
        <f>COUNTIF(PoderesDeCriatura_Adquiridos,Tablas!B2019)</f>
        <v>0</v>
      </c>
      <c r="H2019" s="1999"/>
      <c r="I2019" s="647"/>
      <c r="J2019" s="647"/>
    </row>
    <row r="2020" spans="1:14" ht="12.75" customHeight="1" x14ac:dyDescent="0.2">
      <c r="B2020" s="1856" t="s">
        <v>2145</v>
      </c>
      <c r="C2020" s="111"/>
      <c r="D2020" s="111"/>
      <c r="E2020" s="456">
        <f>IF(General!R65="Xavi",30,10)</f>
        <v>10</v>
      </c>
      <c r="F2020" s="644">
        <f>IF(General!R65="Xavi",60,30)</f>
        <v>30</v>
      </c>
      <c r="G2020" s="2503">
        <f>COUNTIF(PoderesDeCriatura_Adquiridos,Tablas!B2020)</f>
        <v>0</v>
      </c>
      <c r="H2020" s="1999"/>
      <c r="I2020" s="647"/>
      <c r="J2020" s="647"/>
    </row>
    <row r="2021" spans="1:14" ht="12.75" customHeight="1" x14ac:dyDescent="0.2">
      <c r="B2021" s="1856" t="s">
        <v>2146</v>
      </c>
      <c r="C2021" s="111"/>
      <c r="D2021" s="111"/>
      <c r="E2021" s="456">
        <f>IF(General!R65="Xavi",30,10)</f>
        <v>10</v>
      </c>
      <c r="F2021" s="644">
        <f>IF(General!R65="Xavi",80,40)</f>
        <v>40</v>
      </c>
      <c r="G2021" s="2503">
        <f>COUNTIF(PoderesDeCriatura_Adquiridos,Tablas!B2021)</f>
        <v>0</v>
      </c>
      <c r="H2021" s="1999"/>
      <c r="I2021" s="647"/>
      <c r="J2021" s="647"/>
    </row>
    <row r="2022" spans="1:14" ht="12.75" customHeight="1" x14ac:dyDescent="0.2">
      <c r="A2022" s="2180" t="s">
        <v>9745</v>
      </c>
      <c r="B2022" s="1856" t="s">
        <v>2147</v>
      </c>
      <c r="C2022" s="111"/>
      <c r="D2022" s="111"/>
      <c r="E2022" s="456"/>
      <c r="F2022" s="644"/>
      <c r="G2022" s="5152"/>
      <c r="H2022" s="5160"/>
      <c r="I2022" s="5161"/>
      <c r="J2022" s="5159" t="s">
        <v>9721</v>
      </c>
      <c r="K2022" s="5159"/>
      <c r="L2022" s="5159"/>
      <c r="M2022" s="5162"/>
      <c r="N2022" s="5162"/>
    </row>
    <row r="2023" spans="1:14" ht="12.75" customHeight="1" x14ac:dyDescent="0.2">
      <c r="A2023" s="2528">
        <f>G2023</f>
        <v>0</v>
      </c>
      <c r="B2023" s="1856" t="s">
        <v>2148</v>
      </c>
      <c r="C2023" s="111"/>
      <c r="D2023" s="111"/>
      <c r="E2023" s="456">
        <v>0</v>
      </c>
      <c r="F2023" s="644">
        <v>10</v>
      </c>
      <c r="G2023" s="5152">
        <f>COUNTIF(PoderesDeCriatura_Adquiridos,Tablas!B2023)</f>
        <v>0</v>
      </c>
      <c r="H2023" s="5153" t="s">
        <v>2409</v>
      </c>
      <c r="I2023" s="5154" t="s">
        <v>2354</v>
      </c>
      <c r="J2023" s="5154" t="s">
        <v>2410</v>
      </c>
      <c r="K2023" s="5154" t="s">
        <v>2411</v>
      </c>
      <c r="L2023" s="5154" t="s">
        <v>2412</v>
      </c>
      <c r="M2023" s="5154" t="s">
        <v>2413</v>
      </c>
      <c r="N2023" s="5155" t="s">
        <v>2414</v>
      </c>
    </row>
    <row r="2024" spans="1:14" ht="12.75" customHeight="1" x14ac:dyDescent="0.2">
      <c r="A2024" s="2528">
        <f t="shared" ref="A2024:A2048" si="90">G2024</f>
        <v>0</v>
      </c>
      <c r="B2024" s="1856" t="s">
        <v>2149</v>
      </c>
      <c r="C2024" s="111"/>
      <c r="D2024" s="111"/>
      <c r="E2024" s="456">
        <v>0</v>
      </c>
      <c r="F2024" s="644">
        <v>20</v>
      </c>
      <c r="G2024" s="5152">
        <f>COUNTIF(PoderesDeCriatura_Adquiridos,Tablas!B2024)</f>
        <v>0</v>
      </c>
      <c r="H2024" s="5156">
        <f>IF(G2034&gt;0,0,IF(ISNA(VLOOKUP(1,A$2023:B$2033,2,FALSE)),0,VALUE(RIGHT(VLOOKUP(1,A$2023:B$2033,2,FALSE),2))))</f>
        <v>8</v>
      </c>
      <c r="I2024" s="5157">
        <f>IF(G2035&gt;0,0,IF(ISNA(VLOOKUP(1,A$2023:B$2033,2,FALSE)),0,VALUE(RIGHT(VLOOKUP(1,A$2023:B$2033,2,FALSE),2))))</f>
        <v>8</v>
      </c>
      <c r="J2024" s="5157">
        <f>IF(G2036&gt;0,0,IF(ISNA(VLOOKUP(1,A$2023:B$2033,2,FALSE)),0,VALUE(RIGHT(VLOOKUP(1,A$2023:B$2033,2,FALSE),2))))</f>
        <v>8</v>
      </c>
      <c r="K2024" s="5157">
        <f>IF(G2037&gt;0,0,IF(ISNA(VLOOKUP(1,A$2023:B$2033,2,FALSE)),0,VALUE(RIGHT(VLOOKUP(1,A$2023:B$2033,2,FALSE),2))))</f>
        <v>8</v>
      </c>
      <c r="L2024" s="5157">
        <f>IF(G2038&gt;0,0,IF(ISNA(VLOOKUP(1,A$2023:B$2033,2,FALSE)),0,VALUE(RIGHT(VLOOKUP(1,A$2023:B$2033,2,FALSE),2))))</f>
        <v>8</v>
      </c>
      <c r="M2024" s="5157">
        <f>IF(G2039&gt;0,0,IF(ISNA(VLOOKUP(1,A$2023:B$2033,2,FALSE)),0,VALUE(RIGHT(VLOOKUP(1,A$2023:B$2033,2,FALSE),2))))</f>
        <v>8</v>
      </c>
      <c r="N2024" s="5158">
        <f>IF(ISNA(VLOOKUP(1,A$2041:B$2048,2,FALSE)),0,VALUE(RIGHT(VLOOKUP(1,A$2041:B$2048,2,FALSE),1)))</f>
        <v>0</v>
      </c>
    </row>
    <row r="2025" spans="1:14" ht="12.75" customHeight="1" x14ac:dyDescent="0.2">
      <c r="A2025" s="2528">
        <f t="shared" si="90"/>
        <v>0</v>
      </c>
      <c r="B2025" s="1856" t="s">
        <v>2150</v>
      </c>
      <c r="C2025" s="111"/>
      <c r="D2025" s="111"/>
      <c r="E2025" s="456">
        <v>0</v>
      </c>
      <c r="F2025" s="644">
        <v>30</v>
      </c>
      <c r="G2025" s="2503">
        <f>COUNTIF(PoderesDeCriatura_Adquiridos,Tablas!B2025)</f>
        <v>0</v>
      </c>
      <c r="J2025" s="647"/>
    </row>
    <row r="2026" spans="1:14" ht="12.75" customHeight="1" x14ac:dyDescent="0.2">
      <c r="A2026" s="2528">
        <f t="shared" si="90"/>
        <v>0</v>
      </c>
      <c r="B2026" s="1856" t="s">
        <v>2151</v>
      </c>
      <c r="C2026" s="111"/>
      <c r="D2026" s="111"/>
      <c r="E2026" s="456">
        <v>5</v>
      </c>
      <c r="F2026" s="644">
        <v>40</v>
      </c>
      <c r="G2026" s="2503">
        <f>COUNTIF(PoderesDeCriatura_Adquiridos,Tablas!B2026)</f>
        <v>0</v>
      </c>
      <c r="J2026" s="647"/>
    </row>
    <row r="2027" spans="1:14" ht="12.75" customHeight="1" x14ac:dyDescent="0.2">
      <c r="A2027" s="2528">
        <f t="shared" si="90"/>
        <v>0</v>
      </c>
      <c r="B2027" s="1856" t="s">
        <v>2152</v>
      </c>
      <c r="C2027" s="111"/>
      <c r="D2027" s="111"/>
      <c r="E2027" s="456">
        <v>10</v>
      </c>
      <c r="F2027" s="644">
        <v>50</v>
      </c>
      <c r="G2027" s="2503">
        <f>COUNTIF(PoderesDeCriatura_Adquiridos,Tablas!B2027)</f>
        <v>0</v>
      </c>
      <c r="J2027" s="647"/>
    </row>
    <row r="2028" spans="1:14" ht="12.75" customHeight="1" x14ac:dyDescent="0.2">
      <c r="A2028" s="2528">
        <f t="shared" si="90"/>
        <v>0</v>
      </c>
      <c r="B2028" s="1856" t="s">
        <v>2153</v>
      </c>
      <c r="C2028" s="111"/>
      <c r="D2028" s="111"/>
      <c r="E2028" s="456">
        <v>15</v>
      </c>
      <c r="F2028" s="644">
        <v>60</v>
      </c>
      <c r="G2028" s="2503">
        <f>COUNTIF(PoderesDeCriatura_Adquiridos,Tablas!B2028)</f>
        <v>0</v>
      </c>
      <c r="J2028" s="647"/>
    </row>
    <row r="2029" spans="1:14" ht="12.75" customHeight="1" x14ac:dyDescent="0.2">
      <c r="A2029" s="2528">
        <f t="shared" si="90"/>
        <v>0</v>
      </c>
      <c r="B2029" s="1856" t="s">
        <v>2154</v>
      </c>
      <c r="C2029" s="111"/>
      <c r="D2029" s="111"/>
      <c r="E2029" s="456">
        <v>20</v>
      </c>
      <c r="F2029" s="644">
        <v>80</v>
      </c>
      <c r="G2029" s="2503">
        <f>COUNTIF(PoderesDeCriatura_Adquiridos,Tablas!B2029)</f>
        <v>0</v>
      </c>
      <c r="H2029" s="1999"/>
      <c r="I2029" s="647"/>
      <c r="J2029" s="647"/>
    </row>
    <row r="2030" spans="1:14" ht="12.75" customHeight="1" x14ac:dyDescent="0.2">
      <c r="A2030" s="2528">
        <f t="shared" si="90"/>
        <v>1</v>
      </c>
      <c r="B2030" s="1856" t="s">
        <v>2155</v>
      </c>
      <c r="C2030" s="111"/>
      <c r="D2030" s="111"/>
      <c r="E2030" s="456">
        <v>25</v>
      </c>
      <c r="F2030" s="644">
        <v>100</v>
      </c>
      <c r="G2030" s="2503">
        <f>COUNTIF(PoderesDeCriatura_Adquiridos,Tablas!B2030)</f>
        <v>1</v>
      </c>
      <c r="H2030" s="1999"/>
      <c r="I2030" s="647"/>
      <c r="J2030" s="647"/>
    </row>
    <row r="2031" spans="1:14" ht="12.75" customHeight="1" x14ac:dyDescent="0.2">
      <c r="A2031" s="2528">
        <f t="shared" si="90"/>
        <v>0</v>
      </c>
      <c r="B2031" s="1856" t="s">
        <v>2156</v>
      </c>
      <c r="C2031" s="111"/>
      <c r="D2031" s="111"/>
      <c r="E2031" s="456">
        <v>30</v>
      </c>
      <c r="F2031" s="644">
        <v>120</v>
      </c>
      <c r="G2031" s="2503">
        <f>COUNTIF(PoderesDeCriatura_Adquiridos,Tablas!B2031)</f>
        <v>0</v>
      </c>
      <c r="H2031" s="1999"/>
      <c r="I2031" s="647"/>
      <c r="J2031" s="647"/>
    </row>
    <row r="2032" spans="1:14" ht="12.75" customHeight="1" x14ac:dyDescent="0.2">
      <c r="A2032" s="2528">
        <f t="shared" si="90"/>
        <v>0</v>
      </c>
      <c r="B2032" s="1856" t="s">
        <v>2157</v>
      </c>
      <c r="C2032" s="111"/>
      <c r="D2032" s="111"/>
      <c r="E2032" s="456">
        <v>35</v>
      </c>
      <c r="F2032" s="644">
        <v>140</v>
      </c>
      <c r="G2032" s="2503">
        <f>COUNTIF(PoderesDeCriatura_Adquiridos,Tablas!B2032)</f>
        <v>0</v>
      </c>
      <c r="H2032" s="1999"/>
      <c r="I2032" s="647"/>
      <c r="J2032" s="647"/>
    </row>
    <row r="2033" spans="1:10" ht="12.75" customHeight="1" x14ac:dyDescent="0.2">
      <c r="A2033" s="2528">
        <f t="shared" si="90"/>
        <v>0</v>
      </c>
      <c r="B2033" s="1856" t="s">
        <v>2158</v>
      </c>
      <c r="C2033" s="111"/>
      <c r="D2033" s="111"/>
      <c r="E2033" s="456">
        <v>40</v>
      </c>
      <c r="F2033" s="644">
        <v>180</v>
      </c>
      <c r="G2033" s="2503">
        <f>COUNTIF(PoderesDeCriatura_Adquiridos,Tablas!B2033)</f>
        <v>0</v>
      </c>
      <c r="H2033" s="1999"/>
      <c r="I2033" s="647"/>
      <c r="J2033" s="647"/>
    </row>
    <row r="2034" spans="1:10" ht="12.75" customHeight="1" x14ac:dyDescent="0.2">
      <c r="A2034" s="2528"/>
      <c r="B2034" s="1856" t="s">
        <v>9748</v>
      </c>
      <c r="C2034" s="111"/>
      <c r="D2034" s="111"/>
      <c r="E2034" s="456">
        <v>0</v>
      </c>
      <c r="F2034" s="644">
        <v>-10</v>
      </c>
      <c r="G2034" s="2503">
        <f>COUNTIF(PoderesDeCriatura_Adquiridos,Tablas!B2034)</f>
        <v>0</v>
      </c>
      <c r="H2034" s="1999"/>
      <c r="I2034" s="647"/>
      <c r="J2034" s="647"/>
    </row>
    <row r="2035" spans="1:10" ht="12.75" customHeight="1" x14ac:dyDescent="0.2">
      <c r="A2035" s="2528"/>
      <c r="B2035" s="1856" t="s">
        <v>9747</v>
      </c>
      <c r="C2035" s="111"/>
      <c r="D2035" s="111"/>
      <c r="E2035" s="456">
        <v>0</v>
      </c>
      <c r="F2035" s="644">
        <v>-10</v>
      </c>
      <c r="G2035" s="2503">
        <f>COUNTIF(PoderesDeCriatura_Adquiridos,Tablas!B2035)</f>
        <v>0</v>
      </c>
      <c r="H2035" s="1999"/>
      <c r="I2035" s="647"/>
      <c r="J2035" s="647"/>
    </row>
    <row r="2036" spans="1:10" ht="12.75" customHeight="1" x14ac:dyDescent="0.2">
      <c r="A2036" s="2528"/>
      <c r="B2036" s="1856" t="s">
        <v>9749</v>
      </c>
      <c r="C2036" s="111"/>
      <c r="D2036" s="111"/>
      <c r="E2036" s="456">
        <v>0</v>
      </c>
      <c r="F2036" s="644">
        <v>-10</v>
      </c>
      <c r="G2036" s="2503">
        <f>COUNTIF(PoderesDeCriatura_Adquiridos,Tablas!B2036)</f>
        <v>0</v>
      </c>
      <c r="H2036" s="1999"/>
      <c r="I2036" s="647"/>
      <c r="J2036" s="647"/>
    </row>
    <row r="2037" spans="1:10" ht="12.75" customHeight="1" x14ac:dyDescent="0.2">
      <c r="A2037" s="2528"/>
      <c r="B2037" s="1856" t="s">
        <v>9750</v>
      </c>
      <c r="C2037" s="111"/>
      <c r="D2037" s="111"/>
      <c r="E2037" s="456">
        <v>0</v>
      </c>
      <c r="F2037" s="644">
        <v>-10</v>
      </c>
      <c r="G2037" s="2503">
        <f>COUNTIF(PoderesDeCriatura_Adquiridos,Tablas!B2037)</f>
        <v>0</v>
      </c>
      <c r="H2037" s="1999"/>
      <c r="I2037" s="647"/>
      <c r="J2037" s="647"/>
    </row>
    <row r="2038" spans="1:10" ht="12.75" customHeight="1" x14ac:dyDescent="0.2">
      <c r="A2038" s="2528"/>
      <c r="B2038" s="1856" t="s">
        <v>9751</v>
      </c>
      <c r="C2038" s="111"/>
      <c r="D2038" s="111"/>
      <c r="E2038" s="456">
        <v>0</v>
      </c>
      <c r="F2038" s="644">
        <v>-10</v>
      </c>
      <c r="G2038" s="2503">
        <f>COUNTIF(PoderesDeCriatura_Adquiridos,Tablas!B2038)</f>
        <v>0</v>
      </c>
      <c r="H2038" s="1999"/>
      <c r="I2038" s="647"/>
      <c r="J2038" s="647"/>
    </row>
    <row r="2039" spans="1:10" ht="12.75" customHeight="1" x14ac:dyDescent="0.2">
      <c r="A2039" s="2528"/>
      <c r="B2039" s="1856" t="s">
        <v>9752</v>
      </c>
      <c r="C2039" s="111"/>
      <c r="D2039" s="111"/>
      <c r="E2039" s="456">
        <v>0</v>
      </c>
      <c r="F2039" s="644">
        <v>-10</v>
      </c>
      <c r="G2039" s="2503">
        <f>COUNTIF(PoderesDeCriatura_Adquiridos,Tablas!B2039)</f>
        <v>0</v>
      </c>
      <c r="H2039" s="1999"/>
      <c r="I2039" s="647"/>
      <c r="J2039" s="647"/>
    </row>
    <row r="2040" spans="1:10" ht="12.75" customHeight="1" x14ac:dyDescent="0.2">
      <c r="A2040" s="2528"/>
      <c r="B2040" s="1856" t="s">
        <v>2159</v>
      </c>
      <c r="C2040" s="111"/>
      <c r="D2040" s="111"/>
      <c r="E2040" s="456">
        <v>0</v>
      </c>
      <c r="F2040" s="644">
        <v>-10</v>
      </c>
      <c r="G2040" s="2955">
        <f>COUNTIF(PoderesDeCriatura_Adquiridos,Tablas!B2040)</f>
        <v>0</v>
      </c>
      <c r="H2040" s="1999"/>
      <c r="I2040" s="1999"/>
      <c r="J2040" s="647"/>
    </row>
    <row r="2041" spans="1:10" ht="12.75" customHeight="1" x14ac:dyDescent="0.2">
      <c r="A2041" s="2528">
        <f t="shared" si="90"/>
        <v>0</v>
      </c>
      <c r="B2041" s="1856" t="s">
        <v>2160</v>
      </c>
      <c r="C2041" s="111"/>
      <c r="D2041" s="111"/>
      <c r="E2041" s="456">
        <v>5</v>
      </c>
      <c r="F2041" s="644">
        <v>10</v>
      </c>
      <c r="G2041" s="2955">
        <f>COUNTIF(PoderesDeCriatura_Adquiridos,Tablas!B2041)</f>
        <v>0</v>
      </c>
      <c r="H2041" s="1999"/>
      <c r="I2041" s="1999"/>
      <c r="J2041" s="647"/>
    </row>
    <row r="2042" spans="1:10" ht="12.75" customHeight="1" x14ac:dyDescent="0.2">
      <c r="A2042" s="2528">
        <f t="shared" si="90"/>
        <v>0</v>
      </c>
      <c r="B2042" s="1856" t="s">
        <v>2161</v>
      </c>
      <c r="C2042" s="111"/>
      <c r="D2042" s="111"/>
      <c r="E2042" s="456">
        <v>10</v>
      </c>
      <c r="F2042" s="644">
        <v>20</v>
      </c>
      <c r="G2042" s="2503">
        <f>COUNTIF(PoderesDeCriatura_Adquiridos,Tablas!B2042)</f>
        <v>0</v>
      </c>
      <c r="H2042" s="1999"/>
      <c r="I2042" s="647"/>
      <c r="J2042" s="647"/>
    </row>
    <row r="2043" spans="1:10" ht="12.75" customHeight="1" x14ac:dyDescent="0.2">
      <c r="A2043" s="2528">
        <f t="shared" si="90"/>
        <v>0</v>
      </c>
      <c r="B2043" s="1856" t="s">
        <v>2162</v>
      </c>
      <c r="C2043" s="111"/>
      <c r="D2043" s="111"/>
      <c r="E2043" s="456">
        <v>15</v>
      </c>
      <c r="F2043" s="644">
        <v>30</v>
      </c>
      <c r="G2043" s="2503">
        <f>COUNTIF(PoderesDeCriatura_Adquiridos,Tablas!B2043)</f>
        <v>0</v>
      </c>
      <c r="H2043" s="1999"/>
      <c r="I2043" s="647"/>
      <c r="J2043" s="647"/>
    </row>
    <row r="2044" spans="1:10" ht="12.75" customHeight="1" x14ac:dyDescent="0.2">
      <c r="A2044" s="2528">
        <f t="shared" si="90"/>
        <v>0</v>
      </c>
      <c r="B2044" s="1856" t="s">
        <v>2163</v>
      </c>
      <c r="C2044" s="111"/>
      <c r="D2044" s="111"/>
      <c r="E2044" s="456">
        <v>20</v>
      </c>
      <c r="F2044" s="644">
        <v>40</v>
      </c>
      <c r="G2044" s="2503">
        <f>COUNTIF(PoderesDeCriatura_Adquiridos,Tablas!B2044)</f>
        <v>0</v>
      </c>
      <c r="H2044" s="1999"/>
      <c r="I2044" s="647"/>
      <c r="J2044" s="647"/>
    </row>
    <row r="2045" spans="1:10" ht="12.75" customHeight="1" x14ac:dyDescent="0.2">
      <c r="A2045" s="2528">
        <f t="shared" si="90"/>
        <v>0</v>
      </c>
      <c r="B2045" s="1856" t="s">
        <v>2164</v>
      </c>
      <c r="C2045" s="111"/>
      <c r="D2045" s="111"/>
      <c r="E2045" s="456">
        <v>25</v>
      </c>
      <c r="F2045" s="644">
        <v>50</v>
      </c>
      <c r="G2045" s="2503">
        <f>COUNTIF(PoderesDeCriatura_Adquiridos,Tablas!B2045)</f>
        <v>0</v>
      </c>
      <c r="H2045" s="1999"/>
      <c r="I2045" s="647"/>
      <c r="J2045" s="647"/>
    </row>
    <row r="2046" spans="1:10" ht="12.75" customHeight="1" x14ac:dyDescent="0.2">
      <c r="A2046" s="2528">
        <f t="shared" si="90"/>
        <v>0</v>
      </c>
      <c r="B2046" s="1856" t="s">
        <v>2165</v>
      </c>
      <c r="C2046" s="111"/>
      <c r="D2046" s="111"/>
      <c r="E2046" s="456">
        <v>30</v>
      </c>
      <c r="F2046" s="644">
        <v>60</v>
      </c>
      <c r="G2046" s="2503">
        <f>COUNTIF(PoderesDeCriatura_Adquiridos,Tablas!B2046)</f>
        <v>0</v>
      </c>
      <c r="H2046" s="1999"/>
      <c r="I2046" s="647"/>
      <c r="J2046" s="647"/>
    </row>
    <row r="2047" spans="1:10" ht="12.75" customHeight="1" x14ac:dyDescent="0.2">
      <c r="A2047" s="2528">
        <f t="shared" si="90"/>
        <v>0</v>
      </c>
      <c r="B2047" s="1856" t="s">
        <v>2166</v>
      </c>
      <c r="C2047" s="111"/>
      <c r="D2047" s="111"/>
      <c r="E2047" s="456">
        <v>35</v>
      </c>
      <c r="F2047" s="644">
        <v>70</v>
      </c>
      <c r="G2047" s="2503">
        <f>COUNTIF(PoderesDeCriatura_Adquiridos,Tablas!B2047)</f>
        <v>0</v>
      </c>
      <c r="H2047" s="1999"/>
      <c r="I2047" s="647"/>
      <c r="J2047" s="647"/>
    </row>
    <row r="2048" spans="1:10" ht="12.75" customHeight="1" x14ac:dyDescent="0.2">
      <c r="A2048" s="2528">
        <f t="shared" si="90"/>
        <v>0</v>
      </c>
      <c r="B2048" s="1856" t="s">
        <v>2167</v>
      </c>
      <c r="C2048" s="111"/>
      <c r="D2048" s="111"/>
      <c r="E2048" s="456">
        <v>40</v>
      </c>
      <c r="F2048" s="644">
        <v>80</v>
      </c>
      <c r="G2048" s="2503">
        <f>COUNTIF(PoderesDeCriatura_Adquiridos,Tablas!B2048)</f>
        <v>0</v>
      </c>
      <c r="H2048" s="1999"/>
      <c r="I2048" s="647"/>
      <c r="J2048" s="647"/>
    </row>
    <row r="2049" spans="2:10" ht="12.75" customHeight="1" x14ac:dyDescent="0.2">
      <c r="B2049" s="1856" t="s">
        <v>2168</v>
      </c>
      <c r="C2049" s="111"/>
      <c r="D2049" s="111"/>
      <c r="E2049" s="456"/>
      <c r="F2049" s="644"/>
      <c r="G2049" s="2503"/>
      <c r="H2049" s="1999"/>
      <c r="I2049" s="647"/>
      <c r="J2049" s="647"/>
    </row>
    <row r="2050" spans="2:10" ht="12.75" customHeight="1" x14ac:dyDescent="0.2">
      <c r="B2050" s="1856" t="s">
        <v>0</v>
      </c>
      <c r="C2050" s="111"/>
      <c r="D2050" s="111"/>
      <c r="E2050" s="456">
        <v>30</v>
      </c>
      <c r="F2050" s="644">
        <v>30</v>
      </c>
      <c r="G2050" s="2503">
        <f>COUNTIF(PoderesDeCriatura_Adquiridos,Tablas!B2050)</f>
        <v>0</v>
      </c>
      <c r="H2050" s="1999"/>
      <c r="I2050" s="647"/>
      <c r="J2050" s="647"/>
    </row>
    <row r="2051" spans="2:10" ht="12.75" customHeight="1" x14ac:dyDescent="0.2">
      <c r="B2051" s="1856" t="s">
        <v>1</v>
      </c>
      <c r="C2051" s="111"/>
      <c r="D2051" s="111"/>
      <c r="E2051" s="456">
        <v>20</v>
      </c>
      <c r="F2051" s="644">
        <v>20</v>
      </c>
      <c r="G2051" s="2503">
        <f>COUNTIF(PoderesDeCriatura_Adquiridos,Tablas!B2051)</f>
        <v>0</v>
      </c>
      <c r="H2051" s="1999"/>
      <c r="I2051" s="647"/>
      <c r="J2051" s="647"/>
    </row>
    <row r="2052" spans="2:10" ht="12.75" customHeight="1" x14ac:dyDescent="0.2">
      <c r="B2052" s="1856" t="s">
        <v>2</v>
      </c>
      <c r="C2052" s="111"/>
      <c r="D2052" s="111"/>
      <c r="E2052" s="456">
        <v>30</v>
      </c>
      <c r="F2052" s="644">
        <v>60</v>
      </c>
      <c r="G2052" s="2503">
        <f>COUNTIF(PoderesDeCriatura_Adquiridos,Tablas!B2052)</f>
        <v>0</v>
      </c>
      <c r="H2052" s="1999"/>
      <c r="I2052" s="647"/>
      <c r="J2052" s="647"/>
    </row>
    <row r="2053" spans="2:10" ht="12.75" customHeight="1" x14ac:dyDescent="0.2">
      <c r="B2053" s="1856" t="s">
        <v>3</v>
      </c>
      <c r="C2053" s="111"/>
      <c r="D2053" s="111"/>
      <c r="E2053" s="456"/>
      <c r="F2053" s="644"/>
      <c r="G2053" s="2503"/>
      <c r="H2053" s="1999"/>
      <c r="I2053" s="647"/>
      <c r="J2053" s="647"/>
    </row>
    <row r="2054" spans="2:10" ht="12.75" customHeight="1" x14ac:dyDescent="0.2">
      <c r="B2054" s="1856" t="s">
        <v>4</v>
      </c>
      <c r="C2054" s="111"/>
      <c r="D2054" s="111"/>
      <c r="E2054" s="456">
        <v>20</v>
      </c>
      <c r="F2054" s="644">
        <v>80</v>
      </c>
      <c r="G2054" s="2503">
        <f>COUNTIF(PoderesDeCriatura_Adquiridos,Tablas!B2054)</f>
        <v>0</v>
      </c>
      <c r="H2054" s="1999"/>
      <c r="I2054" s="647"/>
      <c r="J2054" s="647"/>
    </row>
    <row r="2055" spans="2:10" ht="12.75" customHeight="1" x14ac:dyDescent="0.2">
      <c r="B2055" s="1856" t="s">
        <v>5</v>
      </c>
      <c r="C2055" s="111"/>
      <c r="D2055" s="111"/>
      <c r="E2055" s="456">
        <v>20</v>
      </c>
      <c r="F2055" s="644">
        <v>100</v>
      </c>
      <c r="G2055" s="2503">
        <f>COUNTIF(PoderesDeCriatura_Adquiridos,Tablas!B2055)</f>
        <v>0</v>
      </c>
      <c r="H2055" s="1999"/>
      <c r="I2055" s="647"/>
      <c r="J2055" s="647"/>
    </row>
    <row r="2056" spans="2:10" ht="12.75" customHeight="1" x14ac:dyDescent="0.2">
      <c r="B2056" s="1856" t="s">
        <v>6</v>
      </c>
      <c r="C2056" s="111"/>
      <c r="D2056" s="111"/>
      <c r="E2056" s="456">
        <v>20</v>
      </c>
      <c r="F2056" s="644">
        <f>IF(TipoDeCriatura="No muerto, Espectro",25,100)</f>
        <v>100</v>
      </c>
      <c r="G2056" s="2503">
        <f>COUNTIF(PoderesDeCriatura_Adquiridos,Tablas!B2056)</f>
        <v>0</v>
      </c>
      <c r="H2056" s="1999"/>
      <c r="I2056" s="647"/>
      <c r="J2056" s="647"/>
    </row>
    <row r="2057" spans="2:10" ht="12.75" customHeight="1" x14ac:dyDescent="0.2">
      <c r="B2057" s="1856" t="s">
        <v>7</v>
      </c>
      <c r="C2057" s="111"/>
      <c r="D2057" s="111"/>
      <c r="E2057" s="456">
        <v>20</v>
      </c>
      <c r="F2057" s="644">
        <v>10</v>
      </c>
      <c r="G2057" s="2503">
        <f>COUNTIF(PoderesDeCriatura_Adquiridos,Tablas!B2057)</f>
        <v>0</v>
      </c>
      <c r="H2057" s="1999"/>
      <c r="I2057" s="647"/>
      <c r="J2057" s="647"/>
    </row>
    <row r="2058" spans="2:10" ht="12.75" customHeight="1" x14ac:dyDescent="0.2">
      <c r="B2058" s="1856" t="s">
        <v>8</v>
      </c>
      <c r="C2058" s="111"/>
      <c r="D2058" s="111"/>
      <c r="E2058" s="456">
        <v>20</v>
      </c>
      <c r="F2058" s="644">
        <v>-20</v>
      </c>
      <c r="G2058" s="2503">
        <f>COUNTIF(PoderesDeCriatura_Adquiridos,Tablas!B2058)</f>
        <v>0</v>
      </c>
      <c r="H2058" s="1999"/>
      <c r="I2058" s="647"/>
      <c r="J2058" s="647"/>
    </row>
    <row r="2059" spans="2:10" ht="12.75" customHeight="1" x14ac:dyDescent="0.2">
      <c r="B2059" s="1856" t="s">
        <v>9</v>
      </c>
      <c r="C2059" s="111"/>
      <c r="D2059" s="111"/>
      <c r="E2059" s="383">
        <v>0</v>
      </c>
      <c r="F2059" s="383">
        <v>0</v>
      </c>
      <c r="G2059" s="2503">
        <f>COUNTIF(PoderesDeCriatura_Adquiridos,Tablas!B2059)</f>
        <v>0</v>
      </c>
      <c r="H2059" s="1999"/>
      <c r="I2059" s="647"/>
      <c r="J2059" s="647"/>
    </row>
    <row r="2060" spans="2:10" ht="12.75" customHeight="1" x14ac:dyDescent="0.2">
      <c r="B2060" s="1856" t="s">
        <v>10</v>
      </c>
      <c r="C2060" s="111"/>
      <c r="D2060" s="111"/>
      <c r="E2060" s="383">
        <v>10</v>
      </c>
      <c r="F2060" s="383">
        <f>5+IF(OR(TipoDeCriatura="Entre mundos, Elemental",TipoDeCriatura="Ánima, Elemental"),5,0)</f>
        <v>5</v>
      </c>
      <c r="G2060" s="2503">
        <f>COUNTIF(PoderesDeCriatura_Adquiridos,Tablas!B2060)</f>
        <v>0</v>
      </c>
      <c r="H2060" s="1999"/>
      <c r="I2060" s="647"/>
      <c r="J2060" s="647"/>
    </row>
    <row r="2061" spans="2:10" ht="12.75" customHeight="1" x14ac:dyDescent="0.2">
      <c r="B2061" s="1856" t="s">
        <v>11</v>
      </c>
      <c r="C2061" s="111"/>
      <c r="D2061" s="111"/>
      <c r="E2061" s="383">
        <v>30</v>
      </c>
      <c r="F2061" s="383">
        <f>100+IF(OR(TipoDeCriatura="Entre mundos, Elemental",TipoDeCriatura="Ánima, Elemental"),10,0)</f>
        <v>100</v>
      </c>
      <c r="G2061" s="2503">
        <f>COUNTIF(PoderesDeCriatura_Adquiridos,Tablas!B2061)</f>
        <v>0</v>
      </c>
      <c r="H2061" s="1999"/>
      <c r="I2061" s="647"/>
      <c r="J2061" s="647"/>
    </row>
    <row r="2062" spans="2:10" ht="12.75" customHeight="1" x14ac:dyDescent="0.2">
      <c r="B2062" s="1856" t="s">
        <v>12</v>
      </c>
      <c r="C2062" s="111"/>
      <c r="D2062" s="111"/>
      <c r="E2062" s="456">
        <v>10</v>
      </c>
      <c r="F2062" s="644">
        <v>-30</v>
      </c>
      <c r="G2062" s="2503">
        <f>COUNTIF(PoderesDeCriatura_Adquiridos,Tablas!B2062)</f>
        <v>0</v>
      </c>
      <c r="H2062" s="1999"/>
      <c r="I2062" s="647"/>
      <c r="J2062" s="647"/>
    </row>
    <row r="2063" spans="2:10" ht="12.75" customHeight="1" x14ac:dyDescent="0.2">
      <c r="B2063" s="1856" t="s">
        <v>13</v>
      </c>
      <c r="C2063" s="111"/>
      <c r="D2063" s="111"/>
      <c r="E2063" s="456">
        <v>10</v>
      </c>
      <c r="F2063" s="644">
        <v>-10</v>
      </c>
      <c r="G2063" s="2503">
        <f>COUNTIF(PoderesDeCriatura_Adquiridos,Tablas!B2063)</f>
        <v>0</v>
      </c>
      <c r="H2063" s="1999"/>
      <c r="I2063" s="647"/>
      <c r="J2063" s="647"/>
    </row>
    <row r="2064" spans="2:10" ht="12.75" customHeight="1" x14ac:dyDescent="0.2">
      <c r="B2064" s="1856" t="s">
        <v>14</v>
      </c>
      <c r="C2064" s="111"/>
      <c r="D2064" s="111"/>
      <c r="E2064" s="456">
        <v>10</v>
      </c>
      <c r="F2064" s="644">
        <v>-20</v>
      </c>
      <c r="G2064" s="2503">
        <f>COUNTIF(PoderesDeCriatura_Adquiridos,Tablas!B2064)</f>
        <v>0</v>
      </c>
      <c r="H2064" s="1999"/>
      <c r="I2064" s="647"/>
      <c r="J2064" s="647"/>
    </row>
    <row r="2065" spans="2:10" ht="12.75" customHeight="1" x14ac:dyDescent="0.2">
      <c r="B2065" s="1856" t="s">
        <v>15</v>
      </c>
      <c r="C2065" s="111"/>
      <c r="D2065" s="111"/>
      <c r="E2065" s="456">
        <v>10</v>
      </c>
      <c r="F2065" s="644">
        <v>-30</v>
      </c>
      <c r="G2065" s="2503">
        <f>COUNTIF(PoderesDeCriatura_Adquiridos,Tablas!B2065)</f>
        <v>0</v>
      </c>
      <c r="H2065" s="1999"/>
      <c r="I2065" s="647"/>
      <c r="J2065" s="647"/>
    </row>
    <row r="2066" spans="2:10" ht="12.75" customHeight="1" x14ac:dyDescent="0.2">
      <c r="B2066" s="1856" t="s">
        <v>16</v>
      </c>
      <c r="C2066" s="111"/>
      <c r="D2066" s="111"/>
      <c r="E2066" s="456">
        <v>10</v>
      </c>
      <c r="F2066" s="644">
        <v>-40</v>
      </c>
      <c r="G2066" s="2503">
        <f>COUNTIF(PoderesDeCriatura_Adquiridos,Tablas!B2066)</f>
        <v>0</v>
      </c>
      <c r="H2066" s="1999"/>
      <c r="I2066" s="647"/>
      <c r="J2066" s="647"/>
    </row>
    <row r="2067" spans="2:10" ht="12.75" customHeight="1" x14ac:dyDescent="0.2">
      <c r="B2067" s="1856" t="s">
        <v>17</v>
      </c>
      <c r="C2067" s="111"/>
      <c r="D2067" s="111"/>
      <c r="E2067" s="456">
        <v>10</v>
      </c>
      <c r="F2067" s="644">
        <v>-50</v>
      </c>
      <c r="G2067" s="2503">
        <f>COUNTIF(PoderesDeCriatura_Adquiridos,Tablas!B2067)</f>
        <v>0</v>
      </c>
      <c r="H2067" s="1999"/>
      <c r="I2067" s="647"/>
      <c r="J2067" s="647"/>
    </row>
    <row r="2068" spans="2:10" ht="12.75" customHeight="1" x14ac:dyDescent="0.2">
      <c r="B2068" s="1856" t="s">
        <v>18</v>
      </c>
      <c r="C2068" s="111"/>
      <c r="D2068" s="111"/>
      <c r="E2068" s="383">
        <v>0</v>
      </c>
      <c r="F2068" s="383">
        <v>0</v>
      </c>
      <c r="G2068" s="2503">
        <f>COUNTIF(PoderesDeCriatura_Adquiridos,Tablas!B2068)</f>
        <v>0</v>
      </c>
      <c r="H2068" s="1999"/>
      <c r="I2068" s="647"/>
      <c r="J2068" s="647"/>
    </row>
    <row r="2069" spans="2:10" ht="12.75" customHeight="1" x14ac:dyDescent="0.2">
      <c r="B2069" s="1856" t="s">
        <v>19</v>
      </c>
      <c r="C2069" s="111"/>
      <c r="D2069" s="111"/>
      <c r="E2069" s="383">
        <v>10</v>
      </c>
      <c r="F2069" s="383">
        <f>5+IF(OR(TipoDeCriatura="Entre mundos, Elemental",TipoDeCriatura="Ánima, Elemental"),5,0)</f>
        <v>5</v>
      </c>
      <c r="G2069" s="2503">
        <f>COUNTIF(PoderesDeCriatura_Adquiridos,Tablas!B2069)</f>
        <v>0</v>
      </c>
      <c r="H2069" s="1999"/>
      <c r="I2069" s="647"/>
      <c r="J2069" s="647"/>
    </row>
    <row r="2070" spans="2:10" ht="12.75" customHeight="1" x14ac:dyDescent="0.2">
      <c r="B2070" s="1856" t="s">
        <v>20</v>
      </c>
      <c r="C2070" s="111"/>
      <c r="D2070" s="111"/>
      <c r="E2070" s="383">
        <v>25</v>
      </c>
      <c r="F2070" s="383">
        <f>80+IF(OR(TipoDeCriatura="Entre mundos, Elemental",TipoDeCriatura="Ánima, Elemental"),10,0)</f>
        <v>80</v>
      </c>
      <c r="G2070" s="2503">
        <f>COUNTIF(PoderesDeCriatura_Adquiridos,Tablas!B2070)</f>
        <v>0</v>
      </c>
      <c r="H2070" s="1999"/>
      <c r="I2070" s="647"/>
      <c r="J2070" s="647"/>
    </row>
    <row r="2071" spans="2:10" ht="12.75" customHeight="1" x14ac:dyDescent="0.2">
      <c r="B2071" s="1856" t="s">
        <v>21</v>
      </c>
      <c r="C2071" s="111"/>
      <c r="D2071" s="111"/>
      <c r="E2071" s="456">
        <v>10</v>
      </c>
      <c r="F2071" s="644">
        <v>-30</v>
      </c>
      <c r="G2071" s="2503">
        <f>COUNTIF(PoderesDeCriatura_Adquiridos,Tablas!B2071)</f>
        <v>0</v>
      </c>
      <c r="H2071" s="1999"/>
      <c r="I2071" s="647"/>
      <c r="J2071" s="647"/>
    </row>
    <row r="2072" spans="2:10" ht="12.75" customHeight="1" x14ac:dyDescent="0.2">
      <c r="B2072" s="1856" t="s">
        <v>22</v>
      </c>
      <c r="C2072" s="111"/>
      <c r="D2072" s="111"/>
      <c r="E2072" s="456">
        <v>10</v>
      </c>
      <c r="F2072" s="644">
        <v>-10</v>
      </c>
      <c r="G2072" s="2503">
        <f>COUNTIF(PoderesDeCriatura_Adquiridos,Tablas!B2072)</f>
        <v>0</v>
      </c>
      <c r="H2072" s="1999"/>
      <c r="I2072" s="647"/>
      <c r="J2072" s="647"/>
    </row>
    <row r="2073" spans="2:10" ht="12.75" customHeight="1" x14ac:dyDescent="0.2">
      <c r="B2073" s="1856" t="s">
        <v>23</v>
      </c>
      <c r="C2073" s="111"/>
      <c r="D2073" s="111"/>
      <c r="E2073" s="456">
        <v>10</v>
      </c>
      <c r="F2073" s="644">
        <v>-20</v>
      </c>
      <c r="G2073" s="2503">
        <f>COUNTIF(PoderesDeCriatura_Adquiridos,Tablas!B2073)</f>
        <v>0</v>
      </c>
      <c r="H2073" s="1999"/>
      <c r="I2073" s="647"/>
      <c r="J2073" s="647"/>
    </row>
    <row r="2074" spans="2:10" ht="12.75" customHeight="1" x14ac:dyDescent="0.2">
      <c r="B2074" s="1856" t="s">
        <v>24</v>
      </c>
      <c r="C2074" s="111"/>
      <c r="D2074" s="111"/>
      <c r="E2074" s="456">
        <v>10</v>
      </c>
      <c r="F2074" s="644">
        <v>-30</v>
      </c>
      <c r="G2074" s="2503">
        <f>COUNTIF(PoderesDeCriatura_Adquiridos,Tablas!B2074)</f>
        <v>0</v>
      </c>
      <c r="H2074" s="1999"/>
      <c r="I2074" s="647"/>
      <c r="J2074" s="647"/>
    </row>
    <row r="2075" spans="2:10" ht="12.75" customHeight="1" x14ac:dyDescent="0.2">
      <c r="B2075" s="1856" t="s">
        <v>25</v>
      </c>
      <c r="C2075" s="111"/>
      <c r="D2075" s="111"/>
      <c r="E2075" s="456">
        <v>10</v>
      </c>
      <c r="F2075" s="644">
        <v>-40</v>
      </c>
      <c r="G2075" s="2503">
        <f>COUNTIF(PoderesDeCriatura_Adquiridos,Tablas!B2075)</f>
        <v>0</v>
      </c>
      <c r="H2075" s="1999"/>
      <c r="I2075" s="647"/>
      <c r="J2075" s="647"/>
    </row>
    <row r="2076" spans="2:10" ht="12.75" customHeight="1" x14ac:dyDescent="0.2">
      <c r="B2076" s="1856" t="s">
        <v>26</v>
      </c>
      <c r="C2076" s="111"/>
      <c r="D2076" s="111"/>
      <c r="E2076" s="456">
        <v>10</v>
      </c>
      <c r="F2076" s="644">
        <v>-50</v>
      </c>
      <c r="G2076" s="2503">
        <f>COUNTIF(PoderesDeCriatura_Adquiridos,Tablas!B2076)</f>
        <v>0</v>
      </c>
      <c r="H2076" s="1999"/>
      <c r="I2076" s="647"/>
      <c r="J2076" s="647"/>
    </row>
    <row r="2077" spans="2:10" ht="12.75" customHeight="1" x14ac:dyDescent="0.2">
      <c r="B2077" s="1856" t="s">
        <v>27</v>
      </c>
      <c r="C2077" s="111"/>
      <c r="D2077" s="111"/>
      <c r="E2077" s="456">
        <v>15</v>
      </c>
      <c r="F2077" s="644">
        <v>40</v>
      </c>
      <c r="G2077" s="2503">
        <f>COUNTIF(PoderesDeCriatura_Adquiridos,Tablas!B2077)</f>
        <v>0</v>
      </c>
      <c r="H2077" s="1999"/>
      <c r="I2077" s="647"/>
      <c r="J2077" s="647"/>
    </row>
    <row r="2078" spans="2:10" ht="12.75" customHeight="1" x14ac:dyDescent="0.2">
      <c r="B2078" s="1856" t="s">
        <v>28</v>
      </c>
      <c r="C2078" s="111"/>
      <c r="D2078" s="111"/>
      <c r="E2078" s="456">
        <v>20</v>
      </c>
      <c r="F2078" s="644">
        <v>60</v>
      </c>
      <c r="G2078" s="2503">
        <f>COUNTIF(PoderesDeCriatura_Adquiridos,Tablas!B2078)</f>
        <v>0</v>
      </c>
      <c r="H2078" s="1999"/>
      <c r="I2078" s="647"/>
      <c r="J2078" s="647"/>
    </row>
    <row r="2079" spans="2:10" ht="12.75" customHeight="1" x14ac:dyDescent="0.2">
      <c r="B2079" s="1856" t="s">
        <v>29</v>
      </c>
      <c r="C2079" s="111"/>
      <c r="D2079" s="111"/>
      <c r="E2079" s="456">
        <v>25</v>
      </c>
      <c r="F2079" s="644">
        <v>100</v>
      </c>
      <c r="G2079" s="2503">
        <f>COUNTIF(PoderesDeCriatura_Adquiridos,Tablas!B2079)</f>
        <v>0</v>
      </c>
      <c r="H2079" s="1999"/>
      <c r="I2079" s="647"/>
      <c r="J2079" s="647"/>
    </row>
    <row r="2080" spans="2:10" ht="12.75" customHeight="1" x14ac:dyDescent="0.2">
      <c r="B2080" s="1856" t="s">
        <v>30</v>
      </c>
      <c r="C2080" s="111"/>
      <c r="D2080" s="111"/>
      <c r="E2080" s="456">
        <v>20</v>
      </c>
      <c r="F2080" s="644">
        <v>-20</v>
      </c>
      <c r="G2080" s="2503">
        <f>COUNTIF(PoderesDeCriatura_Adquiridos,Tablas!B2080)</f>
        <v>0</v>
      </c>
      <c r="H2080" s="1999"/>
      <c r="I2080" s="647"/>
      <c r="J2080" s="647"/>
    </row>
    <row r="2081" spans="2:10" ht="12.75" customHeight="1" x14ac:dyDescent="0.2">
      <c r="B2081" s="1856" t="s">
        <v>31</v>
      </c>
      <c r="C2081" s="111"/>
      <c r="D2081" s="111"/>
      <c r="E2081" s="456">
        <v>10</v>
      </c>
      <c r="F2081" s="644">
        <v>10</v>
      </c>
      <c r="G2081" s="2503">
        <f>COUNTIF(PoderesDeCriatura_Adquiridos,Tablas!B2081)</f>
        <v>0</v>
      </c>
      <c r="H2081" s="1999"/>
      <c r="I2081" s="647"/>
      <c r="J2081" s="647"/>
    </row>
    <row r="2082" spans="2:10" ht="12.75" customHeight="1" x14ac:dyDescent="0.2">
      <c r="B2082" s="1856" t="s">
        <v>32</v>
      </c>
      <c r="C2082" s="111"/>
      <c r="D2082" s="111"/>
      <c r="E2082" s="456">
        <v>20</v>
      </c>
      <c r="F2082" s="644">
        <v>20</v>
      </c>
      <c r="G2082" s="2503">
        <f>COUNTIF(PoderesDeCriatura_Adquiridos,Tablas!B2082)</f>
        <v>0</v>
      </c>
      <c r="H2082" s="1999"/>
      <c r="I2082" s="647"/>
      <c r="J2082" s="647"/>
    </row>
    <row r="2083" spans="2:10" ht="12.75" customHeight="1" x14ac:dyDescent="0.2">
      <c r="B2083" s="1856" t="s">
        <v>33</v>
      </c>
      <c r="C2083" s="111"/>
      <c r="D2083" s="111"/>
      <c r="E2083" s="456">
        <v>20</v>
      </c>
      <c r="F2083" s="644">
        <v>40</v>
      </c>
      <c r="G2083" s="2503">
        <f>COUNTIF(PoderesDeCriatura_Adquiridos,Tablas!B2083)</f>
        <v>0</v>
      </c>
      <c r="H2083" s="1999"/>
      <c r="I2083" s="647"/>
      <c r="J2083" s="647"/>
    </row>
    <row r="2084" spans="2:10" ht="12.75" customHeight="1" x14ac:dyDescent="0.2">
      <c r="B2084" s="1856" t="s">
        <v>34</v>
      </c>
      <c r="C2084" s="111"/>
      <c r="D2084" s="111"/>
      <c r="E2084" s="456">
        <v>25</v>
      </c>
      <c r="F2084" s="644">
        <v>80</v>
      </c>
      <c r="G2084" s="2503">
        <f>COUNTIF(PoderesDeCriatura_Adquiridos,Tablas!B2084)</f>
        <v>0</v>
      </c>
      <c r="H2084" s="1999"/>
      <c r="I2084" s="647"/>
      <c r="J2084" s="647"/>
    </row>
    <row r="2085" spans="2:10" ht="12.75" customHeight="1" x14ac:dyDescent="0.2">
      <c r="B2085" s="1856" t="s">
        <v>35</v>
      </c>
      <c r="C2085" s="111"/>
      <c r="D2085" s="111"/>
      <c r="E2085" s="456">
        <v>10</v>
      </c>
      <c r="F2085" s="644">
        <v>50</v>
      </c>
      <c r="G2085" s="2503">
        <f>COUNTIF(PoderesDeCriatura_Adquiridos,Tablas!B2085)</f>
        <v>0</v>
      </c>
      <c r="H2085" s="1999"/>
      <c r="I2085" s="647"/>
      <c r="J2085" s="647"/>
    </row>
    <row r="2086" spans="2:10" ht="12.75" customHeight="1" x14ac:dyDescent="0.2">
      <c r="B2086" s="1856" t="s">
        <v>36</v>
      </c>
      <c r="C2086" s="111"/>
      <c r="D2086" s="111"/>
      <c r="E2086" s="456">
        <v>20</v>
      </c>
      <c r="F2086" s="644">
        <v>80</v>
      </c>
      <c r="G2086" s="2503">
        <f>COUNTIF(PoderesDeCriatura_Adquiridos,Tablas!B2086)</f>
        <v>0</v>
      </c>
      <c r="H2086" s="1999"/>
      <c r="I2086" s="647"/>
      <c r="J2086" s="647"/>
    </row>
    <row r="2087" spans="2:10" ht="12.75" customHeight="1" x14ac:dyDescent="0.2">
      <c r="B2087" s="1856" t="s">
        <v>37</v>
      </c>
      <c r="C2087" s="111"/>
      <c r="D2087" s="111"/>
      <c r="E2087" s="456">
        <v>25</v>
      </c>
      <c r="F2087" s="644">
        <v>100</v>
      </c>
      <c r="G2087" s="2503">
        <f>COUNTIF(PoderesDeCriatura_Adquiridos,Tablas!B2087)</f>
        <v>0</v>
      </c>
      <c r="H2087" s="1999"/>
      <c r="I2087" s="647"/>
      <c r="J2087" s="647"/>
    </row>
    <row r="2088" spans="2:10" ht="12.75" customHeight="1" x14ac:dyDescent="0.2">
      <c r="B2088" s="1856" t="s">
        <v>38</v>
      </c>
      <c r="C2088" s="111"/>
      <c r="D2088" s="111"/>
      <c r="E2088" s="456">
        <v>30</v>
      </c>
      <c r="F2088" s="644">
        <v>150</v>
      </c>
      <c r="G2088" s="2503">
        <f>COUNTIF(PoderesDeCriatura_Adquiridos,Tablas!B2088)</f>
        <v>0</v>
      </c>
      <c r="H2088" s="1999"/>
      <c r="I2088" s="647"/>
      <c r="J2088" s="647"/>
    </row>
    <row r="2089" spans="2:10" ht="12.75" customHeight="1" x14ac:dyDescent="0.2">
      <c r="B2089" s="1856" t="s">
        <v>39</v>
      </c>
      <c r="C2089" s="111"/>
      <c r="D2089" s="111"/>
      <c r="E2089" s="456">
        <v>10</v>
      </c>
      <c r="F2089" s="644">
        <v>50</v>
      </c>
      <c r="G2089" s="2503">
        <f>COUNTIF(PoderesDeCriatura_Adquiridos,Tablas!B2089)</f>
        <v>0</v>
      </c>
      <c r="H2089" s="1999"/>
      <c r="I2089" s="647"/>
      <c r="J2089" s="647"/>
    </row>
    <row r="2090" spans="2:10" ht="12.75" customHeight="1" x14ac:dyDescent="0.2">
      <c r="B2090" s="1856" t="s">
        <v>40</v>
      </c>
      <c r="C2090" s="111"/>
      <c r="D2090" s="111"/>
      <c r="E2090" s="456">
        <v>20</v>
      </c>
      <c r="F2090" s="644">
        <v>-30</v>
      </c>
      <c r="G2090" s="2503">
        <f>COUNTIF(PoderesDeCriatura_Adquiridos,Tablas!B2090)</f>
        <v>0</v>
      </c>
      <c r="H2090" s="1999"/>
      <c r="I2090" s="647"/>
      <c r="J2090" s="647"/>
    </row>
    <row r="2091" spans="2:10" ht="12.75" customHeight="1" x14ac:dyDescent="0.2">
      <c r="B2091" s="1856" t="s">
        <v>41</v>
      </c>
      <c r="C2091" s="111"/>
      <c r="D2091" s="111"/>
      <c r="E2091" s="383">
        <v>20</v>
      </c>
      <c r="F2091" s="383">
        <v>40</v>
      </c>
      <c r="G2091" s="2503">
        <f>COUNTIF(PoderesDeCriatura_Adquiridos,Tablas!B2091)</f>
        <v>0</v>
      </c>
      <c r="H2091" s="1999"/>
      <c r="I2091" s="647"/>
      <c r="J2091" s="647"/>
    </row>
    <row r="2092" spans="2:10" ht="12.75" customHeight="1" x14ac:dyDescent="0.2">
      <c r="B2092" s="1856" t="s">
        <v>42</v>
      </c>
      <c r="C2092" s="111"/>
      <c r="D2092" s="111"/>
      <c r="E2092" s="216">
        <v>20</v>
      </c>
      <c r="F2092" s="383">
        <v>60</v>
      </c>
      <c r="G2092" s="2503">
        <f>COUNTIF(PoderesDeCriatura_Adquiridos,Tablas!B2092)</f>
        <v>0</v>
      </c>
      <c r="H2092" s="1999"/>
      <c r="I2092" s="647"/>
      <c r="J2092" s="647"/>
    </row>
    <row r="2093" spans="2:10" ht="12.75" customHeight="1" x14ac:dyDescent="0.2">
      <c r="B2093" s="1856" t="s">
        <v>43</v>
      </c>
      <c r="C2093" s="111"/>
      <c r="D2093" s="111"/>
      <c r="E2093" s="383">
        <v>25</v>
      </c>
      <c r="F2093" s="383">
        <v>80</v>
      </c>
      <c r="G2093" s="2503">
        <f>COUNTIF(PoderesDeCriatura_Adquiridos,Tablas!B2093)</f>
        <v>0</v>
      </c>
      <c r="H2093" s="1999"/>
      <c r="I2093" s="647"/>
      <c r="J2093" s="647"/>
    </row>
    <row r="2094" spans="2:10" ht="12.75" customHeight="1" x14ac:dyDescent="0.2">
      <c r="B2094" s="1856" t="s">
        <v>44</v>
      </c>
      <c r="C2094" s="111"/>
      <c r="D2094" s="111"/>
      <c r="E2094" s="383">
        <v>25</v>
      </c>
      <c r="F2094" s="383">
        <v>100</v>
      </c>
      <c r="G2094" s="2503">
        <f>COUNTIF(PoderesDeCriatura_Adquiridos,Tablas!B2094)</f>
        <v>0</v>
      </c>
      <c r="H2094" s="1999"/>
      <c r="I2094" s="647"/>
      <c r="J2094" s="647"/>
    </row>
    <row r="2095" spans="2:10" ht="12.75" customHeight="1" x14ac:dyDescent="0.2">
      <c r="B2095" s="1856" t="s">
        <v>45</v>
      </c>
      <c r="C2095" s="111"/>
      <c r="D2095" s="111"/>
      <c r="E2095" s="383">
        <v>30</v>
      </c>
      <c r="F2095" s="383">
        <v>120</v>
      </c>
      <c r="G2095" s="2503">
        <f>COUNTIF(PoderesDeCriatura_Adquiridos,Tablas!B2095)</f>
        <v>0</v>
      </c>
      <c r="H2095" s="1999"/>
      <c r="I2095" s="647"/>
      <c r="J2095" s="647"/>
    </row>
    <row r="2096" spans="2:10" ht="12.75" customHeight="1" x14ac:dyDescent="0.2">
      <c r="B2096" s="1856" t="s">
        <v>46</v>
      </c>
      <c r="C2096" s="111"/>
      <c r="D2096" s="111"/>
      <c r="E2096" s="383">
        <v>35</v>
      </c>
      <c r="F2096" s="383">
        <v>140</v>
      </c>
      <c r="G2096" s="2503">
        <f>COUNTIF(PoderesDeCriatura_Adquiridos,Tablas!B2096)</f>
        <v>0</v>
      </c>
      <c r="H2096" s="1999"/>
      <c r="I2096" s="647"/>
      <c r="J2096" s="647"/>
    </row>
    <row r="2097" spans="2:10" ht="12.75" customHeight="1" x14ac:dyDescent="0.2">
      <c r="B2097" s="1856" t="s">
        <v>47</v>
      </c>
      <c r="C2097" s="111"/>
      <c r="D2097" s="111"/>
      <c r="E2097" s="383">
        <v>20</v>
      </c>
      <c r="F2097" s="383">
        <f>20+IF(OR(TipoDeCriatura="Entre mundos, Elemental",TipoDeCriatura="Ánima, Elemental"),10,0)</f>
        <v>20</v>
      </c>
      <c r="G2097" s="2503">
        <f>COUNTIF(PoderesDeCriatura_Adquiridos,Tablas!B2097)</f>
        <v>0</v>
      </c>
      <c r="H2097" s="1999"/>
      <c r="I2097" s="647"/>
      <c r="J2097" s="647"/>
    </row>
    <row r="2098" spans="2:10" ht="12.75" customHeight="1" x14ac:dyDescent="0.2">
      <c r="B2098" s="1856" t="s">
        <v>48</v>
      </c>
      <c r="C2098" s="111"/>
      <c r="D2098" s="111"/>
      <c r="E2098" s="383">
        <v>20</v>
      </c>
      <c r="F2098" s="383">
        <f>30+IF(OR(TipoDeCriatura="Entre mundos, Elemental",TipoDeCriatura="Ánima, Elemental"),10,0)</f>
        <v>30</v>
      </c>
      <c r="G2098" s="2503">
        <f>COUNTIF(PoderesDeCriatura_Adquiridos,Tablas!B2098)</f>
        <v>0</v>
      </c>
      <c r="H2098" s="1999"/>
      <c r="I2098" s="647"/>
      <c r="J2098" s="647"/>
    </row>
    <row r="2099" spans="2:10" ht="12.75" customHeight="1" x14ac:dyDescent="0.2">
      <c r="B2099" s="1856" t="s">
        <v>49</v>
      </c>
      <c r="C2099" s="111"/>
      <c r="D2099" s="111"/>
      <c r="E2099" s="383">
        <v>25</v>
      </c>
      <c r="F2099" s="383">
        <f>40+IF(OR(TipoDeCriatura="Entre mundos, Elemental",TipoDeCriatura="Ánima, Elemental"),10,0)</f>
        <v>40</v>
      </c>
      <c r="G2099" s="2503">
        <f>COUNTIF(PoderesDeCriatura_Adquiridos,Tablas!B2099)</f>
        <v>0</v>
      </c>
      <c r="H2099" s="1999"/>
      <c r="I2099" s="647"/>
      <c r="J2099" s="647"/>
    </row>
    <row r="2100" spans="2:10" ht="12.75" customHeight="1" x14ac:dyDescent="0.2">
      <c r="B2100" s="1856" t="s">
        <v>50</v>
      </c>
      <c r="C2100" s="111"/>
      <c r="D2100" s="111"/>
      <c r="E2100" s="383">
        <v>25</v>
      </c>
      <c r="F2100" s="383">
        <f>50+IF(OR(TipoDeCriatura="Entre mundos, Elemental",TipoDeCriatura="Ánima, Elemental"),10,0)</f>
        <v>50</v>
      </c>
      <c r="G2100" s="2503">
        <f>COUNTIF(PoderesDeCriatura_Adquiridos,Tablas!B2100)</f>
        <v>0</v>
      </c>
      <c r="H2100" s="1999"/>
      <c r="I2100" s="647"/>
      <c r="J2100" s="647"/>
    </row>
    <row r="2101" spans="2:10" ht="12.75" customHeight="1" x14ac:dyDescent="0.2">
      <c r="B2101" s="1856" t="s">
        <v>51</v>
      </c>
      <c r="C2101" s="111"/>
      <c r="D2101" s="111"/>
      <c r="E2101" s="383">
        <v>30</v>
      </c>
      <c r="F2101" s="383">
        <f>60+IF(OR(TipoDeCriatura="Entre mundos, Elemental",TipoDeCriatura="Ánima, Elemental"),10,0)</f>
        <v>60</v>
      </c>
      <c r="G2101" s="2503">
        <f>COUNTIF(PoderesDeCriatura_Adquiridos,Tablas!B2101)</f>
        <v>0</v>
      </c>
      <c r="H2101" s="1999"/>
      <c r="I2101" s="647"/>
      <c r="J2101" s="647"/>
    </row>
    <row r="2102" spans="2:10" ht="12.75" customHeight="1" x14ac:dyDescent="0.2">
      <c r="B2102" s="1856" t="s">
        <v>52</v>
      </c>
      <c r="C2102" s="111"/>
      <c r="D2102" s="111"/>
      <c r="E2102" s="644">
        <v>35</v>
      </c>
      <c r="F2102" s="383">
        <f>80+IF(OR(TipoDeCriatura="Entre mundos, Elemental",TipoDeCriatura="Ánima, Elemental"),10,0)</f>
        <v>80</v>
      </c>
      <c r="G2102" s="2503">
        <f>COUNTIF(PoderesDeCriatura_Adquiridos,Tablas!B2102)</f>
        <v>0</v>
      </c>
      <c r="H2102" s="1999"/>
      <c r="I2102" s="647"/>
      <c r="J2102" s="647"/>
    </row>
    <row r="2103" spans="2:10" ht="12.75" customHeight="1" x14ac:dyDescent="0.2">
      <c r="B2103" s="1856" t="s">
        <v>53</v>
      </c>
      <c r="C2103" s="111"/>
      <c r="D2103" s="111"/>
      <c r="E2103" s="383">
        <v>20</v>
      </c>
      <c r="F2103" s="383">
        <f>60+IF(OR(TipoDeCriatura="Entre mundos, Elemental",TipoDeCriatura="Ánima, Elemental"),10,0)</f>
        <v>60</v>
      </c>
      <c r="G2103" s="2503">
        <f>COUNTIF(PoderesDeCriatura_Adquiridos,Tablas!B2103)</f>
        <v>0</v>
      </c>
      <c r="H2103" s="1999"/>
      <c r="I2103" s="647"/>
      <c r="J2103" s="647"/>
    </row>
    <row r="2104" spans="2:10" ht="12.75" customHeight="1" x14ac:dyDescent="0.2">
      <c r="B2104" s="1856" t="s">
        <v>54</v>
      </c>
      <c r="C2104" s="111"/>
      <c r="D2104" s="111"/>
      <c r="E2104" s="383">
        <v>30</v>
      </c>
      <c r="F2104" s="383">
        <f>80+IF(OR(TipoDeCriatura="Entre mundos, Elemental",TipoDeCriatura="Ánima, Elemental"),10,0)</f>
        <v>80</v>
      </c>
      <c r="G2104" s="2503">
        <f>COUNTIF(PoderesDeCriatura_Adquiridos,Tablas!B2104)</f>
        <v>0</v>
      </c>
      <c r="H2104" s="1999"/>
      <c r="I2104" s="647"/>
      <c r="J2104" s="647"/>
    </row>
    <row r="2105" spans="2:10" ht="12.75" customHeight="1" x14ac:dyDescent="0.2">
      <c r="B2105" s="1856" t="s">
        <v>55</v>
      </c>
      <c r="C2105" s="111"/>
      <c r="D2105" s="111"/>
      <c r="E2105" s="383">
        <v>20</v>
      </c>
      <c r="F2105" s="383">
        <f>60+IF(OR(TipoDeCriatura="Entre mundos, Elemental",TipoDeCriatura="Ánima, Elemental"),10,0)</f>
        <v>60</v>
      </c>
      <c r="G2105" s="2503">
        <f>COUNTIF(PoderesDeCriatura_Adquiridos,Tablas!B2105)</f>
        <v>0</v>
      </c>
      <c r="H2105" s="1999"/>
      <c r="I2105" s="647"/>
      <c r="J2105" s="647"/>
    </row>
    <row r="2106" spans="2:10" ht="12.75" customHeight="1" x14ac:dyDescent="0.2">
      <c r="B2106" s="1856" t="s">
        <v>56</v>
      </c>
      <c r="C2106" s="111"/>
      <c r="D2106" s="111"/>
      <c r="E2106" s="383">
        <v>25</v>
      </c>
      <c r="F2106" s="383">
        <f>80+IF(OR(TipoDeCriatura="Entre mundos, Elemental",TipoDeCriatura="Ánima, Elemental"),10,0)</f>
        <v>80</v>
      </c>
      <c r="G2106" s="2503">
        <f>COUNTIF(PoderesDeCriatura_Adquiridos,Tablas!B2106)</f>
        <v>0</v>
      </c>
      <c r="H2106" s="1999"/>
      <c r="I2106" s="647"/>
      <c r="J2106" s="647"/>
    </row>
    <row r="2107" spans="2:10" ht="12.75" customHeight="1" x14ac:dyDescent="0.2">
      <c r="B2107" s="1856" t="s">
        <v>57</v>
      </c>
      <c r="C2107" s="111"/>
      <c r="D2107" s="111"/>
      <c r="E2107" s="383">
        <v>20</v>
      </c>
      <c r="F2107" s="383">
        <f>100+IF(OR(TipoDeCriatura="Entre mundos, Elemental",TipoDeCriatura="Ánima, Elemental"),10,0)</f>
        <v>100</v>
      </c>
      <c r="G2107" s="2503">
        <f>COUNTIF(PoderesDeCriatura_Adquiridos,Tablas!B2107)</f>
        <v>0</v>
      </c>
      <c r="H2107" s="1999"/>
      <c r="I2107" s="647"/>
      <c r="J2107" s="647"/>
    </row>
    <row r="2108" spans="2:10" ht="12.75" customHeight="1" x14ac:dyDescent="0.2">
      <c r="B2108" s="1856" t="s">
        <v>58</v>
      </c>
      <c r="C2108" s="111"/>
      <c r="D2108" s="111"/>
      <c r="E2108" s="383">
        <v>20</v>
      </c>
      <c r="F2108" s="383">
        <f>80+IF(OR(TipoDeCriatura="Entre mundos, Elemental",TipoDeCriatura="Ánima, Elemental"),10,0)</f>
        <v>80</v>
      </c>
      <c r="G2108" s="2503">
        <f>COUNTIF(PoderesDeCriatura_Adquiridos,Tablas!B2108)</f>
        <v>0</v>
      </c>
      <c r="H2108" s="1999"/>
      <c r="I2108" s="647"/>
      <c r="J2108" s="647"/>
    </row>
    <row r="2109" spans="2:10" ht="12.75" customHeight="1" x14ac:dyDescent="0.2">
      <c r="B2109" s="1856" t="s">
        <v>59</v>
      </c>
      <c r="C2109" s="111"/>
      <c r="D2109" s="111"/>
      <c r="E2109" s="383">
        <v>30</v>
      </c>
      <c r="F2109" s="383">
        <f>120+IF(OR(TipoDeCriatura="Entre mundos, Elemental",TipoDeCriatura="Ánima, Elemental"),10,0)</f>
        <v>120</v>
      </c>
      <c r="G2109" s="2503">
        <f>COUNTIF(PoderesDeCriatura_Adquiridos,Tablas!B2109)</f>
        <v>0</v>
      </c>
      <c r="H2109" s="1999"/>
      <c r="I2109" s="647"/>
      <c r="J2109" s="647"/>
    </row>
    <row r="2110" spans="2:10" ht="12.75" customHeight="1" x14ac:dyDescent="0.2">
      <c r="B2110" s="1856" t="s">
        <v>60</v>
      </c>
      <c r="C2110" s="111"/>
      <c r="D2110" s="111"/>
      <c r="E2110" s="383">
        <v>20</v>
      </c>
      <c r="F2110" s="383">
        <f>60+IF(OR(TipoDeCriatura="Entre mundos, Elemental",TipoDeCriatura="Ánima, Elemental"),10,0)</f>
        <v>60</v>
      </c>
      <c r="G2110" s="2503">
        <f>COUNTIF(PoderesDeCriatura_Adquiridos,Tablas!B2110)</f>
        <v>0</v>
      </c>
      <c r="H2110" s="1999"/>
      <c r="I2110" s="647"/>
      <c r="J2110" s="647"/>
    </row>
    <row r="2111" spans="2:10" ht="12.75" customHeight="1" x14ac:dyDescent="0.2">
      <c r="B2111" s="1856" t="s">
        <v>61</v>
      </c>
      <c r="C2111" s="111"/>
      <c r="D2111" s="111"/>
      <c r="E2111" s="383">
        <v>20</v>
      </c>
      <c r="F2111" s="383">
        <f>80+IF(OR(TipoDeCriatura="Entre mundos, Elemental",TipoDeCriatura="Ánima, Elemental"),10,0)</f>
        <v>80</v>
      </c>
      <c r="G2111" s="2503">
        <f>COUNTIF(PoderesDeCriatura_Adquiridos,Tablas!B2111)</f>
        <v>0</v>
      </c>
      <c r="H2111" s="1999"/>
      <c r="I2111" s="647"/>
      <c r="J2111" s="647"/>
    </row>
    <row r="2112" spans="2:10" ht="12.75" customHeight="1" x14ac:dyDescent="0.2">
      <c r="B2112" s="1856" t="s">
        <v>62</v>
      </c>
      <c r="C2112" s="111"/>
      <c r="D2112" s="111"/>
      <c r="E2112" s="383">
        <v>20</v>
      </c>
      <c r="F2112" s="383">
        <f>40+IF(OR(TipoDeCriatura="Entre mundos, Elemental",TipoDeCriatura="Ánima, Elemental"),10,0)</f>
        <v>40</v>
      </c>
      <c r="G2112" s="2503">
        <f>COUNTIF(PoderesDeCriatura_Adquiridos,Tablas!B2112)</f>
        <v>0</v>
      </c>
      <c r="H2112" s="1999"/>
      <c r="I2112" s="647"/>
      <c r="J2112" s="647"/>
    </row>
    <row r="2113" spans="2:10" ht="12.75" customHeight="1" x14ac:dyDescent="0.2">
      <c r="B2113" s="1856" t="s">
        <v>63</v>
      </c>
      <c r="C2113" s="111"/>
      <c r="D2113" s="111"/>
      <c r="E2113" s="383">
        <v>20</v>
      </c>
      <c r="F2113" s="383">
        <f>40+IF(OR(TipoDeCriatura="Entre mundos, Elemental",TipoDeCriatura="Ánima, Elemental"),10,0)</f>
        <v>40</v>
      </c>
      <c r="G2113" s="2503">
        <f>COUNTIF(PoderesDeCriatura_Adquiridos,Tablas!B2113)</f>
        <v>0</v>
      </c>
      <c r="H2113" s="1999"/>
      <c r="I2113" s="647"/>
      <c r="J2113" s="647"/>
    </row>
    <row r="2114" spans="2:10" ht="12.75" customHeight="1" x14ac:dyDescent="0.2">
      <c r="B2114" s="1856" t="s">
        <v>64</v>
      </c>
      <c r="C2114" s="111"/>
      <c r="D2114" s="111"/>
      <c r="E2114" s="383">
        <v>20</v>
      </c>
      <c r="F2114" s="383">
        <f>40+IF(OR(TipoDeCriatura="Entre mundos, Elemental",TipoDeCriatura="Ánima, Elemental"),10,0)</f>
        <v>40</v>
      </c>
      <c r="G2114" s="2503">
        <f>COUNTIF(PoderesDeCriatura_Adquiridos,Tablas!B2114)</f>
        <v>0</v>
      </c>
      <c r="H2114" s="1999"/>
      <c r="I2114" s="647"/>
      <c r="J2114" s="647"/>
    </row>
    <row r="2115" spans="2:10" ht="12.75" customHeight="1" x14ac:dyDescent="0.2">
      <c r="B2115" s="1856" t="s">
        <v>65</v>
      </c>
      <c r="C2115" s="111"/>
      <c r="D2115" s="111"/>
      <c r="E2115" s="383">
        <v>20</v>
      </c>
      <c r="F2115" s="383">
        <f>60+IF(OR(TipoDeCriatura="Entre mundos, Elemental",TipoDeCriatura="Ánima, Elemental"),10,0)</f>
        <v>60</v>
      </c>
      <c r="G2115" s="2503">
        <f>COUNTIF(PoderesDeCriatura_Adquiridos,Tablas!B2115)</f>
        <v>0</v>
      </c>
      <c r="H2115" s="1999"/>
      <c r="I2115" s="647"/>
      <c r="J2115" s="647"/>
    </row>
    <row r="2116" spans="2:10" ht="12.75" customHeight="1" x14ac:dyDescent="0.2">
      <c r="B2116" s="1856" t="s">
        <v>66</v>
      </c>
      <c r="C2116" s="111"/>
      <c r="D2116" s="111"/>
      <c r="E2116" s="383">
        <v>30</v>
      </c>
      <c r="F2116" s="383">
        <f>100+IF(OR(TipoDeCriatura="Entre mundos, Elemental",TipoDeCriatura="Ánima, Elemental"),10,0)</f>
        <v>100</v>
      </c>
      <c r="G2116" s="2503">
        <f>COUNTIF(PoderesDeCriatura_Adquiridos,Tablas!B2116)</f>
        <v>0</v>
      </c>
      <c r="H2116" s="1999"/>
      <c r="I2116" s="647"/>
      <c r="J2116" s="647"/>
    </row>
    <row r="2117" spans="2:10" ht="12.75" customHeight="1" x14ac:dyDescent="0.2">
      <c r="B2117" s="1856" t="s">
        <v>67</v>
      </c>
      <c r="C2117" s="111"/>
      <c r="D2117" s="111"/>
      <c r="E2117" s="383">
        <v>20</v>
      </c>
      <c r="F2117" s="383">
        <f>120+IF(OR(TipoDeCriatura="Entre mundos, Elemental",TipoDeCriatura="Ánima, Elemental"),10,0)</f>
        <v>120</v>
      </c>
      <c r="G2117" s="2503">
        <f>COUNTIF(PoderesDeCriatura_Adquiridos,Tablas!B2117)</f>
        <v>0</v>
      </c>
      <c r="H2117" s="1999"/>
      <c r="I2117" s="647"/>
      <c r="J2117" s="647"/>
    </row>
    <row r="2118" spans="2:10" ht="12.75" customHeight="1" x14ac:dyDescent="0.2">
      <c r="B2118" s="1856" t="s">
        <v>68</v>
      </c>
      <c r="C2118" s="111"/>
      <c r="D2118" s="111"/>
      <c r="E2118" s="383">
        <v>30</v>
      </c>
      <c r="F2118" s="383">
        <f>140+IF(OR(TipoDeCriatura="Entre mundos, Elemental",TipoDeCriatura="Ánima, Elemental"),10,0)</f>
        <v>140</v>
      </c>
      <c r="G2118" s="2503">
        <f>COUNTIF(PoderesDeCriatura_Adquiridos,Tablas!B2118)</f>
        <v>0</v>
      </c>
      <c r="H2118" s="1999"/>
      <c r="I2118" s="647"/>
      <c r="J2118" s="647"/>
    </row>
    <row r="2119" spans="2:10" ht="12.75" customHeight="1" x14ac:dyDescent="0.2">
      <c r="B2119" s="1856" t="s">
        <v>69</v>
      </c>
      <c r="C2119" s="111"/>
      <c r="D2119" s="111"/>
      <c r="E2119" s="383">
        <v>35</v>
      </c>
      <c r="F2119" s="383">
        <f>160+IF(OR(TipoDeCriatura="Entre mundos, Elemental",TipoDeCriatura="Ánima, Elemental"),10,0)</f>
        <v>160</v>
      </c>
      <c r="G2119" s="2503">
        <f>COUNTIF(PoderesDeCriatura_Adquiridos,Tablas!B2119)</f>
        <v>0</v>
      </c>
      <c r="H2119" s="1999"/>
      <c r="I2119" s="647"/>
      <c r="J2119" s="647"/>
    </row>
    <row r="2120" spans="2:10" ht="12.75" customHeight="1" x14ac:dyDescent="0.2">
      <c r="B2120" s="1856" t="s">
        <v>70</v>
      </c>
      <c r="C2120" s="111"/>
      <c r="D2120" s="111"/>
      <c r="E2120" s="383">
        <v>20</v>
      </c>
      <c r="F2120" s="383">
        <f>40+IF(OR(TipoDeCriatura="Entre mundos, Elemental",TipoDeCriatura="Ánima, Elemental"),10,0)</f>
        <v>40</v>
      </c>
      <c r="G2120" s="2503">
        <f>COUNTIF(PoderesDeCriatura_Adquiridos,Tablas!B2120)</f>
        <v>0</v>
      </c>
      <c r="H2120" s="1999"/>
      <c r="I2120" s="647"/>
      <c r="J2120" s="647"/>
    </row>
    <row r="2121" spans="2:10" ht="12.75" customHeight="1" x14ac:dyDescent="0.2">
      <c r="B2121" s="1856" t="s">
        <v>71</v>
      </c>
      <c r="C2121" s="111"/>
      <c r="D2121" s="111"/>
      <c r="E2121" s="383">
        <v>25</v>
      </c>
      <c r="F2121" s="383">
        <f>80+IF(OR(TipoDeCriatura="Entre mundos, Elemental",TipoDeCriatura="Ánima, Elemental"),10,0)</f>
        <v>80</v>
      </c>
      <c r="G2121" s="2503">
        <f>COUNTIF(PoderesDeCriatura_Adquiridos,Tablas!B2121)</f>
        <v>0</v>
      </c>
      <c r="H2121" s="1999"/>
      <c r="I2121" s="647"/>
      <c r="J2121" s="647"/>
    </row>
    <row r="2122" spans="2:10" ht="12.75" customHeight="1" x14ac:dyDescent="0.2">
      <c r="B2122" s="1856" t="s">
        <v>72</v>
      </c>
      <c r="C2122" s="111"/>
      <c r="D2122" s="111"/>
      <c r="E2122" s="383">
        <v>30</v>
      </c>
      <c r="F2122" s="383">
        <f>140+IF(OR(TipoDeCriatura="Entre mundos, Elemental",TipoDeCriatura="Ánima, Elemental"),10,0)</f>
        <v>140</v>
      </c>
      <c r="G2122" s="2503">
        <f>COUNTIF(PoderesDeCriatura_Adquiridos,Tablas!B2122)</f>
        <v>0</v>
      </c>
      <c r="H2122" s="1999"/>
      <c r="I2122" s="647"/>
      <c r="J2122" s="647"/>
    </row>
    <row r="2123" spans="2:10" ht="12.75" customHeight="1" x14ac:dyDescent="0.2">
      <c r="B2123" s="1856" t="s">
        <v>73</v>
      </c>
      <c r="C2123" s="111"/>
      <c r="D2123" s="111"/>
      <c r="E2123" s="383">
        <v>20</v>
      </c>
      <c r="F2123" s="383">
        <f>100+IF(OR(TipoDeCriatura="Entre mundos, Elemental",TipoDeCriatura="Ánima, Elemental"),10,0)</f>
        <v>100</v>
      </c>
      <c r="G2123" s="2503">
        <f>COUNTIF(PoderesDeCriatura_Adquiridos,Tablas!B2123)</f>
        <v>0</v>
      </c>
      <c r="H2123" s="1999"/>
      <c r="I2123" s="647"/>
      <c r="J2123" s="647"/>
    </row>
    <row r="2124" spans="2:10" ht="12.75" customHeight="1" x14ac:dyDescent="0.2">
      <c r="B2124" s="1856" t="s">
        <v>74</v>
      </c>
      <c r="C2124" s="111"/>
      <c r="D2124" s="111"/>
      <c r="E2124" s="383">
        <v>20</v>
      </c>
      <c r="F2124" s="383">
        <f>10+IF(OR(TipoDeCriatura="Entre mundos, Elemental",TipoDeCriatura="Ánima, Elemental"),10,0)</f>
        <v>10</v>
      </c>
      <c r="G2124" s="2503">
        <f>COUNTIF(PoderesDeCriatura_Adquiridos,Tablas!B2124)</f>
        <v>0</v>
      </c>
      <c r="H2124" s="1999"/>
      <c r="I2124" s="647"/>
      <c r="J2124" s="647"/>
    </row>
    <row r="2125" spans="2:10" ht="12.75" customHeight="1" x14ac:dyDescent="0.2">
      <c r="B2125" s="1856" t="s">
        <v>75</v>
      </c>
      <c r="C2125" s="111"/>
      <c r="D2125" s="111"/>
      <c r="E2125" s="383">
        <v>20</v>
      </c>
      <c r="F2125" s="383">
        <v>-30</v>
      </c>
      <c r="G2125" s="2503">
        <f>COUNTIF(PoderesDeCriatura_Adquiridos,Tablas!B2125)</f>
        <v>0</v>
      </c>
      <c r="H2125" s="1999"/>
      <c r="I2125" s="647"/>
      <c r="J2125" s="647"/>
    </row>
    <row r="2126" spans="2:10" ht="12.75" customHeight="1" x14ac:dyDescent="0.2">
      <c r="B2126" s="1856" t="s">
        <v>76</v>
      </c>
      <c r="C2126" s="111"/>
      <c r="D2126" s="111"/>
      <c r="E2126" s="383"/>
      <c r="F2126" s="383"/>
      <c r="G2126" s="2503">
        <f>COUNTIF(PoderesDeCriatura_Adquiridos,Tablas!B2126)</f>
        <v>0</v>
      </c>
      <c r="H2126" s="1999"/>
      <c r="I2126" s="647"/>
      <c r="J2126" s="647"/>
    </row>
    <row r="2127" spans="2:10" ht="12.75" customHeight="1" x14ac:dyDescent="0.2">
      <c r="B2127" s="1856" t="s">
        <v>2836</v>
      </c>
      <c r="C2127" s="111"/>
      <c r="D2127" s="111"/>
      <c r="E2127" s="456">
        <v>0</v>
      </c>
      <c r="F2127" s="644">
        <v>10</v>
      </c>
      <c r="G2127" s="2503">
        <f>COUNTIF(PoderesDeCriatura_Adquiridos,Tablas!B2127)</f>
        <v>0</v>
      </c>
      <c r="H2127" s="1999"/>
      <c r="I2127" s="647"/>
      <c r="J2127" s="647"/>
    </row>
    <row r="2128" spans="2:10" ht="12.75" customHeight="1" x14ac:dyDescent="0.2">
      <c r="B2128" s="1856" t="s">
        <v>77</v>
      </c>
      <c r="C2128" s="111"/>
      <c r="D2128" s="111"/>
      <c r="E2128" s="456">
        <v>10</v>
      </c>
      <c r="F2128" s="644">
        <v>20</v>
      </c>
      <c r="G2128" s="2503">
        <f>COUNTIF(PoderesDeCriatura_Adquiridos,Tablas!B2128)</f>
        <v>0</v>
      </c>
      <c r="H2128" s="1999"/>
      <c r="I2128" s="647"/>
      <c r="J2128" s="647"/>
    </row>
    <row r="2129" spans="2:10" ht="12.75" customHeight="1" x14ac:dyDescent="0.2">
      <c r="B2129" s="1856" t="s">
        <v>78</v>
      </c>
      <c r="C2129" s="111"/>
      <c r="D2129" s="111"/>
      <c r="E2129" s="456">
        <v>10</v>
      </c>
      <c r="F2129" s="644">
        <v>30</v>
      </c>
      <c r="G2129" s="2503">
        <f>COUNTIF(PoderesDeCriatura_Adquiridos,Tablas!B2129)</f>
        <v>0</v>
      </c>
      <c r="H2129" s="1999"/>
      <c r="I2129" s="647"/>
      <c r="J2129" s="647"/>
    </row>
    <row r="2130" spans="2:10" ht="12.75" customHeight="1" x14ac:dyDescent="0.2">
      <c r="B2130" s="1856" t="s">
        <v>79</v>
      </c>
      <c r="C2130" s="111"/>
      <c r="D2130" s="111"/>
      <c r="E2130" s="456">
        <v>10</v>
      </c>
      <c r="F2130" s="644">
        <v>10</v>
      </c>
      <c r="G2130" s="2503">
        <f>COUNTIF(PoderesDeCriatura_Adquiridos,Tablas!B2130)</f>
        <v>0</v>
      </c>
      <c r="H2130" s="1999"/>
      <c r="I2130" s="647"/>
      <c r="J2130" s="647"/>
    </row>
    <row r="2131" spans="2:10" ht="12.75" customHeight="1" x14ac:dyDescent="0.2">
      <c r="B2131" s="1856" t="s">
        <v>80</v>
      </c>
      <c r="C2131" s="111"/>
      <c r="D2131" s="111"/>
      <c r="E2131" s="456">
        <v>10</v>
      </c>
      <c r="F2131" s="644">
        <v>10</v>
      </c>
      <c r="G2131" s="2503">
        <f>COUNTIF(PoderesDeCriatura_Adquiridos,Tablas!B2131)</f>
        <v>0</v>
      </c>
      <c r="H2131" s="1999"/>
      <c r="I2131" s="647"/>
      <c r="J2131" s="647"/>
    </row>
    <row r="2132" spans="2:10" ht="12.75" customHeight="1" x14ac:dyDescent="0.2">
      <c r="B2132" s="1856" t="s">
        <v>81</v>
      </c>
      <c r="C2132" s="111"/>
      <c r="D2132" s="111"/>
      <c r="E2132" s="456">
        <v>10</v>
      </c>
      <c r="F2132" s="644">
        <v>10</v>
      </c>
      <c r="G2132" s="2503">
        <f>COUNTIF(PoderesDeCriatura_Adquiridos,Tablas!B2132)</f>
        <v>0</v>
      </c>
      <c r="H2132" s="1999"/>
      <c r="I2132" s="647"/>
      <c r="J2132" s="647"/>
    </row>
    <row r="2133" spans="2:10" ht="12.75" customHeight="1" x14ac:dyDescent="0.2">
      <c r="B2133" s="1856" t="s">
        <v>3351</v>
      </c>
      <c r="C2133" s="111"/>
      <c r="D2133" s="111"/>
      <c r="E2133" s="456">
        <v>20</v>
      </c>
      <c r="F2133" s="644">
        <v>30</v>
      </c>
      <c r="G2133" s="2503">
        <f>COUNTIF(PoderesDeCriatura_Adquiridos,Tablas!B2133)</f>
        <v>0</v>
      </c>
      <c r="H2133" s="1999"/>
      <c r="I2133" s="647"/>
      <c r="J2133" s="647"/>
    </row>
    <row r="2134" spans="2:10" ht="12.75" customHeight="1" x14ac:dyDescent="0.2">
      <c r="B2134" s="1856" t="s">
        <v>82</v>
      </c>
      <c r="C2134" s="111"/>
      <c r="D2134" s="111"/>
      <c r="E2134" s="456">
        <v>0</v>
      </c>
      <c r="F2134" s="644">
        <v>10</v>
      </c>
      <c r="G2134" s="2503">
        <f>COUNTIF(PoderesDeCriatura_Adquiridos,Tablas!B2134)</f>
        <v>0</v>
      </c>
      <c r="H2134" s="1999"/>
      <c r="I2134" s="647"/>
      <c r="J2134" s="647"/>
    </row>
    <row r="2135" spans="2:10" ht="12.75" customHeight="1" x14ac:dyDescent="0.2">
      <c r="B2135" s="1856" t="s">
        <v>83</v>
      </c>
      <c r="C2135" s="111"/>
      <c r="D2135" s="111"/>
      <c r="E2135" s="456">
        <v>10</v>
      </c>
      <c r="F2135" s="644">
        <v>20</v>
      </c>
      <c r="G2135" s="2503">
        <f>COUNTIF(PoderesDeCriatura_Adquiridos,Tablas!B2135)</f>
        <v>0</v>
      </c>
      <c r="H2135" s="1999"/>
      <c r="I2135" s="647"/>
      <c r="J2135" s="647"/>
    </row>
    <row r="2136" spans="2:10" ht="12.75" customHeight="1" x14ac:dyDescent="0.2">
      <c r="B2136" s="1856" t="s">
        <v>84</v>
      </c>
      <c r="C2136" s="111"/>
      <c r="D2136" s="111"/>
      <c r="E2136" s="456">
        <v>10</v>
      </c>
      <c r="F2136" s="644">
        <v>30</v>
      </c>
      <c r="G2136" s="2503">
        <f>COUNTIF(PoderesDeCriatura_Adquiridos,Tablas!B2136)</f>
        <v>0</v>
      </c>
      <c r="H2136" s="1999"/>
      <c r="I2136" s="647"/>
      <c r="J2136" s="647"/>
    </row>
    <row r="2137" spans="2:10" ht="12.75" customHeight="1" x14ac:dyDescent="0.2">
      <c r="B2137" s="1856" t="s">
        <v>85</v>
      </c>
      <c r="C2137" s="111"/>
      <c r="D2137" s="111"/>
      <c r="E2137" s="456">
        <v>10</v>
      </c>
      <c r="F2137" s="644">
        <v>10</v>
      </c>
      <c r="G2137" s="2503">
        <f>COUNTIF(PoderesDeCriatura_Adquiridos,Tablas!B2137)</f>
        <v>0</v>
      </c>
      <c r="H2137" s="1999"/>
      <c r="I2137" s="647"/>
      <c r="J2137" s="647"/>
    </row>
    <row r="2138" spans="2:10" ht="12.75" customHeight="1" x14ac:dyDescent="0.2">
      <c r="B2138" s="1856" t="s">
        <v>86</v>
      </c>
      <c r="C2138" s="111"/>
      <c r="D2138" s="111"/>
      <c r="E2138" s="456">
        <v>10</v>
      </c>
      <c r="F2138" s="644">
        <v>10</v>
      </c>
      <c r="G2138" s="2503">
        <f>COUNTIF(PoderesDeCriatura_Adquiridos,Tablas!B2138)</f>
        <v>0</v>
      </c>
      <c r="H2138" s="1999"/>
      <c r="I2138" s="647"/>
      <c r="J2138" s="647"/>
    </row>
    <row r="2139" spans="2:10" ht="12.75" customHeight="1" x14ac:dyDescent="0.2">
      <c r="B2139" s="1856" t="s">
        <v>87</v>
      </c>
      <c r="C2139" s="111"/>
      <c r="D2139" s="111"/>
      <c r="E2139" s="456">
        <v>10</v>
      </c>
      <c r="F2139" s="644">
        <v>10</v>
      </c>
      <c r="G2139" s="2503">
        <f>COUNTIF(PoderesDeCriatura_Adquiridos,Tablas!B2139)</f>
        <v>0</v>
      </c>
      <c r="H2139" s="1999"/>
      <c r="I2139" s="647"/>
      <c r="J2139" s="647"/>
    </row>
    <row r="2140" spans="2:10" ht="12.75" customHeight="1" x14ac:dyDescent="0.2">
      <c r="B2140" s="1856" t="s">
        <v>88</v>
      </c>
      <c r="C2140" s="111"/>
      <c r="D2140" s="111"/>
      <c r="E2140" s="456">
        <v>20</v>
      </c>
      <c r="F2140" s="644">
        <v>30</v>
      </c>
      <c r="G2140" s="2503">
        <f>COUNTIF(PoderesDeCriatura_Adquiridos,Tablas!B2140)</f>
        <v>0</v>
      </c>
      <c r="H2140" s="1999"/>
      <c r="I2140" s="647"/>
      <c r="J2140" s="647"/>
    </row>
    <row r="2141" spans="2:10" ht="12.75" customHeight="1" x14ac:dyDescent="0.2">
      <c r="B2141" s="1856" t="s">
        <v>89</v>
      </c>
      <c r="C2141" s="111"/>
      <c r="D2141" s="111"/>
      <c r="E2141" s="456">
        <v>0</v>
      </c>
      <c r="F2141" s="644">
        <f>10+IF(OR(TipoDeCriatura="Entre mundos, Elemental",TipoDeCriatura="Ánima, Elemental"),10,0)</f>
        <v>10</v>
      </c>
      <c r="G2141" s="2503">
        <f>COUNTIF(PoderesDeCriatura_Adquiridos,Tablas!B2141)</f>
        <v>0</v>
      </c>
      <c r="H2141" s="1999"/>
      <c r="I2141" s="647"/>
      <c r="J2141" s="647"/>
    </row>
    <row r="2142" spans="2:10" ht="12.75" customHeight="1" x14ac:dyDescent="0.2">
      <c r="B2142" s="1856" t="s">
        <v>90</v>
      </c>
      <c r="C2142" s="111"/>
      <c r="D2142" s="111"/>
      <c r="E2142" s="456">
        <v>10</v>
      </c>
      <c r="F2142" s="644">
        <f>20+IF(OR(TipoDeCriatura="Entre mundos, Elemental",TipoDeCriatura="Ánima, Elemental"),10,0)</f>
        <v>20</v>
      </c>
      <c r="G2142" s="2503">
        <f>COUNTIF(PoderesDeCriatura_Adquiridos,Tablas!B2142)</f>
        <v>0</v>
      </c>
      <c r="H2142" s="1999"/>
      <c r="I2142" s="647"/>
      <c r="J2142" s="647"/>
    </row>
    <row r="2143" spans="2:10" ht="12.75" customHeight="1" x14ac:dyDescent="0.2">
      <c r="B2143" s="1856" t="s">
        <v>91</v>
      </c>
      <c r="C2143" s="111"/>
      <c r="D2143" s="111"/>
      <c r="E2143" s="456">
        <v>10</v>
      </c>
      <c r="F2143" s="644">
        <f>30+IF(OR(TipoDeCriatura="Entre mundos, Elemental",TipoDeCriatura="Ánima, Elemental"),10,0)</f>
        <v>30</v>
      </c>
      <c r="G2143" s="2503">
        <f>COUNTIF(PoderesDeCriatura_Adquiridos,Tablas!B2143)</f>
        <v>0</v>
      </c>
      <c r="H2143" s="1999"/>
      <c r="I2143" s="647"/>
      <c r="J2143" s="647"/>
    </row>
    <row r="2144" spans="2:10" ht="12.75" customHeight="1" x14ac:dyDescent="0.2">
      <c r="B2144" s="1856" t="s">
        <v>92</v>
      </c>
      <c r="C2144" s="111"/>
      <c r="D2144" s="111"/>
      <c r="E2144" s="456">
        <v>10</v>
      </c>
      <c r="F2144" s="644">
        <f>10+IF(OR(TipoDeCriatura="Entre mundos, Elemental",TipoDeCriatura="Ánima, Elemental"),10,0)</f>
        <v>10</v>
      </c>
      <c r="G2144" s="2503">
        <f>COUNTIF(PoderesDeCriatura_Adquiridos,Tablas!B2144)</f>
        <v>0</v>
      </c>
      <c r="H2144" s="1999"/>
      <c r="I2144" s="647"/>
      <c r="J2144" s="647"/>
    </row>
    <row r="2145" spans="2:10" ht="12.75" customHeight="1" x14ac:dyDescent="0.2">
      <c r="B2145" s="1856" t="s">
        <v>93</v>
      </c>
      <c r="C2145" s="111"/>
      <c r="D2145" s="111"/>
      <c r="E2145" s="456">
        <v>10</v>
      </c>
      <c r="F2145" s="644">
        <f>10+IF(OR(TipoDeCriatura="Entre mundos, Elemental",TipoDeCriatura="Ánima, Elemental"),10,0)</f>
        <v>10</v>
      </c>
      <c r="G2145" s="2503">
        <f>COUNTIF(PoderesDeCriatura_Adquiridos,Tablas!B2145)</f>
        <v>0</v>
      </c>
      <c r="H2145" s="1999"/>
      <c r="I2145" s="647"/>
      <c r="J2145" s="647"/>
    </row>
    <row r="2146" spans="2:10" ht="12.75" customHeight="1" x14ac:dyDescent="0.2">
      <c r="B2146" s="1856" t="s">
        <v>94</v>
      </c>
      <c r="C2146" s="111"/>
      <c r="D2146" s="111"/>
      <c r="E2146" s="456">
        <v>10</v>
      </c>
      <c r="F2146" s="644">
        <f>20+IF(OR(TipoDeCriatura="Entre mundos, Elemental",TipoDeCriatura="Ánima, Elemental"),10,0)</f>
        <v>20</v>
      </c>
      <c r="G2146" s="2503">
        <f>COUNTIF(PoderesDeCriatura_Adquiridos,Tablas!B2146)</f>
        <v>0</v>
      </c>
      <c r="H2146" s="1999"/>
      <c r="I2146" s="647"/>
      <c r="J2146" s="647"/>
    </row>
    <row r="2147" spans="2:10" ht="12.75" customHeight="1" x14ac:dyDescent="0.2">
      <c r="B2147" s="1856" t="s">
        <v>95</v>
      </c>
      <c r="C2147" s="111"/>
      <c r="D2147" s="111"/>
      <c r="E2147" s="456">
        <v>20</v>
      </c>
      <c r="F2147" s="644">
        <f>30+IF(OR(TipoDeCriatura="Entre mundos, Elemental",TipoDeCriatura="Ánima, Elemental"),10,0)</f>
        <v>30</v>
      </c>
      <c r="G2147" s="2503">
        <f>COUNTIF(PoderesDeCriatura_Adquiridos,Tablas!B2147)</f>
        <v>0</v>
      </c>
      <c r="H2147" s="1999"/>
      <c r="I2147" s="647"/>
      <c r="J2147" s="647"/>
    </row>
    <row r="2148" spans="2:10" ht="12.75" customHeight="1" x14ac:dyDescent="0.2">
      <c r="B2148" s="1856" t="s">
        <v>96</v>
      </c>
      <c r="C2148" s="111"/>
      <c r="D2148" s="111"/>
      <c r="E2148" s="383"/>
      <c r="F2148" s="383"/>
      <c r="G2148" s="2503"/>
      <c r="H2148" s="1999"/>
      <c r="I2148" s="647"/>
      <c r="J2148" s="647"/>
    </row>
    <row r="2149" spans="2:10" ht="12.75" customHeight="1" x14ac:dyDescent="0.2">
      <c r="B2149" s="2508" t="s">
        <v>97</v>
      </c>
      <c r="C2149" s="111"/>
      <c r="D2149" s="111"/>
      <c r="E2149" s="456">
        <v>5</v>
      </c>
      <c r="F2149" s="644">
        <v>20</v>
      </c>
      <c r="G2149" s="2503">
        <f>COUNTIF(PoderesDeCriatura_Adquiridos,Tablas!B2149)</f>
        <v>0</v>
      </c>
      <c r="H2149" s="1999"/>
      <c r="I2149" s="647"/>
      <c r="J2149" s="647"/>
    </row>
    <row r="2150" spans="2:10" ht="12.75" customHeight="1" x14ac:dyDescent="0.2">
      <c r="B2150" s="1856" t="s">
        <v>98</v>
      </c>
      <c r="C2150" s="111"/>
      <c r="D2150" s="111"/>
      <c r="E2150" s="456">
        <v>10</v>
      </c>
      <c r="F2150" s="644">
        <v>10</v>
      </c>
      <c r="G2150" s="2503">
        <f>COUNTIF(PoderesDeCriatura_Adquiridos,Tablas!B2150)</f>
        <v>0</v>
      </c>
      <c r="H2150" s="1999"/>
      <c r="I2150" s="647"/>
      <c r="J2150" s="647"/>
    </row>
    <row r="2151" spans="2:10" ht="12.75" customHeight="1" x14ac:dyDescent="0.2">
      <c r="B2151" s="1856" t="s">
        <v>99</v>
      </c>
      <c r="C2151" s="111"/>
      <c r="D2151" s="111"/>
      <c r="E2151" s="456">
        <v>20</v>
      </c>
      <c r="F2151" s="644">
        <v>20</v>
      </c>
      <c r="G2151" s="2503">
        <f>COUNTIF(PoderesDeCriatura_Adquiridos,Tablas!B2151)</f>
        <v>0</v>
      </c>
      <c r="H2151" s="1999"/>
      <c r="I2151" s="647"/>
      <c r="J2151" s="647"/>
    </row>
    <row r="2152" spans="2:10" ht="12.75" customHeight="1" x14ac:dyDescent="0.2">
      <c r="B2152" s="1856" t="s">
        <v>100</v>
      </c>
      <c r="C2152" s="111"/>
      <c r="D2152" s="111"/>
      <c r="E2152" s="456">
        <v>25</v>
      </c>
      <c r="F2152" s="644">
        <v>30</v>
      </c>
      <c r="G2152" s="2503">
        <f>COUNTIF(PoderesDeCriatura_Adquiridos,Tablas!B2152)</f>
        <v>0</v>
      </c>
      <c r="H2152" s="1999"/>
      <c r="I2152" s="647"/>
      <c r="J2152" s="647"/>
    </row>
    <row r="2153" spans="2:10" ht="12.75" customHeight="1" x14ac:dyDescent="0.2">
      <c r="B2153" s="1856" t="s">
        <v>101</v>
      </c>
      <c r="C2153" s="111"/>
      <c r="D2153" s="111"/>
      <c r="E2153" s="456">
        <v>30</v>
      </c>
      <c r="F2153" s="644">
        <v>40</v>
      </c>
      <c r="G2153" s="2503">
        <f>COUNTIF(PoderesDeCriatura_Adquiridos,Tablas!B2153)</f>
        <v>0</v>
      </c>
      <c r="H2153" s="1999"/>
      <c r="I2153" s="647"/>
      <c r="J2153" s="647"/>
    </row>
    <row r="2154" spans="2:10" ht="12.75" customHeight="1" x14ac:dyDescent="0.2">
      <c r="B2154" s="1856" t="s">
        <v>102</v>
      </c>
      <c r="C2154" s="111"/>
      <c r="D2154" s="111"/>
      <c r="E2154" s="456">
        <v>5</v>
      </c>
      <c r="F2154" s="644">
        <v>20</v>
      </c>
      <c r="G2154" s="2503">
        <f>COUNTIF(PoderesDeCriatura_Adquiridos,Tablas!B2154)</f>
        <v>0</v>
      </c>
      <c r="H2154" s="1999"/>
      <c r="I2154" s="647"/>
      <c r="J2154" s="647"/>
    </row>
    <row r="2155" spans="2:10" ht="12.75" customHeight="1" x14ac:dyDescent="0.2">
      <c r="B2155" s="1856" t="s">
        <v>103</v>
      </c>
      <c r="C2155" s="111"/>
      <c r="D2155" s="111"/>
      <c r="E2155" s="456">
        <v>10</v>
      </c>
      <c r="F2155" s="644">
        <v>30</v>
      </c>
      <c r="G2155" s="2503">
        <f>COUNTIF(PoderesDeCriatura_Adquiridos,Tablas!B2155)</f>
        <v>0</v>
      </c>
      <c r="H2155" s="1999"/>
      <c r="I2155" s="647"/>
      <c r="J2155" s="647"/>
    </row>
    <row r="2156" spans="2:10" ht="12.75" customHeight="1" x14ac:dyDescent="0.2">
      <c r="B2156" s="1856" t="s">
        <v>104</v>
      </c>
      <c r="C2156" s="111"/>
      <c r="D2156" s="111"/>
      <c r="E2156" s="456">
        <v>15</v>
      </c>
      <c r="F2156" s="644">
        <v>40</v>
      </c>
      <c r="G2156" s="2503">
        <f>COUNTIF(PoderesDeCriatura_Adquiridos,Tablas!B2156)</f>
        <v>0</v>
      </c>
      <c r="H2156" s="1999"/>
      <c r="I2156" s="647"/>
      <c r="J2156" s="647"/>
    </row>
    <row r="2157" spans="2:10" ht="12.75" customHeight="1" x14ac:dyDescent="0.2">
      <c r="B2157" s="1856" t="s">
        <v>105</v>
      </c>
      <c r="C2157" s="111"/>
      <c r="D2157" s="111"/>
      <c r="E2157" s="456">
        <v>25</v>
      </c>
      <c r="F2157" s="644">
        <v>60</v>
      </c>
      <c r="G2157" s="2503">
        <f>COUNTIF(PoderesDeCriatura_Adquiridos,Tablas!B2157)</f>
        <v>0</v>
      </c>
      <c r="H2157" s="1999"/>
      <c r="I2157" s="647"/>
      <c r="J2157" s="647"/>
    </row>
    <row r="2158" spans="2:10" ht="12.75" customHeight="1" x14ac:dyDescent="0.2">
      <c r="B2158" s="1856" t="s">
        <v>106</v>
      </c>
      <c r="C2158" s="111"/>
      <c r="D2158" s="111"/>
      <c r="E2158" s="456">
        <v>30</v>
      </c>
      <c r="F2158" s="644">
        <v>80</v>
      </c>
      <c r="G2158" s="2503">
        <f>COUNTIF(PoderesDeCriatura_Adquiridos,Tablas!B2158)</f>
        <v>0</v>
      </c>
      <c r="H2158" s="1999"/>
      <c r="I2158" s="647"/>
      <c r="J2158" s="647"/>
    </row>
    <row r="2159" spans="2:10" ht="12.75" customHeight="1" x14ac:dyDescent="0.2">
      <c r="B2159" s="1856" t="s">
        <v>107</v>
      </c>
      <c r="C2159" s="111"/>
      <c r="D2159" s="111"/>
      <c r="E2159" s="456">
        <v>10</v>
      </c>
      <c r="F2159" s="644">
        <v>50</v>
      </c>
      <c r="G2159" s="2503">
        <f>COUNTIF(PoderesDeCriatura_Adquiridos,Tablas!B2159)</f>
        <v>0</v>
      </c>
      <c r="H2159" s="1999"/>
      <c r="I2159" s="647"/>
      <c r="J2159" s="647"/>
    </row>
    <row r="2160" spans="2:10" ht="12.75" customHeight="1" x14ac:dyDescent="0.2">
      <c r="B2160" s="1856" t="s">
        <v>108</v>
      </c>
      <c r="C2160" s="111"/>
      <c r="D2160" s="111"/>
      <c r="E2160" s="456">
        <v>15</v>
      </c>
      <c r="F2160" s="644">
        <v>60</v>
      </c>
      <c r="G2160" s="2503">
        <f>COUNTIF(PoderesDeCriatura_Adquiridos,Tablas!B2160)</f>
        <v>0</v>
      </c>
      <c r="H2160" s="1999"/>
      <c r="I2160" s="647"/>
      <c r="J2160" s="647"/>
    </row>
    <row r="2161" spans="2:10" ht="12.75" customHeight="1" x14ac:dyDescent="0.2">
      <c r="B2161" s="1856" t="s">
        <v>109</v>
      </c>
      <c r="C2161" s="111"/>
      <c r="D2161" s="111"/>
      <c r="E2161" s="456">
        <v>20</v>
      </c>
      <c r="F2161" s="644">
        <v>80</v>
      </c>
      <c r="G2161" s="2503">
        <f>COUNTIF(PoderesDeCriatura_Adquiridos,Tablas!B2161)</f>
        <v>0</v>
      </c>
      <c r="H2161" s="1999"/>
      <c r="I2161" s="647"/>
      <c r="J2161" s="647"/>
    </row>
    <row r="2162" spans="2:10" ht="12.75" customHeight="1" x14ac:dyDescent="0.2">
      <c r="B2162" s="1856" t="s">
        <v>110</v>
      </c>
      <c r="C2162" s="111"/>
      <c r="D2162" s="111"/>
      <c r="E2162" s="383">
        <v>25</v>
      </c>
      <c r="F2162" s="383">
        <v>100</v>
      </c>
      <c r="G2162" s="2503">
        <f>COUNTIF(PoderesDeCriatura_Adquiridos,Tablas!B2162)</f>
        <v>0</v>
      </c>
      <c r="H2162" s="1999"/>
      <c r="I2162" s="647"/>
      <c r="J2162" s="647"/>
    </row>
    <row r="2163" spans="2:10" ht="12.75" customHeight="1" x14ac:dyDescent="0.2">
      <c r="B2163" s="1856" t="s">
        <v>111</v>
      </c>
      <c r="C2163" s="111"/>
      <c r="D2163" s="111"/>
      <c r="E2163" s="383">
        <v>30</v>
      </c>
      <c r="F2163" s="383">
        <v>120</v>
      </c>
      <c r="G2163" s="2503">
        <f>COUNTIF(PoderesDeCriatura_Adquiridos,Tablas!B2163)</f>
        <v>0</v>
      </c>
      <c r="H2163" s="1999"/>
      <c r="I2163" s="647"/>
      <c r="J2163" s="647"/>
    </row>
    <row r="2164" spans="2:10" ht="12.75" customHeight="1" x14ac:dyDescent="0.2">
      <c r="B2164" s="1856" t="s">
        <v>112</v>
      </c>
      <c r="C2164" s="111"/>
      <c r="D2164" s="111"/>
      <c r="E2164" s="456">
        <v>0</v>
      </c>
      <c r="F2164" s="644">
        <v>20</v>
      </c>
      <c r="G2164" s="2503">
        <f>COUNTIF(PoderesDeCriatura_Adquiridos,Tablas!B2164)</f>
        <v>0</v>
      </c>
      <c r="H2164" s="1999"/>
      <c r="I2164" s="647"/>
      <c r="J2164" s="647"/>
    </row>
    <row r="2165" spans="2:10" ht="12.75" customHeight="1" x14ac:dyDescent="0.2">
      <c r="B2165" s="1856" t="s">
        <v>113</v>
      </c>
      <c r="C2165" s="111"/>
      <c r="D2165" s="111"/>
      <c r="E2165" s="456">
        <v>10</v>
      </c>
      <c r="F2165" s="644">
        <v>40</v>
      </c>
      <c r="G2165" s="2503">
        <f>COUNTIF(PoderesDeCriatura_Adquiridos,Tablas!B2165)</f>
        <v>0</v>
      </c>
      <c r="H2165" s="1999"/>
      <c r="I2165" s="647"/>
      <c r="J2165" s="647"/>
    </row>
    <row r="2166" spans="2:10" ht="12.75" customHeight="1" x14ac:dyDescent="0.2">
      <c r="B2166" s="1856" t="s">
        <v>114</v>
      </c>
      <c r="C2166" s="111"/>
      <c r="D2166" s="111"/>
      <c r="E2166" s="456">
        <v>30</v>
      </c>
      <c r="F2166" s="644">
        <v>60</v>
      </c>
      <c r="G2166" s="2503">
        <f>COUNTIF(PoderesDeCriatura_Adquiridos,Tablas!B2166)</f>
        <v>0</v>
      </c>
      <c r="H2166" s="1999"/>
      <c r="I2166" s="647"/>
      <c r="J2166" s="647"/>
    </row>
    <row r="2167" spans="2:10" ht="12.75" customHeight="1" x14ac:dyDescent="0.2">
      <c r="B2167" s="1856" t="s">
        <v>115</v>
      </c>
      <c r="C2167" s="111"/>
      <c r="D2167" s="111"/>
      <c r="E2167" s="456">
        <v>10</v>
      </c>
      <c r="F2167" s="644">
        <v>30</v>
      </c>
      <c r="G2167" s="2503">
        <f>COUNTIF(PoderesDeCriatura_Adquiridos,Tablas!B2167)</f>
        <v>0</v>
      </c>
      <c r="H2167" s="1999"/>
      <c r="I2167" s="647"/>
      <c r="J2167" s="647"/>
    </row>
    <row r="2168" spans="2:10" ht="12.75" customHeight="1" x14ac:dyDescent="0.2">
      <c r="B2168" s="1856" t="s">
        <v>116</v>
      </c>
      <c r="C2168" s="111"/>
      <c r="D2168" s="111"/>
      <c r="E2168" s="456">
        <v>15</v>
      </c>
      <c r="F2168" s="644">
        <v>40</v>
      </c>
      <c r="G2168" s="2503">
        <f>COUNTIF(PoderesDeCriatura_Adquiridos,Tablas!B2168)</f>
        <v>0</v>
      </c>
      <c r="H2168" s="1999"/>
      <c r="I2168" s="647"/>
      <c r="J2168" s="647"/>
    </row>
    <row r="2169" spans="2:10" ht="12.75" customHeight="1" x14ac:dyDescent="0.2">
      <c r="B2169" s="1856" t="s">
        <v>117</v>
      </c>
      <c r="C2169" s="111"/>
      <c r="D2169" s="111"/>
      <c r="E2169" s="456">
        <v>15</v>
      </c>
      <c r="F2169" s="644">
        <f>20+IF(OR(TipoDeCriatura="Entre mundos, Elemental",TipoDeCriatura="Ánima, Elemental"),10,0)</f>
        <v>20</v>
      </c>
      <c r="G2169" s="2503">
        <f>COUNTIF(PoderesDeCriatura_Adquiridos,Tablas!B2169)</f>
        <v>0</v>
      </c>
      <c r="H2169" s="1999"/>
      <c r="I2169" s="647"/>
      <c r="J2169" s="647"/>
    </row>
    <row r="2170" spans="2:10" ht="12.75" customHeight="1" x14ac:dyDescent="0.2">
      <c r="B2170" s="1856" t="s">
        <v>118</v>
      </c>
      <c r="C2170" s="111"/>
      <c r="D2170" s="111"/>
      <c r="E2170" s="456">
        <v>30</v>
      </c>
      <c r="F2170" s="644">
        <f>40+IF(OR(TipoDeCriatura="Entre mundos, Elemental",TipoDeCriatura="Ánima, Elemental"),10,0)</f>
        <v>40</v>
      </c>
      <c r="G2170" s="2503">
        <f>COUNTIF(PoderesDeCriatura_Adquiridos,Tablas!B2170)</f>
        <v>0</v>
      </c>
      <c r="H2170" s="1999"/>
      <c r="I2170" s="647"/>
      <c r="J2170" s="647"/>
    </row>
    <row r="2171" spans="2:10" ht="12.75" customHeight="1" x14ac:dyDescent="0.2">
      <c r="B2171" s="1856" t="s">
        <v>119</v>
      </c>
      <c r="C2171" s="111"/>
      <c r="D2171" s="111"/>
      <c r="E2171" s="456">
        <v>5</v>
      </c>
      <c r="F2171" s="644">
        <v>20</v>
      </c>
      <c r="G2171" s="2503">
        <f>COUNTIF(PoderesDeCriatura_Adquiridos,Tablas!B2171)</f>
        <v>0</v>
      </c>
      <c r="H2171" s="1999"/>
      <c r="I2171" s="647"/>
      <c r="J2171" s="647"/>
    </row>
    <row r="2172" spans="2:10" ht="12.75" customHeight="1" x14ac:dyDescent="0.2">
      <c r="B2172" s="1856" t="s">
        <v>120</v>
      </c>
      <c r="C2172" s="111"/>
      <c r="D2172" s="111"/>
      <c r="E2172" s="456">
        <v>10</v>
      </c>
      <c r="F2172" s="644">
        <f>20+IF(OR(TipoDeCriatura="Entre mundos, Elemental",TipoDeCriatura="Ánima, Elemental"),10,0)</f>
        <v>20</v>
      </c>
      <c r="G2172" s="2503">
        <f>COUNTIF(PoderesDeCriatura_Adquiridos,Tablas!B2172)</f>
        <v>0</v>
      </c>
      <c r="H2172" s="1999"/>
      <c r="I2172" s="647"/>
      <c r="J2172" s="647"/>
    </row>
    <row r="2173" spans="2:10" ht="12.75" customHeight="1" x14ac:dyDescent="0.2">
      <c r="B2173" s="1856" t="s">
        <v>121</v>
      </c>
      <c r="C2173" s="111"/>
      <c r="D2173" s="111"/>
      <c r="E2173" s="456">
        <v>20</v>
      </c>
      <c r="F2173" s="644">
        <f>40+IF(OR(TipoDeCriatura="Entre mundos, Elemental",TipoDeCriatura="Ánima, Elemental"),10,0)</f>
        <v>40</v>
      </c>
      <c r="G2173" s="2503">
        <f>COUNTIF(PoderesDeCriatura_Adquiridos,Tablas!B2173)</f>
        <v>0</v>
      </c>
      <c r="H2173" s="1999"/>
      <c r="I2173" s="647"/>
      <c r="J2173" s="647"/>
    </row>
    <row r="2174" spans="2:10" ht="12.75" customHeight="1" x14ac:dyDescent="0.2">
      <c r="B2174" s="1856" t="s">
        <v>122</v>
      </c>
      <c r="C2174" s="111"/>
      <c r="D2174" s="111"/>
      <c r="E2174" s="456">
        <v>10</v>
      </c>
      <c r="F2174" s="644">
        <f>30+IF(OR(TipoDeCriatura="Entre mundos, Elemental",TipoDeCriatura="Ánima, Elemental"),10,0)</f>
        <v>30</v>
      </c>
      <c r="G2174" s="2503">
        <f>COUNTIF(PoderesDeCriatura_Adquiridos,Tablas!B2174)</f>
        <v>0</v>
      </c>
      <c r="H2174" s="1999"/>
      <c r="I2174" s="647"/>
      <c r="J2174" s="647"/>
    </row>
    <row r="2175" spans="2:10" ht="12.75" customHeight="1" x14ac:dyDescent="0.2">
      <c r="B2175" s="1856" t="s">
        <v>123</v>
      </c>
      <c r="C2175" s="111"/>
      <c r="D2175" s="111"/>
      <c r="E2175" s="456">
        <v>10</v>
      </c>
      <c r="F2175" s="644">
        <f>20+IF(OR(TipoDeCriatura="Entre mundos, Elemental",TipoDeCriatura="Ánima, Elemental"),10,0)</f>
        <v>20</v>
      </c>
      <c r="G2175" s="2503">
        <f>COUNTIF(PoderesDeCriatura_Adquiridos,Tablas!B2175)</f>
        <v>0</v>
      </c>
      <c r="H2175" s="1999"/>
      <c r="I2175" s="647"/>
      <c r="J2175" s="647"/>
    </row>
    <row r="2176" spans="2:10" ht="12.75" customHeight="1" x14ac:dyDescent="0.2">
      <c r="B2176" s="2508" t="s">
        <v>124</v>
      </c>
      <c r="C2176" s="111"/>
      <c r="D2176" s="111"/>
      <c r="E2176" s="456">
        <v>15</v>
      </c>
      <c r="F2176" s="644">
        <v>50</v>
      </c>
      <c r="G2176" s="2503">
        <f>COUNTIF(PoderesDeCriatura_Adquiridos,Tablas!B2176)</f>
        <v>0</v>
      </c>
      <c r="H2176" s="1999"/>
      <c r="I2176" s="647"/>
      <c r="J2176" s="647"/>
    </row>
    <row r="2177" spans="2:10" ht="12.75" customHeight="1" x14ac:dyDescent="0.2">
      <c r="B2177" s="1856" t="s">
        <v>125</v>
      </c>
      <c r="C2177" s="111"/>
      <c r="D2177" s="111"/>
      <c r="E2177" s="456">
        <v>5</v>
      </c>
      <c r="F2177" s="644">
        <v>10</v>
      </c>
      <c r="G2177" s="2503">
        <f>COUNTIF(PoderesDeCriatura_Adquiridos,Tablas!B2177)</f>
        <v>0</v>
      </c>
      <c r="H2177" s="1999"/>
      <c r="I2177" s="647"/>
      <c r="J2177" s="647"/>
    </row>
    <row r="2178" spans="2:10" ht="12.75" customHeight="1" x14ac:dyDescent="0.2">
      <c r="B2178" s="1856" t="s">
        <v>126</v>
      </c>
      <c r="C2178" s="111"/>
      <c r="D2178" s="111"/>
      <c r="E2178" s="456">
        <v>10</v>
      </c>
      <c r="F2178" s="644">
        <v>20</v>
      </c>
      <c r="G2178" s="2503">
        <f>COUNTIF(PoderesDeCriatura_Adquiridos,Tablas!B2178)</f>
        <v>0</v>
      </c>
      <c r="H2178" s="1999"/>
      <c r="I2178" s="647"/>
      <c r="J2178" s="647"/>
    </row>
    <row r="2179" spans="2:10" ht="12.75" customHeight="1" x14ac:dyDescent="0.2">
      <c r="B2179" s="1856" t="s">
        <v>127</v>
      </c>
      <c r="C2179" s="111"/>
      <c r="D2179" s="111"/>
      <c r="E2179" s="456">
        <v>20</v>
      </c>
      <c r="F2179" s="644">
        <v>30</v>
      </c>
      <c r="G2179" s="2503">
        <f>COUNTIF(PoderesDeCriatura_Adquiridos,Tablas!B2179)</f>
        <v>0</v>
      </c>
      <c r="H2179" s="1999"/>
      <c r="I2179" s="647"/>
      <c r="J2179" s="647"/>
    </row>
    <row r="2180" spans="2:10" ht="12.75" customHeight="1" x14ac:dyDescent="0.2">
      <c r="B2180" s="1856" t="s">
        <v>128</v>
      </c>
      <c r="C2180" s="111"/>
      <c r="D2180" s="111"/>
      <c r="E2180" s="456">
        <v>30</v>
      </c>
      <c r="F2180" s="644">
        <v>40</v>
      </c>
      <c r="G2180" s="2503">
        <f>COUNTIF(PoderesDeCriatura_Adquiridos,Tablas!B2180)</f>
        <v>0</v>
      </c>
      <c r="H2180" s="1999"/>
      <c r="I2180" s="647"/>
      <c r="J2180" s="647"/>
    </row>
    <row r="2181" spans="2:10" ht="12.75" customHeight="1" x14ac:dyDescent="0.2">
      <c r="B2181" s="1856" t="s">
        <v>129</v>
      </c>
      <c r="C2181" s="111"/>
      <c r="D2181" s="111"/>
      <c r="E2181" s="456">
        <v>20</v>
      </c>
      <c r="F2181" s="644">
        <f>40+IF(OR(TipoDeCriatura="Entre mundos, Elemental",TipoDeCriatura="Ánima, Elemental"),10,0)</f>
        <v>40</v>
      </c>
      <c r="G2181" s="2503">
        <f>COUNTIF(PoderesDeCriatura_Adquiridos,Tablas!B2181)</f>
        <v>0</v>
      </c>
      <c r="H2181" s="1999"/>
      <c r="I2181" s="647"/>
      <c r="J2181" s="647"/>
    </row>
    <row r="2182" spans="2:10" ht="12.75" customHeight="1" x14ac:dyDescent="0.2">
      <c r="B2182" s="1856" t="s">
        <v>130</v>
      </c>
      <c r="C2182" s="111"/>
      <c r="D2182" s="111"/>
      <c r="E2182" s="456">
        <v>10</v>
      </c>
      <c r="F2182" s="644">
        <f>20+IF(OR(TipoDeCriatura="Entre mundos, Elemental",TipoDeCriatura="Ánima, Elemental"),10,0)</f>
        <v>20</v>
      </c>
      <c r="G2182" s="2503">
        <f>COUNTIF(PoderesDeCriatura_Adquiridos,Tablas!B2182)</f>
        <v>0</v>
      </c>
      <c r="H2182" s="1999"/>
      <c r="I2182" s="647"/>
      <c r="J2182" s="647"/>
    </row>
    <row r="2183" spans="2:10" ht="12.75" customHeight="1" x14ac:dyDescent="0.2">
      <c r="B2183" s="1856" t="s">
        <v>131</v>
      </c>
      <c r="C2183" s="111"/>
      <c r="D2183" s="111"/>
      <c r="E2183" s="456">
        <v>15</v>
      </c>
      <c r="F2183" s="644">
        <f>30+IF(OR(TipoDeCriatura="Entre mundos, Elemental",TipoDeCriatura="Ánima, Elemental"),10,0)</f>
        <v>30</v>
      </c>
      <c r="G2183" s="2503">
        <f>COUNTIF(PoderesDeCriatura_Adquiridos,Tablas!B2183)</f>
        <v>0</v>
      </c>
      <c r="H2183" s="1999"/>
      <c r="I2183" s="647"/>
      <c r="J2183" s="647"/>
    </row>
    <row r="2184" spans="2:10" ht="12.75" customHeight="1" x14ac:dyDescent="0.2">
      <c r="B2184" s="1856" t="s">
        <v>132</v>
      </c>
      <c r="C2184" s="111"/>
      <c r="D2184" s="111"/>
      <c r="E2184" s="456">
        <v>5</v>
      </c>
      <c r="F2184" s="644">
        <f>10+IF(OR(TipoDeCriatura="Entre mundos, Elemental",TipoDeCriatura="Ánima, Elemental"),10,0)</f>
        <v>10</v>
      </c>
      <c r="G2184" s="2503">
        <f>COUNTIF(PoderesDeCriatura_Adquiridos,Tablas!B2184)</f>
        <v>0</v>
      </c>
      <c r="H2184" s="1999"/>
      <c r="I2184" s="647"/>
      <c r="J2184" s="647"/>
    </row>
    <row r="2185" spans="2:10" ht="12.75" customHeight="1" x14ac:dyDescent="0.2">
      <c r="B2185" s="1856" t="s">
        <v>133</v>
      </c>
      <c r="C2185" s="111"/>
      <c r="D2185" s="111"/>
      <c r="E2185" s="456">
        <v>10</v>
      </c>
      <c r="F2185" s="644">
        <f>10+IF(OR(TipoDeCriatura="Entre mundos, Elemental",TipoDeCriatura="Ánima, Elemental"),10,0)</f>
        <v>10</v>
      </c>
      <c r="G2185" s="2503">
        <f>COUNTIF(PoderesDeCriatura_Adquiridos,Tablas!B2185)</f>
        <v>0</v>
      </c>
      <c r="H2185" s="1999"/>
      <c r="I2185" s="647"/>
      <c r="J2185" s="647"/>
    </row>
    <row r="2186" spans="2:10" ht="12.75" customHeight="1" x14ac:dyDescent="0.2">
      <c r="B2186" s="1856" t="s">
        <v>134</v>
      </c>
      <c r="C2186" s="111"/>
      <c r="D2186" s="111"/>
      <c r="E2186" s="456">
        <v>20</v>
      </c>
      <c r="F2186" s="644">
        <f>40+IF(OR(TipoDeCriatura="Entre mundos, Elemental",TipoDeCriatura="Ánima, Elemental"),10,0)</f>
        <v>40</v>
      </c>
      <c r="G2186" s="2503">
        <f>COUNTIF(PoderesDeCriatura_Adquiridos,Tablas!B2186)</f>
        <v>0</v>
      </c>
      <c r="H2186" s="1999"/>
      <c r="I2186" s="647"/>
      <c r="J2186" s="647"/>
    </row>
    <row r="2187" spans="2:10" ht="12.75" customHeight="1" x14ac:dyDescent="0.2">
      <c r="B2187" s="1856" t="s">
        <v>135</v>
      </c>
      <c r="C2187" s="111"/>
      <c r="D2187" s="111"/>
      <c r="E2187" s="456">
        <v>5</v>
      </c>
      <c r="F2187" s="644">
        <v>10</v>
      </c>
      <c r="G2187" s="2503">
        <f>COUNTIF(PoderesDeCriatura_Adquiridos,Tablas!B2187)</f>
        <v>0</v>
      </c>
      <c r="H2187" s="1999"/>
      <c r="I2187" s="647"/>
      <c r="J2187" s="647"/>
    </row>
    <row r="2188" spans="2:10" ht="12.75" customHeight="1" x14ac:dyDescent="0.2">
      <c r="B2188" s="1856" t="s">
        <v>136</v>
      </c>
      <c r="C2188" s="111"/>
      <c r="D2188" s="111"/>
      <c r="E2188" s="456">
        <v>10</v>
      </c>
      <c r="F2188" s="644">
        <v>20</v>
      </c>
      <c r="G2188" s="2503">
        <f>COUNTIF(PoderesDeCriatura_Adquiridos,Tablas!B2188)</f>
        <v>0</v>
      </c>
      <c r="H2188" s="1999"/>
      <c r="I2188" s="647"/>
      <c r="J2188" s="647"/>
    </row>
    <row r="2189" spans="2:10" ht="12.75" customHeight="1" x14ac:dyDescent="0.2">
      <c r="B2189" s="1856" t="s">
        <v>137</v>
      </c>
      <c r="C2189" s="111"/>
      <c r="D2189" s="111"/>
      <c r="E2189" s="456">
        <v>15</v>
      </c>
      <c r="F2189" s="644">
        <v>40</v>
      </c>
      <c r="G2189" s="2503">
        <f>COUNTIF(PoderesDeCriatura_Adquiridos,Tablas!B2189)</f>
        <v>0</v>
      </c>
      <c r="H2189" s="1999"/>
      <c r="I2189" s="647"/>
      <c r="J2189" s="647"/>
    </row>
    <row r="2190" spans="2:10" ht="12.75" customHeight="1" x14ac:dyDescent="0.2">
      <c r="B2190" s="1856" t="s">
        <v>138</v>
      </c>
      <c r="C2190" s="111"/>
      <c r="D2190" s="111"/>
      <c r="E2190" s="456">
        <v>30</v>
      </c>
      <c r="F2190" s="644">
        <v>60</v>
      </c>
      <c r="G2190" s="2503">
        <f>COUNTIF(PoderesDeCriatura_Adquiridos,Tablas!B2190)</f>
        <v>0</v>
      </c>
      <c r="H2190" s="1999"/>
      <c r="I2190" s="647"/>
      <c r="J2190" s="647"/>
    </row>
    <row r="2191" spans="2:10" ht="12.75" customHeight="1" x14ac:dyDescent="0.2">
      <c r="B2191" s="1856" t="s">
        <v>139</v>
      </c>
      <c r="C2191" s="111"/>
      <c r="D2191" s="111"/>
      <c r="E2191" s="456">
        <v>35</v>
      </c>
      <c r="F2191" s="644">
        <v>80</v>
      </c>
      <c r="G2191" s="2503">
        <f>COUNTIF(PoderesDeCriatura_Adquiridos,Tablas!B2191)</f>
        <v>0</v>
      </c>
      <c r="H2191" s="1999"/>
      <c r="I2191" s="647"/>
      <c r="J2191" s="647"/>
    </row>
    <row r="2192" spans="2:10" ht="12.75" customHeight="1" x14ac:dyDescent="0.2">
      <c r="B2192" s="2508" t="s">
        <v>140</v>
      </c>
      <c r="C2192" s="111"/>
      <c r="D2192" s="111"/>
      <c r="E2192" s="456">
        <v>30</v>
      </c>
      <c r="F2192" s="644">
        <v>100</v>
      </c>
      <c r="G2192" s="2503">
        <f>COUNTIF(PoderesDeCriatura_Adquiridos,Tablas!B2192)</f>
        <v>0</v>
      </c>
      <c r="H2192" s="1999"/>
      <c r="I2192" s="647"/>
      <c r="J2192" s="647"/>
    </row>
    <row r="2193" spans="2:10" ht="12.75" customHeight="1" x14ac:dyDescent="0.2">
      <c r="B2193" s="1856" t="s">
        <v>141</v>
      </c>
      <c r="C2193" s="111"/>
      <c r="D2193" s="111"/>
      <c r="E2193" s="456">
        <v>10</v>
      </c>
      <c r="F2193" s="644">
        <v>10</v>
      </c>
      <c r="G2193" s="2503">
        <f>COUNTIF(PoderesDeCriatura_Adquiridos,Tablas!B2193)</f>
        <v>0</v>
      </c>
      <c r="H2193" s="1999"/>
      <c r="I2193" s="647"/>
      <c r="J2193" s="647"/>
    </row>
    <row r="2194" spans="2:10" ht="12.75" customHeight="1" x14ac:dyDescent="0.2">
      <c r="B2194" s="1856" t="s">
        <v>142</v>
      </c>
      <c r="C2194" s="111"/>
      <c r="D2194" s="111"/>
      <c r="E2194" s="456">
        <v>20</v>
      </c>
      <c r="F2194" s="644">
        <v>20</v>
      </c>
      <c r="G2194" s="2503">
        <f>COUNTIF(PoderesDeCriatura_Adquiridos,Tablas!B2194)</f>
        <v>0</v>
      </c>
      <c r="H2194" s="1999"/>
      <c r="I2194" s="647"/>
      <c r="J2194" s="647"/>
    </row>
    <row r="2195" spans="2:10" ht="12.75" customHeight="1" x14ac:dyDescent="0.2">
      <c r="B2195" s="1856" t="s">
        <v>143</v>
      </c>
      <c r="C2195" s="111"/>
      <c r="D2195" s="111"/>
      <c r="E2195" s="456">
        <v>15</v>
      </c>
      <c r="F2195" s="644">
        <v>20</v>
      </c>
      <c r="G2195" s="2503">
        <f>COUNTIF(PoderesDeCriatura_Adquiridos,Tablas!B2195)</f>
        <v>0</v>
      </c>
      <c r="H2195" s="1999"/>
      <c r="I2195" s="647"/>
      <c r="J2195" s="647"/>
    </row>
    <row r="2196" spans="2:10" ht="12.75" customHeight="1" x14ac:dyDescent="0.2">
      <c r="B2196" s="1856" t="s">
        <v>144</v>
      </c>
      <c r="C2196" s="111"/>
      <c r="D2196" s="111"/>
      <c r="E2196" s="456">
        <v>25</v>
      </c>
      <c r="F2196" s="644">
        <v>40</v>
      </c>
      <c r="G2196" s="2503">
        <f>COUNTIF(PoderesDeCriatura_Adquiridos,Tablas!B2196)</f>
        <v>0</v>
      </c>
      <c r="H2196" s="1999"/>
      <c r="I2196" s="647"/>
      <c r="J2196" s="647"/>
    </row>
    <row r="2197" spans="2:10" ht="12.75" customHeight="1" x14ac:dyDescent="0.2">
      <c r="B2197" s="1856" t="s">
        <v>145</v>
      </c>
      <c r="C2197" s="111"/>
      <c r="D2197" s="111"/>
      <c r="E2197" s="456">
        <v>15</v>
      </c>
      <c r="F2197" s="644">
        <f>10+IF(OR(TipoDeCriatura="Entre mundos, Elemental",TipoDeCriatura="Ánima, Elemental"),10,0)</f>
        <v>10</v>
      </c>
      <c r="G2197" s="2503">
        <f>COUNTIF(PoderesDeCriatura_Adquiridos,Tablas!B2197)</f>
        <v>0</v>
      </c>
      <c r="H2197" s="1999"/>
      <c r="I2197" s="647"/>
      <c r="J2197" s="647"/>
    </row>
    <row r="2198" spans="2:10" ht="12.75" customHeight="1" x14ac:dyDescent="0.2">
      <c r="B2198" s="1856" t="s">
        <v>146</v>
      </c>
      <c r="C2198" s="111"/>
      <c r="D2198" s="111"/>
      <c r="E2198" s="456">
        <v>20</v>
      </c>
      <c r="F2198" s="644">
        <f>10+IF(OR(TipoDeCriatura="Entre mundos, Elemental",TipoDeCriatura="Ánima, Elemental"),10,0)</f>
        <v>10</v>
      </c>
      <c r="G2198" s="2503">
        <f>COUNTIF(PoderesDeCriatura_Adquiridos,Tablas!B2198)</f>
        <v>0</v>
      </c>
      <c r="H2198" s="1999"/>
      <c r="I2198" s="647"/>
      <c r="J2198" s="647"/>
    </row>
    <row r="2199" spans="2:10" ht="12.75" customHeight="1" x14ac:dyDescent="0.2">
      <c r="B2199" s="1856" t="s">
        <v>147</v>
      </c>
      <c r="C2199" s="111"/>
      <c r="D2199" s="111"/>
      <c r="E2199" s="456">
        <v>30</v>
      </c>
      <c r="F2199" s="644">
        <f>20+IF(OR(TipoDeCriatura="Entre mundos, Elemental",TipoDeCriatura="Ánima, Elemental"),10,0)</f>
        <v>20</v>
      </c>
      <c r="G2199" s="2503">
        <f>COUNTIF(PoderesDeCriatura_Adquiridos,Tablas!B2199)</f>
        <v>0</v>
      </c>
      <c r="H2199" s="1999"/>
      <c r="I2199" s="647"/>
      <c r="J2199" s="647"/>
    </row>
    <row r="2200" spans="2:10" ht="12.75" customHeight="1" x14ac:dyDescent="0.2">
      <c r="B2200" s="1856" t="s">
        <v>148</v>
      </c>
      <c r="C2200" s="111"/>
      <c r="D2200" s="111"/>
      <c r="E2200" s="456">
        <v>20</v>
      </c>
      <c r="F2200" s="644">
        <v>120</v>
      </c>
      <c r="G2200" s="2503">
        <f>COUNTIF(PoderesDeCriatura_Adquiridos,Tablas!B2200)</f>
        <v>0</v>
      </c>
      <c r="H2200" s="1999"/>
      <c r="I2200" s="647"/>
      <c r="J2200" s="647"/>
    </row>
    <row r="2201" spans="2:10" ht="12.75" customHeight="1" x14ac:dyDescent="0.2">
      <c r="B2201" s="1856" t="s">
        <v>149</v>
      </c>
      <c r="C2201" s="111"/>
      <c r="D2201" s="111"/>
      <c r="E2201" s="456">
        <v>30</v>
      </c>
      <c r="F2201" s="644">
        <v>220</v>
      </c>
      <c r="G2201" s="2503">
        <f>COUNTIF(PoderesDeCriatura_Adquiridos,Tablas!B2201)</f>
        <v>0</v>
      </c>
      <c r="H2201" s="1999"/>
      <c r="I2201" s="647"/>
      <c r="J2201" s="647"/>
    </row>
    <row r="2202" spans="2:10" ht="12.75" customHeight="1" x14ac:dyDescent="0.2">
      <c r="B2202" s="1856" t="s">
        <v>150</v>
      </c>
      <c r="C2202" s="111"/>
      <c r="D2202" s="111"/>
      <c r="E2202" s="456">
        <v>20</v>
      </c>
      <c r="F2202" s="644">
        <f>30+IF(OR(TipoDeCriatura="Entre mundos, Elemental",TipoDeCriatura="Ánima, Elemental"),10,0)</f>
        <v>30</v>
      </c>
      <c r="G2202" s="2503">
        <f>COUNTIF(PoderesDeCriatura_Adquiridos,Tablas!B2202)</f>
        <v>0</v>
      </c>
      <c r="H2202" s="1999"/>
      <c r="I2202" s="647"/>
      <c r="J2202" s="647"/>
    </row>
    <row r="2203" spans="2:10" ht="12.75" customHeight="1" x14ac:dyDescent="0.2">
      <c r="B2203" s="1856" t="s">
        <v>151</v>
      </c>
      <c r="C2203" s="111"/>
      <c r="D2203" s="111"/>
      <c r="E2203" s="456">
        <v>20</v>
      </c>
      <c r="F2203" s="644">
        <f>40+IF(OR(TipoDeCriatura="Entre mundos, Elemental",TipoDeCriatura="Ánima, Elemental"),10,0)</f>
        <v>40</v>
      </c>
      <c r="G2203" s="2503">
        <f>COUNTIF(PoderesDeCriatura_Adquiridos,Tablas!B2203)</f>
        <v>0</v>
      </c>
      <c r="H2203" s="1999"/>
      <c r="I2203" s="647"/>
      <c r="J2203" s="647"/>
    </row>
    <row r="2204" spans="2:10" ht="12.75" customHeight="1" x14ac:dyDescent="0.2">
      <c r="B2204" s="1856" t="s">
        <v>152</v>
      </c>
      <c r="C2204" s="111"/>
      <c r="D2204" s="111"/>
      <c r="E2204" s="456">
        <v>20</v>
      </c>
      <c r="F2204" s="644">
        <f>50+IF(OR(TipoDeCriatura="Entre mundos, Elemental",TipoDeCriatura="Ánima, Elemental"),10,0)</f>
        <v>50</v>
      </c>
      <c r="G2204" s="2503">
        <f>COUNTIF(PoderesDeCriatura_Adquiridos,Tablas!B2204)</f>
        <v>0</v>
      </c>
      <c r="H2204" s="1999"/>
      <c r="I2204" s="647"/>
      <c r="J2204" s="647"/>
    </row>
    <row r="2205" spans="2:10" ht="12.75" customHeight="1" x14ac:dyDescent="0.2">
      <c r="B2205" s="1856" t="s">
        <v>153</v>
      </c>
      <c r="C2205" s="111"/>
      <c r="D2205" s="111"/>
      <c r="E2205" s="456">
        <v>20</v>
      </c>
      <c r="F2205" s="644">
        <f>60+IF(OR(TipoDeCriatura="Entre mundos, Elemental",TipoDeCriatura="Ánima, Elemental"),10,0)</f>
        <v>60</v>
      </c>
      <c r="G2205" s="2503">
        <f>COUNTIF(PoderesDeCriatura_Adquiridos,Tablas!B2205)</f>
        <v>0</v>
      </c>
      <c r="H2205" s="1999"/>
      <c r="I2205" s="647"/>
      <c r="J2205" s="647"/>
    </row>
    <row r="2206" spans="2:10" ht="12.75" customHeight="1" x14ac:dyDescent="0.2">
      <c r="B2206" s="1856" t="s">
        <v>154</v>
      </c>
      <c r="C2206" s="111"/>
      <c r="D2206" s="111"/>
      <c r="E2206" s="456">
        <v>20</v>
      </c>
      <c r="F2206" s="644">
        <f>80+IF(OR(TipoDeCriatura="Entre mundos, Elemental",TipoDeCriatura="Ánima, Elemental"),10,0)</f>
        <v>80</v>
      </c>
      <c r="G2206" s="2503">
        <f>COUNTIF(PoderesDeCriatura_Adquiridos,Tablas!B2206)</f>
        <v>0</v>
      </c>
    </row>
    <row r="2207" spans="2:10" ht="12.75" customHeight="1" x14ac:dyDescent="0.2">
      <c r="B2207" s="2508" t="s">
        <v>155</v>
      </c>
      <c r="C2207" s="111"/>
      <c r="D2207" s="111"/>
      <c r="E2207" s="456">
        <v>0</v>
      </c>
      <c r="F2207" s="644">
        <v>20</v>
      </c>
      <c r="G2207" s="2503">
        <f>COUNTIF(PoderesDeCriatura_Adquiridos,Tablas!B2207)</f>
        <v>0</v>
      </c>
    </row>
    <row r="2208" spans="2:10" ht="12.75" customHeight="1" x14ac:dyDescent="0.2">
      <c r="B2208" s="1856" t="s">
        <v>156</v>
      </c>
      <c r="C2208" s="111"/>
      <c r="D2208" s="111"/>
      <c r="E2208" s="456">
        <v>10</v>
      </c>
      <c r="F2208" s="644">
        <v>30</v>
      </c>
      <c r="G2208" s="2503">
        <f>COUNTIF(PoderesDeCriatura_Adquiridos,Tablas!B2208)</f>
        <v>0</v>
      </c>
    </row>
    <row r="2209" spans="2:7" ht="12.75" customHeight="1" x14ac:dyDescent="0.2">
      <c r="B2209" s="1856" t="s">
        <v>157</v>
      </c>
      <c r="C2209" s="111"/>
      <c r="D2209" s="111"/>
      <c r="E2209" s="456">
        <v>20</v>
      </c>
      <c r="F2209" s="644">
        <v>50</v>
      </c>
      <c r="G2209" s="2503">
        <f>COUNTIF(PoderesDeCriatura_Adquiridos,Tablas!B2209)</f>
        <v>0</v>
      </c>
    </row>
    <row r="2210" spans="2:7" ht="12.75" customHeight="1" x14ac:dyDescent="0.2">
      <c r="B2210" s="1856" t="s">
        <v>158</v>
      </c>
      <c r="C2210" s="111"/>
      <c r="D2210" s="111"/>
      <c r="E2210" s="456">
        <v>25</v>
      </c>
      <c r="F2210" s="644">
        <v>80</v>
      </c>
      <c r="G2210" s="2503">
        <f>COUNTIF(PoderesDeCriatura_Adquiridos,Tablas!B2210)</f>
        <v>0</v>
      </c>
    </row>
    <row r="2211" spans="2:7" ht="12.75" customHeight="1" x14ac:dyDescent="0.2">
      <c r="B2211" s="1856" t="s">
        <v>159</v>
      </c>
      <c r="C2211" s="111"/>
      <c r="D2211" s="111"/>
      <c r="E2211" s="456">
        <v>30</v>
      </c>
      <c r="F2211" s="644">
        <v>110</v>
      </c>
      <c r="G2211" s="2503">
        <f>COUNTIF(PoderesDeCriatura_Adquiridos,Tablas!B2211)</f>
        <v>0</v>
      </c>
    </row>
    <row r="2212" spans="2:7" ht="12.75" customHeight="1" x14ac:dyDescent="0.2">
      <c r="B2212" s="1856" t="s">
        <v>160</v>
      </c>
      <c r="C2212" s="111"/>
      <c r="D2212" s="111"/>
      <c r="E2212" s="456">
        <v>35</v>
      </c>
      <c r="F2212" s="644">
        <v>140</v>
      </c>
      <c r="G2212" s="2503">
        <f>COUNTIF(PoderesDeCriatura_Adquiridos,Tablas!B2212)</f>
        <v>0</v>
      </c>
    </row>
    <row r="2213" spans="2:7" ht="12.75" customHeight="1" x14ac:dyDescent="0.2">
      <c r="B2213" s="1856" t="s">
        <v>161</v>
      </c>
      <c r="C2213" s="111"/>
      <c r="D2213" s="111"/>
      <c r="E2213" s="456">
        <v>10</v>
      </c>
      <c r="F2213" s="644">
        <v>-15</v>
      </c>
      <c r="G2213" s="2503">
        <f>COUNTIF(PoderesDeCriatura_Adquiridos,Tablas!B2213)</f>
        <v>0</v>
      </c>
    </row>
    <row r="2214" spans="2:7" ht="12.75" customHeight="1" x14ac:dyDescent="0.2">
      <c r="B2214" s="2508" t="s">
        <v>162</v>
      </c>
      <c r="C2214" s="111"/>
      <c r="D2214" s="111"/>
      <c r="E2214" s="456">
        <v>5</v>
      </c>
      <c r="F2214" s="644">
        <v>20</v>
      </c>
      <c r="G2214" s="2503">
        <f>COUNTIF(PoderesDeCriatura_Adquiridos,Tablas!B2214)</f>
        <v>0</v>
      </c>
    </row>
    <row r="2215" spans="2:7" ht="12.75" customHeight="1" x14ac:dyDescent="0.2">
      <c r="B2215" s="1856" t="s">
        <v>163</v>
      </c>
      <c r="C2215" s="111"/>
      <c r="D2215" s="111"/>
      <c r="E2215" s="456">
        <v>0</v>
      </c>
      <c r="F2215" s="644">
        <v>10</v>
      </c>
      <c r="G2215" s="2503">
        <f>COUNTIF(PoderesDeCriatura_Adquiridos,Tablas!B2215)</f>
        <v>0</v>
      </c>
    </row>
    <row r="2216" spans="2:7" ht="12.75" customHeight="1" x14ac:dyDescent="0.2">
      <c r="B2216" s="1856" t="s">
        <v>164</v>
      </c>
      <c r="C2216" s="111"/>
      <c r="D2216" s="111"/>
      <c r="E2216" s="456">
        <v>0</v>
      </c>
      <c r="F2216" s="644">
        <v>20</v>
      </c>
      <c r="G2216" s="2503">
        <f>COUNTIF(PoderesDeCriatura_Adquiridos,Tablas!B2216)</f>
        <v>0</v>
      </c>
    </row>
    <row r="2217" spans="2:7" ht="12.75" customHeight="1" x14ac:dyDescent="0.2">
      <c r="B2217" s="1856" t="s">
        <v>165</v>
      </c>
      <c r="C2217" s="111"/>
      <c r="D2217" s="111"/>
      <c r="E2217" s="456">
        <v>0</v>
      </c>
      <c r="F2217" s="644">
        <v>30</v>
      </c>
      <c r="G2217" s="2503">
        <f>COUNTIF(PoderesDeCriatura_Adquiridos,Tablas!B2217)</f>
        <v>0</v>
      </c>
    </row>
    <row r="2218" spans="2:7" ht="12.75" customHeight="1" x14ac:dyDescent="0.2">
      <c r="B2218" s="1856" t="s">
        <v>166</v>
      </c>
      <c r="C2218" s="111"/>
      <c r="D2218" s="111"/>
      <c r="E2218" s="456">
        <v>10</v>
      </c>
      <c r="F2218" s="644">
        <v>20</v>
      </c>
      <c r="G2218" s="2503">
        <f>COUNTIF(PoderesDeCriatura_Adquiridos,Tablas!B2218)</f>
        <v>0</v>
      </c>
    </row>
    <row r="2219" spans="2:7" ht="12.75" customHeight="1" x14ac:dyDescent="0.2">
      <c r="B2219" s="1856" t="s">
        <v>167</v>
      </c>
      <c r="C2219" s="111"/>
      <c r="D2219" s="111"/>
      <c r="E2219" s="456">
        <v>15</v>
      </c>
      <c r="F2219" s="644">
        <v>40</v>
      </c>
      <c r="G2219" s="2503">
        <f>COUNTIF(PoderesDeCriatura_Adquiridos,Tablas!B2219)</f>
        <v>0</v>
      </c>
    </row>
    <row r="2220" spans="2:7" ht="12.75" customHeight="1" x14ac:dyDescent="0.2">
      <c r="B2220" s="1856" t="s">
        <v>168</v>
      </c>
      <c r="C2220" s="111"/>
      <c r="D2220" s="111"/>
      <c r="E2220" s="456">
        <v>20</v>
      </c>
      <c r="F2220" s="644">
        <v>60</v>
      </c>
      <c r="G2220" s="2503">
        <f>COUNTIF(PoderesDeCriatura_Adquiridos,Tablas!B2220)</f>
        <v>0</v>
      </c>
    </row>
    <row r="2221" spans="2:7" ht="12.75" customHeight="1" x14ac:dyDescent="0.2">
      <c r="B2221" s="1856" t="s">
        <v>169</v>
      </c>
      <c r="C2221" s="111"/>
      <c r="D2221" s="111"/>
      <c r="E2221" s="456">
        <v>25</v>
      </c>
      <c r="F2221" s="644">
        <v>80</v>
      </c>
      <c r="G2221" s="2503">
        <f>COUNTIF(PoderesDeCriatura_Adquiridos,Tablas!B2221)</f>
        <v>0</v>
      </c>
    </row>
    <row r="2222" spans="2:7" ht="12.75" customHeight="1" x14ac:dyDescent="0.2">
      <c r="B2222" s="1856" t="s">
        <v>170</v>
      </c>
      <c r="C2222" s="111"/>
      <c r="D2222" s="111"/>
      <c r="E2222" s="456">
        <v>35</v>
      </c>
      <c r="F2222" s="644">
        <v>120</v>
      </c>
      <c r="G2222" s="2503">
        <f>COUNTIF(PoderesDeCriatura_Adquiridos,Tablas!B2222)</f>
        <v>0</v>
      </c>
    </row>
    <row r="2223" spans="2:7" ht="12.75" customHeight="1" x14ac:dyDescent="0.2">
      <c r="B2223" s="1856" t="s">
        <v>171</v>
      </c>
      <c r="C2223" s="111"/>
      <c r="D2223" s="111"/>
      <c r="E2223" s="456">
        <v>5</v>
      </c>
      <c r="F2223" s="644">
        <v>10</v>
      </c>
      <c r="G2223" s="2503">
        <f>COUNTIF(PoderesDeCriatura_Adquiridos,Tablas!B2223)</f>
        <v>0</v>
      </c>
    </row>
    <row r="2224" spans="2:7" ht="12.75" customHeight="1" x14ac:dyDescent="0.2">
      <c r="B2224" s="1856" t="s">
        <v>172</v>
      </c>
      <c r="C2224" s="111"/>
      <c r="D2224" s="111"/>
      <c r="E2224" s="456">
        <v>5</v>
      </c>
      <c r="F2224" s="644">
        <v>20</v>
      </c>
      <c r="G2224" s="2503">
        <f>COUNTIF(PoderesDeCriatura_Adquiridos,Tablas!B2224)</f>
        <v>0</v>
      </c>
    </row>
    <row r="2225" spans="2:7" ht="12.75" customHeight="1" x14ac:dyDescent="0.2">
      <c r="B2225" s="1856" t="s">
        <v>173</v>
      </c>
      <c r="C2225" s="111"/>
      <c r="D2225" s="111"/>
      <c r="E2225" s="456">
        <v>10</v>
      </c>
      <c r="F2225" s="644">
        <v>30</v>
      </c>
      <c r="G2225" s="2503">
        <f>COUNTIF(PoderesDeCriatura_Adquiridos,Tablas!B2225)</f>
        <v>0</v>
      </c>
    </row>
    <row r="2226" spans="2:7" ht="12.75" customHeight="1" x14ac:dyDescent="0.2">
      <c r="B2226" s="1856" t="s">
        <v>174</v>
      </c>
      <c r="C2226" s="111"/>
      <c r="D2226" s="111"/>
      <c r="E2226" s="456">
        <v>15</v>
      </c>
      <c r="F2226" s="644">
        <v>40</v>
      </c>
      <c r="G2226" s="2503">
        <f>COUNTIF(PoderesDeCriatura_Adquiridos,Tablas!B2226)</f>
        <v>0</v>
      </c>
    </row>
    <row r="2227" spans="2:7" ht="12.75" customHeight="1" x14ac:dyDescent="0.2">
      <c r="B2227" s="1856" t="s">
        <v>175</v>
      </c>
      <c r="C2227" s="111"/>
      <c r="D2227" s="111"/>
      <c r="E2227" s="456">
        <v>25</v>
      </c>
      <c r="F2227" s="644">
        <v>50</v>
      </c>
      <c r="G2227" s="2503">
        <f>COUNTIF(PoderesDeCriatura_Adquiridos,Tablas!B2227)</f>
        <v>0</v>
      </c>
    </row>
    <row r="2228" spans="2:7" ht="12.75" customHeight="1" x14ac:dyDescent="0.2">
      <c r="B2228" s="2508" t="s">
        <v>176</v>
      </c>
      <c r="C2228" s="111"/>
      <c r="D2228" s="111"/>
      <c r="E2228" s="456"/>
      <c r="F2228" s="644"/>
      <c r="G2228" s="2503"/>
    </row>
    <row r="2229" spans="2:7" ht="12.75" customHeight="1" x14ac:dyDescent="0.2">
      <c r="B2229" s="1856" t="s">
        <v>177</v>
      </c>
      <c r="C2229" s="111"/>
      <c r="D2229" s="111"/>
      <c r="E2229" s="456">
        <v>5</v>
      </c>
      <c r="F2229" s="644">
        <v>20</v>
      </c>
      <c r="G2229" s="2503">
        <f>COUNTIF(PoderesDeCriatura_Adquiridos,Tablas!B2229)</f>
        <v>0</v>
      </c>
    </row>
    <row r="2230" spans="2:7" ht="12.75" customHeight="1" x14ac:dyDescent="0.2">
      <c r="B2230" s="1856" t="s">
        <v>178</v>
      </c>
      <c r="C2230" s="111"/>
      <c r="D2230" s="111"/>
      <c r="E2230" s="456">
        <v>20</v>
      </c>
      <c r="F2230" s="644">
        <v>30</v>
      </c>
      <c r="G2230" s="2503">
        <f>COUNTIF(PoderesDeCriatura_Adquiridos,Tablas!B2230)</f>
        <v>0</v>
      </c>
    </row>
    <row r="2231" spans="2:7" ht="12.75" customHeight="1" x14ac:dyDescent="0.2">
      <c r="B2231" s="1856" t="s">
        <v>179</v>
      </c>
      <c r="C2231" s="111"/>
      <c r="D2231" s="111"/>
      <c r="E2231" s="456">
        <v>15</v>
      </c>
      <c r="F2231" s="644">
        <v>10</v>
      </c>
      <c r="G2231" s="2503">
        <f>COUNTIF(PoderesDeCriatura_Adquiridos,Tablas!B2231)</f>
        <v>0</v>
      </c>
    </row>
    <row r="2232" spans="2:7" ht="12.75" customHeight="1" x14ac:dyDescent="0.2">
      <c r="B2232" s="2508" t="s">
        <v>180</v>
      </c>
      <c r="C2232" s="111"/>
      <c r="D2232" s="111"/>
      <c r="E2232" s="456">
        <v>0</v>
      </c>
      <c r="F2232" s="644">
        <v>20</v>
      </c>
      <c r="G2232" s="2503">
        <f>COUNTIF(PoderesDeCriatura_Adquiridos,Tablas!B2232)</f>
        <v>0</v>
      </c>
    </row>
    <row r="2233" spans="2:7" ht="12.75" customHeight="1" x14ac:dyDescent="0.2">
      <c r="B2233" s="1856" t="s">
        <v>181</v>
      </c>
      <c r="C2233" s="111"/>
      <c r="D2233" s="111"/>
      <c r="E2233" s="456">
        <v>15</v>
      </c>
      <c r="F2233" s="644">
        <v>30</v>
      </c>
      <c r="G2233" s="2503">
        <f>COUNTIF(PoderesDeCriatura_Adquiridos,Tablas!B2233)</f>
        <v>0</v>
      </c>
    </row>
    <row r="2234" spans="2:7" ht="12.75" customHeight="1" x14ac:dyDescent="0.2">
      <c r="B2234" s="1856" t="s">
        <v>182</v>
      </c>
      <c r="C2234" s="111"/>
      <c r="D2234" s="111"/>
      <c r="E2234" s="456">
        <v>30</v>
      </c>
      <c r="F2234" s="644">
        <v>60</v>
      </c>
      <c r="G2234" s="2503">
        <f>COUNTIF(PoderesDeCriatura_Adquiridos,Tablas!B2234)</f>
        <v>0</v>
      </c>
    </row>
    <row r="2235" spans="2:7" ht="12.75" customHeight="1" x14ac:dyDescent="0.2">
      <c r="B2235" s="1856" t="s">
        <v>183</v>
      </c>
      <c r="C2235" s="111"/>
      <c r="D2235" s="111"/>
      <c r="E2235" s="456">
        <v>20</v>
      </c>
      <c r="F2235" s="644">
        <v>40</v>
      </c>
      <c r="G2235" s="2503">
        <f>COUNTIF(PoderesDeCriatura_Adquiridos,Tablas!B2235)</f>
        <v>0</v>
      </c>
    </row>
    <row r="2236" spans="2:7" ht="12.75" customHeight="1" x14ac:dyDescent="0.2">
      <c r="B2236" s="1856" t="s">
        <v>184</v>
      </c>
      <c r="C2236" s="111"/>
      <c r="D2236" s="111"/>
      <c r="E2236" s="456">
        <v>25</v>
      </c>
      <c r="F2236" s="644">
        <v>60</v>
      </c>
      <c r="G2236" s="2503">
        <f>COUNTIF(PoderesDeCriatura_Adquiridos,Tablas!B2236)</f>
        <v>0</v>
      </c>
    </row>
    <row r="2237" spans="2:7" ht="12.75" customHeight="1" x14ac:dyDescent="0.2">
      <c r="B2237" s="1856" t="s">
        <v>185</v>
      </c>
      <c r="C2237" s="111"/>
      <c r="D2237" s="111"/>
      <c r="E2237" s="456">
        <v>30</v>
      </c>
      <c r="F2237" s="644">
        <v>50</v>
      </c>
      <c r="G2237" s="2503">
        <f>COUNTIF(PoderesDeCriatura_Adquiridos,Tablas!B2237)</f>
        <v>0</v>
      </c>
    </row>
    <row r="2238" spans="2:7" ht="12.75" customHeight="1" x14ac:dyDescent="0.2">
      <c r="B2238" s="1856" t="s">
        <v>186</v>
      </c>
      <c r="C2238" s="111"/>
      <c r="D2238" s="111"/>
      <c r="E2238" s="456">
        <v>20</v>
      </c>
      <c r="F2238" s="644">
        <v>-20</v>
      </c>
      <c r="G2238" s="2503">
        <f>COUNTIF(PoderesDeCriatura_Adquiridos,Tablas!B2238)</f>
        <v>0</v>
      </c>
    </row>
    <row r="2239" spans="2:7" ht="12.75" customHeight="1" x14ac:dyDescent="0.2">
      <c r="B2239" s="1856" t="s">
        <v>187</v>
      </c>
      <c r="C2239" s="111"/>
      <c r="D2239" s="111"/>
      <c r="E2239" s="456">
        <v>20</v>
      </c>
      <c r="F2239" s="644">
        <v>-20</v>
      </c>
      <c r="G2239" s="2503">
        <f>COUNTIF(PoderesDeCriatura_Adquiridos,Tablas!B2239)</f>
        <v>0</v>
      </c>
    </row>
    <row r="2240" spans="2:7" ht="12.75" customHeight="1" x14ac:dyDescent="0.2">
      <c r="B2240" s="2508" t="s">
        <v>188</v>
      </c>
      <c r="C2240" s="111"/>
      <c r="D2240" s="111"/>
      <c r="E2240" s="456"/>
      <c r="F2240" s="644"/>
      <c r="G2240" s="2503"/>
    </row>
    <row r="2241" spans="2:9" ht="12.75" customHeight="1" x14ac:dyDescent="0.2">
      <c r="B2241" s="1856" t="s">
        <v>189</v>
      </c>
      <c r="C2241" s="111"/>
      <c r="D2241" s="111"/>
      <c r="E2241" s="456">
        <v>10</v>
      </c>
      <c r="F2241" s="644">
        <v>20</v>
      </c>
      <c r="G2241" s="2503">
        <f>COUNTIF(PoderesDeCriatura_Adquiridos,Tablas!B2241)</f>
        <v>0</v>
      </c>
    </row>
    <row r="2242" spans="2:9" ht="12.75" customHeight="1" x14ac:dyDescent="0.2">
      <c r="B2242" s="1856" t="s">
        <v>190</v>
      </c>
      <c r="C2242" s="111"/>
      <c r="D2242" s="111"/>
      <c r="E2242" s="456">
        <v>20</v>
      </c>
      <c r="F2242" s="644">
        <v>30</v>
      </c>
      <c r="G2242" s="2503">
        <f>COUNTIF(PoderesDeCriatura_Adquiridos,Tablas!B2242)</f>
        <v>0</v>
      </c>
    </row>
    <row r="2243" spans="2:9" ht="12.75" customHeight="1" x14ac:dyDescent="0.2">
      <c r="B2243" s="1856" t="s">
        <v>191</v>
      </c>
      <c r="C2243" s="111"/>
      <c r="D2243" s="111"/>
      <c r="E2243" s="456">
        <v>25</v>
      </c>
      <c r="F2243" s="644">
        <v>40</v>
      </c>
      <c r="G2243" s="2503">
        <f>COUNTIF(PoderesDeCriatura_Adquiridos,Tablas!B2243)</f>
        <v>0</v>
      </c>
    </row>
    <row r="2244" spans="2:9" ht="12.75" customHeight="1" x14ac:dyDescent="0.2">
      <c r="B2244" s="1856" t="s">
        <v>192</v>
      </c>
      <c r="C2244" s="111"/>
      <c r="D2244" s="111"/>
      <c r="E2244" s="456">
        <v>30</v>
      </c>
      <c r="F2244" s="644">
        <v>60</v>
      </c>
      <c r="G2244" s="2503">
        <f>COUNTIF(PoderesDeCriatura_Adquiridos,Tablas!B2244)</f>
        <v>0</v>
      </c>
    </row>
    <row r="2245" spans="2:9" ht="12.75" customHeight="1" x14ac:dyDescent="0.2">
      <c r="B2245" s="1856" t="s">
        <v>193</v>
      </c>
      <c r="C2245" s="111"/>
      <c r="D2245" s="111"/>
      <c r="E2245" s="456">
        <v>35</v>
      </c>
      <c r="F2245" s="644">
        <v>80</v>
      </c>
      <c r="G2245" s="2503">
        <f>COUNTIF(PoderesDeCriatura_Adquiridos,Tablas!B2245)</f>
        <v>0</v>
      </c>
    </row>
    <row r="2246" spans="2:9" ht="12.75" customHeight="1" x14ac:dyDescent="0.2">
      <c r="B2246" s="1856" t="s">
        <v>194</v>
      </c>
      <c r="C2246" s="111"/>
      <c r="D2246" s="111"/>
      <c r="E2246" s="456">
        <v>10</v>
      </c>
      <c r="F2246" s="644">
        <v>-20</v>
      </c>
      <c r="G2246" s="2503">
        <f>COUNTIF(PoderesDeCriatura_Adquiridos,Tablas!B2246)</f>
        <v>0</v>
      </c>
    </row>
    <row r="2247" spans="2:9" ht="12.75" customHeight="1" x14ac:dyDescent="0.2">
      <c r="B2247" s="1856" t="s">
        <v>195</v>
      </c>
      <c r="C2247" s="111"/>
      <c r="D2247" s="111"/>
      <c r="E2247" s="456">
        <v>30</v>
      </c>
      <c r="F2247" s="644">
        <v>100</v>
      </c>
      <c r="G2247" s="2503">
        <f>COUNTIF(PoderesDeCriatura_Adquiridos,Tablas!B2247)</f>
        <v>0</v>
      </c>
    </row>
    <row r="2248" spans="2:9" ht="12.75" customHeight="1" x14ac:dyDescent="0.2">
      <c r="B2248" s="1856" t="s">
        <v>196</v>
      </c>
      <c r="C2248" s="111"/>
      <c r="D2248" s="111"/>
      <c r="E2248" s="456">
        <v>35</v>
      </c>
      <c r="F2248" s="644">
        <v>150</v>
      </c>
      <c r="G2248" s="2503">
        <f>COUNTIF(PoderesDeCriatura_Adquiridos,Tablas!B2248)</f>
        <v>0</v>
      </c>
    </row>
    <row r="2249" spans="2:9" ht="12.75" customHeight="1" x14ac:dyDescent="0.2">
      <c r="B2249" s="2508" t="s">
        <v>197</v>
      </c>
      <c r="C2249" s="111"/>
      <c r="D2249" s="111"/>
      <c r="E2249" s="456">
        <v>30</v>
      </c>
      <c r="F2249" s="644">
        <v>150</v>
      </c>
      <c r="G2249" s="2503">
        <f>COUNTIF(PoderesDeCriatura_Adquiridos,Tablas!B2249)</f>
        <v>0</v>
      </c>
    </row>
    <row r="2250" spans="2:9" ht="12.75" customHeight="1" x14ac:dyDescent="0.2">
      <c r="B2250" s="1856" t="s">
        <v>198</v>
      </c>
      <c r="C2250" s="111"/>
      <c r="D2250" s="111"/>
      <c r="E2250" s="456"/>
      <c r="F2250" s="644"/>
      <c r="G2250" s="2503"/>
    </row>
    <row r="2251" spans="2:9" ht="12.75" customHeight="1" x14ac:dyDescent="0.2">
      <c r="B2251" s="2509" t="s">
        <v>199</v>
      </c>
      <c r="C2251" s="111"/>
      <c r="D2251" s="111"/>
      <c r="E2251" s="456">
        <v>35</v>
      </c>
      <c r="F2251" s="644">
        <v>40</v>
      </c>
      <c r="G2251" s="2503">
        <f>COUNTIF(PoderesDeCriatura_Adquiridos,Tablas!B2251)</f>
        <v>0</v>
      </c>
    </row>
    <row r="2252" spans="2:9" ht="12.75" customHeight="1" x14ac:dyDescent="0.2">
      <c r="B2252" s="2510" t="s">
        <v>200</v>
      </c>
      <c r="C2252" s="111"/>
      <c r="D2252" s="111"/>
      <c r="E2252" s="456">
        <v>35</v>
      </c>
      <c r="F2252" s="644">
        <v>40</v>
      </c>
      <c r="G2252" s="2503">
        <f>COUNTIF(PoderesDeCriatura_Adquiridos,Tablas!B2252)</f>
        <v>0</v>
      </c>
      <c r="H2252" s="2528" t="s">
        <v>9089</v>
      </c>
    </row>
    <row r="2253" spans="2:9" ht="12.75" customHeight="1" x14ac:dyDescent="0.2">
      <c r="B2253" s="2510" t="s">
        <v>201</v>
      </c>
      <c r="C2253" s="111"/>
      <c r="D2253" s="111"/>
      <c r="E2253" s="456">
        <v>40</v>
      </c>
      <c r="F2253" s="644">
        <v>60</v>
      </c>
      <c r="G2253" s="2503">
        <f>COUNTIF(PoderesDeCriatura_Adquiridos,Tablas!B2253)</f>
        <v>0</v>
      </c>
      <c r="H2253" s="2528" t="s">
        <v>9753</v>
      </c>
      <c r="I2253" s="2180">
        <f>IF(G2252,15,IF(G2253,20,0))</f>
        <v>0</v>
      </c>
    </row>
    <row r="2254" spans="2:9" ht="12.75" customHeight="1" x14ac:dyDescent="0.2">
      <c r="B2254" s="1856" t="s">
        <v>202</v>
      </c>
      <c r="C2254" s="111"/>
      <c r="D2254" s="111"/>
      <c r="E2254" s="456">
        <v>35</v>
      </c>
      <c r="F2254" s="644">
        <v>40</v>
      </c>
      <c r="G2254" s="2503">
        <f>COUNTIF(PoderesDeCriatura_Adquiridos,Tablas!B2254)</f>
        <v>0</v>
      </c>
    </row>
    <row r="2255" spans="2:9" ht="12.75" customHeight="1" x14ac:dyDescent="0.2">
      <c r="B2255" s="1856" t="s">
        <v>203</v>
      </c>
      <c r="C2255" s="111"/>
      <c r="D2255" s="111"/>
      <c r="E2255" s="456">
        <v>35</v>
      </c>
      <c r="F2255" s="644">
        <v>40</v>
      </c>
      <c r="G2255" s="2503">
        <f>COUNTIF(PoderesDeCriatura_Adquiridos,Tablas!B2255)</f>
        <v>0</v>
      </c>
    </row>
    <row r="2256" spans="2:9" ht="12.75" customHeight="1" x14ac:dyDescent="0.2">
      <c r="B2256" s="1856" t="s">
        <v>204</v>
      </c>
      <c r="C2256" s="111"/>
      <c r="D2256" s="111"/>
      <c r="E2256" s="456">
        <v>40</v>
      </c>
      <c r="F2256" s="644">
        <v>20</v>
      </c>
      <c r="G2256" s="2503">
        <f>COUNTIF(PoderesDeCriatura_Adquiridos,Tablas!B2256)</f>
        <v>0</v>
      </c>
    </row>
    <row r="2257" spans="2:7" ht="12.75" customHeight="1" x14ac:dyDescent="0.2">
      <c r="B2257" s="2508" t="s">
        <v>205</v>
      </c>
      <c r="C2257" s="111"/>
      <c r="D2257" s="111"/>
      <c r="E2257" s="456">
        <v>35</v>
      </c>
      <c r="F2257" s="644">
        <v>50</v>
      </c>
      <c r="G2257" s="2503">
        <f>COUNTIF(PoderesDeCriatura_Adquiridos,Tablas!B2257)</f>
        <v>0</v>
      </c>
    </row>
    <row r="2258" spans="2:7" ht="12.75" customHeight="1" x14ac:dyDescent="0.2">
      <c r="B2258" s="2508" t="s">
        <v>206</v>
      </c>
      <c r="C2258" s="111"/>
      <c r="D2258" s="111"/>
      <c r="E2258" s="456">
        <v>30</v>
      </c>
      <c r="F2258" s="644">
        <v>40</v>
      </c>
      <c r="G2258" s="2503">
        <f>COUNTIF(PoderesDeCriatura_Adquiridos,Tablas!B2258)</f>
        <v>0</v>
      </c>
    </row>
    <row r="2259" spans="2:7" ht="12.75" customHeight="1" x14ac:dyDescent="0.2">
      <c r="B2259" s="2508" t="s">
        <v>207</v>
      </c>
      <c r="C2259" s="111"/>
      <c r="D2259" s="111"/>
      <c r="E2259" s="456"/>
      <c r="F2259" s="644"/>
      <c r="G2259" s="2503"/>
    </row>
    <row r="2260" spans="2:7" ht="12.75" customHeight="1" x14ac:dyDescent="0.2">
      <c r="B2260" s="2508" t="str">
        <f>IF('Elan y Personalización'!AB17=0,"Poder #1",'Elan y Personalización'!AB17)</f>
        <v>Poder #1</v>
      </c>
      <c r="C2260" s="111"/>
      <c r="D2260" s="111"/>
      <c r="E2260" s="456">
        <f>'Elan y Personalización'!AI17</f>
        <v>0</v>
      </c>
      <c r="F2260" s="644">
        <f>'Elan y Personalización'!AJ17</f>
        <v>0</v>
      </c>
      <c r="G2260" s="2503">
        <f>COUNTIF(PoderesDeCriatura_Adquiridos,Tablas!B2260)</f>
        <v>0</v>
      </c>
    </row>
    <row r="2261" spans="2:7" ht="12.75" customHeight="1" x14ac:dyDescent="0.2">
      <c r="B2261" s="2508" t="str">
        <f>IF('Elan y Personalización'!AB18=0,"Poder #2",'Elan y Personalización'!AB18)</f>
        <v>Poder #2</v>
      </c>
      <c r="C2261" s="111"/>
      <c r="D2261" s="111"/>
      <c r="E2261" s="456">
        <f>'Elan y Personalización'!AI18</f>
        <v>0</v>
      </c>
      <c r="F2261" s="644">
        <f>'Elan y Personalización'!AJ18</f>
        <v>0</v>
      </c>
      <c r="G2261" s="2503">
        <f>COUNTIF(PoderesDeCriatura_Adquiridos,Tablas!B2261)</f>
        <v>0</v>
      </c>
    </row>
    <row r="2262" spans="2:7" ht="12.75" customHeight="1" x14ac:dyDescent="0.2">
      <c r="B2262" s="2508" t="str">
        <f>IF('Elan y Personalización'!AB19=0,"Poder #3",'Elan y Personalización'!AB19)</f>
        <v>Poder #3</v>
      </c>
      <c r="C2262" s="111"/>
      <c r="D2262" s="111"/>
      <c r="E2262" s="456">
        <f>'Elan y Personalización'!AI19</f>
        <v>0</v>
      </c>
      <c r="F2262" s="644">
        <f>'Elan y Personalización'!AJ19</f>
        <v>0</v>
      </c>
      <c r="G2262" s="2503">
        <f>COUNTIF(PoderesDeCriatura_Adquiridos,Tablas!B2262)</f>
        <v>0</v>
      </c>
    </row>
    <row r="2263" spans="2:7" ht="12.75" customHeight="1" x14ac:dyDescent="0.2">
      <c r="B2263" s="2508" t="str">
        <f>IF('Elan y Personalización'!AB20=0,"Poder #4",'Elan y Personalización'!AB20)</f>
        <v>Poder #4</v>
      </c>
      <c r="C2263" s="111"/>
      <c r="D2263" s="111"/>
      <c r="E2263" s="456">
        <f>'Elan y Personalización'!AI20</f>
        <v>0</v>
      </c>
      <c r="F2263" s="644">
        <f>'Elan y Personalización'!AJ20</f>
        <v>0</v>
      </c>
      <c r="G2263" s="2503">
        <f>COUNTIF(PoderesDeCriatura_Adquiridos,Tablas!B2263)</f>
        <v>0</v>
      </c>
    </row>
    <row r="2264" spans="2:7" ht="12.75" customHeight="1" x14ac:dyDescent="0.2">
      <c r="B2264" s="2508" t="str">
        <f>IF('Elan y Personalización'!AB21=0,"Poder #5",'Elan y Personalización'!AB21)</f>
        <v>Poder #5</v>
      </c>
      <c r="C2264" s="111"/>
      <c r="D2264" s="111"/>
      <c r="E2264" s="456">
        <f>'Elan y Personalización'!AI21</f>
        <v>0</v>
      </c>
      <c r="F2264" s="644">
        <f>'Elan y Personalización'!AJ21</f>
        <v>0</v>
      </c>
      <c r="G2264" s="2503">
        <f>COUNTIF(PoderesDeCriatura_Adquiridos,Tablas!B2264)</f>
        <v>0</v>
      </c>
    </row>
    <row r="2265" spans="2:7" ht="12.75" customHeight="1" x14ac:dyDescent="0.2">
      <c r="B2265" s="2508" t="str">
        <f>IF('Elan y Personalización'!AB22=0,"Poder #6",'Elan y Personalización'!AB22)</f>
        <v>Poder #6</v>
      </c>
      <c r="C2265" s="111"/>
      <c r="D2265" s="111"/>
      <c r="E2265" s="456">
        <f>'Elan y Personalización'!AI22</f>
        <v>0</v>
      </c>
      <c r="F2265" s="644">
        <f>'Elan y Personalización'!AJ22</f>
        <v>0</v>
      </c>
      <c r="G2265" s="2503">
        <f>COUNTIF(PoderesDeCriatura_Adquiridos,Tablas!B2265)</f>
        <v>0</v>
      </c>
    </row>
    <row r="2266" spans="2:7" ht="12.75" customHeight="1" x14ac:dyDescent="0.2">
      <c r="B2266" s="2508" t="str">
        <f>IF('Elan y Personalización'!AB23=0,"Poder #7",'Elan y Personalización'!AB23)</f>
        <v>Poder #7</v>
      </c>
      <c r="C2266" s="111"/>
      <c r="D2266" s="111"/>
      <c r="E2266" s="456">
        <f>'Elan y Personalización'!AI23</f>
        <v>0</v>
      </c>
      <c r="F2266" s="644">
        <f>'Elan y Personalización'!AJ23</f>
        <v>0</v>
      </c>
      <c r="G2266" s="2503">
        <f>COUNTIF(PoderesDeCriatura_Adquiridos,Tablas!B2266)</f>
        <v>0</v>
      </c>
    </row>
    <row r="2267" spans="2:7" ht="12.75" customHeight="1" x14ac:dyDescent="0.2">
      <c r="B2267" s="2508" t="str">
        <f>IF('Elan y Personalización'!AB24=0,"Poder #8",'Elan y Personalización'!AB24)</f>
        <v>Poder #8</v>
      </c>
      <c r="C2267" s="111"/>
      <c r="D2267" s="111"/>
      <c r="E2267" s="456">
        <f>'Elan y Personalización'!AI24</f>
        <v>0</v>
      </c>
      <c r="F2267" s="644">
        <f>'Elan y Personalización'!AJ24</f>
        <v>0</v>
      </c>
      <c r="G2267" s="2503">
        <f>COUNTIF(PoderesDeCriatura_Adquiridos,Tablas!B2267)</f>
        <v>0</v>
      </c>
    </row>
    <row r="2268" spans="2:7" ht="12.75" customHeight="1" x14ac:dyDescent="0.2">
      <c r="B2268" s="2508" t="str">
        <f>IF('Elan y Personalización'!AB25=0,"Poder #9",'Elan y Personalización'!AB25)</f>
        <v>Poder #9</v>
      </c>
      <c r="C2268" s="111"/>
      <c r="D2268" s="111"/>
      <c r="E2268" s="456">
        <f>'Elan y Personalización'!AI25</f>
        <v>0</v>
      </c>
      <c r="F2268" s="644">
        <f>'Elan y Personalización'!AJ25</f>
        <v>0</v>
      </c>
      <c r="G2268" s="2503">
        <f>COUNTIF(PoderesDeCriatura_Adquiridos,Tablas!B2268)</f>
        <v>0</v>
      </c>
    </row>
    <row r="2269" spans="2:7" ht="12.75" customHeight="1" thickBot="1" x14ac:dyDescent="0.25">
      <c r="B2269" s="2511" t="str">
        <f>IF('Elan y Personalización'!AB26=0,"Poder #10",'Elan y Personalización'!AB26)</f>
        <v>Poder #10</v>
      </c>
      <c r="C2269" s="2512"/>
      <c r="D2269" s="2512"/>
      <c r="E2269" s="2513">
        <f>'Elan y Personalización'!AI26</f>
        <v>0</v>
      </c>
      <c r="F2269" s="2514">
        <f>'Elan y Personalización'!AJ26</f>
        <v>0</v>
      </c>
      <c r="G2269" s="2504">
        <f>COUNTIF(PoderesDeCriatura_Adquiridos,Tablas!B2269)</f>
        <v>0</v>
      </c>
    </row>
    <row r="2285" spans="2:22" ht="12.75" customHeight="1" thickBot="1" x14ac:dyDescent="0.25"/>
    <row r="2286" spans="2:22" ht="12.75" customHeight="1" thickBot="1" x14ac:dyDescent="0.25">
      <c r="B2286" s="4862" t="s">
        <v>208</v>
      </c>
      <c r="C2286" s="4862"/>
      <c r="D2286" s="4862"/>
      <c r="E2286" s="4862"/>
      <c r="F2286" s="4862"/>
      <c r="G2286" s="4862"/>
      <c r="H2286" s="4862"/>
      <c r="I2286" s="4862"/>
      <c r="J2286" s="4862"/>
      <c r="K2286" s="4862"/>
      <c r="L2286" s="4862"/>
      <c r="M2286" s="4862"/>
      <c r="N2286" s="4862"/>
      <c r="O2286" s="4862"/>
      <c r="P2286" s="4862"/>
      <c r="Q2286" s="4862"/>
      <c r="R2286" s="4862"/>
      <c r="S2286" s="4862"/>
      <c r="T2286" s="4862"/>
      <c r="U2286" s="4862"/>
      <c r="V2286" s="4862"/>
    </row>
    <row r="2287" spans="2:22" ht="12.75" customHeight="1" x14ac:dyDescent="0.2">
      <c r="B2287" s="4862"/>
      <c r="C2287" s="4862"/>
      <c r="D2287" s="4862"/>
      <c r="E2287" s="4862"/>
      <c r="F2287" s="4862"/>
      <c r="G2287" s="4862"/>
      <c r="H2287" s="4862"/>
      <c r="I2287" s="4862"/>
      <c r="J2287" s="4862"/>
      <c r="K2287" s="4862"/>
      <c r="L2287" s="4862"/>
      <c r="M2287" s="4862"/>
      <c r="N2287" s="4862"/>
      <c r="O2287" s="4862"/>
      <c r="P2287" s="4862"/>
      <c r="Q2287" s="4862"/>
      <c r="R2287" s="4862"/>
      <c r="S2287" s="4862"/>
      <c r="T2287" s="4862"/>
      <c r="U2287" s="4862"/>
      <c r="V2287" s="4862"/>
    </row>
    <row r="2288" spans="2:22" ht="12.75" customHeight="1" thickBot="1" x14ac:dyDescent="0.25">
      <c r="B2288" s="4860" t="s">
        <v>209</v>
      </c>
      <c r="C2288" s="4860"/>
      <c r="D2288" s="490" t="s">
        <v>2345</v>
      </c>
      <c r="E2288" s="490" t="s">
        <v>2722</v>
      </c>
      <c r="F2288" s="648" t="s">
        <v>2407</v>
      </c>
      <c r="G2288" s="649"/>
      <c r="H2288" s="1952"/>
      <c r="I2288" s="4911" t="s">
        <v>1736</v>
      </c>
      <c r="J2288" s="4911"/>
      <c r="K2288" s="4911"/>
      <c r="L2288" s="4911"/>
      <c r="M2288" s="4911"/>
      <c r="N2288" s="4911"/>
      <c r="O2288" s="4911"/>
      <c r="P2288" s="4911"/>
      <c r="Q2288" s="4861" t="s">
        <v>1494</v>
      </c>
      <c r="R2288" s="4861"/>
      <c r="S2288" s="4861"/>
      <c r="T2288" s="4861"/>
      <c r="U2288" s="4861"/>
      <c r="V2288" s="4861"/>
    </row>
    <row r="2289" spans="2:22" ht="12.75" customHeight="1" x14ac:dyDescent="0.2">
      <c r="B2289" s="610"/>
      <c r="C2289" s="611" t="s">
        <v>210</v>
      </c>
      <c r="D2289" s="612">
        <v>30</v>
      </c>
      <c r="E2289" s="612">
        <v>40</v>
      </c>
      <c r="F2289" s="613" t="s">
        <v>211</v>
      </c>
      <c r="G2289" s="73"/>
      <c r="H2289" s="333"/>
      <c r="I2289" s="23" t="s">
        <v>212</v>
      </c>
      <c r="J2289" s="73"/>
      <c r="K2289" s="73"/>
      <c r="L2289" s="73"/>
      <c r="M2289" s="73"/>
      <c r="N2289" s="333"/>
      <c r="O2289" s="73"/>
      <c r="P2289" s="73"/>
      <c r="Q2289" s="613" t="s">
        <v>213</v>
      </c>
      <c r="R2289" s="73"/>
      <c r="S2289" s="73"/>
      <c r="T2289" s="73"/>
      <c r="U2289" s="75"/>
      <c r="V2289" s="75"/>
    </row>
    <row r="2290" spans="2:22" ht="12.75" customHeight="1" x14ac:dyDescent="0.2">
      <c r="B2290" s="70"/>
      <c r="C2290" s="611" t="s">
        <v>214</v>
      </c>
      <c r="D2290" s="612">
        <v>30</v>
      </c>
      <c r="E2290" s="612">
        <v>40</v>
      </c>
      <c r="F2290" s="650" t="s">
        <v>215</v>
      </c>
      <c r="G2290" s="73"/>
      <c r="H2290" s="333"/>
      <c r="I2290" s="23" t="s">
        <v>216</v>
      </c>
      <c r="J2290" s="73"/>
      <c r="K2290" s="73"/>
      <c r="L2290" s="73"/>
      <c r="M2290" s="73"/>
      <c r="N2290" s="333"/>
      <c r="O2290" s="73"/>
      <c r="P2290" s="73"/>
      <c r="Q2290" s="23" t="s">
        <v>217</v>
      </c>
      <c r="R2290" s="73"/>
      <c r="S2290" s="73"/>
      <c r="T2290" s="73"/>
      <c r="U2290" s="73"/>
      <c r="V2290" s="75"/>
    </row>
    <row r="2291" spans="2:22" ht="12.75" customHeight="1" x14ac:dyDescent="0.2">
      <c r="B2291" s="70"/>
      <c r="C2291" s="611" t="s">
        <v>218</v>
      </c>
      <c r="D2291" s="612">
        <v>20</v>
      </c>
      <c r="E2291" s="612">
        <v>30</v>
      </c>
      <c r="F2291" s="650" t="s">
        <v>219</v>
      </c>
      <c r="G2291" s="73"/>
      <c r="H2291" s="333"/>
      <c r="I2291" s="23" t="s">
        <v>220</v>
      </c>
      <c r="J2291" s="73"/>
      <c r="K2291" s="73"/>
      <c r="L2291" s="73"/>
      <c r="M2291" s="73"/>
      <c r="N2291" s="333"/>
      <c r="O2291" s="73"/>
      <c r="P2291" s="73"/>
      <c r="Q2291" s="23" t="s">
        <v>221</v>
      </c>
      <c r="R2291" s="73"/>
      <c r="S2291" s="73"/>
      <c r="T2291" s="73"/>
      <c r="U2291" s="73"/>
      <c r="V2291" s="75"/>
    </row>
    <row r="2292" spans="2:22" ht="12.75" customHeight="1" x14ac:dyDescent="0.2">
      <c r="B2292" s="70"/>
      <c r="C2292" s="611" t="s">
        <v>222</v>
      </c>
      <c r="D2292" s="612">
        <v>30</v>
      </c>
      <c r="E2292" s="612">
        <v>40</v>
      </c>
      <c r="F2292" s="650" t="s">
        <v>223</v>
      </c>
      <c r="G2292" s="73"/>
      <c r="H2292" s="333"/>
      <c r="I2292" s="23" t="s">
        <v>224</v>
      </c>
      <c r="J2292" s="73"/>
      <c r="K2292" s="73"/>
      <c r="L2292" s="73"/>
      <c r="M2292" s="73"/>
      <c r="N2292" s="333"/>
      <c r="O2292" s="73"/>
      <c r="P2292" s="73"/>
      <c r="Q2292" s="23" t="s">
        <v>225</v>
      </c>
      <c r="R2292" s="73"/>
      <c r="S2292" s="73"/>
      <c r="T2292" s="73"/>
      <c r="U2292" s="73"/>
      <c r="V2292" s="75"/>
    </row>
    <row r="2293" spans="2:22" ht="12.75" customHeight="1" x14ac:dyDescent="0.2">
      <c r="B2293" s="70"/>
      <c r="C2293" s="611" t="s">
        <v>226</v>
      </c>
      <c r="D2293" s="612">
        <v>30</v>
      </c>
      <c r="E2293" s="612">
        <v>40</v>
      </c>
      <c r="F2293" s="650" t="s">
        <v>227</v>
      </c>
      <c r="G2293" s="73"/>
      <c r="H2293" s="333"/>
      <c r="I2293" s="23" t="s">
        <v>228</v>
      </c>
      <c r="J2293" s="73"/>
      <c r="K2293" s="73"/>
      <c r="L2293" s="73"/>
      <c r="M2293" s="73"/>
      <c r="N2293" s="333"/>
      <c r="O2293" s="73"/>
      <c r="P2293" s="73"/>
      <c r="Q2293" s="23" t="s">
        <v>229</v>
      </c>
      <c r="R2293" s="73"/>
      <c r="S2293" s="73"/>
      <c r="T2293" s="73"/>
      <c r="U2293" s="73"/>
      <c r="V2293" s="75"/>
    </row>
    <row r="2294" spans="2:22" ht="12.75" customHeight="1" x14ac:dyDescent="0.2">
      <c r="B2294" s="70"/>
      <c r="C2294" s="611" t="s">
        <v>3499</v>
      </c>
      <c r="D2294" s="612">
        <v>30</v>
      </c>
      <c r="E2294" s="612">
        <v>40</v>
      </c>
      <c r="F2294" s="650" t="s">
        <v>230</v>
      </c>
      <c r="G2294" s="73"/>
      <c r="H2294" s="333"/>
      <c r="I2294" s="23" t="s">
        <v>231</v>
      </c>
      <c r="J2294" s="73"/>
      <c r="K2294" s="73"/>
      <c r="L2294" s="73"/>
      <c r="M2294" s="73"/>
      <c r="N2294" s="333"/>
      <c r="O2294" s="73"/>
      <c r="P2294" s="73"/>
      <c r="Q2294" s="23" t="s">
        <v>232</v>
      </c>
      <c r="R2294" s="73"/>
      <c r="S2294" s="73"/>
      <c r="T2294" s="73"/>
      <c r="U2294" s="73"/>
      <c r="V2294" s="75"/>
    </row>
    <row r="2295" spans="2:22" ht="12.75" customHeight="1" x14ac:dyDescent="0.2">
      <c r="B2295" s="70"/>
      <c r="C2295" s="611" t="s">
        <v>233</v>
      </c>
      <c r="D2295" s="612">
        <v>30</v>
      </c>
      <c r="E2295" s="612">
        <v>40</v>
      </c>
      <c r="F2295" s="650" t="s">
        <v>234</v>
      </c>
      <c r="G2295" s="73"/>
      <c r="H2295" s="333"/>
      <c r="I2295" s="23" t="s">
        <v>235</v>
      </c>
      <c r="J2295" s="73"/>
      <c r="K2295" s="73"/>
      <c r="L2295" s="73"/>
      <c r="M2295" s="73"/>
      <c r="N2295" s="333"/>
      <c r="O2295" s="73"/>
      <c r="P2295" s="73"/>
      <c r="Q2295" s="23" t="s">
        <v>236</v>
      </c>
      <c r="R2295" s="73"/>
      <c r="S2295" s="73"/>
      <c r="T2295" s="73"/>
      <c r="U2295" s="73"/>
      <c r="V2295" s="75"/>
    </row>
    <row r="2296" spans="2:22" ht="12.75" customHeight="1" x14ac:dyDescent="0.2">
      <c r="B2296" s="70"/>
      <c r="C2296" s="611" t="s">
        <v>237</v>
      </c>
      <c r="D2296" s="612">
        <v>10</v>
      </c>
      <c r="E2296" s="612">
        <v>10</v>
      </c>
      <c r="F2296" s="650" t="s">
        <v>238</v>
      </c>
      <c r="G2296" s="73"/>
      <c r="H2296" s="333"/>
      <c r="I2296" s="73" t="str">
        <f t="shared" ref="I2296:I2302" si="91">""</f>
        <v/>
      </c>
      <c r="J2296" s="73"/>
      <c r="K2296" s="73"/>
      <c r="L2296" s="73"/>
      <c r="M2296" s="73"/>
      <c r="N2296" s="333"/>
      <c r="O2296" s="73"/>
      <c r="P2296" s="73"/>
      <c r="Q2296" s="650" t="s">
        <v>239</v>
      </c>
      <c r="R2296" s="73"/>
      <c r="S2296" s="73"/>
      <c r="T2296" s="73"/>
      <c r="U2296" s="73"/>
      <c r="V2296" s="75"/>
    </row>
    <row r="2297" spans="2:22" ht="12.75" customHeight="1" x14ac:dyDescent="0.2">
      <c r="B2297" s="70"/>
      <c r="C2297" s="611" t="s">
        <v>240</v>
      </c>
      <c r="D2297" s="612">
        <v>10</v>
      </c>
      <c r="E2297" s="612">
        <v>10</v>
      </c>
      <c r="F2297" s="650" t="s">
        <v>241</v>
      </c>
      <c r="G2297" s="73"/>
      <c r="H2297" s="333"/>
      <c r="I2297" s="73" t="str">
        <f t="shared" si="91"/>
        <v/>
      </c>
      <c r="J2297" s="73"/>
      <c r="K2297" s="73"/>
      <c r="L2297" s="73"/>
      <c r="M2297" s="73"/>
      <c r="N2297" s="333"/>
      <c r="O2297" s="73"/>
      <c r="P2297" s="73"/>
      <c r="Q2297" s="650" t="s">
        <v>242</v>
      </c>
      <c r="R2297" s="73"/>
      <c r="S2297" s="73"/>
      <c r="T2297" s="73"/>
      <c r="U2297" s="73"/>
      <c r="V2297" s="75"/>
    </row>
    <row r="2298" spans="2:22" ht="12.75" customHeight="1" x14ac:dyDescent="0.2">
      <c r="B2298" s="70"/>
      <c r="C2298" s="611" t="s">
        <v>243</v>
      </c>
      <c r="D2298" s="612">
        <v>10</v>
      </c>
      <c r="E2298" s="612">
        <v>10</v>
      </c>
      <c r="F2298" s="650" t="s">
        <v>244</v>
      </c>
      <c r="G2298" s="73"/>
      <c r="H2298" s="333"/>
      <c r="I2298" s="73" t="str">
        <f t="shared" si="91"/>
        <v/>
      </c>
      <c r="J2298" s="73"/>
      <c r="K2298" s="73"/>
      <c r="L2298" s="73"/>
      <c r="M2298" s="73"/>
      <c r="N2298" s="333"/>
      <c r="O2298" s="73"/>
      <c r="P2298" s="73"/>
      <c r="Q2298" s="650" t="s">
        <v>245</v>
      </c>
      <c r="R2298" s="73"/>
      <c r="S2298" s="73"/>
      <c r="T2298" s="73"/>
      <c r="U2298" s="73"/>
      <c r="V2298" s="75"/>
    </row>
    <row r="2299" spans="2:22" ht="12.75" customHeight="1" x14ac:dyDescent="0.2">
      <c r="B2299" s="70"/>
      <c r="C2299" s="611" t="s">
        <v>246</v>
      </c>
      <c r="D2299" s="612">
        <v>10</v>
      </c>
      <c r="E2299" s="612">
        <v>10</v>
      </c>
      <c r="F2299" s="650" t="s">
        <v>247</v>
      </c>
      <c r="G2299" s="73"/>
      <c r="H2299" s="333"/>
      <c r="I2299" s="73" t="str">
        <f t="shared" si="91"/>
        <v/>
      </c>
      <c r="J2299" s="73"/>
      <c r="K2299" s="73"/>
      <c r="L2299" s="73"/>
      <c r="M2299" s="73"/>
      <c r="N2299" s="333"/>
      <c r="O2299" s="73"/>
      <c r="P2299" s="73"/>
      <c r="Q2299" s="650" t="s">
        <v>248</v>
      </c>
      <c r="R2299" s="73"/>
      <c r="S2299" s="73"/>
      <c r="T2299" s="73"/>
      <c r="U2299" s="73"/>
      <c r="V2299" s="75"/>
    </row>
    <row r="2300" spans="2:22" ht="12.75" customHeight="1" x14ac:dyDescent="0.2">
      <c r="B2300" s="70"/>
      <c r="C2300" s="611" t="s">
        <v>249</v>
      </c>
      <c r="D2300" s="612">
        <v>10</v>
      </c>
      <c r="E2300" s="612">
        <v>10</v>
      </c>
      <c r="F2300" s="650" t="s">
        <v>250</v>
      </c>
      <c r="G2300" s="73"/>
      <c r="H2300" s="333"/>
      <c r="I2300" s="73" t="str">
        <f t="shared" si="91"/>
        <v/>
      </c>
      <c r="J2300" s="73"/>
      <c r="K2300" s="73"/>
      <c r="L2300" s="73"/>
      <c r="M2300" s="73"/>
      <c r="N2300" s="333"/>
      <c r="O2300" s="73"/>
      <c r="P2300" s="73"/>
      <c r="Q2300" s="650" t="s">
        <v>251</v>
      </c>
      <c r="R2300" s="73"/>
      <c r="S2300" s="73"/>
      <c r="T2300" s="73"/>
      <c r="U2300" s="73"/>
      <c r="V2300" s="75"/>
    </row>
    <row r="2301" spans="2:22" ht="12.75" customHeight="1" x14ac:dyDescent="0.2">
      <c r="B2301" s="70"/>
      <c r="C2301" s="611" t="s">
        <v>252</v>
      </c>
      <c r="D2301" s="612">
        <v>10</v>
      </c>
      <c r="E2301" s="612">
        <v>10</v>
      </c>
      <c r="F2301" s="650" t="s">
        <v>253</v>
      </c>
      <c r="G2301" s="73"/>
      <c r="H2301" s="333"/>
      <c r="I2301" s="73" t="str">
        <f t="shared" si="91"/>
        <v/>
      </c>
      <c r="J2301" s="73"/>
      <c r="K2301" s="73"/>
      <c r="L2301" s="73"/>
      <c r="M2301" s="73"/>
      <c r="N2301" s="333"/>
      <c r="O2301" s="73"/>
      <c r="P2301" s="73"/>
      <c r="Q2301" s="650" t="s">
        <v>254</v>
      </c>
      <c r="R2301" s="73"/>
      <c r="S2301" s="73"/>
      <c r="T2301" s="73"/>
      <c r="U2301" s="73"/>
      <c r="V2301" s="75"/>
    </row>
    <row r="2302" spans="2:22" ht="12.75" customHeight="1" x14ac:dyDescent="0.2">
      <c r="B2302" s="70"/>
      <c r="C2302" s="611" t="s">
        <v>255</v>
      </c>
      <c r="D2302" s="612">
        <v>10</v>
      </c>
      <c r="E2302" s="612">
        <v>10</v>
      </c>
      <c r="F2302" s="650" t="s">
        <v>256</v>
      </c>
      <c r="G2302" s="73"/>
      <c r="H2302" s="333"/>
      <c r="I2302" s="73" t="str">
        <f t="shared" si="91"/>
        <v/>
      </c>
      <c r="J2302" s="73"/>
      <c r="K2302" s="73"/>
      <c r="L2302" s="73"/>
      <c r="M2302" s="73"/>
      <c r="N2302" s="333"/>
      <c r="O2302" s="73"/>
      <c r="P2302" s="73"/>
      <c r="Q2302" s="650" t="s">
        <v>257</v>
      </c>
      <c r="R2302" s="73"/>
      <c r="S2302" s="73"/>
      <c r="T2302" s="73"/>
      <c r="U2302" s="73"/>
      <c r="V2302" s="75"/>
    </row>
    <row r="2303" spans="2:22" ht="12.75" customHeight="1" x14ac:dyDescent="0.2">
      <c r="B2303" s="70"/>
      <c r="C2303" s="611" t="str">
        <f>IF('Elan y Personalización'!W91=0,"Patrón mental #1",'Elan y Personalización'!W91)</f>
        <v>Patrón mental #1</v>
      </c>
      <c r="D2303" s="612">
        <f>'Elan y Personalización'!AB91</f>
        <v>0</v>
      </c>
      <c r="E2303" s="612">
        <f>'Elan y Personalización'!AC91</f>
        <v>0</v>
      </c>
      <c r="F2303" s="650">
        <f>'Elan y Personalización'!AD91</f>
        <v>0</v>
      </c>
      <c r="G2303" s="73"/>
      <c r="H2303" s="333"/>
      <c r="I2303" s="23">
        <f>'Elan y Personalización'!Y93</f>
        <v>0</v>
      </c>
      <c r="J2303" s="73"/>
      <c r="K2303" s="73"/>
      <c r="L2303" s="73"/>
      <c r="M2303" s="73"/>
      <c r="N2303" s="333"/>
      <c r="O2303" s="73"/>
      <c r="P2303" s="73"/>
      <c r="Q2303" s="650">
        <f>'Elan y Personalización'!Y92</f>
        <v>0</v>
      </c>
      <c r="R2303" s="73"/>
      <c r="S2303" s="73"/>
      <c r="T2303" s="73"/>
      <c r="U2303" s="73"/>
      <c r="V2303" s="75"/>
    </row>
    <row r="2304" spans="2:22" ht="12.75" customHeight="1" thickBot="1" x14ac:dyDescent="0.25">
      <c r="B2304" s="221"/>
      <c r="C2304" s="614" t="str">
        <f>IF('Elan y Personalización'!W95=0,"Patrón mental #2",'Elan y Personalización'!W95)</f>
        <v>Patrón mental #2</v>
      </c>
      <c r="D2304" s="615">
        <f>'Elan y Personalización'!AB95</f>
        <v>0</v>
      </c>
      <c r="E2304" s="615">
        <f>'Elan y Personalización'!AC95</f>
        <v>0</v>
      </c>
      <c r="F2304" s="651">
        <f>'Elan y Personalización'!AD95</f>
        <v>0</v>
      </c>
      <c r="G2304" s="222"/>
      <c r="H2304" s="1988"/>
      <c r="I2304" s="46">
        <f>'Elan y Personalización'!Y97</f>
        <v>0</v>
      </c>
      <c r="J2304" s="222"/>
      <c r="K2304" s="222"/>
      <c r="L2304" s="222"/>
      <c r="M2304" s="222"/>
      <c r="N2304" s="1988"/>
      <c r="O2304" s="222"/>
      <c r="P2304" s="222"/>
      <c r="Q2304" s="651">
        <f>'Elan y Personalización'!Y96</f>
        <v>0</v>
      </c>
      <c r="R2304" s="222"/>
      <c r="S2304" s="222"/>
      <c r="T2304" s="222"/>
      <c r="U2304" s="222"/>
      <c r="V2304" s="223"/>
    </row>
    <row r="2305" spans="2:22" ht="12.75" customHeight="1" thickBot="1" x14ac:dyDescent="0.25"/>
    <row r="2306" spans="2:22" ht="12.75" customHeight="1" x14ac:dyDescent="0.2">
      <c r="B2306" s="4904" t="s">
        <v>258</v>
      </c>
      <c r="C2306" s="4905"/>
      <c r="D2306" s="4905"/>
      <c r="E2306" s="4905"/>
      <c r="F2306" s="4905"/>
      <c r="G2306" s="4905"/>
      <c r="H2306" s="4905"/>
      <c r="I2306" s="4906"/>
      <c r="J2306" s="4903" t="s">
        <v>9573</v>
      </c>
      <c r="L2306" s="2994" t="s">
        <v>9574</v>
      </c>
      <c r="M2306" s="2995"/>
      <c r="N2306" s="2995"/>
      <c r="O2306" s="2995"/>
      <c r="P2306" s="2995"/>
      <c r="Q2306" s="2995"/>
      <c r="R2306" s="2995"/>
      <c r="S2306" s="2995"/>
      <c r="T2306" s="2995"/>
      <c r="U2306" s="2995"/>
      <c r="V2306" s="2996"/>
    </row>
    <row r="2307" spans="2:22" ht="12.75" customHeight="1" thickBot="1" x14ac:dyDescent="0.25">
      <c r="B2307" s="4925" t="s">
        <v>9575</v>
      </c>
      <c r="C2307" s="4926"/>
      <c r="D2307" s="4926"/>
      <c r="E2307" s="4926"/>
      <c r="F2307" s="4926"/>
      <c r="G2307" s="4926"/>
      <c r="H2307" s="4926"/>
      <c r="I2307" s="4927"/>
      <c r="J2307" s="4903"/>
      <c r="L2307" s="2100" t="s">
        <v>2570</v>
      </c>
      <c r="M2307" s="2098" t="s">
        <v>2571</v>
      </c>
      <c r="N2307" s="2304" t="s">
        <v>2577</v>
      </c>
      <c r="O2307" s="2098" t="s">
        <v>2578</v>
      </c>
      <c r="P2307" s="2098" t="s">
        <v>2479</v>
      </c>
      <c r="Q2307" s="2098" t="s">
        <v>2475</v>
      </c>
      <c r="R2307" s="2098" t="s">
        <v>2575</v>
      </c>
      <c r="S2307" s="2098" t="s">
        <v>2472</v>
      </c>
      <c r="T2307" s="2098" t="s">
        <v>2580</v>
      </c>
      <c r="U2307" s="2098" t="s">
        <v>2582</v>
      </c>
      <c r="V2307" s="2101" t="s">
        <v>2584</v>
      </c>
    </row>
    <row r="2308" spans="2:22" ht="12.75" customHeight="1" x14ac:dyDescent="0.2">
      <c r="B2308" s="653" t="s">
        <v>259</v>
      </c>
      <c r="C2308" s="654" t="s">
        <v>2584</v>
      </c>
      <c r="D2308" s="654" t="s">
        <v>2582</v>
      </c>
      <c r="E2308" s="654" t="s">
        <v>2580</v>
      </c>
      <c r="F2308" s="654" t="s">
        <v>2479</v>
      </c>
      <c r="G2308" s="654" t="s">
        <v>2575</v>
      </c>
      <c r="H2308" s="555" t="s">
        <v>2475</v>
      </c>
      <c r="I2308" s="481"/>
      <c r="J2308" s="2282" t="str">
        <f>C2308&amp;D2308&amp;E2308&amp;F2308&amp;G2308&amp;H2308&amp;I2308</f>
        <v>NigromanciaIlusiónEsenciaFuegoTierraAgua</v>
      </c>
      <c r="L2308" s="2102" t="s">
        <v>259</v>
      </c>
      <c r="M2308" s="2099" t="s">
        <v>259</v>
      </c>
      <c r="N2308" s="2305" t="s">
        <v>259</v>
      </c>
      <c r="O2308" s="2099" t="s">
        <v>259</v>
      </c>
      <c r="P2308" s="2099" t="s">
        <v>260</v>
      </c>
      <c r="Q2308" s="2099" t="s">
        <v>261</v>
      </c>
      <c r="R2308" s="2099" t="s">
        <v>260</v>
      </c>
      <c r="S2308" s="2099" t="s">
        <v>259</v>
      </c>
      <c r="T2308" s="2099" t="s">
        <v>263</v>
      </c>
      <c r="U2308" s="2099" t="s">
        <v>261</v>
      </c>
      <c r="V2308" s="2103" t="s">
        <v>260</v>
      </c>
    </row>
    <row r="2309" spans="2:22" ht="12.75" customHeight="1" x14ac:dyDescent="0.2">
      <c r="B2309" s="655" t="s">
        <v>260</v>
      </c>
      <c r="C2309" s="654" t="s">
        <v>2580</v>
      </c>
      <c r="D2309" s="654" t="s">
        <v>2472</v>
      </c>
      <c r="E2309" s="654" t="s">
        <v>2570</v>
      </c>
      <c r="F2309" s="654" t="s">
        <v>2475</v>
      </c>
      <c r="G2309" s="654" t="s">
        <v>2582</v>
      </c>
      <c r="H2309" s="555" t="s">
        <v>2577</v>
      </c>
      <c r="I2309" s="481"/>
      <c r="J2309" s="2282" t="str">
        <f t="shared" ref="J2309:J2321" si="92">C2309&amp;D2309&amp;E2309&amp;F2309&amp;G2309&amp;H2309&amp;I2309</f>
        <v>EsenciaAireLuzAguaIlusiónCreación</v>
      </c>
      <c r="L2309" s="2102" t="s">
        <v>261</v>
      </c>
      <c r="M2309" s="2099" t="s">
        <v>260</v>
      </c>
      <c r="N2309" s="2305" t="s">
        <v>261</v>
      </c>
      <c r="O2309" s="2099" t="s">
        <v>260</v>
      </c>
      <c r="P2309" s="2099" t="s">
        <v>262</v>
      </c>
      <c r="Q2309" s="2099" t="s">
        <v>263</v>
      </c>
      <c r="R2309" s="2099" t="s">
        <v>263</v>
      </c>
      <c r="S2309" s="2099" t="s">
        <v>263</v>
      </c>
      <c r="T2309" s="2099" t="s">
        <v>265</v>
      </c>
      <c r="U2309" s="2099" t="s">
        <v>263</v>
      </c>
      <c r="V2309" s="2103" t="s">
        <v>262</v>
      </c>
    </row>
    <row r="2310" spans="2:22" ht="12.75" customHeight="1" x14ac:dyDescent="0.2">
      <c r="B2310" s="655" t="s">
        <v>261</v>
      </c>
      <c r="C2310" s="654" t="s">
        <v>2584</v>
      </c>
      <c r="D2310" s="654" t="s">
        <v>2578</v>
      </c>
      <c r="E2310" s="654" t="s">
        <v>2580</v>
      </c>
      <c r="F2310" s="654" t="s">
        <v>2479</v>
      </c>
      <c r="G2310" s="654" t="s">
        <v>2472</v>
      </c>
      <c r="H2310" s="555" t="s">
        <v>2575</v>
      </c>
      <c r="I2310" s="481"/>
      <c r="J2310" s="2282" t="str">
        <f t="shared" si="92"/>
        <v>NigromanciaDestrucciónEsenciaFuegoAireTierra</v>
      </c>
      <c r="L2310" s="2102" t="s">
        <v>263</v>
      </c>
      <c r="M2310" s="2099" t="s">
        <v>261</v>
      </c>
      <c r="N2310" s="2305" t="s">
        <v>263</v>
      </c>
      <c r="O2310" s="2099" t="s">
        <v>262</v>
      </c>
      <c r="P2310" s="2099" t="s">
        <v>266</v>
      </c>
      <c r="Q2310" s="2099" t="s">
        <v>264</v>
      </c>
      <c r="R2310" s="2099" t="s">
        <v>264</v>
      </c>
      <c r="S2310" s="2099" t="s">
        <v>264</v>
      </c>
      <c r="T2310" s="2099" t="s">
        <v>267</v>
      </c>
      <c r="U2310" s="2099" t="s">
        <v>264</v>
      </c>
      <c r="V2310" s="2103" t="s">
        <v>266</v>
      </c>
    </row>
    <row r="2311" spans="2:22" ht="12.75" customHeight="1" x14ac:dyDescent="0.2">
      <c r="B2311" s="655" t="s">
        <v>262</v>
      </c>
      <c r="C2311" s="654" t="s">
        <v>2577</v>
      </c>
      <c r="D2311" s="654" t="s">
        <v>2570</v>
      </c>
      <c r="E2311" s="654" t="s">
        <v>2580</v>
      </c>
      <c r="F2311" s="654" t="s">
        <v>2575</v>
      </c>
      <c r="G2311" s="654" t="s">
        <v>2475</v>
      </c>
      <c r="H2311" s="555" t="s">
        <v>2472</v>
      </c>
      <c r="I2311" s="481" t="s">
        <v>2582</v>
      </c>
      <c r="J2311" s="2282" t="str">
        <f t="shared" si="92"/>
        <v>CreaciónLuzEsenciaTierraAguaAireIlusión</v>
      </c>
      <c r="L2311" s="2102" t="s">
        <v>264</v>
      </c>
      <c r="M2311" s="2099" t="s">
        <v>262</v>
      </c>
      <c r="N2311" s="2305" t="s">
        <v>265</v>
      </c>
      <c r="O2311" s="2099" t="s">
        <v>266</v>
      </c>
      <c r="P2311" s="2099" t="s">
        <v>3077</v>
      </c>
      <c r="Q2311" s="2099" t="s">
        <v>265</v>
      </c>
      <c r="R2311" s="2099" t="s">
        <v>265</v>
      </c>
      <c r="S2311" s="2099" t="s">
        <v>265</v>
      </c>
      <c r="T2311" s="2099" t="s">
        <v>268</v>
      </c>
      <c r="U2311" s="2099" t="s">
        <v>269</v>
      </c>
      <c r="V2311" s="2103" t="s">
        <v>267</v>
      </c>
    </row>
    <row r="2312" spans="2:22" ht="12.75" customHeight="1" x14ac:dyDescent="0.2">
      <c r="B2312" s="655" t="s">
        <v>263</v>
      </c>
      <c r="C2312" s="654" t="s">
        <v>2578</v>
      </c>
      <c r="D2312" s="654" t="s">
        <v>2479</v>
      </c>
      <c r="E2312" s="654" t="s">
        <v>2575</v>
      </c>
      <c r="F2312" s="654" t="s">
        <v>2584</v>
      </c>
      <c r="G2312" s="654"/>
      <c r="H2312" s="555"/>
      <c r="I2312" s="481"/>
      <c r="J2312" s="2282" t="str">
        <f t="shared" si="92"/>
        <v>DestrucciónFuegoTierraNigromancia</v>
      </c>
      <c r="L2312" s="2102" t="s">
        <v>265</v>
      </c>
      <c r="M2312" s="2099" t="s">
        <v>263</v>
      </c>
      <c r="N2312" s="2305" t="s">
        <v>266</v>
      </c>
      <c r="O2312" s="2099" t="s">
        <v>268</v>
      </c>
      <c r="P2312" s="2011"/>
      <c r="Q2312" s="2099" t="s">
        <v>267</v>
      </c>
      <c r="R2312" s="2011"/>
      <c r="S2312" s="2099" t="s">
        <v>266</v>
      </c>
      <c r="T2312" s="2099" t="s">
        <v>269</v>
      </c>
      <c r="U2312" s="2099" t="s">
        <v>3077</v>
      </c>
      <c r="V2312" s="2103" t="s">
        <v>268</v>
      </c>
    </row>
    <row r="2313" spans="2:22" ht="12.75" customHeight="1" x14ac:dyDescent="0.2">
      <c r="B2313" s="655" t="s">
        <v>264</v>
      </c>
      <c r="C2313" s="654" t="s">
        <v>2577</v>
      </c>
      <c r="D2313" s="654" t="s">
        <v>2578</v>
      </c>
      <c r="E2313" s="654" t="s">
        <v>2580</v>
      </c>
      <c r="F2313" s="654" t="s">
        <v>2479</v>
      </c>
      <c r="G2313" s="654" t="s">
        <v>2584</v>
      </c>
      <c r="H2313" s="555"/>
      <c r="I2313" s="481"/>
      <c r="J2313" s="2282" t="str">
        <f t="shared" si="92"/>
        <v>CreaciónDestrucciónEsenciaFuegoNigromancia</v>
      </c>
      <c r="L2313" s="2102" t="s">
        <v>267</v>
      </c>
      <c r="M2313" s="2099" t="s">
        <v>264</v>
      </c>
      <c r="N2313" s="2305" t="s">
        <v>267</v>
      </c>
      <c r="O2313" s="2099" t="s">
        <v>270</v>
      </c>
      <c r="P2313" s="2011"/>
      <c r="Q2313" s="2099" t="s">
        <v>268</v>
      </c>
      <c r="R2313" s="2011"/>
      <c r="S2313" s="2099" t="s">
        <v>267</v>
      </c>
      <c r="T2313" s="2011"/>
      <c r="U2313" s="2011"/>
      <c r="V2313" s="2103" t="s">
        <v>269</v>
      </c>
    </row>
    <row r="2314" spans="2:22" ht="12.75" customHeight="1" x14ac:dyDescent="0.2">
      <c r="B2314" s="655" t="s">
        <v>265</v>
      </c>
      <c r="C2314" s="654" t="s">
        <v>2578</v>
      </c>
      <c r="D2314" s="654" t="s">
        <v>2571</v>
      </c>
      <c r="E2314" s="654" t="s">
        <v>2479</v>
      </c>
      <c r="F2314" s="654" t="s">
        <v>2584</v>
      </c>
      <c r="G2314" s="654" t="s">
        <v>2582</v>
      </c>
      <c r="H2314" s="555"/>
      <c r="I2314" s="481"/>
      <c r="J2314" s="2282" t="str">
        <f t="shared" si="92"/>
        <v>DestrucciónOscuridadFuegoNigromanciaIlusión</v>
      </c>
      <c r="L2314" s="2102" t="s">
        <v>269</v>
      </c>
      <c r="M2314" s="2099" t="s">
        <v>266</v>
      </c>
      <c r="N2314" s="2305" t="s">
        <v>268</v>
      </c>
      <c r="O2314" s="2099" t="s">
        <v>271</v>
      </c>
      <c r="P2314" s="2011"/>
      <c r="Q2314" s="2099" t="s">
        <v>271</v>
      </c>
      <c r="R2314" s="2011"/>
      <c r="S2314" s="2099" t="s">
        <v>269</v>
      </c>
      <c r="T2314" s="2011"/>
      <c r="U2314" s="2011"/>
      <c r="V2314" s="2103" t="s">
        <v>3077</v>
      </c>
    </row>
    <row r="2315" spans="2:22" ht="12.75" customHeight="1" x14ac:dyDescent="0.2">
      <c r="B2315" s="655" t="s">
        <v>266</v>
      </c>
      <c r="C2315" s="654" t="s">
        <v>2570</v>
      </c>
      <c r="D2315" s="654" t="s">
        <v>2580</v>
      </c>
      <c r="E2315" s="654" t="s">
        <v>2582</v>
      </c>
      <c r="F2315" s="654" t="s">
        <v>2575</v>
      </c>
      <c r="G2315" s="654" t="s">
        <v>2475</v>
      </c>
      <c r="H2315" s="555"/>
      <c r="I2315" s="481"/>
      <c r="J2315" s="2282" t="str">
        <f t="shared" si="92"/>
        <v>LuzEsenciaIlusiónTierraAgua</v>
      </c>
      <c r="L2315" s="2102" t="s">
        <v>270</v>
      </c>
      <c r="M2315" s="2099" t="s">
        <v>267</v>
      </c>
      <c r="N2315" s="2305" t="s">
        <v>270</v>
      </c>
      <c r="O2315" s="2011"/>
      <c r="P2315" s="2011"/>
      <c r="Q2315" s="2011"/>
      <c r="R2315" s="2011"/>
      <c r="S2315" s="2099" t="s">
        <v>3077</v>
      </c>
      <c r="T2315" s="2011"/>
      <c r="U2315" s="2011"/>
      <c r="V2315" s="2103" t="s">
        <v>271</v>
      </c>
    </row>
    <row r="2316" spans="2:22" ht="12.75" customHeight="1" x14ac:dyDescent="0.2">
      <c r="B2316" s="655" t="s">
        <v>267</v>
      </c>
      <c r="C2316" s="654" t="s">
        <v>2578</v>
      </c>
      <c r="D2316" s="654" t="s">
        <v>2575</v>
      </c>
      <c r="E2316" s="654" t="s">
        <v>2479</v>
      </c>
      <c r="F2316" s="654" t="s">
        <v>2582</v>
      </c>
      <c r="G2316" s="654"/>
      <c r="H2316" s="555"/>
      <c r="I2316" s="481"/>
      <c r="J2316" s="2282" t="str">
        <f t="shared" si="92"/>
        <v>DestrucciónTierraFuegoIlusión</v>
      </c>
      <c r="L2316" s="2104"/>
      <c r="M2316" s="2099" t="s">
        <v>268</v>
      </c>
      <c r="N2316" s="2306"/>
      <c r="O2316" s="2011"/>
      <c r="P2316" s="2011"/>
      <c r="Q2316" s="2011"/>
      <c r="R2316" s="2011"/>
      <c r="S2316" s="2099" t="s">
        <v>271</v>
      </c>
      <c r="T2316" s="2011"/>
      <c r="U2316" s="2011"/>
      <c r="V2316" s="2012"/>
    </row>
    <row r="2317" spans="2:22" ht="12.75" customHeight="1" x14ac:dyDescent="0.2">
      <c r="B2317" s="655" t="s">
        <v>268</v>
      </c>
      <c r="C2317" s="654" t="s">
        <v>2570</v>
      </c>
      <c r="D2317" s="654" t="s">
        <v>2582</v>
      </c>
      <c r="E2317" s="654" t="s">
        <v>2479</v>
      </c>
      <c r="F2317" s="654" t="s">
        <v>2472</v>
      </c>
      <c r="G2317" s="654" t="s">
        <v>2575</v>
      </c>
      <c r="H2317" s="555"/>
      <c r="I2317" s="481"/>
      <c r="J2317" s="2282" t="str">
        <f t="shared" si="92"/>
        <v>LuzIlusiónFuegoAireTierra</v>
      </c>
      <c r="L2317" s="2104"/>
      <c r="M2317" s="2099" t="s">
        <v>269</v>
      </c>
      <c r="N2317" s="2306"/>
      <c r="O2317" s="2011"/>
      <c r="P2317" s="2011"/>
      <c r="Q2317" s="2011"/>
      <c r="R2317" s="2011"/>
      <c r="S2317" s="2011"/>
      <c r="T2317" s="2011"/>
      <c r="U2317" s="2011"/>
      <c r="V2317" s="2012"/>
    </row>
    <row r="2318" spans="2:22" ht="12.75" customHeight="1" x14ac:dyDescent="0.2">
      <c r="B2318" s="655" t="s">
        <v>269</v>
      </c>
      <c r="C2318" s="654" t="s">
        <v>2577</v>
      </c>
      <c r="D2318" s="654" t="s">
        <v>2578</v>
      </c>
      <c r="E2318" s="654" t="s">
        <v>2475</v>
      </c>
      <c r="F2318" s="654" t="s">
        <v>2575</v>
      </c>
      <c r="G2318" s="654" t="s">
        <v>2479</v>
      </c>
      <c r="H2318" s="555"/>
      <c r="I2318" s="481"/>
      <c r="J2318" s="2282" t="str">
        <f t="shared" si="92"/>
        <v>CreaciónDestrucciónAguaTierraFuego</v>
      </c>
      <c r="L2318" s="2104"/>
      <c r="M2318" s="2099" t="s">
        <v>270</v>
      </c>
      <c r="N2318" s="2306"/>
      <c r="O2318" s="2011"/>
      <c r="P2318" s="2011"/>
      <c r="Q2318" s="2011"/>
      <c r="R2318" s="2011"/>
      <c r="S2318" s="2011"/>
      <c r="T2318" s="2011"/>
      <c r="U2318" s="2011"/>
      <c r="V2318" s="2012"/>
    </row>
    <row r="2319" spans="2:22" ht="12.75" customHeight="1" x14ac:dyDescent="0.2">
      <c r="B2319" s="655" t="s">
        <v>270</v>
      </c>
      <c r="C2319" s="654" t="s">
        <v>2584</v>
      </c>
      <c r="D2319" s="654" t="s">
        <v>2475</v>
      </c>
      <c r="E2319" s="654" t="s">
        <v>2575</v>
      </c>
      <c r="F2319" s="654" t="s">
        <v>2479</v>
      </c>
      <c r="G2319" s="654" t="s">
        <v>2472</v>
      </c>
      <c r="H2319" s="555" t="s">
        <v>2580</v>
      </c>
      <c r="I2319" s="481" t="s">
        <v>2582</v>
      </c>
      <c r="J2319" s="2282" t="str">
        <f t="shared" si="92"/>
        <v>NigromanciaAguaTierraFuegoAireEsenciaIlusión</v>
      </c>
      <c r="L2319" s="2104"/>
      <c r="M2319" s="2099" t="s">
        <v>3077</v>
      </c>
      <c r="N2319" s="2306"/>
      <c r="O2319" s="2011"/>
      <c r="P2319" s="2011"/>
      <c r="Q2319" s="2011"/>
      <c r="R2319" s="2011"/>
      <c r="S2319" s="2011"/>
      <c r="T2319" s="2011"/>
      <c r="U2319" s="2011"/>
      <c r="V2319" s="2012"/>
    </row>
    <row r="2320" spans="2:22" ht="12.75" customHeight="1" x14ac:dyDescent="0.2">
      <c r="B2320" s="655" t="s">
        <v>3077</v>
      </c>
      <c r="C2320" s="654" t="s">
        <v>2570</v>
      </c>
      <c r="D2320" s="654" t="s">
        <v>2580</v>
      </c>
      <c r="E2320" s="654" t="s">
        <v>2475</v>
      </c>
      <c r="F2320" s="654" t="s">
        <v>2577</v>
      </c>
      <c r="G2320" s="654" t="s">
        <v>2578</v>
      </c>
      <c r="H2320" s="555"/>
      <c r="I2320" s="481"/>
      <c r="J2320" s="2282" t="str">
        <f t="shared" si="92"/>
        <v>LuzEsenciaAguaCreaciónDestrucción</v>
      </c>
      <c r="L2320" s="2104"/>
      <c r="M2320" s="2099" t="s">
        <v>271</v>
      </c>
      <c r="N2320" s="2306"/>
      <c r="O2320" s="2011"/>
      <c r="P2320" s="2011"/>
      <c r="Q2320" s="2011"/>
      <c r="R2320" s="2011"/>
      <c r="S2320" s="2011"/>
      <c r="T2320" s="2011"/>
      <c r="U2320" s="2011"/>
      <c r="V2320" s="2012"/>
    </row>
    <row r="2321" spans="2:22" ht="12.75" customHeight="1" thickBot="1" x14ac:dyDescent="0.25">
      <c r="B2321" s="656" t="s">
        <v>271</v>
      </c>
      <c r="C2321" s="657" t="s">
        <v>2570</v>
      </c>
      <c r="D2321" s="657" t="s">
        <v>2577</v>
      </c>
      <c r="E2321" s="657" t="s">
        <v>2575</v>
      </c>
      <c r="F2321" s="657" t="s">
        <v>2479</v>
      </c>
      <c r="G2321" s="657" t="s">
        <v>2580</v>
      </c>
      <c r="H2321" s="561" t="s">
        <v>2582</v>
      </c>
      <c r="I2321" s="487"/>
      <c r="J2321" s="2283" t="str">
        <f t="shared" si="92"/>
        <v>LuzCreaciónTierraFuegoEsenciaIlusión</v>
      </c>
      <c r="L2321" s="2105"/>
      <c r="M2321" s="2013"/>
      <c r="N2321" s="2307"/>
      <c r="O2321" s="2013"/>
      <c r="P2321" s="2013"/>
      <c r="Q2321" s="2013"/>
      <c r="R2321" s="2013"/>
      <c r="S2321" s="2013"/>
      <c r="T2321" s="2013"/>
      <c r="U2321" s="2013"/>
      <c r="V2321" s="2014"/>
    </row>
    <row r="2322" spans="2:22" ht="12.75" customHeight="1" x14ac:dyDescent="0.2">
      <c r="L2322" s="2097" t="b">
        <f t="shared" ref="L2322:V2322" si="93">COUNTIF($C$2308:$I$2321,L2307)=COUNTBLANK(L2308:L2321)</f>
        <v>1</v>
      </c>
      <c r="M2322" s="2097" t="b">
        <f t="shared" si="93"/>
        <v>1</v>
      </c>
      <c r="N2322" s="2308" t="b">
        <f t="shared" si="93"/>
        <v>1</v>
      </c>
      <c r="O2322" s="2097" t="b">
        <f t="shared" si="93"/>
        <v>1</v>
      </c>
      <c r="P2322" s="2097" t="b">
        <f t="shared" si="93"/>
        <v>1</v>
      </c>
      <c r="Q2322" s="2097" t="b">
        <f t="shared" si="93"/>
        <v>1</v>
      </c>
      <c r="R2322" s="2097" t="b">
        <f t="shared" si="93"/>
        <v>1</v>
      </c>
      <c r="S2322" s="2097" t="b">
        <f t="shared" si="93"/>
        <v>1</v>
      </c>
      <c r="T2322" s="2097" t="b">
        <f t="shared" si="93"/>
        <v>1</v>
      </c>
      <c r="U2322" s="2097" t="b">
        <f t="shared" si="93"/>
        <v>1</v>
      </c>
      <c r="V2322" s="2097" t="b">
        <f t="shared" si="93"/>
        <v>1</v>
      </c>
    </row>
    <row r="2323" spans="2:22" ht="12.75" customHeight="1" x14ac:dyDescent="0.2">
      <c r="L2323" s="447" t="s">
        <v>2571</v>
      </c>
      <c r="M2323" s="2099" t="s">
        <v>2570</v>
      </c>
      <c r="N2323" s="2284" t="s">
        <v>2578</v>
      </c>
      <c r="O2323" s="447" t="s">
        <v>2475</v>
      </c>
      <c r="P2323" s="447" t="s">
        <v>2479</v>
      </c>
      <c r="Q2323" s="447" t="s">
        <v>2479</v>
      </c>
      <c r="R2323" s="447" t="s">
        <v>2472</v>
      </c>
      <c r="S2323" s="447" t="s">
        <v>2575</v>
      </c>
      <c r="T2323" s="447" t="s">
        <v>2582</v>
      </c>
      <c r="U2323" s="447" t="s">
        <v>2580</v>
      </c>
    </row>
    <row r="2325" spans="2:22" ht="12.75" customHeight="1" thickBot="1" x14ac:dyDescent="0.25"/>
    <row r="2326" spans="2:22" ht="12.75" customHeight="1" thickBot="1" x14ac:dyDescent="0.25">
      <c r="B2326" s="3028" t="s">
        <v>276</v>
      </c>
      <c r="C2326" s="3028"/>
      <c r="D2326" s="3028"/>
      <c r="E2326" s="3028"/>
      <c r="F2326" s="3028"/>
      <c r="G2326" s="3028"/>
      <c r="H2326" s="3028"/>
      <c r="I2326" s="3028"/>
      <c r="K2326" s="3067" t="s">
        <v>272</v>
      </c>
      <c r="L2326" s="3067"/>
      <c r="M2326" s="3067"/>
      <c r="N2326" s="447"/>
      <c r="O2326" s="3028" t="s">
        <v>1328</v>
      </c>
    </row>
    <row r="2327" spans="2:22" ht="12.75" customHeight="1" thickBot="1" x14ac:dyDescent="0.25">
      <c r="B2327" s="3028"/>
      <c r="C2327" s="3028"/>
      <c r="D2327" s="3028"/>
      <c r="E2327" s="3028"/>
      <c r="F2327" s="3028"/>
      <c r="G2327" s="3028"/>
      <c r="H2327" s="3028"/>
      <c r="I2327" s="3028"/>
      <c r="K2327" s="3067"/>
      <c r="L2327" s="3067"/>
      <c r="M2327" s="3067"/>
      <c r="N2327" s="447"/>
      <c r="O2327" s="3028"/>
    </row>
    <row r="2328" spans="2:22" ht="12.75" customHeight="1" thickBot="1" x14ac:dyDescent="0.25">
      <c r="B2328" s="659">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58" t="s">
        <v>273</v>
      </c>
      <c r="L2328" s="453" t="s">
        <v>274</v>
      </c>
      <c r="M2328" s="454" t="s">
        <v>275</v>
      </c>
      <c r="N2328" s="447"/>
      <c r="O2328" s="617" t="s">
        <v>2310</v>
      </c>
    </row>
    <row r="2329" spans="2:22" ht="12.75" customHeight="1" x14ac:dyDescent="0.2">
      <c r="B2329" s="659">
        <f t="shared" ref="B2329:B2369" si="94">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23">
        <v>4</v>
      </c>
      <c r="L2329" s="290">
        <v>1</v>
      </c>
      <c r="M2329" s="312">
        <v>1</v>
      </c>
      <c r="N2329" s="447"/>
      <c r="O2329" s="617" t="s">
        <v>2409</v>
      </c>
    </row>
    <row r="2330" spans="2:22" ht="12.75" customHeight="1" x14ac:dyDescent="0.2">
      <c r="B2330" s="659">
        <f t="shared" si="94"/>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23">
        <v>8</v>
      </c>
      <c r="L2330" s="290">
        <v>1</v>
      </c>
      <c r="M2330" s="312">
        <v>2</v>
      </c>
      <c r="N2330" s="447"/>
      <c r="O2330" s="617" t="s">
        <v>2354</v>
      </c>
    </row>
    <row r="2331" spans="2:22" ht="12.75" customHeight="1" x14ac:dyDescent="0.2">
      <c r="B2331" s="659">
        <f t="shared" si="94"/>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293">
        <v>14</v>
      </c>
      <c r="L2331" s="290">
        <v>2</v>
      </c>
      <c r="M2331" s="312">
        <v>3</v>
      </c>
      <c r="N2331" s="447"/>
      <c r="O2331" s="617" t="s">
        <v>2410</v>
      </c>
    </row>
    <row r="2332" spans="2:22" ht="12.75" customHeight="1" x14ac:dyDescent="0.2">
      <c r="B2332" s="659">
        <f t="shared" si="94"/>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293">
        <v>18</v>
      </c>
      <c r="L2332" s="290">
        <v>2</v>
      </c>
      <c r="M2332" s="312">
        <v>4</v>
      </c>
      <c r="N2332" s="447"/>
      <c r="O2332" s="617" t="s">
        <v>2411</v>
      </c>
    </row>
    <row r="2333" spans="2:22" ht="12.75" customHeight="1" x14ac:dyDescent="0.2">
      <c r="B2333" s="659">
        <f t="shared" si="94"/>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293">
        <v>24</v>
      </c>
      <c r="L2333" s="290">
        <v>3</v>
      </c>
      <c r="M2333" s="312">
        <v>5</v>
      </c>
      <c r="N2333" s="447"/>
      <c r="O2333" s="617" t="s">
        <v>2412</v>
      </c>
    </row>
    <row r="2334" spans="2:22" ht="12.75" customHeight="1" x14ac:dyDescent="0.2">
      <c r="B2334" s="659">
        <f t="shared" si="94"/>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293">
        <v>28</v>
      </c>
      <c r="L2334" s="290">
        <v>3</v>
      </c>
      <c r="M2334" s="312">
        <v>6</v>
      </c>
      <c r="N2334" s="447"/>
      <c r="O2334" s="617" t="s">
        <v>2413</v>
      </c>
    </row>
    <row r="2335" spans="2:22" ht="12.75" customHeight="1" thickBot="1" x14ac:dyDescent="0.25">
      <c r="B2335" s="659">
        <f t="shared" si="94"/>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293">
        <v>34</v>
      </c>
      <c r="L2335" s="290">
        <v>4</v>
      </c>
      <c r="M2335" s="312">
        <v>7</v>
      </c>
      <c r="N2335" s="447"/>
      <c r="O2335" s="652" t="s">
        <v>2414</v>
      </c>
    </row>
    <row r="2336" spans="2:22" ht="12.75" customHeight="1" x14ac:dyDescent="0.2">
      <c r="B2336" s="659">
        <f t="shared" si="94"/>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293">
        <v>38</v>
      </c>
      <c r="L2336" s="290">
        <v>4</v>
      </c>
      <c r="M2336" s="312">
        <v>8</v>
      </c>
      <c r="N2336" s="447"/>
    </row>
    <row r="2337" spans="2:14" ht="12.75" customHeight="1" x14ac:dyDescent="0.2">
      <c r="B2337" s="659">
        <f t="shared" si="94"/>
        <v>0</v>
      </c>
      <c r="C2337" s="660" t="str">
        <f>IF(Metamagia!I49+Metamagia!L48&gt;1,"Bucle existencial (2)",IF(Metamagia!I49+Metamagia!L48&gt;0,"Bucle existencial (1)",""))</f>
        <v/>
      </c>
      <c r="D2337" s="660"/>
      <c r="E2337" s="660" t="str">
        <f>IF(Metamagia!I49+Metamagia!L48&gt;1,"Puede mantenerse hasta 5 asaltos",IF(Metamagia!I49+Metamagia!L48&gt;0,"Puede mantenerse hasta 2 asaltos",""))</f>
        <v/>
      </c>
      <c r="F2337" s="660"/>
      <c r="G2337" s="111"/>
      <c r="H2337" s="147"/>
      <c r="I2337" s="150"/>
      <c r="K2337" s="293">
        <v>44</v>
      </c>
      <c r="L2337" s="290">
        <v>5</v>
      </c>
      <c r="M2337" s="312">
        <v>9</v>
      </c>
      <c r="N2337" s="447"/>
    </row>
    <row r="2338" spans="2:14" ht="12.75" customHeight="1" x14ac:dyDescent="0.2">
      <c r="B2338" s="659">
        <f t="shared" si="94"/>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293">
        <v>48</v>
      </c>
      <c r="L2338" s="290">
        <v>5</v>
      </c>
      <c r="M2338" s="312">
        <v>10</v>
      </c>
      <c r="N2338" s="447"/>
    </row>
    <row r="2339" spans="2:14" ht="12.75" customHeight="1" x14ac:dyDescent="0.2">
      <c r="B2339" s="659">
        <f t="shared" si="94"/>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293">
        <v>54</v>
      </c>
      <c r="L2339" s="290">
        <v>6</v>
      </c>
      <c r="M2339" s="312">
        <v>11</v>
      </c>
      <c r="N2339" s="447"/>
    </row>
    <row r="2340" spans="2:14" ht="12.75" customHeight="1" x14ac:dyDescent="0.2">
      <c r="B2340" s="659">
        <f t="shared" si="94"/>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293">
        <v>58</v>
      </c>
      <c r="L2340" s="290">
        <v>6</v>
      </c>
      <c r="M2340" s="312">
        <v>12</v>
      </c>
      <c r="N2340" s="447"/>
    </row>
    <row r="2341" spans="2:14" ht="12.75" customHeight="1" x14ac:dyDescent="0.2">
      <c r="B2341" s="659">
        <f t="shared" si="94"/>
        <v>0</v>
      </c>
      <c r="C2341" s="23" t="str">
        <f>IF(Metamagia!F37=1,"Metamagister: Doble daño","")</f>
        <v/>
      </c>
      <c r="D2341" s="23"/>
      <c r="E2341" s="23" t="str">
        <f>IF(Metamagia!F37=1,"El Daño Base de los conjuros ofensivos se dobla","")</f>
        <v/>
      </c>
      <c r="F2341" s="23"/>
      <c r="G2341" s="23"/>
      <c r="H2341" s="555"/>
      <c r="I2341" s="15"/>
      <c r="K2341" s="293">
        <v>64</v>
      </c>
      <c r="L2341" s="290">
        <v>7</v>
      </c>
      <c r="M2341" s="312">
        <v>13</v>
      </c>
      <c r="N2341" s="447"/>
    </row>
    <row r="2342" spans="2:14" ht="12.75" customHeight="1" x14ac:dyDescent="0.2">
      <c r="B2342" s="659">
        <f t="shared" si="94"/>
        <v>0</v>
      </c>
      <c r="C2342" s="23" t="str">
        <f>IF(Metamagia!C54=1,"Sentir la magia","")</f>
        <v/>
      </c>
      <c r="D2342" s="73"/>
      <c r="E2342" s="23" t="str">
        <f>IF(Metamagia!C54=1,"Mejora un Grado los resultados en Valoración Mágica. Ver","")</f>
        <v/>
      </c>
      <c r="F2342" s="73"/>
      <c r="G2342" s="73"/>
      <c r="H2342" s="333"/>
      <c r="I2342" s="75"/>
      <c r="K2342" s="293">
        <v>68</v>
      </c>
      <c r="L2342" s="290">
        <v>7</v>
      </c>
      <c r="M2342" s="312">
        <v>14</v>
      </c>
      <c r="N2342" s="447"/>
    </row>
    <row r="2343" spans="2:14" ht="12.75" customHeight="1" x14ac:dyDescent="0.2">
      <c r="B2343" s="659">
        <f t="shared" si="94"/>
        <v>0</v>
      </c>
      <c r="C2343" s="23" t="str">
        <f>IF(Metamagia!F48=1,"Control del espacio","")</f>
        <v/>
      </c>
      <c r="D2343" s="73"/>
      <c r="E2343" s="23" t="str">
        <f>IF(Metamagia!F48=1,"Permite seleccionar blancos en todos los conjuros de área","")</f>
        <v/>
      </c>
      <c r="F2343" s="73"/>
      <c r="G2343" s="73"/>
      <c r="H2343" s="333"/>
      <c r="I2343" s="75"/>
      <c r="K2343" s="293">
        <v>74</v>
      </c>
      <c r="L2343" s="290">
        <v>8</v>
      </c>
      <c r="M2343" s="312">
        <v>15</v>
      </c>
      <c r="N2343" s="447"/>
    </row>
    <row r="2344" spans="2:14" ht="12.75" customHeight="1" x14ac:dyDescent="0.2">
      <c r="B2344" s="659">
        <f t="shared" si="94"/>
        <v>0</v>
      </c>
      <c r="C2344" s="23" t="str">
        <f>IF(Metamagia!F54=1,"Transmisión de magia","")</f>
        <v/>
      </c>
      <c r="D2344" s="73"/>
      <c r="E2344" s="23" t="str">
        <f>IF(Metamagia!F54=1,"Permite la transferencia de Zeón a distancia (Presencia en metros)","")</f>
        <v/>
      </c>
      <c r="F2344" s="73"/>
      <c r="G2344" s="73"/>
      <c r="H2344" s="333"/>
      <c r="I2344" s="75"/>
      <c r="K2344" s="293">
        <v>78</v>
      </c>
      <c r="L2344" s="290">
        <v>8</v>
      </c>
      <c r="M2344" s="312">
        <v>16</v>
      </c>
      <c r="N2344" s="447"/>
    </row>
    <row r="2345" spans="2:14" ht="12.75" customHeight="1" x14ac:dyDescent="0.2">
      <c r="B2345" s="659">
        <f t="shared" si="94"/>
        <v>0</v>
      </c>
      <c r="C2345" s="23" t="str">
        <f>IF(Metamagia!F63=1,"Seguridad defensiva","")</f>
        <v/>
      </c>
      <c r="D2345" s="73"/>
      <c r="E2345" s="23" t="str">
        <f>IF(Metamagia!F63=1,"Con Pifia al proyectar un escudo se sigue activando el conjuro","")</f>
        <v/>
      </c>
      <c r="F2345" s="73"/>
      <c r="G2345" s="73"/>
      <c r="H2345" s="333"/>
      <c r="I2345" s="75"/>
      <c r="K2345" s="293">
        <v>84</v>
      </c>
      <c r="L2345" s="290">
        <v>9</v>
      </c>
      <c r="M2345" s="312">
        <v>17</v>
      </c>
      <c r="N2345" s="447"/>
    </row>
    <row r="2346" spans="2:14" ht="12.75" customHeight="1" x14ac:dyDescent="0.2">
      <c r="B2346" s="659">
        <f t="shared" si="94"/>
        <v>0</v>
      </c>
      <c r="C2346" s="23" t="str">
        <f>IF(Metamagia!I59=1,"Control de la energía","")</f>
        <v/>
      </c>
      <c r="D2346" s="73"/>
      <c r="E2346" s="23" t="str">
        <f>IF(Metamagia!I59=1,"Por 10 de Zeón permite que un conjuro físico pueda dañar o parar energía","")</f>
        <v/>
      </c>
      <c r="F2346" s="73"/>
      <c r="G2346" s="73"/>
      <c r="H2346" s="333"/>
      <c r="I2346" s="75"/>
      <c r="K2346" s="293">
        <v>88</v>
      </c>
      <c r="L2346" s="290">
        <v>9</v>
      </c>
      <c r="M2346" s="312">
        <v>18</v>
      </c>
      <c r="N2346" s="447"/>
    </row>
    <row r="2347" spans="2:14" ht="12.75" customHeight="1" x14ac:dyDescent="0.2">
      <c r="B2347" s="659">
        <f t="shared" si="94"/>
        <v>0</v>
      </c>
      <c r="C2347" s="23" t="str">
        <f>IF(Metamagia!I44=1,"Doble conjuro innato","")</f>
        <v/>
      </c>
      <c r="D2347" s="73"/>
      <c r="E2347" s="23" t="str">
        <f>IF(Metamagia!I44=1,"Permite realizar 2 conjuros innatos distintos por asalto","")</f>
        <v/>
      </c>
      <c r="F2347" s="73"/>
      <c r="G2347" s="73"/>
      <c r="H2347" s="333"/>
      <c r="I2347" s="75"/>
      <c r="K2347" s="293">
        <v>94</v>
      </c>
      <c r="L2347" s="290">
        <v>10</v>
      </c>
      <c r="M2347" s="312">
        <v>19</v>
      </c>
      <c r="N2347" s="447"/>
    </row>
    <row r="2348" spans="2:14" ht="12.75" customHeight="1" thickBot="1" x14ac:dyDescent="0.25">
      <c r="B2348" s="659">
        <f t="shared" si="94"/>
        <v>0</v>
      </c>
      <c r="C2348" s="23" t="str">
        <f>IF(Metamagia!L41=1,"Metamagister: Mantenimiento añadido","")</f>
        <v/>
      </c>
      <c r="D2348" s="73"/>
      <c r="E2348" s="23" t="str">
        <f>IF(Metamagia!L41=1,"El mantenimiento pasa a ser cada 5 asaltos (cada semana los Diarios)","")</f>
        <v/>
      </c>
      <c r="F2348" s="73"/>
      <c r="G2348" s="73"/>
      <c r="H2348" s="333"/>
      <c r="I2348" s="75"/>
      <c r="K2348" s="472">
        <v>98</v>
      </c>
      <c r="L2348" s="473">
        <v>10</v>
      </c>
      <c r="M2348" s="465">
        <v>20</v>
      </c>
      <c r="N2348" s="447"/>
    </row>
    <row r="2349" spans="2:14" ht="12.75" customHeight="1" x14ac:dyDescent="0.2">
      <c r="B2349" s="659">
        <f t="shared" si="94"/>
        <v>0</v>
      </c>
      <c r="C2349" s="23" t="str">
        <f>IF(Metamagia!L54=1,"Aguante al daño sobrenatural","")</f>
        <v/>
      </c>
      <c r="D2349" s="73"/>
      <c r="E2349" s="23" t="str">
        <f>IF(Metamagia!L54=1,"Permite sufrir hasta la mitad de Daño mágico en puntos de Zeón","")</f>
        <v/>
      </c>
      <c r="F2349" s="73"/>
      <c r="G2349" s="73"/>
      <c r="H2349" s="333"/>
      <c r="I2349" s="75"/>
    </row>
    <row r="2350" spans="2:14" ht="12.75" customHeight="1" x14ac:dyDescent="0.2">
      <c r="B2350" s="659">
        <f t="shared" si="94"/>
        <v>0</v>
      </c>
      <c r="C2350" s="23" t="str">
        <f>IF(Metamagia!O54=1,"Magia oculta","")</f>
        <v/>
      </c>
      <c r="D2350" s="73"/>
      <c r="E2350" s="23" t="str">
        <f>IF(Metamagia!O54=1,"Disminuye penalizador para ocultar sortilegios y dificulta la detección de la magia","")</f>
        <v/>
      </c>
      <c r="F2350" s="73"/>
      <c r="G2350" s="73"/>
      <c r="H2350" s="333"/>
      <c r="I2350" s="75"/>
    </row>
    <row r="2351" spans="2:14" ht="12.75" customHeight="1" x14ac:dyDescent="0.2">
      <c r="B2351" s="659">
        <f t="shared" si="94"/>
        <v>0</v>
      </c>
      <c r="C2351" s="23" t="str">
        <f>IF(Metamagia!X54=1,"Magia combinada","")</f>
        <v/>
      </c>
      <c r="D2351" s="73"/>
      <c r="E2351" s="23" t="str">
        <f>IF(Metamagia!X54=1,"Permite a varios hechiceros combinarse para lanzar un conjuro. Ver","")</f>
        <v/>
      </c>
      <c r="F2351" s="73"/>
      <c r="G2351" s="73"/>
      <c r="H2351" s="333"/>
      <c r="I2351" s="75"/>
    </row>
    <row r="2352" spans="2:14" ht="12.75" customHeight="1" x14ac:dyDescent="0.2">
      <c r="B2352" s="659">
        <f t="shared" si="94"/>
        <v>0</v>
      </c>
      <c r="C2352" s="23" t="str">
        <f>IF(Metamagia!AD54=1,"Efectos persistentes","")</f>
        <v/>
      </c>
      <c r="D2352" s="73"/>
      <c r="E2352" s="23" t="str">
        <f>IF(Metamagia!AD54=1,"El afectado por un conjuro Anímico no puede repetir RM hasta 10 asaltos","")</f>
        <v/>
      </c>
      <c r="F2352" s="73"/>
      <c r="G2352" s="73"/>
      <c r="H2352" s="333"/>
      <c r="I2352" s="75"/>
    </row>
    <row r="2353" spans="2:9" ht="12.75" customHeight="1" x14ac:dyDescent="0.2">
      <c r="B2353" s="659">
        <f t="shared" si="94"/>
        <v>0</v>
      </c>
      <c r="C2353" s="23" t="str">
        <f>IF(Metamagia!AA49=1,"Elevación","")</f>
        <v/>
      </c>
      <c r="D2353" s="73"/>
      <c r="E2353" s="23" t="str">
        <f>IF(Metamagia!AA49=1,"Permite entrar en un trance cuya duración cuenta doble para recuperar Zeón","")</f>
        <v/>
      </c>
      <c r="F2353" s="73"/>
      <c r="G2353" s="73"/>
      <c r="H2353" s="333"/>
      <c r="I2353" s="75"/>
    </row>
    <row r="2354" spans="2:9" ht="12.75" customHeight="1" x14ac:dyDescent="0.2">
      <c r="B2354" s="659">
        <f t="shared" si="94"/>
        <v>0</v>
      </c>
      <c r="C2354" s="23" t="str">
        <f>IF(Metamagia!AA44=1,"Avatar","")</f>
        <v/>
      </c>
      <c r="D2354" s="73"/>
      <c r="E2354" s="23" t="str">
        <f>IF(Metamagia!AA44=1,"El personaje puede convertirse en un Avatar de Magia. Ver","")</f>
        <v/>
      </c>
      <c r="F2354" s="73"/>
      <c r="G2354" s="73"/>
      <c r="H2354" s="333"/>
      <c r="I2354" s="75"/>
    </row>
    <row r="2355" spans="2:9" ht="12.75" customHeight="1" x14ac:dyDescent="0.2">
      <c r="B2355" s="659">
        <f t="shared" si="94"/>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33"/>
      <c r="I2355" s="75"/>
    </row>
    <row r="2356" spans="2:9" ht="12.75" customHeight="1" x14ac:dyDescent="0.2">
      <c r="B2356" s="659">
        <f t="shared" si="94"/>
        <v>0</v>
      </c>
      <c r="C2356" s="23" t="str">
        <f>IF(Metamagia!AD41=1,"Metamagister: Zeón Ilimitado","")</f>
        <v/>
      </c>
      <c r="D2356" s="73"/>
      <c r="E2356" s="23" t="str">
        <f>IF(Metamagia!AD41=1,"El hechicero devuelve a la reserva la mitad del coste de sus conjuros","")</f>
        <v/>
      </c>
      <c r="F2356" s="73"/>
      <c r="G2356" s="73"/>
      <c r="H2356" s="333"/>
      <c r="I2356" s="75"/>
    </row>
    <row r="2357" spans="2:9" ht="12.75" customHeight="1" x14ac:dyDescent="0.2">
      <c r="B2357" s="659">
        <f t="shared" si="94"/>
        <v>0</v>
      </c>
      <c r="C2357" s="23" t="str">
        <f>IF(Metamagia!AD30=1,"Enlazar conjuros","")</f>
        <v/>
      </c>
      <c r="D2357" s="73"/>
      <c r="E2357" s="23" t="str">
        <f>IF(Metamagia!AD30=1,"Permite mezclar dos conjuros en uno solo. Ver","")</f>
        <v/>
      </c>
      <c r="F2357" s="73"/>
      <c r="G2357" s="73"/>
      <c r="H2357" s="333"/>
      <c r="I2357" s="75"/>
    </row>
    <row r="2358" spans="2:9" ht="12.75" customHeight="1" x14ac:dyDescent="0.2">
      <c r="B2358" s="659">
        <f t="shared" si="94"/>
        <v>0</v>
      </c>
      <c r="C2358" s="23" t="str">
        <f>IF(Metamagia!AA14=1,"Concentración mística","")</f>
        <v/>
      </c>
      <c r="D2358" s="73"/>
      <c r="E2358" s="23" t="str">
        <f>IF(Metamagia!AA14=1,"Reduce a la mitad la dificultad de Resistir Dolor al concentrar Zeón","")</f>
        <v/>
      </c>
      <c r="F2358" s="73"/>
      <c r="G2358" s="73"/>
      <c r="H2358" s="333"/>
      <c r="I2358" s="75"/>
    </row>
    <row r="2359" spans="2:9" ht="12.75" customHeight="1" x14ac:dyDescent="0.2">
      <c r="B2359" s="659">
        <f t="shared" si="94"/>
        <v>0</v>
      </c>
      <c r="C2359" s="23" t="str">
        <f>IF(Metamagia!AA24=1,"Maximización de conjuros","")</f>
        <v/>
      </c>
      <c r="D2359" s="73"/>
      <c r="E2359" s="23" t="str">
        <f>IF(Metamagia!AA24=1,"Se considera que el personaje tiene +1 INT para los Requisitos de conjuro","")</f>
        <v/>
      </c>
      <c r="F2359" s="73"/>
      <c r="G2359" s="73"/>
      <c r="H2359" s="333"/>
      <c r="I2359" s="75"/>
    </row>
    <row r="2360" spans="2:9" ht="12.75" customHeight="1" x14ac:dyDescent="0.2">
      <c r="B2360" s="659">
        <f t="shared" si="94"/>
        <v>0</v>
      </c>
      <c r="C2360" s="23" t="str">
        <f>IF(Metamagia!X30=1,"Doble conjuro","")</f>
        <v/>
      </c>
      <c r="D2360" s="73"/>
      <c r="E2360" s="23" t="str">
        <f>IF(Metamagia!X30=1,"Permite lanzar dos conjuros con la ACT doblada. Ver","")</f>
        <v/>
      </c>
      <c r="F2360" s="73"/>
      <c r="G2360" s="73"/>
      <c r="H2360" s="333"/>
      <c r="I2360" s="75"/>
    </row>
    <row r="2361" spans="2:9" ht="12.75" customHeight="1" x14ac:dyDescent="0.2">
      <c r="B2361" s="659">
        <f t="shared" si="94"/>
        <v>0</v>
      </c>
      <c r="C2361" s="23" t="str">
        <f>IF(Metamagia!AA34=1,"Conjuro innato superior","")</f>
        <v/>
      </c>
      <c r="D2361" s="73"/>
      <c r="E2361" s="23" t="str">
        <f>IF(Metamagia!AA34=1,"Permite acumular magia mientras se lanzan conjuros innatos","")</f>
        <v/>
      </c>
      <c r="F2361" s="73"/>
      <c r="G2361" s="73"/>
      <c r="H2361" s="333"/>
      <c r="I2361" s="75"/>
    </row>
    <row r="2362" spans="2:9" ht="12.75" customHeight="1" x14ac:dyDescent="0.2">
      <c r="B2362" s="659">
        <f t="shared" si="94"/>
        <v>0</v>
      </c>
      <c r="C2362" s="23" t="str">
        <f>IF(Metamagia!X37=1,"Metamagister: Alta Magia","")</f>
        <v/>
      </c>
      <c r="D2362" s="73"/>
      <c r="E2362" s="23" t="str">
        <f>IF(Metamagia!X37=1,"Permite lanzar conjuros de Alta Magia sin Gnosis 25. Ver","")</f>
        <v/>
      </c>
      <c r="F2362" s="73"/>
      <c r="G2362" s="73"/>
      <c r="H2362" s="333"/>
      <c r="I2362" s="75"/>
    </row>
    <row r="2363" spans="2:9" ht="12.75" customHeight="1" x14ac:dyDescent="0.2">
      <c r="B2363" s="659">
        <f t="shared" si="94"/>
        <v>0</v>
      </c>
      <c r="C2363" s="23" t="str">
        <f>IF(Metamagia!X15=1,"Conjuro especializado Nv 30","")</f>
        <v/>
      </c>
      <c r="D2363" s="73"/>
      <c r="E2363" s="23" t="str">
        <f>IF(Metamagia!X15=1,"+10 ACT, +1 INT para Requisitos de conjuro: "&amp;'Elan y Personalización'!AF82,"")</f>
        <v/>
      </c>
      <c r="F2363" s="73"/>
      <c r="G2363" s="73"/>
      <c r="H2363" s="333"/>
      <c r="I2363" s="75"/>
    </row>
    <row r="2364" spans="2:9" ht="12.75" customHeight="1" x14ac:dyDescent="0.2">
      <c r="B2364" s="659">
        <f t="shared" si="94"/>
        <v>0</v>
      </c>
      <c r="C2364" s="23" t="str">
        <f>IF(Metamagia!AD15=1,"Conjuro especializado Nv 30","")</f>
        <v/>
      </c>
      <c r="D2364" s="73"/>
      <c r="E2364" s="23" t="str">
        <f>IF(Metamagia!AD15=1,"+10 ACT, +1 INT para Requisitos de conjuro: "&amp;'Elan y Personalización'!AF83,"")</f>
        <v/>
      </c>
      <c r="F2364" s="73"/>
      <c r="G2364" s="73"/>
      <c r="H2364" s="333"/>
      <c r="I2364" s="75"/>
    </row>
    <row r="2365" spans="2:9" ht="12.75" customHeight="1" x14ac:dyDescent="0.2">
      <c r="B2365" s="659">
        <f t="shared" si="94"/>
        <v>0</v>
      </c>
      <c r="C2365" s="23" t="str">
        <f>IF(Metamagia!R29=1,"Conjuro especializado Nv 50","")</f>
        <v/>
      </c>
      <c r="D2365" s="73"/>
      <c r="E2365" s="23" t="str">
        <f>IF(Metamagia!R29=1,"+10 ACT, +1 INT para Requisitos de conjuro: "&amp;'Elan y Personalización'!AF84,"")</f>
        <v/>
      </c>
      <c r="F2365" s="73"/>
      <c r="G2365" s="73"/>
      <c r="H2365" s="333"/>
      <c r="I2365" s="75"/>
    </row>
    <row r="2366" spans="2:9" ht="12.75" customHeight="1" x14ac:dyDescent="0.2">
      <c r="B2366" s="659">
        <f t="shared" si="94"/>
        <v>0</v>
      </c>
      <c r="C2366" s="23" t="str">
        <f>IF(Metamagia!X24=1,"Conjuro especializado Nv 60","")</f>
        <v/>
      </c>
      <c r="D2366" s="73"/>
      <c r="E2366" s="23" t="str">
        <f>IF(Metamagia!X24=1,"+10 ACT, +1 INT para Requisitos de conjuro: "&amp;'Elan y Personalización'!AF86,"")</f>
        <v/>
      </c>
      <c r="F2366" s="73"/>
      <c r="G2366" s="73"/>
      <c r="H2366" s="333"/>
      <c r="I2366" s="75"/>
    </row>
    <row r="2367" spans="2:9" ht="12.75" customHeight="1" x14ac:dyDescent="0.2">
      <c r="B2367" s="659">
        <f t="shared" si="94"/>
        <v>0</v>
      </c>
      <c r="C2367" s="23" t="str">
        <f>IF(Metamagia!AG24=1,"Conjuro especializado Nv 60","")</f>
        <v/>
      </c>
      <c r="D2367" s="73"/>
      <c r="E2367" s="23" t="str">
        <f>IF(Metamagia!AG24=1,"+10 ACT, +1 INT para Requisitos de conjuro: "&amp;'Elan y Personalización'!AF85,"")</f>
        <v/>
      </c>
      <c r="F2367" s="73"/>
      <c r="G2367" s="73"/>
      <c r="H2367" s="333"/>
      <c r="I2367" s="75"/>
    </row>
    <row r="2368" spans="2:9" ht="12.75" customHeight="1" x14ac:dyDescent="0.2">
      <c r="B2368" s="659">
        <f t="shared" si="94"/>
        <v>0</v>
      </c>
      <c r="C2368" s="23" t="str">
        <f>IF(Metamagia!AG39=1,"Conjuro especializado Nv 70","")</f>
        <v/>
      </c>
      <c r="D2368" s="73"/>
      <c r="E2368" s="23" t="str">
        <f>IF(Metamagia!AG39=1,"+10 ACT, +1 INT para Requisitos de conjuro: "&amp;'Elan y Personalización'!AF87,"")</f>
        <v/>
      </c>
      <c r="F2368" s="73"/>
      <c r="G2368" s="73"/>
      <c r="H2368" s="333"/>
      <c r="I2368" s="75"/>
    </row>
    <row r="2369" spans="2:13" ht="12.75" customHeight="1" thickBot="1" x14ac:dyDescent="0.25">
      <c r="B2369" s="661">
        <f t="shared" si="94"/>
        <v>0</v>
      </c>
      <c r="C2369" s="46" t="str">
        <f>IF(Metamagia!AA29=1,"Conjuro especializado Nv 80","")</f>
        <v/>
      </c>
      <c r="D2369" s="222"/>
      <c r="E2369" s="46" t="str">
        <f>IF(Metamagia!AA29=1,"+10 ACT, +1 INT para Requisitos de conjuro: "&amp;'Elan y Personalización'!AF88,"")</f>
        <v/>
      </c>
      <c r="F2369" s="222"/>
      <c r="G2369" s="222"/>
      <c r="H2369" s="1988"/>
      <c r="I2369" s="223"/>
    </row>
    <row r="2371" spans="2:13" ht="12.75" customHeight="1" thickBot="1" x14ac:dyDescent="0.25">
      <c r="B2371" s="3028" t="s">
        <v>2665</v>
      </c>
      <c r="C2371" s="3028"/>
      <c r="D2371" s="3028"/>
      <c r="E2371" s="3028"/>
      <c r="F2371" s="3028"/>
      <c r="G2371" s="3028"/>
      <c r="H2371" s="3028"/>
      <c r="I2371" s="3028"/>
      <c r="J2371" s="3028"/>
      <c r="K2371" s="3028"/>
      <c r="L2371" s="3028"/>
      <c r="M2371" s="3028"/>
    </row>
    <row r="2372" spans="2:13" ht="12.75" customHeight="1" thickBot="1" x14ac:dyDescent="0.25">
      <c r="B2372" s="3028"/>
      <c r="C2372" s="3028"/>
      <c r="D2372" s="3028"/>
      <c r="E2372" s="3028"/>
      <c r="F2372" s="3028"/>
      <c r="G2372" s="3028"/>
      <c r="H2372" s="3028"/>
      <c r="I2372" s="3028"/>
      <c r="J2372" s="3028"/>
      <c r="K2372" s="3028"/>
      <c r="L2372" s="3028"/>
      <c r="M2372" s="3028"/>
    </row>
    <row r="2373" spans="2:13" ht="12.75" customHeight="1" x14ac:dyDescent="0.2">
      <c r="B2373" s="70"/>
      <c r="C2373" s="662" t="s">
        <v>277</v>
      </c>
      <c r="D2373" s="23" t="s">
        <v>278</v>
      </c>
      <c r="E2373" s="73"/>
      <c r="F2373" s="73"/>
      <c r="G2373" s="73"/>
      <c r="H2373" s="333"/>
      <c r="I2373" s="73"/>
      <c r="J2373" s="73"/>
      <c r="K2373" s="73"/>
      <c r="L2373" s="73"/>
      <c r="M2373" s="75"/>
    </row>
    <row r="2374" spans="2:13" ht="12.75" customHeight="1" x14ac:dyDescent="0.2">
      <c r="B2374" s="70"/>
      <c r="C2374" s="663" t="s">
        <v>279</v>
      </c>
      <c r="D2374" s="23" t="s">
        <v>280</v>
      </c>
      <c r="E2374" s="73"/>
      <c r="F2374" s="73"/>
      <c r="G2374" s="73"/>
      <c r="H2374" s="333"/>
      <c r="I2374" s="73"/>
      <c r="J2374" s="73"/>
      <c r="K2374" s="73"/>
      <c r="L2374" s="73"/>
      <c r="M2374" s="75"/>
    </row>
    <row r="2375" spans="2:13" ht="12.75" customHeight="1" x14ac:dyDescent="0.2">
      <c r="B2375" s="70"/>
      <c r="C2375" s="663" t="s">
        <v>281</v>
      </c>
      <c r="D2375" s="23" t="s">
        <v>282</v>
      </c>
      <c r="E2375" s="73"/>
      <c r="F2375" s="73"/>
      <c r="G2375" s="73"/>
      <c r="H2375" s="333"/>
      <c r="I2375" s="73"/>
      <c r="J2375" s="73"/>
      <c r="K2375" s="73"/>
      <c r="L2375" s="73"/>
      <c r="M2375" s="75"/>
    </row>
    <row r="2376" spans="2:13" ht="12.75" customHeight="1" x14ac:dyDescent="0.2">
      <c r="B2376" s="70"/>
      <c r="C2376" s="663" t="s">
        <v>283</v>
      </c>
      <c r="D2376" s="23" t="s">
        <v>284</v>
      </c>
      <c r="E2376" s="73"/>
      <c r="F2376" s="73"/>
      <c r="G2376" s="73"/>
      <c r="H2376" s="333"/>
      <c r="I2376" s="73"/>
      <c r="J2376" s="73"/>
      <c r="K2376" s="73"/>
      <c r="L2376" s="73"/>
      <c r="M2376" s="75"/>
    </row>
    <row r="2377" spans="2:13" ht="12.75" customHeight="1" x14ac:dyDescent="0.2">
      <c r="B2377" s="70"/>
      <c r="C2377" s="663" t="s">
        <v>285</v>
      </c>
      <c r="D2377" s="23" t="s">
        <v>280</v>
      </c>
      <c r="E2377" s="73"/>
      <c r="F2377" s="73"/>
      <c r="G2377" s="73"/>
      <c r="H2377" s="333"/>
      <c r="I2377" s="73"/>
      <c r="J2377" s="73"/>
      <c r="K2377" s="73"/>
      <c r="L2377" s="73"/>
      <c r="M2377" s="75"/>
    </row>
    <row r="2378" spans="2:13" ht="12.75" customHeight="1" x14ac:dyDescent="0.2">
      <c r="B2378" s="70"/>
      <c r="C2378" s="663" t="s">
        <v>286</v>
      </c>
      <c r="D2378" s="23" t="s">
        <v>280</v>
      </c>
      <c r="E2378" s="73"/>
      <c r="F2378" s="73"/>
      <c r="G2378" s="73"/>
      <c r="H2378" s="333"/>
      <c r="I2378" s="73"/>
      <c r="J2378" s="73"/>
      <c r="K2378" s="73"/>
      <c r="L2378" s="73"/>
      <c r="M2378" s="75"/>
    </row>
    <row r="2379" spans="2:13" ht="12.75" customHeight="1" x14ac:dyDescent="0.2">
      <c r="B2379" s="70"/>
      <c r="C2379" s="663" t="s">
        <v>287</v>
      </c>
      <c r="D2379" s="23" t="s">
        <v>288</v>
      </c>
      <c r="E2379" s="73"/>
      <c r="F2379" s="73"/>
      <c r="G2379" s="73"/>
      <c r="H2379" s="333"/>
      <c r="I2379" s="73"/>
      <c r="J2379" s="73"/>
      <c r="K2379" s="73"/>
      <c r="L2379" s="73"/>
      <c r="M2379" s="75"/>
    </row>
    <row r="2380" spans="2:13" ht="12.75" customHeight="1" x14ac:dyDescent="0.2">
      <c r="B2380" s="70"/>
      <c r="C2380" s="663" t="s">
        <v>289</v>
      </c>
      <c r="D2380" s="23" t="s">
        <v>290</v>
      </c>
      <c r="E2380" s="73"/>
      <c r="F2380" s="73"/>
      <c r="G2380" s="73"/>
      <c r="H2380" s="333"/>
      <c r="I2380" s="73"/>
      <c r="J2380" s="73"/>
      <c r="K2380" s="73"/>
      <c r="L2380" s="73"/>
      <c r="M2380" s="75"/>
    </row>
    <row r="2381" spans="2:13" ht="12.75" customHeight="1" x14ac:dyDescent="0.2">
      <c r="B2381" s="70"/>
      <c r="C2381" s="663" t="s">
        <v>291</v>
      </c>
      <c r="D2381" s="23" t="s">
        <v>280</v>
      </c>
      <c r="E2381" s="73"/>
      <c r="F2381" s="73"/>
      <c r="G2381" s="73"/>
      <c r="H2381" s="333"/>
      <c r="I2381" s="73"/>
      <c r="J2381" s="73"/>
      <c r="K2381" s="73"/>
      <c r="L2381" s="73"/>
      <c r="M2381" s="75"/>
    </row>
    <row r="2382" spans="2:13" ht="12.75" customHeight="1" x14ac:dyDescent="0.2">
      <c r="B2382" s="70"/>
      <c r="C2382" s="663" t="s">
        <v>292</v>
      </c>
      <c r="D2382" s="23" t="s">
        <v>293</v>
      </c>
      <c r="E2382" s="73"/>
      <c r="F2382" s="73"/>
      <c r="G2382" s="73"/>
      <c r="H2382" s="333"/>
      <c r="I2382" s="73"/>
      <c r="J2382" s="73"/>
      <c r="K2382" s="73"/>
      <c r="L2382" s="73"/>
      <c r="M2382" s="75"/>
    </row>
    <row r="2383" spans="2:13" ht="12.75" customHeight="1" x14ac:dyDescent="0.2">
      <c r="B2383" s="70"/>
      <c r="C2383" s="663" t="s">
        <v>294</v>
      </c>
      <c r="D2383" s="23" t="s">
        <v>280</v>
      </c>
      <c r="E2383" s="73"/>
      <c r="F2383" s="73"/>
      <c r="G2383" s="73"/>
      <c r="H2383" s="333"/>
      <c r="I2383" s="73"/>
      <c r="J2383" s="73"/>
      <c r="K2383" s="73"/>
      <c r="L2383" s="73"/>
      <c r="M2383" s="75"/>
    </row>
    <row r="2384" spans="2:13" ht="12.75" customHeight="1" x14ac:dyDescent="0.2">
      <c r="B2384" s="70"/>
      <c r="C2384" s="663" t="s">
        <v>2570</v>
      </c>
      <c r="D2384" s="23" t="s">
        <v>280</v>
      </c>
      <c r="E2384" s="73"/>
      <c r="F2384" s="73"/>
      <c r="G2384" s="73"/>
      <c r="H2384" s="333"/>
      <c r="I2384" s="73"/>
      <c r="J2384" s="73"/>
      <c r="K2384" s="73"/>
      <c r="L2384" s="73"/>
      <c r="M2384" s="75"/>
    </row>
    <row r="2385" spans="2:13" ht="12.75" customHeight="1" thickBot="1" x14ac:dyDescent="0.25">
      <c r="B2385" s="221"/>
      <c r="C2385" s="664" t="s">
        <v>295</v>
      </c>
      <c r="D2385" s="46" t="s">
        <v>296</v>
      </c>
      <c r="E2385" s="222"/>
      <c r="F2385" s="222"/>
      <c r="G2385" s="222"/>
      <c r="H2385" s="1988"/>
      <c r="I2385" s="222"/>
      <c r="J2385" s="222"/>
      <c r="K2385" s="222"/>
      <c r="L2385" s="222"/>
      <c r="M2385" s="223"/>
    </row>
    <row r="2387" spans="2:13" ht="12.75" customHeight="1" thickBot="1" x14ac:dyDescent="0.25">
      <c r="B2387" s="4774" t="s">
        <v>2666</v>
      </c>
      <c r="C2387" s="4774"/>
      <c r="D2387" s="4774"/>
      <c r="E2387" s="4774"/>
      <c r="F2387" s="4774"/>
    </row>
    <row r="2388" spans="2:13" ht="12.75" customHeight="1" x14ac:dyDescent="0.2">
      <c r="B2388" s="4774"/>
      <c r="C2388" s="4774"/>
      <c r="D2388" s="4774"/>
      <c r="E2388" s="4774"/>
      <c r="F2388" s="4774"/>
    </row>
    <row r="2389" spans="2:13" ht="12.75" customHeight="1" thickBot="1" x14ac:dyDescent="0.25">
      <c r="B2389" s="4873" t="s">
        <v>2295</v>
      </c>
      <c r="C2389" s="4873"/>
      <c r="D2389" s="4873"/>
      <c r="E2389" s="453" t="s">
        <v>297</v>
      </c>
      <c r="F2389" s="454" t="s">
        <v>2256</v>
      </c>
    </row>
    <row r="2390" spans="2:13" ht="12.75" customHeight="1" x14ac:dyDescent="0.2">
      <c r="B2390" s="70"/>
      <c r="C2390" s="73"/>
      <c r="D2390" s="665" t="s">
        <v>298</v>
      </c>
      <c r="E2390" s="666"/>
      <c r="F2390" s="667"/>
    </row>
    <row r="2391" spans="2:13" ht="12.75" customHeight="1" x14ac:dyDescent="0.2">
      <c r="B2391" s="70"/>
      <c r="C2391" s="73"/>
      <c r="D2391" s="668" t="s">
        <v>299</v>
      </c>
      <c r="E2391" s="669" t="s">
        <v>277</v>
      </c>
      <c r="F2391" s="667">
        <v>1</v>
      </c>
    </row>
    <row r="2392" spans="2:13" ht="12.75" customHeight="1" x14ac:dyDescent="0.2">
      <c r="B2392" s="70"/>
      <c r="C2392" s="73"/>
      <c r="D2392" s="668" t="s">
        <v>300</v>
      </c>
      <c r="E2392" s="669" t="s">
        <v>277</v>
      </c>
      <c r="F2392" s="667">
        <v>1</v>
      </c>
    </row>
    <row r="2393" spans="2:13" ht="12.75" customHeight="1" x14ac:dyDescent="0.2">
      <c r="B2393" s="70"/>
      <c r="C2393" s="73"/>
      <c r="D2393" s="668" t="s">
        <v>301</v>
      </c>
      <c r="E2393" s="669" t="s">
        <v>277</v>
      </c>
      <c r="F2393" s="667">
        <v>1</v>
      </c>
    </row>
    <row r="2394" spans="2:13" ht="12.75" customHeight="1" x14ac:dyDescent="0.2">
      <c r="B2394" s="70"/>
      <c r="C2394" s="73"/>
      <c r="D2394" s="668" t="s">
        <v>302</v>
      </c>
      <c r="E2394" s="669" t="s">
        <v>277</v>
      </c>
      <c r="F2394" s="667">
        <v>1</v>
      </c>
    </row>
    <row r="2395" spans="2:13" ht="12.75" customHeight="1" x14ac:dyDescent="0.2">
      <c r="B2395" s="70"/>
      <c r="C2395" s="73"/>
      <c r="D2395" s="668" t="s">
        <v>303</v>
      </c>
      <c r="E2395" s="669" t="s">
        <v>277</v>
      </c>
      <c r="F2395" s="667">
        <v>1</v>
      </c>
    </row>
    <row r="2396" spans="2:13" ht="12.75" customHeight="1" x14ac:dyDescent="0.2">
      <c r="B2396" s="70"/>
      <c r="C2396" s="73"/>
      <c r="D2396" s="668" t="s">
        <v>304</v>
      </c>
      <c r="E2396" s="669" t="s">
        <v>277</v>
      </c>
      <c r="F2396" s="667">
        <v>1</v>
      </c>
    </row>
    <row r="2397" spans="2:13" ht="12.75" customHeight="1" x14ac:dyDescent="0.2">
      <c r="B2397" s="70"/>
      <c r="C2397" s="73"/>
      <c r="D2397" s="668" t="s">
        <v>305</v>
      </c>
      <c r="E2397" s="669" t="s">
        <v>277</v>
      </c>
      <c r="F2397" s="667">
        <v>2</v>
      </c>
    </row>
    <row r="2398" spans="2:13" ht="12.75" customHeight="1" x14ac:dyDescent="0.2">
      <c r="B2398" s="70"/>
      <c r="C2398" s="73"/>
      <c r="D2398" s="668" t="s">
        <v>306</v>
      </c>
      <c r="E2398" s="669" t="s">
        <v>277</v>
      </c>
      <c r="F2398" s="667">
        <v>2</v>
      </c>
    </row>
    <row r="2399" spans="2:13" ht="12.75" customHeight="1" x14ac:dyDescent="0.2">
      <c r="B2399" s="70"/>
      <c r="C2399" s="73"/>
      <c r="D2399" s="668" t="s">
        <v>307</v>
      </c>
      <c r="E2399" s="669" t="s">
        <v>277</v>
      </c>
      <c r="F2399" s="667">
        <v>2</v>
      </c>
    </row>
    <row r="2400" spans="2:13" ht="12.75" customHeight="1" x14ac:dyDescent="0.2">
      <c r="B2400" s="70"/>
      <c r="C2400" s="73"/>
      <c r="D2400" s="668" t="s">
        <v>308</v>
      </c>
      <c r="E2400" s="669" t="s">
        <v>277</v>
      </c>
      <c r="F2400" s="667">
        <v>2</v>
      </c>
    </row>
    <row r="2401" spans="2:6" ht="12.75" customHeight="1" x14ac:dyDescent="0.2">
      <c r="B2401" s="70"/>
      <c r="C2401" s="73"/>
      <c r="D2401" s="668" t="s">
        <v>309</v>
      </c>
      <c r="E2401" s="669" t="s">
        <v>277</v>
      </c>
      <c r="F2401" s="667">
        <v>2</v>
      </c>
    </row>
    <row r="2402" spans="2:6" ht="12.75" customHeight="1" x14ac:dyDescent="0.2">
      <c r="B2402" s="70"/>
      <c r="C2402" s="73"/>
      <c r="D2402" s="668" t="s">
        <v>310</v>
      </c>
      <c r="E2402" s="669" t="s">
        <v>277</v>
      </c>
      <c r="F2402" s="667">
        <v>2</v>
      </c>
    </row>
    <row r="2403" spans="2:6" ht="12.75" customHeight="1" x14ac:dyDescent="0.2">
      <c r="B2403" s="70"/>
      <c r="C2403" s="73"/>
      <c r="D2403" s="668" t="s">
        <v>311</v>
      </c>
      <c r="E2403" s="669" t="s">
        <v>277</v>
      </c>
      <c r="F2403" s="667">
        <v>3</v>
      </c>
    </row>
    <row r="2404" spans="2:6" ht="12.75" customHeight="1" x14ac:dyDescent="0.2">
      <c r="B2404" s="70"/>
      <c r="C2404" s="73"/>
      <c r="D2404" s="668" t="s">
        <v>312</v>
      </c>
      <c r="E2404" s="669" t="s">
        <v>277</v>
      </c>
      <c r="F2404" s="667">
        <v>3</v>
      </c>
    </row>
    <row r="2405" spans="2:6" ht="12.75" customHeight="1" x14ac:dyDescent="0.2">
      <c r="B2405" s="70"/>
      <c r="C2405" s="73"/>
      <c r="D2405" s="668" t="s">
        <v>313</v>
      </c>
      <c r="E2405" s="669" t="s">
        <v>277</v>
      </c>
      <c r="F2405" s="667">
        <v>3</v>
      </c>
    </row>
    <row r="2406" spans="2:6" ht="12.75" customHeight="1" x14ac:dyDescent="0.2">
      <c r="B2406" s="70"/>
      <c r="C2406" s="73"/>
      <c r="D2406" s="668" t="s">
        <v>314</v>
      </c>
      <c r="E2406" s="669"/>
      <c r="F2406" s="667"/>
    </row>
    <row r="2407" spans="2:6" ht="12.75" customHeight="1" x14ac:dyDescent="0.2">
      <c r="B2407" s="70"/>
      <c r="C2407" s="73"/>
      <c r="D2407" s="668" t="s">
        <v>315</v>
      </c>
      <c r="E2407" s="669" t="s">
        <v>279</v>
      </c>
      <c r="F2407" s="667">
        <v>1</v>
      </c>
    </row>
    <row r="2408" spans="2:6" ht="12.75" customHeight="1" x14ac:dyDescent="0.2">
      <c r="B2408" s="70"/>
      <c r="C2408" s="73"/>
      <c r="D2408" s="668" t="s">
        <v>316</v>
      </c>
      <c r="E2408" s="669" t="s">
        <v>279</v>
      </c>
      <c r="F2408" s="667">
        <v>1</v>
      </c>
    </row>
    <row r="2409" spans="2:6" ht="12.75" customHeight="1" x14ac:dyDescent="0.2">
      <c r="B2409" s="70"/>
      <c r="C2409" s="73"/>
      <c r="D2409" s="668" t="s">
        <v>317</v>
      </c>
      <c r="E2409" s="669" t="s">
        <v>279</v>
      </c>
      <c r="F2409" s="667">
        <v>1</v>
      </c>
    </row>
    <row r="2410" spans="2:6" ht="12.75" customHeight="1" x14ac:dyDescent="0.2">
      <c r="B2410" s="70"/>
      <c r="C2410" s="73"/>
      <c r="D2410" s="668" t="s">
        <v>318</v>
      </c>
      <c r="E2410" s="669" t="s">
        <v>279</v>
      </c>
      <c r="F2410" s="667">
        <v>1</v>
      </c>
    </row>
    <row r="2411" spans="2:6" ht="12.75" customHeight="1" x14ac:dyDescent="0.2">
      <c r="B2411" s="70"/>
      <c r="C2411" s="73"/>
      <c r="D2411" s="668" t="s">
        <v>319</v>
      </c>
      <c r="E2411" s="669" t="s">
        <v>279</v>
      </c>
      <c r="F2411" s="667">
        <v>1</v>
      </c>
    </row>
    <row r="2412" spans="2:6" ht="12.75" customHeight="1" x14ac:dyDescent="0.2">
      <c r="B2412" s="70"/>
      <c r="C2412" s="73"/>
      <c r="D2412" s="668" t="s">
        <v>320</v>
      </c>
      <c r="E2412" s="669" t="s">
        <v>279</v>
      </c>
      <c r="F2412" s="667">
        <v>2</v>
      </c>
    </row>
    <row r="2413" spans="2:6" ht="12.75" customHeight="1" x14ac:dyDescent="0.2">
      <c r="B2413" s="70"/>
      <c r="C2413" s="73"/>
      <c r="D2413" s="668" t="s">
        <v>321</v>
      </c>
      <c r="E2413" s="669" t="s">
        <v>279</v>
      </c>
      <c r="F2413" s="667">
        <v>2</v>
      </c>
    </row>
    <row r="2414" spans="2:6" ht="12.75" customHeight="1" x14ac:dyDescent="0.2">
      <c r="B2414" s="70"/>
      <c r="C2414" s="73"/>
      <c r="D2414" s="668" t="s">
        <v>322</v>
      </c>
      <c r="E2414" s="669" t="s">
        <v>279</v>
      </c>
      <c r="F2414" s="667">
        <v>2</v>
      </c>
    </row>
    <row r="2415" spans="2:6" ht="12.75" customHeight="1" x14ac:dyDescent="0.2">
      <c r="B2415" s="70"/>
      <c r="C2415" s="73"/>
      <c r="D2415" s="668" t="s">
        <v>323</v>
      </c>
      <c r="E2415" s="669" t="s">
        <v>279</v>
      </c>
      <c r="F2415" s="667">
        <v>2</v>
      </c>
    </row>
    <row r="2416" spans="2:6" ht="12.75" customHeight="1" x14ac:dyDescent="0.2">
      <c r="B2416" s="70"/>
      <c r="C2416" s="73"/>
      <c r="D2416" s="668" t="s">
        <v>324</v>
      </c>
      <c r="E2416" s="669" t="s">
        <v>279</v>
      </c>
      <c r="F2416" s="667">
        <v>2</v>
      </c>
    </row>
    <row r="2417" spans="2:6" ht="12.75" customHeight="1" x14ac:dyDescent="0.2">
      <c r="B2417" s="70"/>
      <c r="C2417" s="73"/>
      <c r="D2417" s="668" t="s">
        <v>325</v>
      </c>
      <c r="E2417" s="669" t="s">
        <v>279</v>
      </c>
      <c r="F2417" s="667">
        <v>2</v>
      </c>
    </row>
    <row r="2418" spans="2:6" ht="12.75" customHeight="1" x14ac:dyDescent="0.2">
      <c r="B2418" s="70"/>
      <c r="C2418" s="73"/>
      <c r="D2418" s="668" t="s">
        <v>326</v>
      </c>
      <c r="E2418" s="669" t="s">
        <v>279</v>
      </c>
      <c r="F2418" s="667">
        <v>3</v>
      </c>
    </row>
    <row r="2419" spans="2:6" ht="12.75" customHeight="1" x14ac:dyDescent="0.2">
      <c r="B2419" s="70"/>
      <c r="C2419" s="73"/>
      <c r="D2419" s="668" t="s">
        <v>327</v>
      </c>
      <c r="E2419" s="669" t="s">
        <v>279</v>
      </c>
      <c r="F2419" s="667">
        <v>3</v>
      </c>
    </row>
    <row r="2420" spans="2:6" ht="12.75" customHeight="1" x14ac:dyDescent="0.2">
      <c r="B2420" s="70"/>
      <c r="C2420" s="73"/>
      <c r="D2420" s="668" t="s">
        <v>328</v>
      </c>
      <c r="E2420" s="669" t="s">
        <v>279</v>
      </c>
      <c r="F2420" s="667">
        <v>3</v>
      </c>
    </row>
    <row r="2421" spans="2:6" ht="12.75" customHeight="1" x14ac:dyDescent="0.2">
      <c r="B2421" s="70"/>
      <c r="C2421" s="73"/>
      <c r="D2421" s="668" t="s">
        <v>329</v>
      </c>
      <c r="E2421" s="669"/>
      <c r="F2421" s="667"/>
    </row>
    <row r="2422" spans="2:6" ht="12.75" customHeight="1" x14ac:dyDescent="0.2">
      <c r="B2422" s="70"/>
      <c r="C2422" s="73"/>
      <c r="D2422" s="668" t="s">
        <v>330</v>
      </c>
      <c r="E2422" s="669" t="s">
        <v>281</v>
      </c>
      <c r="F2422" s="667">
        <v>1</v>
      </c>
    </row>
    <row r="2423" spans="2:6" ht="12.75" customHeight="1" x14ac:dyDescent="0.2">
      <c r="B2423" s="70"/>
      <c r="C2423" s="73"/>
      <c r="D2423" s="668" t="s">
        <v>331</v>
      </c>
      <c r="E2423" s="669" t="s">
        <v>281</v>
      </c>
      <c r="F2423" s="667">
        <v>1</v>
      </c>
    </row>
    <row r="2424" spans="2:6" ht="12.75" customHeight="1" x14ac:dyDescent="0.2">
      <c r="B2424" s="70"/>
      <c r="C2424" s="73"/>
      <c r="D2424" s="668" t="s">
        <v>332</v>
      </c>
      <c r="E2424" s="669" t="s">
        <v>281</v>
      </c>
      <c r="F2424" s="667">
        <v>1</v>
      </c>
    </row>
    <row r="2425" spans="2:6" ht="12.75" customHeight="1" x14ac:dyDescent="0.2">
      <c r="B2425" s="70"/>
      <c r="C2425" s="73"/>
      <c r="D2425" s="668" t="s">
        <v>333</v>
      </c>
      <c r="E2425" s="669" t="s">
        <v>281</v>
      </c>
      <c r="F2425" s="667">
        <v>1</v>
      </c>
    </row>
    <row r="2426" spans="2:6" ht="12.75" customHeight="1" x14ac:dyDescent="0.2">
      <c r="B2426" s="70"/>
      <c r="C2426" s="73"/>
      <c r="D2426" s="668" t="s">
        <v>334</v>
      </c>
      <c r="E2426" s="669" t="s">
        <v>281</v>
      </c>
      <c r="F2426" s="667">
        <v>2</v>
      </c>
    </row>
    <row r="2427" spans="2:6" ht="12.75" customHeight="1" x14ac:dyDescent="0.2">
      <c r="B2427" s="70"/>
      <c r="C2427" s="73"/>
      <c r="D2427" s="668" t="s">
        <v>335</v>
      </c>
      <c r="E2427" s="669" t="s">
        <v>281</v>
      </c>
      <c r="F2427" s="667">
        <v>2</v>
      </c>
    </row>
    <row r="2428" spans="2:6" ht="12.75" customHeight="1" x14ac:dyDescent="0.2">
      <c r="B2428" s="70"/>
      <c r="C2428" s="73"/>
      <c r="D2428" s="668" t="s">
        <v>336</v>
      </c>
      <c r="E2428" s="669" t="s">
        <v>281</v>
      </c>
      <c r="F2428" s="667">
        <v>2</v>
      </c>
    </row>
    <row r="2429" spans="2:6" ht="12.75" customHeight="1" x14ac:dyDescent="0.2">
      <c r="B2429" s="70"/>
      <c r="C2429" s="73"/>
      <c r="D2429" s="668" t="s">
        <v>337</v>
      </c>
      <c r="E2429" s="669" t="s">
        <v>281</v>
      </c>
      <c r="F2429" s="667">
        <v>2</v>
      </c>
    </row>
    <row r="2430" spans="2:6" ht="12.75" customHeight="1" x14ac:dyDescent="0.2">
      <c r="B2430" s="70"/>
      <c r="C2430" s="73"/>
      <c r="D2430" s="668" t="s">
        <v>338</v>
      </c>
      <c r="E2430" s="669" t="s">
        <v>281</v>
      </c>
      <c r="F2430" s="667">
        <v>3</v>
      </c>
    </row>
    <row r="2431" spans="2:6" ht="12.75" customHeight="1" x14ac:dyDescent="0.2">
      <c r="B2431" s="70"/>
      <c r="C2431" s="73"/>
      <c r="D2431" s="668" t="s">
        <v>339</v>
      </c>
      <c r="E2431" s="669" t="s">
        <v>281</v>
      </c>
      <c r="F2431" s="667">
        <v>3</v>
      </c>
    </row>
    <row r="2432" spans="2:6" ht="12.75" customHeight="1" x14ac:dyDescent="0.2">
      <c r="B2432" s="70"/>
      <c r="C2432" s="73"/>
      <c r="D2432" s="668" t="s">
        <v>340</v>
      </c>
      <c r="E2432" s="669" t="s">
        <v>281</v>
      </c>
      <c r="F2432" s="667">
        <v>3</v>
      </c>
    </row>
    <row r="2433" spans="2:6" ht="12.75" customHeight="1" x14ac:dyDescent="0.2">
      <c r="B2433" s="70"/>
      <c r="C2433" s="73"/>
      <c r="D2433" s="668" t="s">
        <v>341</v>
      </c>
      <c r="E2433" s="669"/>
      <c r="F2433" s="667"/>
    </row>
    <row r="2434" spans="2:6" ht="12.75" customHeight="1" x14ac:dyDescent="0.2">
      <c r="B2434" s="70"/>
      <c r="C2434" s="73"/>
      <c r="D2434" s="668" t="s">
        <v>342</v>
      </c>
      <c r="E2434" s="669" t="s">
        <v>283</v>
      </c>
      <c r="F2434" s="667">
        <v>1</v>
      </c>
    </row>
    <row r="2435" spans="2:6" ht="12.75" customHeight="1" x14ac:dyDescent="0.2">
      <c r="B2435" s="70"/>
      <c r="C2435" s="73"/>
      <c r="D2435" s="668" t="s">
        <v>343</v>
      </c>
      <c r="E2435" s="669" t="s">
        <v>283</v>
      </c>
      <c r="F2435" s="667">
        <v>1</v>
      </c>
    </row>
    <row r="2436" spans="2:6" ht="12.75" customHeight="1" x14ac:dyDescent="0.2">
      <c r="B2436" s="70"/>
      <c r="C2436" s="73"/>
      <c r="D2436" s="668" t="s">
        <v>344</v>
      </c>
      <c r="E2436" s="669" t="s">
        <v>283</v>
      </c>
      <c r="F2436" s="667">
        <v>1</v>
      </c>
    </row>
    <row r="2437" spans="2:6" ht="12.75" customHeight="1" x14ac:dyDescent="0.2">
      <c r="B2437" s="70"/>
      <c r="C2437" s="73"/>
      <c r="D2437" s="668" t="s">
        <v>345</v>
      </c>
      <c r="E2437" s="669" t="s">
        <v>283</v>
      </c>
      <c r="F2437" s="667">
        <v>1</v>
      </c>
    </row>
    <row r="2438" spans="2:6" ht="12.75" customHeight="1" x14ac:dyDescent="0.2">
      <c r="B2438" s="70"/>
      <c r="C2438" s="73"/>
      <c r="D2438" s="668" t="s">
        <v>346</v>
      </c>
      <c r="E2438" s="669" t="s">
        <v>283</v>
      </c>
      <c r="F2438" s="667">
        <v>1</v>
      </c>
    </row>
    <row r="2439" spans="2:6" ht="12.75" customHeight="1" x14ac:dyDescent="0.2">
      <c r="B2439" s="70"/>
      <c r="C2439" s="73"/>
      <c r="D2439" s="668" t="s">
        <v>347</v>
      </c>
      <c r="E2439" s="669" t="s">
        <v>283</v>
      </c>
      <c r="F2439" s="667">
        <v>2</v>
      </c>
    </row>
    <row r="2440" spans="2:6" ht="12.75" customHeight="1" x14ac:dyDescent="0.2">
      <c r="B2440" s="70"/>
      <c r="C2440" s="73"/>
      <c r="D2440" s="668" t="s">
        <v>348</v>
      </c>
      <c r="E2440" s="669" t="s">
        <v>283</v>
      </c>
      <c r="F2440" s="667">
        <v>2</v>
      </c>
    </row>
    <row r="2441" spans="2:6" ht="12.75" customHeight="1" x14ac:dyDescent="0.2">
      <c r="B2441" s="70"/>
      <c r="C2441" s="73"/>
      <c r="D2441" s="668" t="s">
        <v>349</v>
      </c>
      <c r="E2441" s="669" t="s">
        <v>283</v>
      </c>
      <c r="F2441" s="667">
        <v>2</v>
      </c>
    </row>
    <row r="2442" spans="2:6" ht="12.75" customHeight="1" x14ac:dyDescent="0.2">
      <c r="B2442" s="70"/>
      <c r="C2442" s="73"/>
      <c r="D2442" s="668" t="s">
        <v>350</v>
      </c>
      <c r="E2442" s="669" t="s">
        <v>283</v>
      </c>
      <c r="F2442" s="667">
        <v>2</v>
      </c>
    </row>
    <row r="2443" spans="2:6" ht="12.75" customHeight="1" x14ac:dyDescent="0.2">
      <c r="B2443" s="70"/>
      <c r="C2443" s="73"/>
      <c r="D2443" s="668" t="s">
        <v>351</v>
      </c>
      <c r="E2443" s="669" t="s">
        <v>283</v>
      </c>
      <c r="F2443" s="667">
        <v>2</v>
      </c>
    </row>
    <row r="2444" spans="2:6" ht="12.75" customHeight="1" x14ac:dyDescent="0.2">
      <c r="B2444" s="70"/>
      <c r="C2444" s="73"/>
      <c r="D2444" s="668" t="s">
        <v>352</v>
      </c>
      <c r="E2444" s="669" t="s">
        <v>283</v>
      </c>
      <c r="F2444" s="667">
        <v>3</v>
      </c>
    </row>
    <row r="2445" spans="2:6" ht="12.75" customHeight="1" x14ac:dyDescent="0.2">
      <c r="B2445" s="70"/>
      <c r="C2445" s="73"/>
      <c r="D2445" s="668" t="s">
        <v>353</v>
      </c>
      <c r="E2445" s="669" t="s">
        <v>283</v>
      </c>
      <c r="F2445" s="667">
        <v>3</v>
      </c>
    </row>
    <row r="2446" spans="2:6" ht="12.75" customHeight="1" x14ac:dyDescent="0.2">
      <c r="B2446" s="70"/>
      <c r="C2446" s="73"/>
      <c r="D2446" s="668" t="s">
        <v>354</v>
      </c>
      <c r="E2446" s="669" t="s">
        <v>283</v>
      </c>
      <c r="F2446" s="667">
        <v>3</v>
      </c>
    </row>
    <row r="2447" spans="2:6" ht="12.75" customHeight="1" x14ac:dyDescent="0.2">
      <c r="B2447" s="70"/>
      <c r="C2447" s="73"/>
      <c r="D2447" s="668" t="s">
        <v>355</v>
      </c>
      <c r="E2447" s="669"/>
      <c r="F2447" s="667"/>
    </row>
    <row r="2448" spans="2:6" ht="12.75" customHeight="1" x14ac:dyDescent="0.2">
      <c r="B2448" s="70"/>
      <c r="C2448" s="73"/>
      <c r="D2448" s="668" t="s">
        <v>356</v>
      </c>
      <c r="E2448" s="669" t="s">
        <v>285</v>
      </c>
      <c r="F2448" s="667">
        <v>1</v>
      </c>
    </row>
    <row r="2449" spans="2:24" ht="12.75" customHeight="1" x14ac:dyDescent="0.2">
      <c r="B2449" s="70"/>
      <c r="C2449" s="73"/>
      <c r="D2449" s="668" t="s">
        <v>357</v>
      </c>
      <c r="E2449" s="669" t="s">
        <v>285</v>
      </c>
      <c r="F2449" s="667">
        <v>1</v>
      </c>
    </row>
    <row r="2450" spans="2:24" ht="12.75" customHeight="1" x14ac:dyDescent="0.2">
      <c r="B2450" s="70"/>
      <c r="C2450" s="73"/>
      <c r="D2450" s="668" t="s">
        <v>358</v>
      </c>
      <c r="E2450" s="669" t="s">
        <v>285</v>
      </c>
      <c r="F2450" s="667">
        <v>1</v>
      </c>
    </row>
    <row r="2451" spans="2:24" ht="12.75" customHeight="1" x14ac:dyDescent="0.2">
      <c r="B2451" s="70"/>
      <c r="C2451" s="73"/>
      <c r="D2451" s="668" t="s">
        <v>2552</v>
      </c>
      <c r="E2451" s="669" t="s">
        <v>285</v>
      </c>
      <c r="F2451" s="667">
        <v>1</v>
      </c>
    </row>
    <row r="2452" spans="2:24" ht="12.75" customHeight="1" x14ac:dyDescent="0.2">
      <c r="B2452" s="70"/>
      <c r="C2452" s="73"/>
      <c r="D2452" s="668" t="s">
        <v>359</v>
      </c>
      <c r="E2452" s="669" t="s">
        <v>285</v>
      </c>
      <c r="F2452" s="667">
        <v>1</v>
      </c>
      <c r="W2452" s="670"/>
      <c r="X2452" s="670"/>
    </row>
    <row r="2453" spans="2:24" ht="12.75" customHeight="1" x14ac:dyDescent="0.2">
      <c r="B2453" s="70"/>
      <c r="C2453" s="73"/>
      <c r="D2453" s="668" t="s">
        <v>360</v>
      </c>
      <c r="E2453" s="669" t="s">
        <v>285</v>
      </c>
      <c r="F2453" s="667">
        <v>1</v>
      </c>
      <c r="W2453" s="670"/>
      <c r="X2453" s="670"/>
    </row>
    <row r="2454" spans="2:24" ht="12.75" customHeight="1" x14ac:dyDescent="0.2">
      <c r="B2454" s="70"/>
      <c r="C2454" s="73"/>
      <c r="D2454" s="668" t="s">
        <v>361</v>
      </c>
      <c r="E2454" s="669" t="s">
        <v>285</v>
      </c>
      <c r="F2454" s="667">
        <v>2</v>
      </c>
      <c r="W2454" s="671"/>
      <c r="X2454" s="671"/>
    </row>
    <row r="2455" spans="2:24" ht="12.75" customHeight="1" x14ac:dyDescent="0.2">
      <c r="B2455" s="70"/>
      <c r="C2455" s="73"/>
      <c r="D2455" s="668" t="s">
        <v>362</v>
      </c>
      <c r="E2455" s="669" t="s">
        <v>285</v>
      </c>
      <c r="F2455" s="667">
        <v>2</v>
      </c>
      <c r="W2455" s="518"/>
      <c r="X2455" s="518"/>
    </row>
    <row r="2456" spans="2:24" ht="12.75" customHeight="1" x14ac:dyDescent="0.2">
      <c r="B2456" s="70"/>
      <c r="C2456" s="73"/>
      <c r="D2456" s="668" t="s">
        <v>363</v>
      </c>
      <c r="E2456" s="669" t="s">
        <v>285</v>
      </c>
      <c r="F2456" s="667">
        <v>2</v>
      </c>
      <c r="W2456" s="518"/>
      <c r="X2456" s="518"/>
    </row>
    <row r="2457" spans="2:24" ht="12.75" customHeight="1" x14ac:dyDescent="0.2">
      <c r="B2457" s="70"/>
      <c r="C2457" s="73"/>
      <c r="D2457" s="668" t="s">
        <v>2221</v>
      </c>
      <c r="E2457" s="669" t="s">
        <v>285</v>
      </c>
      <c r="F2457" s="667">
        <v>2</v>
      </c>
      <c r="W2457" s="518"/>
      <c r="X2457" s="518"/>
    </row>
    <row r="2458" spans="2:24" ht="12.75" customHeight="1" x14ac:dyDescent="0.2">
      <c r="B2458" s="70"/>
      <c r="C2458" s="73"/>
      <c r="D2458" s="668" t="s">
        <v>364</v>
      </c>
      <c r="E2458" s="669" t="s">
        <v>285</v>
      </c>
      <c r="F2458" s="667">
        <v>3</v>
      </c>
      <c r="W2458" s="518"/>
      <c r="X2458" s="518"/>
    </row>
    <row r="2459" spans="2:24" ht="12.75" customHeight="1" x14ac:dyDescent="0.2">
      <c r="B2459" s="70"/>
      <c r="C2459" s="73"/>
      <c r="D2459" s="668" t="s">
        <v>365</v>
      </c>
      <c r="E2459" s="669" t="s">
        <v>285</v>
      </c>
      <c r="F2459" s="667">
        <v>3</v>
      </c>
      <c r="W2459" s="518"/>
      <c r="X2459" s="518"/>
    </row>
    <row r="2460" spans="2:24" ht="12.75" customHeight="1" x14ac:dyDescent="0.2">
      <c r="B2460" s="70"/>
      <c r="C2460" s="73"/>
      <c r="D2460" s="668" t="s">
        <v>366</v>
      </c>
      <c r="E2460" s="669" t="s">
        <v>285</v>
      </c>
      <c r="F2460" s="667">
        <v>3</v>
      </c>
      <c r="W2460" s="518"/>
      <c r="X2460" s="518"/>
    </row>
    <row r="2461" spans="2:24" ht="12.75" customHeight="1" x14ac:dyDescent="0.2">
      <c r="B2461" s="70"/>
      <c r="C2461" s="73"/>
      <c r="D2461" s="668" t="s">
        <v>367</v>
      </c>
      <c r="E2461" s="669"/>
      <c r="F2461" s="667"/>
      <c r="W2461" s="518"/>
      <c r="X2461" s="518"/>
    </row>
    <row r="2462" spans="2:24" ht="12.75" customHeight="1" x14ac:dyDescent="0.2">
      <c r="B2462" s="70"/>
      <c r="C2462" s="73"/>
      <c r="D2462" s="668" t="s">
        <v>368</v>
      </c>
      <c r="E2462" s="669" t="s">
        <v>286</v>
      </c>
      <c r="F2462" s="667">
        <v>1</v>
      </c>
      <c r="W2462" s="518"/>
      <c r="X2462" s="518"/>
    </row>
    <row r="2463" spans="2:24" ht="12.75" customHeight="1" x14ac:dyDescent="0.2">
      <c r="B2463" s="70"/>
      <c r="C2463" s="73"/>
      <c r="D2463" s="668" t="s">
        <v>369</v>
      </c>
      <c r="E2463" s="669" t="s">
        <v>286</v>
      </c>
      <c r="F2463" s="667">
        <v>1</v>
      </c>
      <c r="W2463" s="518"/>
      <c r="X2463" s="518"/>
    </row>
    <row r="2464" spans="2:24" ht="12.75" customHeight="1" x14ac:dyDescent="0.2">
      <c r="B2464" s="70"/>
      <c r="C2464" s="73"/>
      <c r="D2464" s="668" t="s">
        <v>370</v>
      </c>
      <c r="E2464" s="669" t="s">
        <v>286</v>
      </c>
      <c r="F2464" s="667">
        <v>1</v>
      </c>
      <c r="W2464" s="518"/>
      <c r="X2464" s="518"/>
    </row>
    <row r="2465" spans="2:24" ht="12.75" customHeight="1" x14ac:dyDescent="0.2">
      <c r="B2465" s="70"/>
      <c r="C2465" s="73"/>
      <c r="D2465" s="668" t="s">
        <v>371</v>
      </c>
      <c r="E2465" s="669" t="s">
        <v>286</v>
      </c>
      <c r="F2465" s="667">
        <v>1</v>
      </c>
      <c r="W2465" s="518"/>
      <c r="X2465" s="518"/>
    </row>
    <row r="2466" spans="2:24" ht="12.75" customHeight="1" x14ac:dyDescent="0.2">
      <c r="B2466" s="70"/>
      <c r="C2466" s="73"/>
      <c r="D2466" s="668" t="s">
        <v>372</v>
      </c>
      <c r="E2466" s="669" t="s">
        <v>286</v>
      </c>
      <c r="F2466" s="667">
        <v>1</v>
      </c>
      <c r="W2466" s="518"/>
      <c r="X2466" s="518"/>
    </row>
    <row r="2467" spans="2:24" ht="12.75" customHeight="1" x14ac:dyDescent="0.2">
      <c r="B2467" s="70"/>
      <c r="C2467" s="73"/>
      <c r="D2467" s="668" t="s">
        <v>373</v>
      </c>
      <c r="E2467" s="669" t="s">
        <v>286</v>
      </c>
      <c r="F2467" s="667">
        <v>2</v>
      </c>
      <c r="W2467" s="518"/>
      <c r="X2467" s="518"/>
    </row>
    <row r="2468" spans="2:24" ht="12.75" customHeight="1" x14ac:dyDescent="0.2">
      <c r="B2468" s="70"/>
      <c r="C2468" s="73"/>
      <c r="D2468" s="668" t="s">
        <v>374</v>
      </c>
      <c r="E2468" s="669" t="s">
        <v>286</v>
      </c>
      <c r="F2468" s="667">
        <v>2</v>
      </c>
      <c r="W2468" s="518"/>
      <c r="X2468" s="518"/>
    </row>
    <row r="2469" spans="2:24" ht="12.75" customHeight="1" x14ac:dyDescent="0.2">
      <c r="B2469" s="70"/>
      <c r="C2469" s="73"/>
      <c r="D2469" s="668" t="s">
        <v>375</v>
      </c>
      <c r="E2469" s="669" t="s">
        <v>286</v>
      </c>
      <c r="F2469" s="667">
        <v>2</v>
      </c>
      <c r="W2469" s="518"/>
      <c r="X2469" s="518"/>
    </row>
    <row r="2470" spans="2:24" ht="12.75" customHeight="1" x14ac:dyDescent="0.2">
      <c r="B2470" s="70"/>
      <c r="C2470" s="73"/>
      <c r="D2470" s="668" t="s">
        <v>376</v>
      </c>
      <c r="E2470" s="669" t="s">
        <v>286</v>
      </c>
      <c r="F2470" s="667">
        <v>2</v>
      </c>
      <c r="W2470" s="518"/>
      <c r="X2470" s="518"/>
    </row>
    <row r="2471" spans="2:24" ht="12.75" customHeight="1" x14ac:dyDescent="0.2">
      <c r="B2471" s="70"/>
      <c r="C2471" s="73"/>
      <c r="D2471" s="668" t="s">
        <v>377</v>
      </c>
      <c r="E2471" s="669" t="s">
        <v>286</v>
      </c>
      <c r="F2471" s="667">
        <v>3</v>
      </c>
      <c r="W2471" s="518"/>
      <c r="X2471" s="518"/>
    </row>
    <row r="2472" spans="2:24" ht="12.75" customHeight="1" x14ac:dyDescent="0.2">
      <c r="B2472" s="70"/>
      <c r="C2472" s="73"/>
      <c r="D2472" s="668" t="s">
        <v>378</v>
      </c>
      <c r="E2472" s="669" t="s">
        <v>286</v>
      </c>
      <c r="F2472" s="667">
        <v>3</v>
      </c>
    </row>
    <row r="2473" spans="2:24" ht="12.75" customHeight="1" x14ac:dyDescent="0.2">
      <c r="B2473" s="70"/>
      <c r="C2473" s="73"/>
      <c r="D2473" s="668" t="s">
        <v>379</v>
      </c>
      <c r="E2473" s="669"/>
      <c r="F2473" s="667"/>
    </row>
    <row r="2474" spans="2:24" ht="12.75" customHeight="1" x14ac:dyDescent="0.2">
      <c r="B2474" s="70"/>
      <c r="C2474" s="73"/>
      <c r="D2474" s="668" t="s">
        <v>380</v>
      </c>
      <c r="E2474" s="669" t="s">
        <v>289</v>
      </c>
      <c r="F2474" s="667">
        <v>1</v>
      </c>
    </row>
    <row r="2475" spans="2:24" ht="12.75" customHeight="1" x14ac:dyDescent="0.2">
      <c r="B2475" s="70"/>
      <c r="C2475" s="73"/>
      <c r="D2475" s="668" t="s">
        <v>381</v>
      </c>
      <c r="E2475" s="669" t="s">
        <v>289</v>
      </c>
      <c r="F2475" s="667">
        <v>1</v>
      </c>
    </row>
    <row r="2476" spans="2:24" ht="12.75" customHeight="1" x14ac:dyDescent="0.2">
      <c r="B2476" s="70"/>
      <c r="C2476" s="73"/>
      <c r="D2476" s="668" t="s">
        <v>382</v>
      </c>
      <c r="E2476" s="669" t="s">
        <v>289</v>
      </c>
      <c r="F2476" s="667">
        <v>1</v>
      </c>
    </row>
    <row r="2477" spans="2:24" ht="12.75" customHeight="1" x14ac:dyDescent="0.2">
      <c r="B2477" s="70"/>
      <c r="C2477" s="73"/>
      <c r="D2477" s="668" t="s">
        <v>383</v>
      </c>
      <c r="E2477" s="669" t="s">
        <v>289</v>
      </c>
      <c r="F2477" s="667">
        <v>1</v>
      </c>
    </row>
    <row r="2478" spans="2:24" ht="12.75" customHeight="1" x14ac:dyDescent="0.2">
      <c r="B2478" s="70"/>
      <c r="C2478" s="73"/>
      <c r="D2478" s="668" t="s">
        <v>384</v>
      </c>
      <c r="E2478" s="669" t="s">
        <v>289</v>
      </c>
      <c r="F2478" s="667">
        <v>2</v>
      </c>
    </row>
    <row r="2479" spans="2:24" ht="12.75" customHeight="1" x14ac:dyDescent="0.2">
      <c r="B2479" s="70"/>
      <c r="C2479" s="73"/>
      <c r="D2479" s="668" t="s">
        <v>385</v>
      </c>
      <c r="E2479" s="669" t="s">
        <v>289</v>
      </c>
      <c r="F2479" s="667">
        <v>2</v>
      </c>
    </row>
    <row r="2480" spans="2:24" ht="12.75" customHeight="1" x14ac:dyDescent="0.2">
      <c r="B2480" s="70"/>
      <c r="C2480" s="73"/>
      <c r="D2480" s="668" t="s">
        <v>386</v>
      </c>
      <c r="E2480" s="669" t="s">
        <v>289</v>
      </c>
      <c r="F2480" s="667">
        <v>2</v>
      </c>
    </row>
    <row r="2481" spans="2:11" ht="12.75" customHeight="1" x14ac:dyDescent="0.2">
      <c r="B2481" s="70"/>
      <c r="C2481" s="73"/>
      <c r="D2481" s="668" t="s">
        <v>387</v>
      </c>
      <c r="E2481" s="669" t="s">
        <v>289</v>
      </c>
      <c r="F2481" s="667">
        <v>2</v>
      </c>
    </row>
    <row r="2482" spans="2:11" ht="12.75" customHeight="1" x14ac:dyDescent="0.2">
      <c r="B2482" s="70"/>
      <c r="C2482" s="73"/>
      <c r="D2482" s="668" t="s">
        <v>388</v>
      </c>
      <c r="E2482" s="669" t="s">
        <v>289</v>
      </c>
      <c r="F2482" s="667">
        <v>3</v>
      </c>
    </row>
    <row r="2483" spans="2:11" ht="12.75" customHeight="1" x14ac:dyDescent="0.2">
      <c r="B2483" s="70"/>
      <c r="C2483" s="73"/>
      <c r="D2483" s="668" t="s">
        <v>313</v>
      </c>
      <c r="E2483" s="669" t="s">
        <v>289</v>
      </c>
      <c r="F2483" s="667">
        <v>3</v>
      </c>
    </row>
    <row r="2484" spans="2:11" ht="12.75" customHeight="1" x14ac:dyDescent="0.2">
      <c r="B2484" s="70"/>
      <c r="C2484" s="73"/>
      <c r="D2484" s="668" t="s">
        <v>389</v>
      </c>
      <c r="E2484" s="669"/>
      <c r="F2484" s="667"/>
    </row>
    <row r="2485" spans="2:11" ht="12.75" customHeight="1" x14ac:dyDescent="0.2">
      <c r="B2485" s="70"/>
      <c r="C2485" s="73"/>
      <c r="D2485" s="668" t="s">
        <v>390</v>
      </c>
      <c r="E2485" s="669" t="s">
        <v>287</v>
      </c>
      <c r="F2485" s="667">
        <v>1</v>
      </c>
    </row>
    <row r="2486" spans="2:11" ht="12.75" customHeight="1" x14ac:dyDescent="0.2">
      <c r="B2486" s="70"/>
      <c r="C2486" s="73"/>
      <c r="D2486" s="668" t="s">
        <v>391</v>
      </c>
      <c r="E2486" s="669" t="s">
        <v>287</v>
      </c>
      <c r="F2486" s="667">
        <v>2</v>
      </c>
    </row>
    <row r="2487" spans="2:11" ht="12.75" customHeight="1" x14ac:dyDescent="0.2">
      <c r="B2487" s="70"/>
      <c r="C2487" s="73"/>
      <c r="D2487" s="668" t="s">
        <v>392</v>
      </c>
      <c r="E2487" s="669" t="s">
        <v>287</v>
      </c>
      <c r="F2487" s="667">
        <v>2</v>
      </c>
    </row>
    <row r="2488" spans="2:11" ht="12.75" customHeight="1" x14ac:dyDescent="0.2">
      <c r="B2488" s="70"/>
      <c r="C2488" s="73"/>
      <c r="D2488" s="668" t="s">
        <v>393</v>
      </c>
      <c r="E2488" s="669" t="s">
        <v>287</v>
      </c>
      <c r="F2488" s="667">
        <v>3</v>
      </c>
    </row>
    <row r="2489" spans="2:11" ht="12.75" customHeight="1" x14ac:dyDescent="0.2">
      <c r="B2489" s="70"/>
      <c r="C2489" s="73"/>
      <c r="D2489" s="668" t="s">
        <v>394</v>
      </c>
      <c r="E2489" s="669"/>
      <c r="F2489" s="667"/>
      <c r="I2489" s="672"/>
      <c r="J2489" s="673"/>
      <c r="K2489" s="673"/>
    </row>
    <row r="2490" spans="2:11" ht="12.75" customHeight="1" x14ac:dyDescent="0.2">
      <c r="B2490" s="70"/>
      <c r="C2490" s="73"/>
      <c r="D2490" s="668" t="s">
        <v>395</v>
      </c>
      <c r="E2490" s="669" t="s">
        <v>291</v>
      </c>
      <c r="F2490" s="667">
        <v>1</v>
      </c>
      <c r="I2490" s="672"/>
      <c r="J2490" s="673"/>
      <c r="K2490" s="673"/>
    </row>
    <row r="2491" spans="2:11" ht="12.75" customHeight="1" x14ac:dyDescent="0.2">
      <c r="B2491" s="70"/>
      <c r="C2491" s="73"/>
      <c r="D2491" s="668" t="s">
        <v>396</v>
      </c>
      <c r="E2491" s="669" t="s">
        <v>291</v>
      </c>
      <c r="F2491" s="667">
        <v>2</v>
      </c>
      <c r="I2491" s="672"/>
      <c r="J2491" s="673"/>
      <c r="K2491" s="673"/>
    </row>
    <row r="2492" spans="2:11" ht="12.75" customHeight="1" x14ac:dyDescent="0.2">
      <c r="B2492" s="70"/>
      <c r="C2492" s="73"/>
      <c r="D2492" s="668" t="s">
        <v>397</v>
      </c>
      <c r="E2492" s="669" t="s">
        <v>291</v>
      </c>
      <c r="F2492" s="667">
        <v>2</v>
      </c>
      <c r="I2492" s="672"/>
      <c r="J2492" s="673"/>
      <c r="K2492" s="673"/>
    </row>
    <row r="2493" spans="2:11" ht="12.75" customHeight="1" x14ac:dyDescent="0.2">
      <c r="B2493" s="70"/>
      <c r="C2493" s="73"/>
      <c r="D2493" s="668" t="s">
        <v>398</v>
      </c>
      <c r="E2493" s="669" t="s">
        <v>291</v>
      </c>
      <c r="F2493" s="667">
        <v>3</v>
      </c>
      <c r="I2493" s="672"/>
      <c r="J2493" s="673"/>
      <c r="K2493" s="673"/>
    </row>
    <row r="2494" spans="2:11" ht="12.75" customHeight="1" x14ac:dyDescent="0.2">
      <c r="B2494" s="70"/>
      <c r="C2494" s="73"/>
      <c r="D2494" s="668" t="s">
        <v>399</v>
      </c>
      <c r="E2494" s="669" t="s">
        <v>291</v>
      </c>
      <c r="F2494" s="667">
        <v>3</v>
      </c>
    </row>
    <row r="2495" spans="2:11" ht="12.75" customHeight="1" x14ac:dyDescent="0.2">
      <c r="B2495" s="70"/>
      <c r="C2495" s="73"/>
      <c r="D2495" s="668" t="s">
        <v>400</v>
      </c>
      <c r="E2495" s="669"/>
      <c r="F2495" s="667"/>
    </row>
    <row r="2496" spans="2:11" ht="12.75" customHeight="1" x14ac:dyDescent="0.2">
      <c r="B2496" s="70"/>
      <c r="C2496" s="73"/>
      <c r="D2496" s="668" t="s">
        <v>401</v>
      </c>
      <c r="E2496" s="669" t="s">
        <v>292</v>
      </c>
      <c r="F2496" s="667">
        <v>1</v>
      </c>
    </row>
    <row r="2497" spans="2:6" ht="12.75" customHeight="1" x14ac:dyDescent="0.2">
      <c r="B2497" s="70"/>
      <c r="C2497" s="73"/>
      <c r="D2497" s="668" t="s">
        <v>402</v>
      </c>
      <c r="E2497" s="669" t="s">
        <v>292</v>
      </c>
      <c r="F2497" s="667">
        <v>1</v>
      </c>
    </row>
    <row r="2498" spans="2:6" ht="12.75" customHeight="1" x14ac:dyDescent="0.2">
      <c r="B2498" s="70"/>
      <c r="C2498" s="73"/>
      <c r="D2498" s="668" t="s">
        <v>403</v>
      </c>
      <c r="E2498" s="669" t="s">
        <v>292</v>
      </c>
      <c r="F2498" s="667">
        <v>1</v>
      </c>
    </row>
    <row r="2499" spans="2:6" ht="12.75" customHeight="1" x14ac:dyDescent="0.2">
      <c r="B2499" s="70"/>
      <c r="C2499" s="73"/>
      <c r="D2499" s="668" t="s">
        <v>404</v>
      </c>
      <c r="E2499" s="669" t="s">
        <v>292</v>
      </c>
      <c r="F2499" s="667">
        <v>1</v>
      </c>
    </row>
    <row r="2500" spans="2:6" ht="12.75" customHeight="1" x14ac:dyDescent="0.2">
      <c r="B2500" s="70"/>
      <c r="C2500" s="73"/>
      <c r="D2500" s="668" t="s">
        <v>405</v>
      </c>
      <c r="E2500" s="669" t="s">
        <v>292</v>
      </c>
      <c r="F2500" s="667">
        <v>2</v>
      </c>
    </row>
    <row r="2501" spans="2:6" ht="12.75" customHeight="1" x14ac:dyDescent="0.2">
      <c r="B2501" s="70"/>
      <c r="C2501" s="73"/>
      <c r="D2501" s="668" t="s">
        <v>406</v>
      </c>
      <c r="E2501" s="669" t="s">
        <v>292</v>
      </c>
      <c r="F2501" s="667">
        <v>2</v>
      </c>
    </row>
    <row r="2502" spans="2:6" ht="12.75" customHeight="1" x14ac:dyDescent="0.2">
      <c r="B2502" s="70"/>
      <c r="C2502" s="73"/>
      <c r="D2502" s="668" t="s">
        <v>407</v>
      </c>
      <c r="E2502" s="669" t="s">
        <v>292</v>
      </c>
      <c r="F2502" s="667">
        <v>2</v>
      </c>
    </row>
    <row r="2503" spans="2:6" ht="12.75" customHeight="1" x14ac:dyDescent="0.2">
      <c r="B2503" s="70"/>
      <c r="C2503" s="73"/>
      <c r="D2503" s="668" t="s">
        <v>408</v>
      </c>
      <c r="E2503" s="669" t="s">
        <v>292</v>
      </c>
      <c r="F2503" s="667">
        <v>3</v>
      </c>
    </row>
    <row r="2504" spans="2:6" ht="12.75" customHeight="1" x14ac:dyDescent="0.2">
      <c r="B2504" s="70"/>
      <c r="C2504" s="73"/>
      <c r="D2504" s="668" t="s">
        <v>409</v>
      </c>
      <c r="E2504" s="669" t="s">
        <v>292</v>
      </c>
      <c r="F2504" s="667">
        <v>3</v>
      </c>
    </row>
    <row r="2505" spans="2:6" ht="12.75" customHeight="1" x14ac:dyDescent="0.2">
      <c r="B2505" s="70"/>
      <c r="C2505" s="73"/>
      <c r="D2505" s="668" t="s">
        <v>410</v>
      </c>
      <c r="E2505" s="669"/>
      <c r="F2505" s="667"/>
    </row>
    <row r="2506" spans="2:6" ht="12.75" customHeight="1" x14ac:dyDescent="0.2">
      <c r="B2506" s="70"/>
      <c r="C2506" s="73"/>
      <c r="D2506" s="668" t="s">
        <v>411</v>
      </c>
      <c r="E2506" s="669" t="s">
        <v>294</v>
      </c>
      <c r="F2506" s="667">
        <v>1</v>
      </c>
    </row>
    <row r="2507" spans="2:6" ht="12.75" customHeight="1" x14ac:dyDescent="0.2">
      <c r="B2507" s="70"/>
      <c r="C2507" s="73"/>
      <c r="D2507" s="668" t="s">
        <v>412</v>
      </c>
      <c r="E2507" s="669" t="s">
        <v>294</v>
      </c>
      <c r="F2507" s="667">
        <v>1</v>
      </c>
    </row>
    <row r="2508" spans="2:6" ht="12.75" customHeight="1" x14ac:dyDescent="0.2">
      <c r="B2508" s="70"/>
      <c r="C2508" s="73"/>
      <c r="D2508" s="668" t="s">
        <v>413</v>
      </c>
      <c r="E2508" s="669" t="s">
        <v>294</v>
      </c>
      <c r="F2508" s="667">
        <v>1</v>
      </c>
    </row>
    <row r="2509" spans="2:6" ht="12.75" customHeight="1" x14ac:dyDescent="0.2">
      <c r="B2509" s="70"/>
      <c r="C2509" s="73"/>
      <c r="D2509" s="668" t="s">
        <v>414</v>
      </c>
      <c r="E2509" s="669" t="s">
        <v>294</v>
      </c>
      <c r="F2509" s="667">
        <v>2</v>
      </c>
    </row>
    <row r="2510" spans="2:6" ht="12.75" customHeight="1" x14ac:dyDescent="0.2">
      <c r="B2510" s="70"/>
      <c r="C2510" s="73"/>
      <c r="D2510" s="668" t="s">
        <v>415</v>
      </c>
      <c r="E2510" s="669" t="s">
        <v>294</v>
      </c>
      <c r="F2510" s="667">
        <v>3</v>
      </c>
    </row>
    <row r="2511" spans="2:6" ht="12.75" customHeight="1" x14ac:dyDescent="0.2">
      <c r="B2511" s="70"/>
      <c r="C2511" s="73"/>
      <c r="D2511" s="668" t="s">
        <v>416</v>
      </c>
      <c r="E2511" s="669" t="s">
        <v>294</v>
      </c>
      <c r="F2511" s="667">
        <v>3</v>
      </c>
    </row>
    <row r="2512" spans="2:6" ht="12.75" customHeight="1" x14ac:dyDescent="0.2">
      <c r="B2512" s="70"/>
      <c r="C2512" s="73"/>
      <c r="D2512" s="668" t="s">
        <v>294</v>
      </c>
      <c r="E2512" s="669" t="s">
        <v>294</v>
      </c>
      <c r="F2512" s="667">
        <v>3</v>
      </c>
    </row>
    <row r="2513" spans="2:6" ht="12.75" customHeight="1" x14ac:dyDescent="0.2">
      <c r="B2513" s="70"/>
      <c r="C2513" s="73"/>
      <c r="D2513" s="668" t="s">
        <v>417</v>
      </c>
      <c r="E2513" s="669"/>
      <c r="F2513" s="667"/>
    </row>
    <row r="2514" spans="2:6" ht="12.75" customHeight="1" x14ac:dyDescent="0.2">
      <c r="B2514" s="70"/>
      <c r="C2514" s="73"/>
      <c r="D2514" s="668" t="s">
        <v>418</v>
      </c>
      <c r="E2514" s="669" t="s">
        <v>2570</v>
      </c>
      <c r="F2514" s="667">
        <v>1</v>
      </c>
    </row>
    <row r="2515" spans="2:6" ht="12.75" customHeight="1" x14ac:dyDescent="0.2">
      <c r="B2515" s="70"/>
      <c r="C2515" s="73"/>
      <c r="D2515" s="668" t="s">
        <v>419</v>
      </c>
      <c r="E2515" s="669" t="s">
        <v>2570</v>
      </c>
      <c r="F2515" s="667">
        <v>1</v>
      </c>
    </row>
    <row r="2516" spans="2:6" ht="12.75" customHeight="1" x14ac:dyDescent="0.2">
      <c r="B2516" s="70"/>
      <c r="C2516" s="73"/>
      <c r="D2516" s="668" t="s">
        <v>420</v>
      </c>
      <c r="E2516" s="669" t="s">
        <v>2570</v>
      </c>
      <c r="F2516" s="667">
        <v>1</v>
      </c>
    </row>
    <row r="2517" spans="2:6" ht="12.75" customHeight="1" x14ac:dyDescent="0.2">
      <c r="B2517" s="70"/>
      <c r="C2517" s="73"/>
      <c r="D2517" s="668" t="s">
        <v>421</v>
      </c>
      <c r="E2517" s="669" t="s">
        <v>2570</v>
      </c>
      <c r="F2517" s="667">
        <v>2</v>
      </c>
    </row>
    <row r="2518" spans="2:6" ht="12.75" customHeight="1" x14ac:dyDescent="0.2">
      <c r="B2518" s="70"/>
      <c r="C2518" s="73"/>
      <c r="D2518" s="668" t="s">
        <v>422</v>
      </c>
      <c r="E2518" s="669" t="s">
        <v>2570</v>
      </c>
      <c r="F2518" s="667">
        <v>2</v>
      </c>
    </row>
    <row r="2519" spans="2:6" ht="12.75" customHeight="1" x14ac:dyDescent="0.2">
      <c r="B2519" s="70"/>
      <c r="C2519" s="73"/>
      <c r="D2519" s="668" t="s">
        <v>423</v>
      </c>
      <c r="E2519" s="669" t="s">
        <v>2570</v>
      </c>
      <c r="F2519" s="667">
        <v>3</v>
      </c>
    </row>
    <row r="2520" spans="2:6" ht="12.75" customHeight="1" x14ac:dyDescent="0.2">
      <c r="B2520" s="70"/>
      <c r="C2520" s="73"/>
      <c r="D2520" s="668" t="s">
        <v>424</v>
      </c>
      <c r="E2520" s="669"/>
      <c r="F2520" s="667"/>
    </row>
    <row r="2521" spans="2:6" ht="12.75" customHeight="1" x14ac:dyDescent="0.2">
      <c r="B2521" s="70"/>
      <c r="C2521" s="73"/>
      <c r="D2521" s="668" t="s">
        <v>425</v>
      </c>
      <c r="E2521" s="669" t="s">
        <v>295</v>
      </c>
      <c r="F2521" s="667">
        <v>1</v>
      </c>
    </row>
    <row r="2522" spans="2:6" ht="12.75" customHeight="1" x14ac:dyDescent="0.2">
      <c r="B2522" s="70"/>
      <c r="C2522" s="73"/>
      <c r="D2522" s="668" t="s">
        <v>426</v>
      </c>
      <c r="E2522" s="669" t="s">
        <v>295</v>
      </c>
      <c r="F2522" s="667">
        <v>2</v>
      </c>
    </row>
    <row r="2523" spans="2:6" ht="12.75" customHeight="1" x14ac:dyDescent="0.2">
      <c r="B2523" s="70"/>
      <c r="C2523" s="73"/>
      <c r="D2523" s="668" t="s">
        <v>427</v>
      </c>
      <c r="E2523" s="669" t="s">
        <v>295</v>
      </c>
      <c r="F2523" s="667">
        <v>3</v>
      </c>
    </row>
    <row r="2524" spans="2:6" ht="12.75" customHeight="1" x14ac:dyDescent="0.2">
      <c r="B2524" s="70"/>
      <c r="C2524" s="73"/>
      <c r="D2524" s="668" t="s">
        <v>428</v>
      </c>
      <c r="E2524" s="669"/>
      <c r="F2524" s="667"/>
    </row>
    <row r="2525" spans="2:6" ht="12.75" customHeight="1" x14ac:dyDescent="0.2">
      <c r="B2525" s="70"/>
      <c r="C2525" s="73"/>
      <c r="D2525" s="668" t="s">
        <v>429</v>
      </c>
      <c r="E2525" s="669" t="str">
        <f>""</f>
        <v/>
      </c>
      <c r="F2525" s="667" t="s">
        <v>2310</v>
      </c>
    </row>
    <row r="2526" spans="2:6" ht="12.75" customHeight="1" x14ac:dyDescent="0.2">
      <c r="B2526" s="70"/>
      <c r="C2526" s="73"/>
      <c r="D2526" s="668" t="s">
        <v>430</v>
      </c>
      <c r="E2526" s="669" t="str">
        <f>""</f>
        <v/>
      </c>
      <c r="F2526" s="667" t="s">
        <v>2310</v>
      </c>
    </row>
    <row r="2527" spans="2:6" ht="12.75" customHeight="1" x14ac:dyDescent="0.2">
      <c r="B2527" s="70"/>
      <c r="C2527" s="73"/>
      <c r="D2527" s="668" t="s">
        <v>431</v>
      </c>
      <c r="E2527" s="669" t="str">
        <f>""</f>
        <v/>
      </c>
      <c r="F2527" s="667" t="s">
        <v>2310</v>
      </c>
    </row>
    <row r="2528" spans="2:6" ht="12.75" customHeight="1" thickBot="1" x14ac:dyDescent="0.25">
      <c r="B2528" s="221"/>
      <c r="C2528" s="222"/>
      <c r="D2528" s="674" t="s">
        <v>432</v>
      </c>
      <c r="E2528" s="675" t="str">
        <f>""</f>
        <v/>
      </c>
      <c r="F2528" s="676" t="s">
        <v>2310</v>
      </c>
    </row>
    <row r="2530" spans="2:6" ht="12.75" customHeight="1" thickBot="1" x14ac:dyDescent="0.25">
      <c r="B2530" s="4774" t="s">
        <v>433</v>
      </c>
      <c r="C2530" s="4774"/>
      <c r="D2530" s="4774"/>
      <c r="E2530" s="4774"/>
      <c r="F2530" s="4774"/>
    </row>
    <row r="2531" spans="2:6" ht="12.75" customHeight="1" x14ac:dyDescent="0.2">
      <c r="B2531" s="4774"/>
      <c r="C2531" s="4774"/>
      <c r="D2531" s="4774"/>
      <c r="E2531" s="4774"/>
      <c r="F2531" s="4774"/>
    </row>
    <row r="2532" spans="2:6" ht="12.75" customHeight="1" thickBot="1" x14ac:dyDescent="0.25">
      <c r="B2532" s="4873" t="s">
        <v>2295</v>
      </c>
      <c r="C2532" s="4873"/>
      <c r="D2532" s="4873"/>
      <c r="E2532" s="453" t="s">
        <v>2565</v>
      </c>
      <c r="F2532" s="454" t="s">
        <v>2256</v>
      </c>
    </row>
    <row r="2533" spans="2:6" ht="12.75" customHeight="1" x14ac:dyDescent="0.2">
      <c r="B2533" s="70"/>
      <c r="C2533" s="73"/>
      <c r="D2533" s="668" t="s">
        <v>417</v>
      </c>
      <c r="E2533" s="677"/>
      <c r="F2533" s="667"/>
    </row>
    <row r="2534" spans="2:6" ht="12.75" customHeight="1" x14ac:dyDescent="0.2">
      <c r="B2534" s="70"/>
      <c r="C2534" s="73"/>
      <c r="D2534" s="668" t="s">
        <v>419</v>
      </c>
      <c r="E2534" s="677">
        <v>2</v>
      </c>
      <c r="F2534" s="667" t="s">
        <v>2570</v>
      </c>
    </row>
    <row r="2535" spans="2:6" ht="12.75" customHeight="1" x14ac:dyDescent="0.2">
      <c r="B2535" s="70"/>
      <c r="C2535" s="73"/>
      <c r="D2535" s="668" t="s">
        <v>434</v>
      </c>
      <c r="E2535" s="677">
        <v>6</v>
      </c>
      <c r="F2535" s="667" t="s">
        <v>2570</v>
      </c>
    </row>
    <row r="2536" spans="2:6" ht="12.75" customHeight="1" x14ac:dyDescent="0.2">
      <c r="B2536" s="70"/>
      <c r="C2536" s="73"/>
      <c r="D2536" s="668" t="s">
        <v>435</v>
      </c>
      <c r="E2536" s="677">
        <v>8</v>
      </c>
      <c r="F2536" s="667" t="s">
        <v>2570</v>
      </c>
    </row>
    <row r="2537" spans="2:6" ht="12.75" customHeight="1" x14ac:dyDescent="0.2">
      <c r="B2537" s="70"/>
      <c r="C2537" s="73"/>
      <c r="D2537" s="668" t="s">
        <v>436</v>
      </c>
      <c r="E2537" s="677">
        <v>10</v>
      </c>
      <c r="F2537" s="667" t="s">
        <v>2570</v>
      </c>
    </row>
    <row r="2538" spans="2:6" ht="12.75" customHeight="1" x14ac:dyDescent="0.2">
      <c r="B2538" s="70"/>
      <c r="C2538" s="73"/>
      <c r="D2538" s="668" t="s">
        <v>437</v>
      </c>
      <c r="E2538" s="677">
        <v>12</v>
      </c>
      <c r="F2538" s="667" t="s">
        <v>2570</v>
      </c>
    </row>
    <row r="2539" spans="2:6" ht="12.75" customHeight="1" x14ac:dyDescent="0.2">
      <c r="B2539" s="70"/>
      <c r="C2539" s="73"/>
      <c r="D2539" s="668" t="s">
        <v>438</v>
      </c>
      <c r="E2539" s="677">
        <v>16</v>
      </c>
      <c r="F2539" s="667" t="s">
        <v>2570</v>
      </c>
    </row>
    <row r="2540" spans="2:6" ht="12.75" customHeight="1" x14ac:dyDescent="0.2">
      <c r="B2540" s="70"/>
      <c r="C2540" s="73"/>
      <c r="D2540" s="668" t="s">
        <v>439</v>
      </c>
      <c r="E2540" s="677">
        <v>18</v>
      </c>
      <c r="F2540" s="667" t="s">
        <v>2570</v>
      </c>
    </row>
    <row r="2541" spans="2:6" ht="12.75" customHeight="1" x14ac:dyDescent="0.2">
      <c r="B2541" s="70"/>
      <c r="C2541" s="73"/>
      <c r="D2541" s="668" t="s">
        <v>440</v>
      </c>
      <c r="E2541" s="677">
        <v>20</v>
      </c>
      <c r="F2541" s="667" t="s">
        <v>2570</v>
      </c>
    </row>
    <row r="2542" spans="2:6" ht="12.75" customHeight="1" x14ac:dyDescent="0.2">
      <c r="B2542" s="70"/>
      <c r="C2542" s="73"/>
      <c r="D2542" s="668" t="s">
        <v>441</v>
      </c>
      <c r="E2542" s="677">
        <v>22</v>
      </c>
      <c r="F2542" s="667" t="s">
        <v>2570</v>
      </c>
    </row>
    <row r="2543" spans="2:6" ht="12.75" customHeight="1" x14ac:dyDescent="0.2">
      <c r="B2543" s="70"/>
      <c r="C2543" s="73"/>
      <c r="D2543" s="668" t="s">
        <v>422</v>
      </c>
      <c r="E2543" s="677">
        <v>26</v>
      </c>
      <c r="F2543" s="667" t="s">
        <v>2570</v>
      </c>
    </row>
    <row r="2544" spans="2:6" ht="12.75" customHeight="1" x14ac:dyDescent="0.2">
      <c r="B2544" s="70"/>
      <c r="C2544" s="73"/>
      <c r="D2544" s="668" t="s">
        <v>442</v>
      </c>
      <c r="E2544" s="677">
        <v>28</v>
      </c>
      <c r="F2544" s="667" t="s">
        <v>2570</v>
      </c>
    </row>
    <row r="2545" spans="2:6" ht="12.75" customHeight="1" x14ac:dyDescent="0.2">
      <c r="B2545" s="70"/>
      <c r="C2545" s="73"/>
      <c r="D2545" s="668" t="s">
        <v>443</v>
      </c>
      <c r="E2545" s="677">
        <v>30</v>
      </c>
      <c r="F2545" s="667" t="s">
        <v>2570</v>
      </c>
    </row>
    <row r="2546" spans="2:6" ht="12.75" customHeight="1" x14ac:dyDescent="0.2">
      <c r="B2546" s="70"/>
      <c r="C2546" s="73"/>
      <c r="D2546" s="668" t="s">
        <v>444</v>
      </c>
      <c r="E2546" s="677">
        <v>32</v>
      </c>
      <c r="F2546" s="667" t="s">
        <v>2570</v>
      </c>
    </row>
    <row r="2547" spans="2:6" ht="12.75" customHeight="1" x14ac:dyDescent="0.2">
      <c r="B2547" s="70"/>
      <c r="C2547" s="73"/>
      <c r="D2547" s="668" t="s">
        <v>445</v>
      </c>
      <c r="E2547" s="677">
        <v>36</v>
      </c>
      <c r="F2547" s="667" t="s">
        <v>2570</v>
      </c>
    </row>
    <row r="2548" spans="2:6" ht="12.75" customHeight="1" x14ac:dyDescent="0.2">
      <c r="B2548" s="70"/>
      <c r="C2548" s="73"/>
      <c r="D2548" s="668" t="s">
        <v>446</v>
      </c>
      <c r="E2548" s="677">
        <v>38</v>
      </c>
      <c r="F2548" s="667" t="s">
        <v>2570</v>
      </c>
    </row>
    <row r="2549" spans="2:6" ht="12.75" customHeight="1" x14ac:dyDescent="0.2">
      <c r="B2549" s="70"/>
      <c r="C2549" s="73"/>
      <c r="D2549" s="668" t="s">
        <v>447</v>
      </c>
      <c r="E2549" s="677">
        <v>40</v>
      </c>
      <c r="F2549" s="667" t="s">
        <v>2570</v>
      </c>
    </row>
    <row r="2550" spans="2:6" ht="12.75" customHeight="1" x14ac:dyDescent="0.2">
      <c r="B2550" s="70"/>
      <c r="C2550" s="73"/>
      <c r="D2550" s="668" t="s">
        <v>448</v>
      </c>
      <c r="E2550" s="677">
        <v>42</v>
      </c>
      <c r="F2550" s="667" t="s">
        <v>2570</v>
      </c>
    </row>
    <row r="2551" spans="2:6" ht="12.75" customHeight="1" x14ac:dyDescent="0.2">
      <c r="B2551" s="70"/>
      <c r="C2551" s="73"/>
      <c r="D2551" s="668" t="s">
        <v>449</v>
      </c>
      <c r="E2551" s="677">
        <v>46</v>
      </c>
      <c r="F2551" s="667" t="s">
        <v>2570</v>
      </c>
    </row>
    <row r="2552" spans="2:6" ht="12.75" customHeight="1" x14ac:dyDescent="0.2">
      <c r="B2552" s="70"/>
      <c r="C2552" s="73"/>
      <c r="D2552" s="668" t="s">
        <v>450</v>
      </c>
      <c r="E2552" s="677">
        <v>48</v>
      </c>
      <c r="F2552" s="667" t="s">
        <v>2570</v>
      </c>
    </row>
    <row r="2553" spans="2:6" ht="12.75" customHeight="1" x14ac:dyDescent="0.2">
      <c r="B2553" s="70"/>
      <c r="C2553" s="73"/>
      <c r="D2553" s="668" t="s">
        <v>451</v>
      </c>
      <c r="E2553" s="677">
        <v>50</v>
      </c>
      <c r="F2553" s="667" t="s">
        <v>2570</v>
      </c>
    </row>
    <row r="2554" spans="2:6" ht="12.75" customHeight="1" x14ac:dyDescent="0.2">
      <c r="B2554" s="70"/>
      <c r="C2554" s="73"/>
      <c r="D2554" s="668" t="s">
        <v>452</v>
      </c>
      <c r="E2554" s="677">
        <v>52</v>
      </c>
      <c r="F2554" s="667" t="s">
        <v>2570</v>
      </c>
    </row>
    <row r="2555" spans="2:6" ht="12.75" customHeight="1" x14ac:dyDescent="0.2">
      <c r="B2555" s="70"/>
      <c r="C2555" s="73"/>
      <c r="D2555" s="668" t="s">
        <v>453</v>
      </c>
      <c r="E2555" s="677">
        <v>56</v>
      </c>
      <c r="F2555" s="667" t="s">
        <v>2570</v>
      </c>
    </row>
    <row r="2556" spans="2:6" ht="12.75" customHeight="1" x14ac:dyDescent="0.2">
      <c r="B2556" s="70"/>
      <c r="C2556" s="73"/>
      <c r="D2556" s="668" t="s">
        <v>454</v>
      </c>
      <c r="E2556" s="677">
        <v>58</v>
      </c>
      <c r="F2556" s="667" t="s">
        <v>2570</v>
      </c>
    </row>
    <row r="2557" spans="2:6" ht="12.75" customHeight="1" x14ac:dyDescent="0.2">
      <c r="B2557" s="70"/>
      <c r="C2557" s="73"/>
      <c r="D2557" s="668" t="s">
        <v>455</v>
      </c>
      <c r="E2557" s="677">
        <v>60</v>
      </c>
      <c r="F2557" s="667" t="s">
        <v>2570</v>
      </c>
    </row>
    <row r="2558" spans="2:6" ht="12.75" customHeight="1" x14ac:dyDescent="0.2">
      <c r="B2558" s="70"/>
      <c r="C2558" s="73"/>
      <c r="D2558" s="668" t="s">
        <v>456</v>
      </c>
      <c r="E2558" s="677">
        <v>62</v>
      </c>
      <c r="F2558" s="667" t="s">
        <v>2570</v>
      </c>
    </row>
    <row r="2559" spans="2:6" ht="12.75" customHeight="1" x14ac:dyDescent="0.2">
      <c r="B2559" s="70"/>
      <c r="C2559" s="73"/>
      <c r="D2559" s="668" t="s">
        <v>457</v>
      </c>
      <c r="E2559" s="677">
        <v>66</v>
      </c>
      <c r="F2559" s="667" t="s">
        <v>2570</v>
      </c>
    </row>
    <row r="2560" spans="2:6" ht="12.75" customHeight="1" x14ac:dyDescent="0.2">
      <c r="B2560" s="70"/>
      <c r="C2560" s="73"/>
      <c r="D2560" s="668" t="s">
        <v>458</v>
      </c>
      <c r="E2560" s="677">
        <v>68</v>
      </c>
      <c r="F2560" s="667" t="s">
        <v>2570</v>
      </c>
    </row>
    <row r="2561" spans="2:6" ht="12.75" customHeight="1" x14ac:dyDescent="0.2">
      <c r="B2561" s="70"/>
      <c r="C2561" s="73"/>
      <c r="D2561" s="668" t="s">
        <v>459</v>
      </c>
      <c r="E2561" s="677">
        <v>70</v>
      </c>
      <c r="F2561" s="667" t="s">
        <v>2570</v>
      </c>
    </row>
    <row r="2562" spans="2:6" ht="12.75" customHeight="1" x14ac:dyDescent="0.2">
      <c r="B2562" s="70"/>
      <c r="C2562" s="73"/>
      <c r="D2562" s="668" t="s">
        <v>460</v>
      </c>
      <c r="E2562" s="677">
        <v>72</v>
      </c>
      <c r="F2562" s="667" t="s">
        <v>2570</v>
      </c>
    </row>
    <row r="2563" spans="2:6" ht="12.75" customHeight="1" x14ac:dyDescent="0.2">
      <c r="B2563" s="70"/>
      <c r="C2563" s="73"/>
      <c r="D2563" s="668" t="s">
        <v>461</v>
      </c>
      <c r="E2563" s="677">
        <v>76</v>
      </c>
      <c r="F2563" s="667" t="s">
        <v>2570</v>
      </c>
    </row>
    <row r="2564" spans="2:6" ht="12.75" customHeight="1" x14ac:dyDescent="0.2">
      <c r="B2564" s="70"/>
      <c r="C2564" s="73"/>
      <c r="D2564" s="668" t="s">
        <v>462</v>
      </c>
      <c r="E2564" s="677">
        <v>78</v>
      </c>
      <c r="F2564" s="667" t="s">
        <v>2570</v>
      </c>
    </row>
    <row r="2565" spans="2:6" ht="12.75" customHeight="1" x14ac:dyDescent="0.2">
      <c r="B2565" s="70"/>
      <c r="C2565" s="73"/>
      <c r="D2565" s="668" t="s">
        <v>463</v>
      </c>
      <c r="E2565" s="677">
        <v>80</v>
      </c>
      <c r="F2565" s="667" t="s">
        <v>2570</v>
      </c>
    </row>
    <row r="2566" spans="2:6" ht="12.75" customHeight="1" x14ac:dyDescent="0.2">
      <c r="B2566" s="70"/>
      <c r="C2566" s="73"/>
      <c r="D2566" s="668" t="s">
        <v>464</v>
      </c>
      <c r="E2566" s="677">
        <v>82</v>
      </c>
      <c r="F2566" s="667" t="s">
        <v>2570</v>
      </c>
    </row>
    <row r="2567" spans="2:6" ht="12.75" customHeight="1" x14ac:dyDescent="0.2">
      <c r="B2567" s="70"/>
      <c r="C2567" s="73"/>
      <c r="D2567" s="668" t="s">
        <v>465</v>
      </c>
      <c r="E2567" s="677">
        <v>86</v>
      </c>
      <c r="F2567" s="667" t="s">
        <v>2570</v>
      </c>
    </row>
    <row r="2568" spans="2:6" ht="12.75" customHeight="1" x14ac:dyDescent="0.2">
      <c r="B2568" s="70"/>
      <c r="C2568" s="73"/>
      <c r="D2568" s="668" t="s">
        <v>466</v>
      </c>
      <c r="E2568" s="677">
        <v>88</v>
      </c>
      <c r="F2568" s="667" t="s">
        <v>2570</v>
      </c>
    </row>
    <row r="2569" spans="2:6" ht="12.75" customHeight="1" x14ac:dyDescent="0.2">
      <c r="B2569" s="70"/>
      <c r="C2569" s="73"/>
      <c r="D2569" s="668" t="s">
        <v>467</v>
      </c>
      <c r="E2569" s="677">
        <v>90</v>
      </c>
      <c r="F2569" s="667" t="s">
        <v>2570</v>
      </c>
    </row>
    <row r="2570" spans="2:6" ht="12.75" customHeight="1" x14ac:dyDescent="0.2">
      <c r="B2570" s="70"/>
      <c r="C2570" s="73"/>
      <c r="D2570" s="668" t="s">
        <v>468</v>
      </c>
      <c r="E2570" s="677">
        <v>92</v>
      </c>
      <c r="F2570" s="667" t="s">
        <v>2570</v>
      </c>
    </row>
    <row r="2571" spans="2:6" ht="12.75" customHeight="1" x14ac:dyDescent="0.2">
      <c r="B2571" s="70"/>
      <c r="C2571" s="73"/>
      <c r="D2571" s="668" t="s">
        <v>469</v>
      </c>
      <c r="E2571" s="677">
        <v>96</v>
      </c>
      <c r="F2571" s="667" t="s">
        <v>2570</v>
      </c>
    </row>
    <row r="2572" spans="2:6" ht="12.75" customHeight="1" x14ac:dyDescent="0.2">
      <c r="B2572" s="70"/>
      <c r="C2572" s="73"/>
      <c r="D2572" s="668" t="s">
        <v>470</v>
      </c>
      <c r="E2572" s="677">
        <v>98</v>
      </c>
      <c r="F2572" s="667" t="s">
        <v>2570</v>
      </c>
    </row>
    <row r="2573" spans="2:6" ht="12.75" customHeight="1" x14ac:dyDescent="0.2">
      <c r="B2573" s="70"/>
      <c r="C2573" s="73"/>
      <c r="D2573" s="668" t="s">
        <v>471</v>
      </c>
      <c r="E2573" s="677">
        <v>100</v>
      </c>
      <c r="F2573" s="667" t="s">
        <v>2570</v>
      </c>
    </row>
    <row r="2574" spans="2:6" ht="12.75" customHeight="1" x14ac:dyDescent="0.2">
      <c r="B2574" s="70"/>
      <c r="C2574" s="73"/>
      <c r="D2574" s="668" t="s">
        <v>472</v>
      </c>
      <c r="E2574" s="677"/>
      <c r="F2574" s="667"/>
    </row>
    <row r="2575" spans="2:6" ht="12.75" customHeight="1" x14ac:dyDescent="0.2">
      <c r="B2575" s="70"/>
      <c r="C2575" s="73"/>
      <c r="D2575" s="668" t="s">
        <v>473</v>
      </c>
      <c r="E2575" s="677">
        <v>2</v>
      </c>
      <c r="F2575" s="667" t="s">
        <v>2571</v>
      </c>
    </row>
    <row r="2576" spans="2:6" ht="12.75" customHeight="1" x14ac:dyDescent="0.2">
      <c r="B2576" s="70"/>
      <c r="C2576" s="73"/>
      <c r="D2576" s="668" t="s">
        <v>474</v>
      </c>
      <c r="E2576" s="677">
        <v>6</v>
      </c>
      <c r="F2576" s="667" t="s">
        <v>2571</v>
      </c>
    </row>
    <row r="2577" spans="2:6" ht="12.75" customHeight="1" x14ac:dyDescent="0.2">
      <c r="B2577" s="70"/>
      <c r="C2577" s="73"/>
      <c r="D2577" s="668" t="s">
        <v>475</v>
      </c>
      <c r="E2577" s="677">
        <v>8</v>
      </c>
      <c r="F2577" s="667" t="s">
        <v>2571</v>
      </c>
    </row>
    <row r="2578" spans="2:6" ht="12.75" customHeight="1" x14ac:dyDescent="0.2">
      <c r="B2578" s="70"/>
      <c r="C2578" s="73"/>
      <c r="D2578" s="668" t="s">
        <v>476</v>
      </c>
      <c r="E2578" s="677">
        <v>10</v>
      </c>
      <c r="F2578" s="667" t="s">
        <v>2571</v>
      </c>
    </row>
    <row r="2579" spans="2:6" ht="12.75" customHeight="1" x14ac:dyDescent="0.2">
      <c r="B2579" s="70"/>
      <c r="C2579" s="73"/>
      <c r="D2579" s="668" t="s">
        <v>477</v>
      </c>
      <c r="E2579" s="677">
        <v>12</v>
      </c>
      <c r="F2579" s="667" t="s">
        <v>2571</v>
      </c>
    </row>
    <row r="2580" spans="2:6" ht="12.75" customHeight="1" x14ac:dyDescent="0.2">
      <c r="B2580" s="70"/>
      <c r="C2580" s="73"/>
      <c r="D2580" s="668" t="s">
        <v>478</v>
      </c>
      <c r="E2580" s="677">
        <v>16</v>
      </c>
      <c r="F2580" s="667" t="s">
        <v>2571</v>
      </c>
    </row>
    <row r="2581" spans="2:6" ht="12.75" customHeight="1" x14ac:dyDescent="0.2">
      <c r="B2581" s="70"/>
      <c r="C2581" s="73"/>
      <c r="D2581" s="668" t="s">
        <v>479</v>
      </c>
      <c r="E2581" s="677">
        <v>18</v>
      </c>
      <c r="F2581" s="667" t="s">
        <v>2571</v>
      </c>
    </row>
    <row r="2582" spans="2:6" ht="12.75" customHeight="1" x14ac:dyDescent="0.2">
      <c r="B2582" s="70"/>
      <c r="C2582" s="73"/>
      <c r="D2582" s="668" t="s">
        <v>480</v>
      </c>
      <c r="E2582" s="677">
        <v>20</v>
      </c>
      <c r="F2582" s="667" t="s">
        <v>2571</v>
      </c>
    </row>
    <row r="2583" spans="2:6" ht="12.75" customHeight="1" x14ac:dyDescent="0.2">
      <c r="B2583" s="70"/>
      <c r="C2583" s="73"/>
      <c r="D2583" s="668" t="s">
        <v>481</v>
      </c>
      <c r="E2583" s="677">
        <v>22</v>
      </c>
      <c r="F2583" s="667" t="s">
        <v>2571</v>
      </c>
    </row>
    <row r="2584" spans="2:6" ht="12.75" customHeight="1" x14ac:dyDescent="0.2">
      <c r="B2584" s="70"/>
      <c r="C2584" s="73"/>
      <c r="D2584" s="668" t="s">
        <v>482</v>
      </c>
      <c r="E2584" s="677">
        <v>26</v>
      </c>
      <c r="F2584" s="667" t="s">
        <v>2571</v>
      </c>
    </row>
    <row r="2585" spans="2:6" ht="12.75" customHeight="1" x14ac:dyDescent="0.2">
      <c r="B2585" s="70"/>
      <c r="C2585" s="73"/>
      <c r="D2585" s="668" t="s">
        <v>483</v>
      </c>
      <c r="E2585" s="677">
        <v>28</v>
      </c>
      <c r="F2585" s="667" t="s">
        <v>2571</v>
      </c>
    </row>
    <row r="2586" spans="2:6" ht="12.75" customHeight="1" x14ac:dyDescent="0.2">
      <c r="B2586" s="70"/>
      <c r="C2586" s="73"/>
      <c r="D2586" s="668" t="s">
        <v>484</v>
      </c>
      <c r="E2586" s="677">
        <v>30</v>
      </c>
      <c r="F2586" s="667" t="s">
        <v>2571</v>
      </c>
    </row>
    <row r="2587" spans="2:6" ht="12.75" customHeight="1" x14ac:dyDescent="0.2">
      <c r="B2587" s="70"/>
      <c r="C2587" s="73"/>
      <c r="D2587" s="668" t="s">
        <v>485</v>
      </c>
      <c r="E2587" s="677">
        <v>32</v>
      </c>
      <c r="F2587" s="667" t="s">
        <v>2571</v>
      </c>
    </row>
    <row r="2588" spans="2:6" ht="12.75" customHeight="1" x14ac:dyDescent="0.2">
      <c r="B2588" s="70"/>
      <c r="C2588" s="73"/>
      <c r="D2588" s="668" t="s">
        <v>486</v>
      </c>
      <c r="E2588" s="677">
        <v>36</v>
      </c>
      <c r="F2588" s="667" t="s">
        <v>2571</v>
      </c>
    </row>
    <row r="2589" spans="2:6" ht="12.75" customHeight="1" x14ac:dyDescent="0.2">
      <c r="B2589" s="70"/>
      <c r="C2589" s="73"/>
      <c r="D2589" s="668" t="s">
        <v>487</v>
      </c>
      <c r="E2589" s="677">
        <v>38</v>
      </c>
      <c r="F2589" s="667" t="s">
        <v>2571</v>
      </c>
    </row>
    <row r="2590" spans="2:6" ht="12.75" customHeight="1" x14ac:dyDescent="0.2">
      <c r="B2590" s="70"/>
      <c r="C2590" s="73"/>
      <c r="D2590" s="668" t="s">
        <v>488</v>
      </c>
      <c r="E2590" s="677">
        <v>40</v>
      </c>
      <c r="F2590" s="667" t="s">
        <v>2571</v>
      </c>
    </row>
    <row r="2591" spans="2:6" ht="12.75" customHeight="1" x14ac:dyDescent="0.2">
      <c r="B2591" s="70"/>
      <c r="C2591" s="73"/>
      <c r="D2591" s="668" t="s">
        <v>489</v>
      </c>
      <c r="E2591" s="677">
        <v>42</v>
      </c>
      <c r="F2591" s="667" t="s">
        <v>2571</v>
      </c>
    </row>
    <row r="2592" spans="2:6" ht="12.75" customHeight="1" x14ac:dyDescent="0.2">
      <c r="B2592" s="70"/>
      <c r="C2592" s="73"/>
      <c r="D2592" s="668" t="s">
        <v>490</v>
      </c>
      <c r="E2592" s="677">
        <v>46</v>
      </c>
      <c r="F2592" s="667" t="s">
        <v>2571</v>
      </c>
    </row>
    <row r="2593" spans="2:6" ht="12.75" customHeight="1" x14ac:dyDescent="0.2">
      <c r="B2593" s="70"/>
      <c r="C2593" s="73"/>
      <c r="D2593" s="668" t="s">
        <v>491</v>
      </c>
      <c r="E2593" s="677">
        <v>48</v>
      </c>
      <c r="F2593" s="667" t="s">
        <v>2571</v>
      </c>
    </row>
    <row r="2594" spans="2:6" ht="12.75" customHeight="1" x14ac:dyDescent="0.2">
      <c r="B2594" s="70"/>
      <c r="C2594" s="73"/>
      <c r="D2594" s="668" t="s">
        <v>492</v>
      </c>
      <c r="E2594" s="677">
        <v>50</v>
      </c>
      <c r="F2594" s="667" t="s">
        <v>2571</v>
      </c>
    </row>
    <row r="2595" spans="2:6" ht="12.75" customHeight="1" x14ac:dyDescent="0.2">
      <c r="B2595" s="70"/>
      <c r="C2595" s="73"/>
      <c r="D2595" s="668" t="s">
        <v>493</v>
      </c>
      <c r="E2595" s="677">
        <v>52</v>
      </c>
      <c r="F2595" s="667" t="s">
        <v>2571</v>
      </c>
    </row>
    <row r="2596" spans="2:6" ht="12.75" customHeight="1" x14ac:dyDescent="0.2">
      <c r="B2596" s="70"/>
      <c r="C2596" s="73"/>
      <c r="D2596" s="668" t="s">
        <v>494</v>
      </c>
      <c r="E2596" s="677">
        <v>56</v>
      </c>
      <c r="F2596" s="667" t="s">
        <v>2571</v>
      </c>
    </row>
    <row r="2597" spans="2:6" ht="12.75" customHeight="1" x14ac:dyDescent="0.2">
      <c r="B2597" s="70"/>
      <c r="C2597" s="73"/>
      <c r="D2597" s="668" t="s">
        <v>495</v>
      </c>
      <c r="E2597" s="677">
        <v>58</v>
      </c>
      <c r="F2597" s="667" t="s">
        <v>2571</v>
      </c>
    </row>
    <row r="2598" spans="2:6" ht="12.75" customHeight="1" x14ac:dyDescent="0.2">
      <c r="B2598" s="70"/>
      <c r="C2598" s="73"/>
      <c r="D2598" s="668" t="s">
        <v>496</v>
      </c>
      <c r="E2598" s="677">
        <v>60</v>
      </c>
      <c r="F2598" s="667" t="s">
        <v>2571</v>
      </c>
    </row>
    <row r="2599" spans="2:6" ht="12.75" customHeight="1" x14ac:dyDescent="0.2">
      <c r="B2599" s="70"/>
      <c r="C2599" s="73"/>
      <c r="D2599" s="668" t="s">
        <v>497</v>
      </c>
      <c r="E2599" s="677">
        <v>62</v>
      </c>
      <c r="F2599" s="667" t="s">
        <v>2571</v>
      </c>
    </row>
    <row r="2600" spans="2:6" ht="12.75" customHeight="1" x14ac:dyDescent="0.2">
      <c r="B2600" s="70"/>
      <c r="C2600" s="73"/>
      <c r="D2600" s="668" t="s">
        <v>498</v>
      </c>
      <c r="E2600" s="677">
        <v>66</v>
      </c>
      <c r="F2600" s="667" t="s">
        <v>2571</v>
      </c>
    </row>
    <row r="2601" spans="2:6" ht="12.75" customHeight="1" x14ac:dyDescent="0.2">
      <c r="B2601" s="70"/>
      <c r="C2601" s="73"/>
      <c r="D2601" s="668" t="s">
        <v>499</v>
      </c>
      <c r="E2601" s="677">
        <v>68</v>
      </c>
      <c r="F2601" s="667" t="s">
        <v>2571</v>
      </c>
    </row>
    <row r="2602" spans="2:6" ht="12.75" customHeight="1" x14ac:dyDescent="0.2">
      <c r="B2602" s="70"/>
      <c r="C2602" s="73"/>
      <c r="D2602" s="668" t="s">
        <v>500</v>
      </c>
      <c r="E2602" s="677">
        <v>70</v>
      </c>
      <c r="F2602" s="667" t="s">
        <v>2571</v>
      </c>
    </row>
    <row r="2603" spans="2:6" ht="12.75" customHeight="1" x14ac:dyDescent="0.2">
      <c r="B2603" s="70"/>
      <c r="C2603" s="73"/>
      <c r="D2603" s="668" t="s">
        <v>501</v>
      </c>
      <c r="E2603" s="677">
        <v>72</v>
      </c>
      <c r="F2603" s="667" t="s">
        <v>2571</v>
      </c>
    </row>
    <row r="2604" spans="2:6" ht="12.75" customHeight="1" x14ac:dyDescent="0.2">
      <c r="B2604" s="70"/>
      <c r="C2604" s="73"/>
      <c r="D2604" s="668" t="s">
        <v>502</v>
      </c>
      <c r="E2604" s="677">
        <v>76</v>
      </c>
      <c r="F2604" s="667" t="s">
        <v>2571</v>
      </c>
    </row>
    <row r="2605" spans="2:6" ht="12.75" customHeight="1" x14ac:dyDescent="0.2">
      <c r="B2605" s="70"/>
      <c r="C2605" s="73"/>
      <c r="D2605" s="668" t="s">
        <v>503</v>
      </c>
      <c r="E2605" s="677">
        <v>78</v>
      </c>
      <c r="F2605" s="667" t="s">
        <v>2571</v>
      </c>
    </row>
    <row r="2606" spans="2:6" ht="12.75" customHeight="1" x14ac:dyDescent="0.2">
      <c r="B2606" s="70"/>
      <c r="C2606" s="73"/>
      <c r="D2606" s="668" t="s">
        <v>504</v>
      </c>
      <c r="E2606" s="677">
        <v>80</v>
      </c>
      <c r="F2606" s="667" t="s">
        <v>2571</v>
      </c>
    </row>
    <row r="2607" spans="2:6" ht="12.75" customHeight="1" x14ac:dyDescent="0.2">
      <c r="B2607" s="70"/>
      <c r="C2607" s="73"/>
      <c r="D2607" s="668" t="s">
        <v>505</v>
      </c>
      <c r="E2607" s="677">
        <v>82</v>
      </c>
      <c r="F2607" s="667" t="s">
        <v>2571</v>
      </c>
    </row>
    <row r="2608" spans="2:6" ht="12.75" customHeight="1" x14ac:dyDescent="0.2">
      <c r="B2608" s="70"/>
      <c r="C2608" s="73"/>
      <c r="D2608" s="668" t="s">
        <v>506</v>
      </c>
      <c r="E2608" s="677">
        <v>86</v>
      </c>
      <c r="F2608" s="667" t="s">
        <v>2571</v>
      </c>
    </row>
    <row r="2609" spans="2:6" ht="12.75" customHeight="1" x14ac:dyDescent="0.2">
      <c r="B2609" s="70"/>
      <c r="C2609" s="73"/>
      <c r="D2609" s="668" t="s">
        <v>507</v>
      </c>
      <c r="E2609" s="677">
        <v>88</v>
      </c>
      <c r="F2609" s="667" t="s">
        <v>2571</v>
      </c>
    </row>
    <row r="2610" spans="2:6" ht="12.75" customHeight="1" x14ac:dyDescent="0.2">
      <c r="B2610" s="70"/>
      <c r="C2610" s="73"/>
      <c r="D2610" s="668" t="s">
        <v>508</v>
      </c>
      <c r="E2610" s="677">
        <v>90</v>
      </c>
      <c r="F2610" s="667" t="s">
        <v>2571</v>
      </c>
    </row>
    <row r="2611" spans="2:6" ht="12.75" customHeight="1" x14ac:dyDescent="0.2">
      <c r="B2611" s="70"/>
      <c r="C2611" s="73"/>
      <c r="D2611" s="668" t="s">
        <v>509</v>
      </c>
      <c r="E2611" s="677">
        <v>92</v>
      </c>
      <c r="F2611" s="667" t="s">
        <v>2571</v>
      </c>
    </row>
    <row r="2612" spans="2:6" ht="12.75" customHeight="1" x14ac:dyDescent="0.2">
      <c r="B2612" s="70"/>
      <c r="C2612" s="73"/>
      <c r="D2612" s="668" t="s">
        <v>510</v>
      </c>
      <c r="E2612" s="677">
        <v>96</v>
      </c>
      <c r="F2612" s="667" t="s">
        <v>2571</v>
      </c>
    </row>
    <row r="2613" spans="2:6" ht="12.75" customHeight="1" x14ac:dyDescent="0.2">
      <c r="B2613" s="70"/>
      <c r="C2613" s="73"/>
      <c r="D2613" s="668" t="s">
        <v>511</v>
      </c>
      <c r="E2613" s="677">
        <v>98</v>
      </c>
      <c r="F2613" s="667" t="s">
        <v>2571</v>
      </c>
    </row>
    <row r="2614" spans="2:6" ht="12.75" customHeight="1" x14ac:dyDescent="0.2">
      <c r="B2614" s="70"/>
      <c r="C2614" s="73"/>
      <c r="D2614" s="668" t="s">
        <v>512</v>
      </c>
      <c r="E2614" s="677">
        <v>100</v>
      </c>
      <c r="F2614" s="667" t="s">
        <v>2571</v>
      </c>
    </row>
    <row r="2615" spans="2:6" ht="12.75" customHeight="1" x14ac:dyDescent="0.2">
      <c r="B2615" s="70"/>
      <c r="C2615" s="73"/>
      <c r="D2615" s="668" t="s">
        <v>513</v>
      </c>
      <c r="E2615" s="677"/>
      <c r="F2615" s="667"/>
    </row>
    <row r="2616" spans="2:6" ht="12.75" customHeight="1" x14ac:dyDescent="0.2">
      <c r="B2616" s="70"/>
      <c r="C2616" s="73"/>
      <c r="D2616" s="668" t="s">
        <v>514</v>
      </c>
      <c r="E2616" s="677">
        <v>2</v>
      </c>
      <c r="F2616" s="667" t="s">
        <v>515</v>
      </c>
    </row>
    <row r="2617" spans="2:6" ht="12.75" customHeight="1" x14ac:dyDescent="0.2">
      <c r="B2617" s="70"/>
      <c r="C2617" s="73"/>
      <c r="D2617" s="668" t="s">
        <v>516</v>
      </c>
      <c r="E2617" s="677">
        <v>6</v>
      </c>
      <c r="F2617" s="667" t="s">
        <v>515</v>
      </c>
    </row>
    <row r="2618" spans="2:6" ht="12.75" customHeight="1" x14ac:dyDescent="0.2">
      <c r="B2618" s="70"/>
      <c r="C2618" s="73"/>
      <c r="D2618" s="668" t="s">
        <v>517</v>
      </c>
      <c r="E2618" s="677">
        <v>8</v>
      </c>
      <c r="F2618" s="667" t="s">
        <v>515</v>
      </c>
    </row>
    <row r="2619" spans="2:6" ht="12.75" customHeight="1" x14ac:dyDescent="0.2">
      <c r="B2619" s="70"/>
      <c r="C2619" s="73"/>
      <c r="D2619" s="668" t="s">
        <v>518</v>
      </c>
      <c r="E2619" s="677">
        <v>10</v>
      </c>
      <c r="F2619" s="667" t="s">
        <v>515</v>
      </c>
    </row>
    <row r="2620" spans="2:6" ht="12.75" customHeight="1" x14ac:dyDescent="0.2">
      <c r="B2620" s="70"/>
      <c r="C2620" s="73"/>
      <c r="D2620" s="668" t="s">
        <v>519</v>
      </c>
      <c r="E2620" s="677">
        <v>12</v>
      </c>
      <c r="F2620" s="667" t="s">
        <v>515</v>
      </c>
    </row>
    <row r="2621" spans="2:6" ht="12.75" customHeight="1" x14ac:dyDescent="0.2">
      <c r="B2621" s="70"/>
      <c r="C2621" s="73"/>
      <c r="D2621" s="668" t="s">
        <v>520</v>
      </c>
      <c r="E2621" s="677">
        <v>16</v>
      </c>
      <c r="F2621" s="667" t="s">
        <v>515</v>
      </c>
    </row>
    <row r="2622" spans="2:6" ht="12.75" customHeight="1" x14ac:dyDescent="0.2">
      <c r="B2622" s="70"/>
      <c r="C2622" s="73"/>
      <c r="D2622" s="668" t="s">
        <v>521</v>
      </c>
      <c r="E2622" s="677">
        <v>18</v>
      </c>
      <c r="F2622" s="667" t="s">
        <v>515</v>
      </c>
    </row>
    <row r="2623" spans="2:6" ht="12.75" customHeight="1" x14ac:dyDescent="0.2">
      <c r="B2623" s="70"/>
      <c r="C2623" s="73"/>
      <c r="D2623" s="668" t="s">
        <v>522</v>
      </c>
      <c r="E2623" s="677">
        <v>20</v>
      </c>
      <c r="F2623" s="667" t="s">
        <v>515</v>
      </c>
    </row>
    <row r="2624" spans="2:6" ht="12.75" customHeight="1" x14ac:dyDescent="0.2">
      <c r="B2624" s="70"/>
      <c r="C2624" s="73"/>
      <c r="D2624" s="668" t="s">
        <v>523</v>
      </c>
      <c r="E2624" s="677">
        <v>22</v>
      </c>
      <c r="F2624" s="667" t="s">
        <v>515</v>
      </c>
    </row>
    <row r="2625" spans="2:6" ht="12.75" customHeight="1" x14ac:dyDescent="0.2">
      <c r="B2625" s="70"/>
      <c r="C2625" s="73"/>
      <c r="D2625" s="668" t="s">
        <v>524</v>
      </c>
      <c r="E2625" s="677">
        <v>26</v>
      </c>
      <c r="F2625" s="667" t="s">
        <v>515</v>
      </c>
    </row>
    <row r="2626" spans="2:6" ht="12.75" customHeight="1" x14ac:dyDescent="0.2">
      <c r="B2626" s="70"/>
      <c r="C2626" s="73"/>
      <c r="D2626" s="668" t="s">
        <v>525</v>
      </c>
      <c r="E2626" s="677">
        <v>28</v>
      </c>
      <c r="F2626" s="667" t="s">
        <v>515</v>
      </c>
    </row>
    <row r="2627" spans="2:6" ht="12.75" customHeight="1" x14ac:dyDescent="0.2">
      <c r="B2627" s="70"/>
      <c r="C2627" s="73"/>
      <c r="D2627" s="668" t="s">
        <v>526</v>
      </c>
      <c r="E2627" s="677">
        <v>30</v>
      </c>
      <c r="F2627" s="667" t="s">
        <v>515</v>
      </c>
    </row>
    <row r="2628" spans="2:6" ht="12.75" customHeight="1" x14ac:dyDescent="0.2">
      <c r="B2628" s="70"/>
      <c r="C2628" s="73"/>
      <c r="D2628" s="668" t="s">
        <v>527</v>
      </c>
      <c r="E2628" s="677">
        <v>32</v>
      </c>
      <c r="F2628" s="667" t="s">
        <v>515</v>
      </c>
    </row>
    <row r="2629" spans="2:6" ht="12.75" customHeight="1" x14ac:dyDescent="0.2">
      <c r="B2629" s="70"/>
      <c r="C2629" s="73"/>
      <c r="D2629" s="668" t="s">
        <v>528</v>
      </c>
      <c r="E2629" s="677">
        <v>36</v>
      </c>
      <c r="F2629" s="667" t="s">
        <v>515</v>
      </c>
    </row>
    <row r="2630" spans="2:6" ht="12.75" customHeight="1" x14ac:dyDescent="0.2">
      <c r="B2630" s="70"/>
      <c r="C2630" s="73"/>
      <c r="D2630" s="668" t="s">
        <v>529</v>
      </c>
      <c r="E2630" s="677">
        <v>38</v>
      </c>
      <c r="F2630" s="667" t="s">
        <v>515</v>
      </c>
    </row>
    <row r="2631" spans="2:6" ht="12.75" customHeight="1" x14ac:dyDescent="0.2">
      <c r="B2631" s="70"/>
      <c r="C2631" s="73"/>
      <c r="D2631" s="668" t="s">
        <v>530</v>
      </c>
      <c r="E2631" s="677">
        <v>40</v>
      </c>
      <c r="F2631" s="667" t="s">
        <v>515</v>
      </c>
    </row>
    <row r="2632" spans="2:6" ht="12.75" customHeight="1" x14ac:dyDescent="0.2">
      <c r="B2632" s="70"/>
      <c r="C2632" s="73"/>
      <c r="D2632" s="668" t="s">
        <v>531</v>
      </c>
      <c r="E2632" s="677">
        <v>42</v>
      </c>
      <c r="F2632" s="667" t="s">
        <v>515</v>
      </c>
    </row>
    <row r="2633" spans="2:6" ht="12.75" customHeight="1" x14ac:dyDescent="0.2">
      <c r="B2633" s="70"/>
      <c r="C2633" s="73"/>
      <c r="D2633" s="668" t="s">
        <v>532</v>
      </c>
      <c r="E2633" s="677">
        <v>46</v>
      </c>
      <c r="F2633" s="667" t="s">
        <v>515</v>
      </c>
    </row>
    <row r="2634" spans="2:6" ht="12.75" customHeight="1" x14ac:dyDescent="0.2">
      <c r="B2634" s="70"/>
      <c r="C2634" s="73"/>
      <c r="D2634" s="668" t="s">
        <v>533</v>
      </c>
      <c r="E2634" s="677">
        <v>48</v>
      </c>
      <c r="F2634" s="667" t="s">
        <v>515</v>
      </c>
    </row>
    <row r="2635" spans="2:6" ht="12.75" customHeight="1" x14ac:dyDescent="0.2">
      <c r="B2635" s="70"/>
      <c r="C2635" s="73"/>
      <c r="D2635" s="668" t="s">
        <v>534</v>
      </c>
      <c r="E2635" s="677">
        <v>50</v>
      </c>
      <c r="F2635" s="667" t="s">
        <v>515</v>
      </c>
    </row>
    <row r="2636" spans="2:6" ht="12.75" customHeight="1" x14ac:dyDescent="0.2">
      <c r="B2636" s="70"/>
      <c r="C2636" s="73"/>
      <c r="D2636" s="668" t="s">
        <v>535</v>
      </c>
      <c r="E2636" s="677">
        <v>52</v>
      </c>
      <c r="F2636" s="667" t="s">
        <v>515</v>
      </c>
    </row>
    <row r="2637" spans="2:6" ht="12.75" customHeight="1" x14ac:dyDescent="0.2">
      <c r="B2637" s="70"/>
      <c r="C2637" s="73"/>
      <c r="D2637" s="668" t="s">
        <v>536</v>
      </c>
      <c r="E2637" s="677">
        <v>56</v>
      </c>
      <c r="F2637" s="667" t="s">
        <v>515</v>
      </c>
    </row>
    <row r="2638" spans="2:6" ht="12.75" customHeight="1" x14ac:dyDescent="0.2">
      <c r="B2638" s="70"/>
      <c r="C2638" s="73"/>
      <c r="D2638" s="668" t="s">
        <v>537</v>
      </c>
      <c r="E2638" s="677">
        <v>58</v>
      </c>
      <c r="F2638" s="667" t="s">
        <v>515</v>
      </c>
    </row>
    <row r="2639" spans="2:6" ht="12.75" customHeight="1" x14ac:dyDescent="0.2">
      <c r="B2639" s="70"/>
      <c r="C2639" s="73"/>
      <c r="D2639" s="668" t="s">
        <v>538</v>
      </c>
      <c r="E2639" s="677">
        <v>60</v>
      </c>
      <c r="F2639" s="667" t="s">
        <v>515</v>
      </c>
    </row>
    <row r="2640" spans="2:6" ht="12.75" customHeight="1" x14ac:dyDescent="0.2">
      <c r="B2640" s="70"/>
      <c r="C2640" s="73"/>
      <c r="D2640" s="668" t="s">
        <v>539</v>
      </c>
      <c r="E2640" s="677">
        <v>62</v>
      </c>
      <c r="F2640" s="667" t="s">
        <v>515</v>
      </c>
    </row>
    <row r="2641" spans="2:6" ht="12.75" customHeight="1" x14ac:dyDescent="0.2">
      <c r="B2641" s="70"/>
      <c r="C2641" s="73"/>
      <c r="D2641" s="668" t="s">
        <v>540</v>
      </c>
      <c r="E2641" s="677">
        <v>66</v>
      </c>
      <c r="F2641" s="667" t="s">
        <v>515</v>
      </c>
    </row>
    <row r="2642" spans="2:6" ht="12.75" customHeight="1" x14ac:dyDescent="0.2">
      <c r="B2642" s="70"/>
      <c r="C2642" s="73"/>
      <c r="D2642" s="668" t="s">
        <v>541</v>
      </c>
      <c r="E2642" s="677">
        <v>68</v>
      </c>
      <c r="F2642" s="667" t="s">
        <v>515</v>
      </c>
    </row>
    <row r="2643" spans="2:6" ht="12.75" customHeight="1" x14ac:dyDescent="0.2">
      <c r="B2643" s="70"/>
      <c r="C2643" s="73"/>
      <c r="D2643" s="668" t="s">
        <v>542</v>
      </c>
      <c r="E2643" s="677">
        <v>70</v>
      </c>
      <c r="F2643" s="667" t="s">
        <v>515</v>
      </c>
    </row>
    <row r="2644" spans="2:6" ht="12.75" customHeight="1" x14ac:dyDescent="0.2">
      <c r="B2644" s="70"/>
      <c r="C2644" s="73"/>
      <c r="D2644" s="668" t="s">
        <v>543</v>
      </c>
      <c r="E2644" s="677">
        <v>72</v>
      </c>
      <c r="F2644" s="667" t="s">
        <v>515</v>
      </c>
    </row>
    <row r="2645" spans="2:6" ht="12.75" customHeight="1" x14ac:dyDescent="0.2">
      <c r="B2645" s="70"/>
      <c r="C2645" s="73"/>
      <c r="D2645" s="668" t="s">
        <v>544</v>
      </c>
      <c r="E2645" s="677">
        <v>76</v>
      </c>
      <c r="F2645" s="667" t="s">
        <v>515</v>
      </c>
    </row>
    <row r="2646" spans="2:6" ht="12.75" customHeight="1" x14ac:dyDescent="0.2">
      <c r="B2646" s="70"/>
      <c r="C2646" s="73"/>
      <c r="D2646" s="668" t="s">
        <v>545</v>
      </c>
      <c r="E2646" s="677">
        <v>78</v>
      </c>
      <c r="F2646" s="667" t="s">
        <v>515</v>
      </c>
    </row>
    <row r="2647" spans="2:6" ht="12.75" customHeight="1" x14ac:dyDescent="0.2">
      <c r="B2647" s="70"/>
      <c r="C2647" s="73"/>
      <c r="D2647" s="668" t="s">
        <v>546</v>
      </c>
      <c r="E2647" s="677">
        <v>80</v>
      </c>
      <c r="F2647" s="667" t="s">
        <v>515</v>
      </c>
    </row>
    <row r="2648" spans="2:6" ht="12.75" customHeight="1" x14ac:dyDescent="0.2">
      <c r="B2648" s="70"/>
      <c r="C2648" s="73"/>
      <c r="D2648" s="668" t="s">
        <v>547</v>
      </c>
      <c r="E2648" s="677">
        <v>82</v>
      </c>
      <c r="F2648" s="667" t="s">
        <v>515</v>
      </c>
    </row>
    <row r="2649" spans="2:6" ht="12.75" customHeight="1" x14ac:dyDescent="0.2">
      <c r="B2649" s="70"/>
      <c r="C2649" s="73"/>
      <c r="D2649" s="668" t="s">
        <v>548</v>
      </c>
      <c r="E2649" s="677">
        <v>86</v>
      </c>
      <c r="F2649" s="667" t="s">
        <v>515</v>
      </c>
    </row>
    <row r="2650" spans="2:6" ht="12.75" customHeight="1" x14ac:dyDescent="0.2">
      <c r="B2650" s="70"/>
      <c r="C2650" s="73"/>
      <c r="D2650" s="668" t="s">
        <v>549</v>
      </c>
      <c r="E2650" s="677">
        <v>88</v>
      </c>
      <c r="F2650" s="667" t="s">
        <v>515</v>
      </c>
    </row>
    <row r="2651" spans="2:6" ht="12.75" customHeight="1" x14ac:dyDescent="0.2">
      <c r="B2651" s="70"/>
      <c r="C2651" s="73"/>
      <c r="D2651" s="668" t="s">
        <v>550</v>
      </c>
      <c r="E2651" s="677">
        <v>90</v>
      </c>
      <c r="F2651" s="667" t="s">
        <v>515</v>
      </c>
    </row>
    <row r="2652" spans="2:6" ht="12.75" customHeight="1" x14ac:dyDescent="0.2">
      <c r="B2652" s="70"/>
      <c r="C2652" s="73"/>
      <c r="D2652" s="668" t="s">
        <v>551</v>
      </c>
      <c r="E2652" s="677">
        <v>92</v>
      </c>
      <c r="F2652" s="667" t="s">
        <v>515</v>
      </c>
    </row>
    <row r="2653" spans="2:6" ht="12.75" customHeight="1" x14ac:dyDescent="0.2">
      <c r="B2653" s="70"/>
      <c r="C2653" s="73"/>
      <c r="D2653" s="668" t="s">
        <v>552</v>
      </c>
      <c r="E2653" s="677">
        <v>96</v>
      </c>
      <c r="F2653" s="667" t="s">
        <v>515</v>
      </c>
    </row>
    <row r="2654" spans="2:6" ht="12.75" customHeight="1" x14ac:dyDescent="0.2">
      <c r="B2654" s="70"/>
      <c r="C2654" s="73"/>
      <c r="D2654" s="668" t="s">
        <v>553</v>
      </c>
      <c r="E2654" s="677">
        <v>98</v>
      </c>
      <c r="F2654" s="667" t="s">
        <v>515</v>
      </c>
    </row>
    <row r="2655" spans="2:6" ht="12.75" customHeight="1" x14ac:dyDescent="0.2">
      <c r="B2655" s="70"/>
      <c r="C2655" s="73"/>
      <c r="D2655" s="668" t="s">
        <v>554</v>
      </c>
      <c r="E2655" s="677">
        <v>100</v>
      </c>
      <c r="F2655" s="667" t="s">
        <v>515</v>
      </c>
    </row>
    <row r="2656" spans="2:6" ht="12.75" customHeight="1" x14ac:dyDescent="0.2">
      <c r="B2656" s="70"/>
      <c r="C2656" s="73"/>
      <c r="D2656" s="668" t="s">
        <v>555</v>
      </c>
      <c r="E2656" s="677"/>
      <c r="F2656" s="667"/>
    </row>
    <row r="2657" spans="2:6" ht="12.75" customHeight="1" x14ac:dyDescent="0.2">
      <c r="B2657" s="70"/>
      <c r="C2657" s="73"/>
      <c r="D2657" s="668" t="s">
        <v>556</v>
      </c>
      <c r="E2657" s="677">
        <v>2</v>
      </c>
      <c r="F2657" s="667" t="s">
        <v>2578</v>
      </c>
    </row>
    <row r="2658" spans="2:6" ht="12.75" customHeight="1" x14ac:dyDescent="0.2">
      <c r="B2658" s="70"/>
      <c r="C2658" s="73"/>
      <c r="D2658" s="668" t="s">
        <v>557</v>
      </c>
      <c r="E2658" s="677">
        <v>6</v>
      </c>
      <c r="F2658" s="667" t="s">
        <v>2578</v>
      </c>
    </row>
    <row r="2659" spans="2:6" ht="12.75" customHeight="1" x14ac:dyDescent="0.2">
      <c r="B2659" s="70"/>
      <c r="C2659" s="73"/>
      <c r="D2659" s="668" t="s">
        <v>558</v>
      </c>
      <c r="E2659" s="677">
        <v>8</v>
      </c>
      <c r="F2659" s="667" t="s">
        <v>2578</v>
      </c>
    </row>
    <row r="2660" spans="2:6" ht="12.75" customHeight="1" x14ac:dyDescent="0.2">
      <c r="B2660" s="70"/>
      <c r="C2660" s="73"/>
      <c r="D2660" s="668" t="s">
        <v>559</v>
      </c>
      <c r="E2660" s="677">
        <v>10</v>
      </c>
      <c r="F2660" s="667" t="s">
        <v>2578</v>
      </c>
    </row>
    <row r="2661" spans="2:6" ht="12.75" customHeight="1" x14ac:dyDescent="0.2">
      <c r="B2661" s="70"/>
      <c r="C2661" s="73"/>
      <c r="D2661" s="668" t="s">
        <v>560</v>
      </c>
      <c r="E2661" s="677">
        <v>12</v>
      </c>
      <c r="F2661" s="667" t="s">
        <v>2578</v>
      </c>
    </row>
    <row r="2662" spans="2:6" ht="12.75" customHeight="1" x14ac:dyDescent="0.2">
      <c r="B2662" s="70"/>
      <c r="C2662" s="73"/>
      <c r="D2662" s="668" t="s">
        <v>561</v>
      </c>
      <c r="E2662" s="677">
        <v>16</v>
      </c>
      <c r="F2662" s="667" t="s">
        <v>2578</v>
      </c>
    </row>
    <row r="2663" spans="2:6" ht="12.75" customHeight="1" x14ac:dyDescent="0.2">
      <c r="B2663" s="70"/>
      <c r="C2663" s="73"/>
      <c r="D2663" s="668" t="s">
        <v>562</v>
      </c>
      <c r="E2663" s="677">
        <v>18</v>
      </c>
      <c r="F2663" s="667" t="s">
        <v>2578</v>
      </c>
    </row>
    <row r="2664" spans="2:6" ht="12.75" customHeight="1" x14ac:dyDescent="0.2">
      <c r="B2664" s="70"/>
      <c r="C2664" s="73"/>
      <c r="D2664" s="668" t="s">
        <v>563</v>
      </c>
      <c r="E2664" s="677">
        <v>20</v>
      </c>
      <c r="F2664" s="667" t="s">
        <v>2578</v>
      </c>
    </row>
    <row r="2665" spans="2:6" ht="12.75" customHeight="1" x14ac:dyDescent="0.2">
      <c r="B2665" s="70"/>
      <c r="C2665" s="73"/>
      <c r="D2665" s="668" t="s">
        <v>564</v>
      </c>
      <c r="E2665" s="677">
        <v>22</v>
      </c>
      <c r="F2665" s="667" t="s">
        <v>2578</v>
      </c>
    </row>
    <row r="2666" spans="2:6" ht="12.75" customHeight="1" x14ac:dyDescent="0.2">
      <c r="B2666" s="70"/>
      <c r="C2666" s="73"/>
      <c r="D2666" s="668" t="s">
        <v>565</v>
      </c>
      <c r="E2666" s="677">
        <v>26</v>
      </c>
      <c r="F2666" s="667" t="s">
        <v>2578</v>
      </c>
    </row>
    <row r="2667" spans="2:6" ht="12.75" customHeight="1" x14ac:dyDescent="0.2">
      <c r="B2667" s="70"/>
      <c r="C2667" s="73"/>
      <c r="D2667" s="668" t="s">
        <v>566</v>
      </c>
      <c r="E2667" s="677">
        <v>28</v>
      </c>
      <c r="F2667" s="667" t="s">
        <v>2578</v>
      </c>
    </row>
    <row r="2668" spans="2:6" ht="12.75" customHeight="1" x14ac:dyDescent="0.2">
      <c r="B2668" s="70"/>
      <c r="C2668" s="73"/>
      <c r="D2668" s="668" t="s">
        <v>567</v>
      </c>
      <c r="E2668" s="677">
        <v>30</v>
      </c>
      <c r="F2668" s="667" t="s">
        <v>2578</v>
      </c>
    </row>
    <row r="2669" spans="2:6" ht="12.75" customHeight="1" x14ac:dyDescent="0.2">
      <c r="B2669" s="70"/>
      <c r="C2669" s="73"/>
      <c r="D2669" s="668" t="s">
        <v>568</v>
      </c>
      <c r="E2669" s="677">
        <v>32</v>
      </c>
      <c r="F2669" s="667" t="s">
        <v>2578</v>
      </c>
    </row>
    <row r="2670" spans="2:6" ht="12.75" customHeight="1" x14ac:dyDescent="0.2">
      <c r="B2670" s="70"/>
      <c r="C2670" s="73"/>
      <c r="D2670" s="668" t="s">
        <v>569</v>
      </c>
      <c r="E2670" s="677">
        <v>36</v>
      </c>
      <c r="F2670" s="667" t="s">
        <v>2578</v>
      </c>
    </row>
    <row r="2671" spans="2:6" ht="12.75" customHeight="1" x14ac:dyDescent="0.2">
      <c r="B2671" s="70"/>
      <c r="C2671" s="73"/>
      <c r="D2671" s="668" t="s">
        <v>570</v>
      </c>
      <c r="E2671" s="677">
        <v>38</v>
      </c>
      <c r="F2671" s="667" t="s">
        <v>2578</v>
      </c>
    </row>
    <row r="2672" spans="2:6" ht="12.75" customHeight="1" x14ac:dyDescent="0.2">
      <c r="B2672" s="70"/>
      <c r="C2672" s="73"/>
      <c r="D2672" s="668" t="s">
        <v>571</v>
      </c>
      <c r="E2672" s="677">
        <v>40</v>
      </c>
      <c r="F2672" s="667" t="s">
        <v>2578</v>
      </c>
    </row>
    <row r="2673" spans="2:6" ht="12.75" customHeight="1" x14ac:dyDescent="0.2">
      <c r="B2673" s="70"/>
      <c r="C2673" s="73"/>
      <c r="D2673" s="668" t="s">
        <v>572</v>
      </c>
      <c r="E2673" s="677">
        <v>42</v>
      </c>
      <c r="F2673" s="667" t="s">
        <v>2578</v>
      </c>
    </row>
    <row r="2674" spans="2:6" ht="12.75" customHeight="1" x14ac:dyDescent="0.2">
      <c r="B2674" s="70"/>
      <c r="C2674" s="73"/>
      <c r="D2674" s="668" t="s">
        <v>573</v>
      </c>
      <c r="E2674" s="677">
        <v>46</v>
      </c>
      <c r="F2674" s="667" t="s">
        <v>2578</v>
      </c>
    </row>
    <row r="2675" spans="2:6" ht="12.75" customHeight="1" x14ac:dyDescent="0.2">
      <c r="B2675" s="70"/>
      <c r="C2675" s="73"/>
      <c r="D2675" s="668" t="s">
        <v>574</v>
      </c>
      <c r="E2675" s="677">
        <v>48</v>
      </c>
      <c r="F2675" s="667" t="s">
        <v>2578</v>
      </c>
    </row>
    <row r="2676" spans="2:6" ht="12.75" customHeight="1" x14ac:dyDescent="0.2">
      <c r="B2676" s="70"/>
      <c r="C2676" s="73"/>
      <c r="D2676" s="668" t="s">
        <v>575</v>
      </c>
      <c r="E2676" s="677">
        <v>50</v>
      </c>
      <c r="F2676" s="667" t="s">
        <v>2578</v>
      </c>
    </row>
    <row r="2677" spans="2:6" ht="12.75" customHeight="1" x14ac:dyDescent="0.2">
      <c r="B2677" s="70"/>
      <c r="C2677" s="73"/>
      <c r="D2677" s="668" t="s">
        <v>576</v>
      </c>
      <c r="E2677" s="677">
        <v>52</v>
      </c>
      <c r="F2677" s="667" t="s">
        <v>2578</v>
      </c>
    </row>
    <row r="2678" spans="2:6" ht="12.75" customHeight="1" x14ac:dyDescent="0.2">
      <c r="B2678" s="70"/>
      <c r="C2678" s="73"/>
      <c r="D2678" s="668" t="s">
        <v>577</v>
      </c>
      <c r="E2678" s="677">
        <v>56</v>
      </c>
      <c r="F2678" s="667" t="s">
        <v>2578</v>
      </c>
    </row>
    <row r="2679" spans="2:6" ht="12.75" customHeight="1" x14ac:dyDescent="0.2">
      <c r="B2679" s="70"/>
      <c r="C2679" s="73"/>
      <c r="D2679" s="668" t="s">
        <v>578</v>
      </c>
      <c r="E2679" s="677">
        <v>58</v>
      </c>
      <c r="F2679" s="667" t="s">
        <v>2578</v>
      </c>
    </row>
    <row r="2680" spans="2:6" ht="12.75" customHeight="1" x14ac:dyDescent="0.2">
      <c r="B2680" s="70"/>
      <c r="C2680" s="73"/>
      <c r="D2680" s="668" t="s">
        <v>579</v>
      </c>
      <c r="E2680" s="677">
        <v>60</v>
      </c>
      <c r="F2680" s="667" t="s">
        <v>2578</v>
      </c>
    </row>
    <row r="2681" spans="2:6" ht="12.75" customHeight="1" x14ac:dyDescent="0.2">
      <c r="B2681" s="70"/>
      <c r="C2681" s="73"/>
      <c r="D2681" s="668" t="s">
        <v>580</v>
      </c>
      <c r="E2681" s="677">
        <v>62</v>
      </c>
      <c r="F2681" s="667" t="s">
        <v>2578</v>
      </c>
    </row>
    <row r="2682" spans="2:6" ht="12.75" customHeight="1" x14ac:dyDescent="0.2">
      <c r="B2682" s="70"/>
      <c r="C2682" s="73"/>
      <c r="D2682" s="668" t="s">
        <v>581</v>
      </c>
      <c r="E2682" s="677">
        <v>66</v>
      </c>
      <c r="F2682" s="667" t="s">
        <v>2578</v>
      </c>
    </row>
    <row r="2683" spans="2:6" ht="12.75" customHeight="1" x14ac:dyDescent="0.2">
      <c r="B2683" s="70"/>
      <c r="C2683" s="73"/>
      <c r="D2683" s="668" t="s">
        <v>582</v>
      </c>
      <c r="E2683" s="677">
        <v>68</v>
      </c>
      <c r="F2683" s="667" t="s">
        <v>2578</v>
      </c>
    </row>
    <row r="2684" spans="2:6" ht="12.75" customHeight="1" x14ac:dyDescent="0.2">
      <c r="B2684" s="70"/>
      <c r="C2684" s="73"/>
      <c r="D2684" s="668" t="s">
        <v>583</v>
      </c>
      <c r="E2684" s="677">
        <v>70</v>
      </c>
      <c r="F2684" s="667" t="s">
        <v>2578</v>
      </c>
    </row>
    <row r="2685" spans="2:6" ht="12.75" customHeight="1" x14ac:dyDescent="0.2">
      <c r="B2685" s="70"/>
      <c r="C2685" s="73"/>
      <c r="D2685" s="668" t="s">
        <v>584</v>
      </c>
      <c r="E2685" s="677">
        <v>72</v>
      </c>
      <c r="F2685" s="667" t="s">
        <v>2578</v>
      </c>
    </row>
    <row r="2686" spans="2:6" ht="12.75" customHeight="1" x14ac:dyDescent="0.2">
      <c r="B2686" s="70"/>
      <c r="C2686" s="73"/>
      <c r="D2686" s="668" t="s">
        <v>585</v>
      </c>
      <c r="E2686" s="677">
        <v>76</v>
      </c>
      <c r="F2686" s="667" t="s">
        <v>2578</v>
      </c>
    </row>
    <row r="2687" spans="2:6" ht="12.75" customHeight="1" x14ac:dyDescent="0.2">
      <c r="B2687" s="70"/>
      <c r="C2687" s="73"/>
      <c r="D2687" s="668" t="s">
        <v>586</v>
      </c>
      <c r="E2687" s="677">
        <v>78</v>
      </c>
      <c r="F2687" s="667" t="s">
        <v>2578</v>
      </c>
    </row>
    <row r="2688" spans="2:6" ht="12.75" customHeight="1" x14ac:dyDescent="0.2">
      <c r="B2688" s="70"/>
      <c r="C2688" s="73"/>
      <c r="D2688" s="668" t="s">
        <v>587</v>
      </c>
      <c r="E2688" s="677">
        <v>80</v>
      </c>
      <c r="F2688" s="667" t="s">
        <v>2578</v>
      </c>
    </row>
    <row r="2689" spans="2:6" ht="12.75" customHeight="1" x14ac:dyDescent="0.2">
      <c r="B2689" s="70"/>
      <c r="C2689" s="73"/>
      <c r="D2689" s="668" t="s">
        <v>588</v>
      </c>
      <c r="E2689" s="677">
        <v>82</v>
      </c>
      <c r="F2689" s="667" t="s">
        <v>2578</v>
      </c>
    </row>
    <row r="2690" spans="2:6" ht="12.75" customHeight="1" x14ac:dyDescent="0.2">
      <c r="B2690" s="70"/>
      <c r="C2690" s="73"/>
      <c r="D2690" s="668" t="s">
        <v>589</v>
      </c>
      <c r="E2690" s="677">
        <v>86</v>
      </c>
      <c r="F2690" s="667" t="s">
        <v>2578</v>
      </c>
    </row>
    <row r="2691" spans="2:6" ht="12.75" customHeight="1" x14ac:dyDescent="0.2">
      <c r="B2691" s="70"/>
      <c r="C2691" s="73"/>
      <c r="D2691" s="668" t="s">
        <v>590</v>
      </c>
      <c r="E2691" s="677">
        <v>88</v>
      </c>
      <c r="F2691" s="667" t="s">
        <v>2578</v>
      </c>
    </row>
    <row r="2692" spans="2:6" ht="12.75" customHeight="1" x14ac:dyDescent="0.2">
      <c r="B2692" s="70"/>
      <c r="C2692" s="73"/>
      <c r="D2692" s="668" t="s">
        <v>591</v>
      </c>
      <c r="E2692" s="677">
        <v>90</v>
      </c>
      <c r="F2692" s="667" t="s">
        <v>2578</v>
      </c>
    </row>
    <row r="2693" spans="2:6" ht="12.75" customHeight="1" x14ac:dyDescent="0.2">
      <c r="B2693" s="70"/>
      <c r="C2693" s="73"/>
      <c r="D2693" s="668" t="s">
        <v>592</v>
      </c>
      <c r="E2693" s="677">
        <v>92</v>
      </c>
      <c r="F2693" s="667" t="s">
        <v>2578</v>
      </c>
    </row>
    <row r="2694" spans="2:6" ht="12.75" customHeight="1" x14ac:dyDescent="0.2">
      <c r="B2694" s="70"/>
      <c r="C2694" s="73"/>
      <c r="D2694" s="668" t="s">
        <v>593</v>
      </c>
      <c r="E2694" s="677">
        <v>96</v>
      </c>
      <c r="F2694" s="667" t="s">
        <v>2578</v>
      </c>
    </row>
    <row r="2695" spans="2:6" ht="12.75" customHeight="1" x14ac:dyDescent="0.2">
      <c r="B2695" s="70"/>
      <c r="C2695" s="73"/>
      <c r="D2695" s="668" t="s">
        <v>594</v>
      </c>
      <c r="E2695" s="677">
        <v>98</v>
      </c>
      <c r="F2695" s="667" t="s">
        <v>2578</v>
      </c>
    </row>
    <row r="2696" spans="2:6" ht="12.75" customHeight="1" x14ac:dyDescent="0.2">
      <c r="B2696" s="70"/>
      <c r="C2696" s="73"/>
      <c r="D2696" s="668" t="s">
        <v>595</v>
      </c>
      <c r="E2696" s="677">
        <v>100</v>
      </c>
      <c r="F2696" s="667" t="s">
        <v>2578</v>
      </c>
    </row>
    <row r="2697" spans="2:6" ht="12.75" customHeight="1" x14ac:dyDescent="0.2">
      <c r="B2697" s="70"/>
      <c r="C2697" s="73"/>
      <c r="D2697" s="668" t="s">
        <v>596</v>
      </c>
      <c r="E2697" s="677"/>
      <c r="F2697" s="667"/>
    </row>
    <row r="2698" spans="2:6" ht="12.75" customHeight="1" x14ac:dyDescent="0.2">
      <c r="B2698" s="70"/>
      <c r="C2698" s="73"/>
      <c r="D2698" s="668" t="s">
        <v>597</v>
      </c>
      <c r="E2698" s="677">
        <v>2</v>
      </c>
      <c r="F2698" s="667" t="s">
        <v>2472</v>
      </c>
    </row>
    <row r="2699" spans="2:6" ht="12.75" customHeight="1" x14ac:dyDescent="0.2">
      <c r="B2699" s="70"/>
      <c r="C2699" s="73"/>
      <c r="D2699" s="668" t="s">
        <v>598</v>
      </c>
      <c r="E2699" s="677">
        <v>6</v>
      </c>
      <c r="F2699" s="667" t="s">
        <v>2472</v>
      </c>
    </row>
    <row r="2700" spans="2:6" ht="12.75" customHeight="1" x14ac:dyDescent="0.2">
      <c r="B2700" s="70"/>
      <c r="C2700" s="73"/>
      <c r="D2700" s="668" t="s">
        <v>599</v>
      </c>
      <c r="E2700" s="677">
        <v>10</v>
      </c>
      <c r="F2700" s="667" t="s">
        <v>2472</v>
      </c>
    </row>
    <row r="2701" spans="2:6" ht="12.75" customHeight="1" x14ac:dyDescent="0.2">
      <c r="B2701" s="70"/>
      <c r="C2701" s="73"/>
      <c r="D2701" s="668" t="s">
        <v>600</v>
      </c>
      <c r="E2701" s="677">
        <v>12</v>
      </c>
      <c r="F2701" s="667" t="s">
        <v>2472</v>
      </c>
    </row>
    <row r="2702" spans="2:6" ht="12.75" customHeight="1" x14ac:dyDescent="0.2">
      <c r="B2702" s="70"/>
      <c r="C2702" s="73"/>
      <c r="D2702" s="668" t="s">
        <v>601</v>
      </c>
      <c r="E2702" s="677">
        <v>16</v>
      </c>
      <c r="F2702" s="667" t="s">
        <v>2472</v>
      </c>
    </row>
    <row r="2703" spans="2:6" ht="12.75" customHeight="1" x14ac:dyDescent="0.2">
      <c r="B2703" s="70"/>
      <c r="C2703" s="73"/>
      <c r="D2703" s="668" t="s">
        <v>602</v>
      </c>
      <c r="E2703" s="677">
        <v>20</v>
      </c>
      <c r="F2703" s="667" t="s">
        <v>2472</v>
      </c>
    </row>
    <row r="2704" spans="2:6" ht="12.75" customHeight="1" x14ac:dyDescent="0.2">
      <c r="B2704" s="70"/>
      <c r="C2704" s="73"/>
      <c r="D2704" s="668" t="s">
        <v>603</v>
      </c>
      <c r="E2704" s="677">
        <v>22</v>
      </c>
      <c r="F2704" s="667" t="s">
        <v>2472</v>
      </c>
    </row>
    <row r="2705" spans="2:6" ht="12.75" customHeight="1" x14ac:dyDescent="0.2">
      <c r="B2705" s="70"/>
      <c r="C2705" s="73"/>
      <c r="D2705" s="668" t="s">
        <v>604</v>
      </c>
      <c r="E2705" s="677">
        <v>26</v>
      </c>
      <c r="F2705" s="667" t="s">
        <v>2472</v>
      </c>
    </row>
    <row r="2706" spans="2:6" ht="12.75" customHeight="1" x14ac:dyDescent="0.2">
      <c r="B2706" s="70"/>
      <c r="C2706" s="73"/>
      <c r="D2706" s="668" t="s">
        <v>605</v>
      </c>
      <c r="E2706" s="677">
        <v>30</v>
      </c>
      <c r="F2706" s="667" t="s">
        <v>2472</v>
      </c>
    </row>
    <row r="2707" spans="2:6" ht="12.75" customHeight="1" x14ac:dyDescent="0.2">
      <c r="B2707" s="70"/>
      <c r="C2707" s="73"/>
      <c r="D2707" s="668" t="s">
        <v>606</v>
      </c>
      <c r="E2707" s="677">
        <v>32</v>
      </c>
      <c r="F2707" s="667" t="s">
        <v>2472</v>
      </c>
    </row>
    <row r="2708" spans="2:6" ht="12.75" customHeight="1" x14ac:dyDescent="0.2">
      <c r="B2708" s="70"/>
      <c r="C2708" s="73"/>
      <c r="D2708" s="668" t="s">
        <v>607</v>
      </c>
      <c r="E2708" s="677">
        <v>36</v>
      </c>
      <c r="F2708" s="667" t="s">
        <v>2472</v>
      </c>
    </row>
    <row r="2709" spans="2:6" ht="12.75" customHeight="1" x14ac:dyDescent="0.2">
      <c r="B2709" s="70"/>
      <c r="C2709" s="73"/>
      <c r="D2709" s="668" t="s">
        <v>608</v>
      </c>
      <c r="E2709" s="677">
        <v>40</v>
      </c>
      <c r="F2709" s="667" t="s">
        <v>2472</v>
      </c>
    </row>
    <row r="2710" spans="2:6" ht="12.75" customHeight="1" x14ac:dyDescent="0.2">
      <c r="B2710" s="70"/>
      <c r="C2710" s="73"/>
      <c r="D2710" s="668" t="s">
        <v>609</v>
      </c>
      <c r="E2710" s="677">
        <v>42</v>
      </c>
      <c r="F2710" s="667" t="s">
        <v>2472</v>
      </c>
    </row>
    <row r="2711" spans="2:6" ht="12.75" customHeight="1" x14ac:dyDescent="0.2">
      <c r="B2711" s="70"/>
      <c r="C2711" s="73"/>
      <c r="D2711" s="668" t="s">
        <v>610</v>
      </c>
      <c r="E2711" s="677">
        <v>46</v>
      </c>
      <c r="F2711" s="667" t="s">
        <v>2472</v>
      </c>
    </row>
    <row r="2712" spans="2:6" ht="12.75" customHeight="1" x14ac:dyDescent="0.2">
      <c r="B2712" s="70"/>
      <c r="C2712" s="73"/>
      <c r="D2712" s="668" t="s">
        <v>611</v>
      </c>
      <c r="E2712" s="677">
        <v>50</v>
      </c>
      <c r="F2712" s="667" t="s">
        <v>2472</v>
      </c>
    </row>
    <row r="2713" spans="2:6" ht="12.75" customHeight="1" x14ac:dyDescent="0.2">
      <c r="B2713" s="70"/>
      <c r="C2713" s="73"/>
      <c r="D2713" s="668" t="s">
        <v>612</v>
      </c>
      <c r="E2713" s="677">
        <v>52</v>
      </c>
      <c r="F2713" s="667" t="s">
        <v>2472</v>
      </c>
    </row>
    <row r="2714" spans="2:6" ht="12.75" customHeight="1" x14ac:dyDescent="0.2">
      <c r="B2714" s="70"/>
      <c r="C2714" s="73"/>
      <c r="D2714" s="668" t="s">
        <v>613</v>
      </c>
      <c r="E2714" s="677">
        <v>56</v>
      </c>
      <c r="F2714" s="667" t="s">
        <v>2472</v>
      </c>
    </row>
    <row r="2715" spans="2:6" ht="12.75" customHeight="1" x14ac:dyDescent="0.2">
      <c r="B2715" s="70"/>
      <c r="C2715" s="73"/>
      <c r="D2715" s="668" t="s">
        <v>614</v>
      </c>
      <c r="E2715" s="677">
        <v>60</v>
      </c>
      <c r="F2715" s="667" t="s">
        <v>2472</v>
      </c>
    </row>
    <row r="2716" spans="2:6" ht="12.75" customHeight="1" x14ac:dyDescent="0.2">
      <c r="B2716" s="70"/>
      <c r="C2716" s="73"/>
      <c r="D2716" s="668" t="s">
        <v>615</v>
      </c>
      <c r="E2716" s="677">
        <v>62</v>
      </c>
      <c r="F2716" s="667" t="s">
        <v>2472</v>
      </c>
    </row>
    <row r="2717" spans="2:6" ht="12.75" customHeight="1" x14ac:dyDescent="0.2">
      <c r="B2717" s="70"/>
      <c r="C2717" s="73"/>
      <c r="D2717" s="668" t="s">
        <v>616</v>
      </c>
      <c r="E2717" s="677">
        <v>66</v>
      </c>
      <c r="F2717" s="667" t="s">
        <v>2472</v>
      </c>
    </row>
    <row r="2718" spans="2:6" ht="12.75" customHeight="1" x14ac:dyDescent="0.2">
      <c r="B2718" s="70"/>
      <c r="C2718" s="73"/>
      <c r="D2718" s="668" t="s">
        <v>617</v>
      </c>
      <c r="E2718" s="677">
        <v>70</v>
      </c>
      <c r="F2718" s="667" t="s">
        <v>2472</v>
      </c>
    </row>
    <row r="2719" spans="2:6" ht="12.75" customHeight="1" x14ac:dyDescent="0.2">
      <c r="B2719" s="70"/>
      <c r="C2719" s="73"/>
      <c r="D2719" s="668" t="s">
        <v>618</v>
      </c>
      <c r="E2719" s="677">
        <v>72</v>
      </c>
      <c r="F2719" s="667" t="s">
        <v>2472</v>
      </c>
    </row>
    <row r="2720" spans="2:6" ht="12.75" customHeight="1" x14ac:dyDescent="0.2">
      <c r="B2720" s="70"/>
      <c r="C2720" s="73"/>
      <c r="D2720" s="668" t="s">
        <v>619</v>
      </c>
      <c r="E2720" s="677">
        <v>76</v>
      </c>
      <c r="F2720" s="667" t="s">
        <v>2472</v>
      </c>
    </row>
    <row r="2721" spans="2:6" ht="12.75" customHeight="1" x14ac:dyDescent="0.2">
      <c r="B2721" s="70"/>
      <c r="C2721" s="73"/>
      <c r="D2721" s="668" t="s">
        <v>620</v>
      </c>
      <c r="E2721" s="677">
        <v>80</v>
      </c>
      <c r="F2721" s="667" t="s">
        <v>2472</v>
      </c>
    </row>
    <row r="2722" spans="2:6" ht="12.75" customHeight="1" x14ac:dyDescent="0.2">
      <c r="B2722" s="70"/>
      <c r="C2722" s="73"/>
      <c r="D2722" s="668" t="s">
        <v>621</v>
      </c>
      <c r="E2722" s="677">
        <v>82</v>
      </c>
      <c r="F2722" s="667" t="s">
        <v>2472</v>
      </c>
    </row>
    <row r="2723" spans="2:6" ht="12.75" customHeight="1" x14ac:dyDescent="0.2">
      <c r="B2723" s="70"/>
      <c r="C2723" s="73"/>
      <c r="D2723" s="668" t="s">
        <v>622</v>
      </c>
      <c r="E2723" s="677">
        <v>86</v>
      </c>
      <c r="F2723" s="667" t="s">
        <v>2472</v>
      </c>
    </row>
    <row r="2724" spans="2:6" ht="12.75" customHeight="1" x14ac:dyDescent="0.2">
      <c r="B2724" s="70"/>
      <c r="C2724" s="73"/>
      <c r="D2724" s="668" t="s">
        <v>623</v>
      </c>
      <c r="E2724" s="677">
        <v>90</v>
      </c>
      <c r="F2724" s="667" t="s">
        <v>2472</v>
      </c>
    </row>
    <row r="2725" spans="2:6" ht="12.75" customHeight="1" x14ac:dyDescent="0.2">
      <c r="B2725" s="70"/>
      <c r="C2725" s="73"/>
      <c r="D2725" s="668" t="s">
        <v>624</v>
      </c>
      <c r="E2725" s="677">
        <v>92</v>
      </c>
      <c r="F2725" s="667" t="s">
        <v>2472</v>
      </c>
    </row>
    <row r="2726" spans="2:6" ht="12.75" customHeight="1" x14ac:dyDescent="0.2">
      <c r="B2726" s="70"/>
      <c r="C2726" s="73"/>
      <c r="D2726" s="668" t="s">
        <v>625</v>
      </c>
      <c r="E2726" s="677">
        <v>96</v>
      </c>
      <c r="F2726" s="667" t="s">
        <v>2472</v>
      </c>
    </row>
    <row r="2727" spans="2:6" ht="12.75" customHeight="1" x14ac:dyDescent="0.2">
      <c r="B2727" s="70"/>
      <c r="C2727" s="73"/>
      <c r="D2727" s="668" t="s">
        <v>626</v>
      </c>
      <c r="E2727" s="677">
        <v>100</v>
      </c>
      <c r="F2727" s="667" t="s">
        <v>2472</v>
      </c>
    </row>
    <row r="2728" spans="2:6" ht="12.75" customHeight="1" x14ac:dyDescent="0.2">
      <c r="B2728" s="70"/>
      <c r="C2728" s="73"/>
      <c r="D2728" s="668" t="s">
        <v>627</v>
      </c>
      <c r="E2728" s="677"/>
      <c r="F2728" s="667"/>
    </row>
    <row r="2729" spans="2:6" ht="12.75" customHeight="1" x14ac:dyDescent="0.2">
      <c r="B2729" s="70"/>
      <c r="C2729" s="73"/>
      <c r="D2729" s="668" t="s">
        <v>628</v>
      </c>
      <c r="E2729" s="677">
        <v>2</v>
      </c>
      <c r="F2729" s="667" t="s">
        <v>2475</v>
      </c>
    </row>
    <row r="2730" spans="2:6" ht="12.75" customHeight="1" x14ac:dyDescent="0.2">
      <c r="B2730" s="70"/>
      <c r="C2730" s="73"/>
      <c r="D2730" s="668" t="s">
        <v>629</v>
      </c>
      <c r="E2730" s="677">
        <v>6</v>
      </c>
      <c r="F2730" s="667" t="s">
        <v>2475</v>
      </c>
    </row>
    <row r="2731" spans="2:6" ht="12.75" customHeight="1" x14ac:dyDescent="0.2">
      <c r="B2731" s="70"/>
      <c r="C2731" s="73"/>
      <c r="D2731" s="668" t="s">
        <v>630</v>
      </c>
      <c r="E2731" s="677">
        <v>10</v>
      </c>
      <c r="F2731" s="667" t="s">
        <v>2475</v>
      </c>
    </row>
    <row r="2732" spans="2:6" ht="12.75" customHeight="1" x14ac:dyDescent="0.2">
      <c r="B2732" s="70"/>
      <c r="C2732" s="73"/>
      <c r="D2732" s="668" t="s">
        <v>631</v>
      </c>
      <c r="E2732" s="677">
        <v>12</v>
      </c>
      <c r="F2732" s="667" t="s">
        <v>2475</v>
      </c>
    </row>
    <row r="2733" spans="2:6" ht="12.75" customHeight="1" x14ac:dyDescent="0.2">
      <c r="B2733" s="70"/>
      <c r="C2733" s="73"/>
      <c r="D2733" s="668" t="s">
        <v>632</v>
      </c>
      <c r="E2733" s="677">
        <v>16</v>
      </c>
      <c r="F2733" s="667" t="s">
        <v>2475</v>
      </c>
    </row>
    <row r="2734" spans="2:6" ht="12.75" customHeight="1" x14ac:dyDescent="0.2">
      <c r="B2734" s="70"/>
      <c r="C2734" s="73"/>
      <c r="D2734" s="668" t="s">
        <v>633</v>
      </c>
      <c r="E2734" s="677">
        <v>20</v>
      </c>
      <c r="F2734" s="667" t="s">
        <v>2475</v>
      </c>
    </row>
    <row r="2735" spans="2:6" ht="12.75" customHeight="1" x14ac:dyDescent="0.2">
      <c r="B2735" s="70"/>
      <c r="C2735" s="73"/>
      <c r="D2735" s="668" t="s">
        <v>634</v>
      </c>
      <c r="E2735" s="677">
        <v>22</v>
      </c>
      <c r="F2735" s="667" t="s">
        <v>2475</v>
      </c>
    </row>
    <row r="2736" spans="2:6" ht="12.75" customHeight="1" x14ac:dyDescent="0.2">
      <c r="B2736" s="70"/>
      <c r="C2736" s="73"/>
      <c r="D2736" s="668" t="s">
        <v>635</v>
      </c>
      <c r="E2736" s="677">
        <v>26</v>
      </c>
      <c r="F2736" s="667" t="s">
        <v>2475</v>
      </c>
    </row>
    <row r="2737" spans="2:6" ht="12.75" customHeight="1" x14ac:dyDescent="0.2">
      <c r="B2737" s="70"/>
      <c r="C2737" s="73"/>
      <c r="D2737" s="668" t="s">
        <v>636</v>
      </c>
      <c r="E2737" s="677">
        <v>30</v>
      </c>
      <c r="F2737" s="667" t="s">
        <v>2475</v>
      </c>
    </row>
    <row r="2738" spans="2:6" ht="12.75" customHeight="1" x14ac:dyDescent="0.2">
      <c r="B2738" s="70"/>
      <c r="C2738" s="73"/>
      <c r="D2738" s="668" t="s">
        <v>637</v>
      </c>
      <c r="E2738" s="677">
        <v>32</v>
      </c>
      <c r="F2738" s="667" t="s">
        <v>2475</v>
      </c>
    </row>
    <row r="2739" spans="2:6" ht="12.75" customHeight="1" x14ac:dyDescent="0.2">
      <c r="B2739" s="70"/>
      <c r="C2739" s="73"/>
      <c r="D2739" s="668" t="s">
        <v>638</v>
      </c>
      <c r="E2739" s="677">
        <v>36</v>
      </c>
      <c r="F2739" s="667" t="s">
        <v>2475</v>
      </c>
    </row>
    <row r="2740" spans="2:6" ht="12.75" customHeight="1" x14ac:dyDescent="0.2">
      <c r="B2740" s="70"/>
      <c r="C2740" s="73"/>
      <c r="D2740" s="668" t="s">
        <v>639</v>
      </c>
      <c r="E2740" s="677">
        <v>40</v>
      </c>
      <c r="F2740" s="667" t="s">
        <v>2475</v>
      </c>
    </row>
    <row r="2741" spans="2:6" ht="12.75" customHeight="1" x14ac:dyDescent="0.2">
      <c r="B2741" s="70"/>
      <c r="C2741" s="73"/>
      <c r="D2741" s="668" t="s">
        <v>640</v>
      </c>
      <c r="E2741" s="677">
        <v>42</v>
      </c>
      <c r="F2741" s="667" t="s">
        <v>2475</v>
      </c>
    </row>
    <row r="2742" spans="2:6" ht="12.75" customHeight="1" x14ac:dyDescent="0.2">
      <c r="B2742" s="70"/>
      <c r="C2742" s="73"/>
      <c r="D2742" s="668" t="s">
        <v>641</v>
      </c>
      <c r="E2742" s="677">
        <v>46</v>
      </c>
      <c r="F2742" s="667" t="s">
        <v>2475</v>
      </c>
    </row>
    <row r="2743" spans="2:6" ht="12.75" customHeight="1" x14ac:dyDescent="0.2">
      <c r="B2743" s="70"/>
      <c r="C2743" s="73"/>
      <c r="D2743" s="668" t="s">
        <v>642</v>
      </c>
      <c r="E2743" s="677">
        <v>50</v>
      </c>
      <c r="F2743" s="667" t="s">
        <v>2475</v>
      </c>
    </row>
    <row r="2744" spans="2:6" ht="12.75" customHeight="1" x14ac:dyDescent="0.2">
      <c r="B2744" s="70"/>
      <c r="C2744" s="73"/>
      <c r="D2744" s="668" t="s">
        <v>643</v>
      </c>
      <c r="E2744" s="677">
        <v>52</v>
      </c>
      <c r="F2744" s="667" t="s">
        <v>2475</v>
      </c>
    </row>
    <row r="2745" spans="2:6" ht="12.75" customHeight="1" x14ac:dyDescent="0.2">
      <c r="B2745" s="70"/>
      <c r="C2745" s="73"/>
      <c r="D2745" s="668" t="s">
        <v>644</v>
      </c>
      <c r="E2745" s="677">
        <v>56</v>
      </c>
      <c r="F2745" s="667" t="s">
        <v>2475</v>
      </c>
    </row>
    <row r="2746" spans="2:6" ht="12.75" customHeight="1" x14ac:dyDescent="0.2">
      <c r="B2746" s="70"/>
      <c r="C2746" s="73"/>
      <c r="D2746" s="668" t="s">
        <v>645</v>
      </c>
      <c r="E2746" s="677">
        <v>60</v>
      </c>
      <c r="F2746" s="667" t="s">
        <v>2475</v>
      </c>
    </row>
    <row r="2747" spans="2:6" ht="12.75" customHeight="1" x14ac:dyDescent="0.2">
      <c r="B2747" s="70"/>
      <c r="C2747" s="73"/>
      <c r="D2747" s="668" t="s">
        <v>646</v>
      </c>
      <c r="E2747" s="677">
        <v>62</v>
      </c>
      <c r="F2747" s="667" t="s">
        <v>2475</v>
      </c>
    </row>
    <row r="2748" spans="2:6" ht="12.75" customHeight="1" x14ac:dyDescent="0.2">
      <c r="B2748" s="70"/>
      <c r="C2748" s="73"/>
      <c r="D2748" s="668" t="s">
        <v>647</v>
      </c>
      <c r="E2748" s="677">
        <v>66</v>
      </c>
      <c r="F2748" s="667" t="s">
        <v>2475</v>
      </c>
    </row>
    <row r="2749" spans="2:6" ht="12.75" customHeight="1" x14ac:dyDescent="0.2">
      <c r="B2749" s="70"/>
      <c r="C2749" s="73"/>
      <c r="D2749" s="668" t="s">
        <v>648</v>
      </c>
      <c r="E2749" s="677">
        <v>70</v>
      </c>
      <c r="F2749" s="667" t="s">
        <v>2475</v>
      </c>
    </row>
    <row r="2750" spans="2:6" ht="12.75" customHeight="1" x14ac:dyDescent="0.2">
      <c r="B2750" s="70"/>
      <c r="C2750" s="73"/>
      <c r="D2750" s="668" t="s">
        <v>649</v>
      </c>
      <c r="E2750" s="677">
        <v>72</v>
      </c>
      <c r="F2750" s="667" t="s">
        <v>2475</v>
      </c>
    </row>
    <row r="2751" spans="2:6" ht="12.75" customHeight="1" x14ac:dyDescent="0.2">
      <c r="B2751" s="70"/>
      <c r="C2751" s="73"/>
      <c r="D2751" s="668" t="s">
        <v>650</v>
      </c>
      <c r="E2751" s="677">
        <v>76</v>
      </c>
      <c r="F2751" s="667" t="s">
        <v>2475</v>
      </c>
    </row>
    <row r="2752" spans="2:6" ht="12.75" customHeight="1" x14ac:dyDescent="0.2">
      <c r="B2752" s="70"/>
      <c r="C2752" s="73"/>
      <c r="D2752" s="668" t="s">
        <v>651</v>
      </c>
      <c r="E2752" s="677">
        <v>80</v>
      </c>
      <c r="F2752" s="667" t="s">
        <v>2475</v>
      </c>
    </row>
    <row r="2753" spans="2:6" ht="12.75" customHeight="1" x14ac:dyDescent="0.2">
      <c r="B2753" s="70"/>
      <c r="C2753" s="73"/>
      <c r="D2753" s="668" t="s">
        <v>652</v>
      </c>
      <c r="E2753" s="677">
        <v>82</v>
      </c>
      <c r="F2753" s="667" t="s">
        <v>2475</v>
      </c>
    </row>
    <row r="2754" spans="2:6" ht="12.75" customHeight="1" x14ac:dyDescent="0.2">
      <c r="B2754" s="70"/>
      <c r="C2754" s="73"/>
      <c r="D2754" s="668" t="s">
        <v>653</v>
      </c>
      <c r="E2754" s="677">
        <v>86</v>
      </c>
      <c r="F2754" s="667" t="s">
        <v>2475</v>
      </c>
    </row>
    <row r="2755" spans="2:6" ht="12.75" customHeight="1" x14ac:dyDescent="0.2">
      <c r="B2755" s="70"/>
      <c r="C2755" s="73"/>
      <c r="D2755" s="668" t="s">
        <v>654</v>
      </c>
      <c r="E2755" s="677">
        <v>90</v>
      </c>
      <c r="F2755" s="667" t="s">
        <v>2475</v>
      </c>
    </row>
    <row r="2756" spans="2:6" ht="12.75" customHeight="1" x14ac:dyDescent="0.2">
      <c r="B2756" s="70"/>
      <c r="C2756" s="73"/>
      <c r="D2756" s="668" t="s">
        <v>655</v>
      </c>
      <c r="E2756" s="677">
        <v>92</v>
      </c>
      <c r="F2756" s="667" t="s">
        <v>2475</v>
      </c>
    </row>
    <row r="2757" spans="2:6" ht="12.75" customHeight="1" x14ac:dyDescent="0.2">
      <c r="B2757" s="70"/>
      <c r="C2757" s="73"/>
      <c r="D2757" s="668" t="s">
        <v>656</v>
      </c>
      <c r="E2757" s="677">
        <v>96</v>
      </c>
      <c r="F2757" s="667" t="s">
        <v>2475</v>
      </c>
    </row>
    <row r="2758" spans="2:6" ht="12.75" customHeight="1" x14ac:dyDescent="0.2">
      <c r="B2758" s="70"/>
      <c r="C2758" s="73"/>
      <c r="D2758" s="668" t="s">
        <v>657</v>
      </c>
      <c r="E2758" s="677">
        <v>100</v>
      </c>
      <c r="F2758" s="667" t="s">
        <v>2475</v>
      </c>
    </row>
    <row r="2759" spans="2:6" ht="12.75" customHeight="1" x14ac:dyDescent="0.2">
      <c r="B2759" s="70"/>
      <c r="C2759" s="73"/>
      <c r="D2759" s="668" t="s">
        <v>658</v>
      </c>
      <c r="E2759" s="677"/>
      <c r="F2759" s="667"/>
    </row>
    <row r="2760" spans="2:6" ht="12.75" customHeight="1" x14ac:dyDescent="0.2">
      <c r="B2760" s="70"/>
      <c r="C2760" s="73"/>
      <c r="D2760" s="668" t="s">
        <v>659</v>
      </c>
      <c r="E2760" s="677">
        <v>2</v>
      </c>
      <c r="F2760" s="667" t="s">
        <v>2479</v>
      </c>
    </row>
    <row r="2761" spans="2:6" ht="12.75" customHeight="1" x14ac:dyDescent="0.2">
      <c r="B2761" s="70"/>
      <c r="C2761" s="73"/>
      <c r="D2761" s="668" t="s">
        <v>660</v>
      </c>
      <c r="E2761" s="677">
        <v>6</v>
      </c>
      <c r="F2761" s="667" t="s">
        <v>2479</v>
      </c>
    </row>
    <row r="2762" spans="2:6" ht="12.75" customHeight="1" x14ac:dyDescent="0.2">
      <c r="B2762" s="70"/>
      <c r="C2762" s="73"/>
      <c r="D2762" s="668" t="s">
        <v>661</v>
      </c>
      <c r="E2762" s="677">
        <v>10</v>
      </c>
      <c r="F2762" s="667" t="s">
        <v>2479</v>
      </c>
    </row>
    <row r="2763" spans="2:6" ht="12.75" customHeight="1" x14ac:dyDescent="0.2">
      <c r="B2763" s="70"/>
      <c r="C2763" s="73"/>
      <c r="D2763" s="668" t="s">
        <v>662</v>
      </c>
      <c r="E2763" s="677">
        <v>12</v>
      </c>
      <c r="F2763" s="667" t="s">
        <v>2479</v>
      </c>
    </row>
    <row r="2764" spans="2:6" ht="12.75" customHeight="1" x14ac:dyDescent="0.2">
      <c r="B2764" s="70"/>
      <c r="C2764" s="73"/>
      <c r="D2764" s="668" t="s">
        <v>663</v>
      </c>
      <c r="E2764" s="677">
        <v>16</v>
      </c>
      <c r="F2764" s="667" t="s">
        <v>2479</v>
      </c>
    </row>
    <row r="2765" spans="2:6" ht="12.75" customHeight="1" x14ac:dyDescent="0.2">
      <c r="B2765" s="70"/>
      <c r="C2765" s="73"/>
      <c r="D2765" s="668" t="s">
        <v>664</v>
      </c>
      <c r="E2765" s="677">
        <v>20</v>
      </c>
      <c r="F2765" s="667" t="s">
        <v>2479</v>
      </c>
    </row>
    <row r="2766" spans="2:6" ht="12.75" customHeight="1" x14ac:dyDescent="0.2">
      <c r="B2766" s="70"/>
      <c r="C2766" s="73"/>
      <c r="D2766" s="668" t="s">
        <v>665</v>
      </c>
      <c r="E2766" s="677">
        <v>22</v>
      </c>
      <c r="F2766" s="667" t="s">
        <v>2479</v>
      </c>
    </row>
    <row r="2767" spans="2:6" ht="12.75" customHeight="1" x14ac:dyDescent="0.2">
      <c r="B2767" s="70"/>
      <c r="C2767" s="73"/>
      <c r="D2767" s="668" t="s">
        <v>666</v>
      </c>
      <c r="E2767" s="677">
        <v>26</v>
      </c>
      <c r="F2767" s="667" t="s">
        <v>2479</v>
      </c>
    </row>
    <row r="2768" spans="2:6" ht="12.75" customHeight="1" x14ac:dyDescent="0.2">
      <c r="B2768" s="70"/>
      <c r="C2768" s="73"/>
      <c r="D2768" s="668" t="s">
        <v>667</v>
      </c>
      <c r="E2768" s="677">
        <v>30</v>
      </c>
      <c r="F2768" s="667" t="s">
        <v>2479</v>
      </c>
    </row>
    <row r="2769" spans="2:6" ht="12.75" customHeight="1" x14ac:dyDescent="0.2">
      <c r="B2769" s="70"/>
      <c r="C2769" s="73"/>
      <c r="D2769" s="668" t="s">
        <v>668</v>
      </c>
      <c r="E2769" s="677">
        <v>32</v>
      </c>
      <c r="F2769" s="667" t="s">
        <v>2479</v>
      </c>
    </row>
    <row r="2770" spans="2:6" ht="12.75" customHeight="1" x14ac:dyDescent="0.2">
      <c r="B2770" s="70"/>
      <c r="C2770" s="73"/>
      <c r="D2770" s="668" t="s">
        <v>669</v>
      </c>
      <c r="E2770" s="677">
        <v>36</v>
      </c>
      <c r="F2770" s="667" t="s">
        <v>2479</v>
      </c>
    </row>
    <row r="2771" spans="2:6" ht="12.75" customHeight="1" x14ac:dyDescent="0.2">
      <c r="B2771" s="70"/>
      <c r="C2771" s="73"/>
      <c r="D2771" s="668" t="s">
        <v>670</v>
      </c>
      <c r="E2771" s="677">
        <v>40</v>
      </c>
      <c r="F2771" s="667" t="s">
        <v>2479</v>
      </c>
    </row>
    <row r="2772" spans="2:6" ht="12.75" customHeight="1" x14ac:dyDescent="0.2">
      <c r="B2772" s="70"/>
      <c r="C2772" s="73"/>
      <c r="D2772" s="668" t="s">
        <v>671</v>
      </c>
      <c r="E2772" s="677">
        <v>42</v>
      </c>
      <c r="F2772" s="667" t="s">
        <v>2479</v>
      </c>
    </row>
    <row r="2773" spans="2:6" ht="12.75" customHeight="1" x14ac:dyDescent="0.2">
      <c r="B2773" s="70"/>
      <c r="C2773" s="73"/>
      <c r="D2773" s="668" t="s">
        <v>672</v>
      </c>
      <c r="E2773" s="677">
        <v>46</v>
      </c>
      <c r="F2773" s="667" t="s">
        <v>2479</v>
      </c>
    </row>
    <row r="2774" spans="2:6" ht="12.75" customHeight="1" x14ac:dyDescent="0.2">
      <c r="B2774" s="70"/>
      <c r="C2774" s="73"/>
      <c r="D2774" s="668" t="s">
        <v>673</v>
      </c>
      <c r="E2774" s="677">
        <v>50</v>
      </c>
      <c r="F2774" s="667" t="s">
        <v>2479</v>
      </c>
    </row>
    <row r="2775" spans="2:6" ht="12.75" customHeight="1" x14ac:dyDescent="0.2">
      <c r="B2775" s="70"/>
      <c r="C2775" s="73"/>
      <c r="D2775" s="668" t="s">
        <v>674</v>
      </c>
      <c r="E2775" s="677">
        <v>52</v>
      </c>
      <c r="F2775" s="667" t="s">
        <v>2479</v>
      </c>
    </row>
    <row r="2776" spans="2:6" ht="12.75" customHeight="1" x14ac:dyDescent="0.2">
      <c r="B2776" s="70"/>
      <c r="C2776" s="73"/>
      <c r="D2776" s="668" t="s">
        <v>675</v>
      </c>
      <c r="E2776" s="677">
        <v>56</v>
      </c>
      <c r="F2776" s="667" t="s">
        <v>2479</v>
      </c>
    </row>
    <row r="2777" spans="2:6" ht="12.75" customHeight="1" x14ac:dyDescent="0.2">
      <c r="B2777" s="70"/>
      <c r="C2777" s="73"/>
      <c r="D2777" s="668" t="s">
        <v>676</v>
      </c>
      <c r="E2777" s="677">
        <v>60</v>
      </c>
      <c r="F2777" s="667" t="s">
        <v>2479</v>
      </c>
    </row>
    <row r="2778" spans="2:6" ht="12.75" customHeight="1" x14ac:dyDescent="0.2">
      <c r="B2778" s="70"/>
      <c r="C2778" s="73"/>
      <c r="D2778" s="668" t="s">
        <v>677</v>
      </c>
      <c r="E2778" s="677">
        <v>62</v>
      </c>
      <c r="F2778" s="667" t="s">
        <v>2479</v>
      </c>
    </row>
    <row r="2779" spans="2:6" ht="12.75" customHeight="1" x14ac:dyDescent="0.2">
      <c r="B2779" s="70"/>
      <c r="C2779" s="73"/>
      <c r="D2779" s="668" t="s">
        <v>678</v>
      </c>
      <c r="E2779" s="677">
        <v>66</v>
      </c>
      <c r="F2779" s="667" t="s">
        <v>2479</v>
      </c>
    </row>
    <row r="2780" spans="2:6" ht="12.75" customHeight="1" x14ac:dyDescent="0.2">
      <c r="B2780" s="70"/>
      <c r="C2780" s="73"/>
      <c r="D2780" s="668" t="s">
        <v>679</v>
      </c>
      <c r="E2780" s="677">
        <v>70</v>
      </c>
      <c r="F2780" s="667" t="s">
        <v>2479</v>
      </c>
    </row>
    <row r="2781" spans="2:6" ht="12.75" customHeight="1" x14ac:dyDescent="0.2">
      <c r="B2781" s="70"/>
      <c r="C2781" s="73"/>
      <c r="D2781" s="668" t="s">
        <v>680</v>
      </c>
      <c r="E2781" s="677">
        <v>72</v>
      </c>
      <c r="F2781" s="667" t="s">
        <v>2479</v>
      </c>
    </row>
    <row r="2782" spans="2:6" ht="12.75" customHeight="1" x14ac:dyDescent="0.2">
      <c r="B2782" s="70"/>
      <c r="C2782" s="73"/>
      <c r="D2782" s="668" t="s">
        <v>681</v>
      </c>
      <c r="E2782" s="677">
        <v>76</v>
      </c>
      <c r="F2782" s="667" t="s">
        <v>2479</v>
      </c>
    </row>
    <row r="2783" spans="2:6" ht="12.75" customHeight="1" x14ac:dyDescent="0.2">
      <c r="B2783" s="70"/>
      <c r="C2783" s="73"/>
      <c r="D2783" s="668" t="s">
        <v>682</v>
      </c>
      <c r="E2783" s="677">
        <v>80</v>
      </c>
      <c r="F2783" s="667" t="s">
        <v>2479</v>
      </c>
    </row>
    <row r="2784" spans="2:6" ht="12.75" customHeight="1" x14ac:dyDescent="0.2">
      <c r="B2784" s="70"/>
      <c r="C2784" s="73"/>
      <c r="D2784" s="668" t="s">
        <v>683</v>
      </c>
      <c r="E2784" s="677">
        <v>82</v>
      </c>
      <c r="F2784" s="667" t="s">
        <v>2479</v>
      </c>
    </row>
    <row r="2785" spans="2:6" ht="12.75" customHeight="1" x14ac:dyDescent="0.2">
      <c r="B2785" s="70"/>
      <c r="C2785" s="73"/>
      <c r="D2785" s="668" t="s">
        <v>684</v>
      </c>
      <c r="E2785" s="677">
        <v>86</v>
      </c>
      <c r="F2785" s="667" t="s">
        <v>2479</v>
      </c>
    </row>
    <row r="2786" spans="2:6" ht="12.75" customHeight="1" x14ac:dyDescent="0.2">
      <c r="B2786" s="70"/>
      <c r="C2786" s="73"/>
      <c r="D2786" s="668" t="s">
        <v>685</v>
      </c>
      <c r="E2786" s="677">
        <v>90</v>
      </c>
      <c r="F2786" s="667" t="s">
        <v>2479</v>
      </c>
    </row>
    <row r="2787" spans="2:6" ht="12.75" customHeight="1" x14ac:dyDescent="0.2">
      <c r="B2787" s="70"/>
      <c r="C2787" s="73"/>
      <c r="D2787" s="668" t="s">
        <v>686</v>
      </c>
      <c r="E2787" s="677">
        <v>92</v>
      </c>
      <c r="F2787" s="667" t="s">
        <v>2479</v>
      </c>
    </row>
    <row r="2788" spans="2:6" ht="12.75" customHeight="1" x14ac:dyDescent="0.2">
      <c r="B2788" s="70"/>
      <c r="C2788" s="73"/>
      <c r="D2788" s="668" t="s">
        <v>687</v>
      </c>
      <c r="E2788" s="677">
        <v>96</v>
      </c>
      <c r="F2788" s="667" t="s">
        <v>2479</v>
      </c>
    </row>
    <row r="2789" spans="2:6" ht="12.75" customHeight="1" x14ac:dyDescent="0.2">
      <c r="B2789" s="70"/>
      <c r="C2789" s="73"/>
      <c r="D2789" s="668" t="s">
        <v>688</v>
      </c>
      <c r="E2789" s="677">
        <v>100</v>
      </c>
      <c r="F2789" s="667" t="s">
        <v>2479</v>
      </c>
    </row>
    <row r="2790" spans="2:6" ht="12.75" customHeight="1" x14ac:dyDescent="0.2">
      <c r="B2790" s="70"/>
      <c r="C2790" s="73"/>
      <c r="D2790" s="668" t="s">
        <v>689</v>
      </c>
      <c r="E2790" s="677"/>
      <c r="F2790" s="667"/>
    </row>
    <row r="2791" spans="2:6" ht="12.75" customHeight="1" x14ac:dyDescent="0.2">
      <c r="B2791" s="70"/>
      <c r="C2791" s="73"/>
      <c r="D2791" s="668" t="s">
        <v>690</v>
      </c>
      <c r="E2791" s="677">
        <v>2</v>
      </c>
      <c r="F2791" s="667" t="s">
        <v>2575</v>
      </c>
    </row>
    <row r="2792" spans="2:6" ht="12.75" customHeight="1" x14ac:dyDescent="0.2">
      <c r="B2792" s="70"/>
      <c r="C2792" s="73"/>
      <c r="D2792" s="668" t="s">
        <v>691</v>
      </c>
      <c r="E2792" s="677">
        <v>6</v>
      </c>
      <c r="F2792" s="667" t="s">
        <v>2575</v>
      </c>
    </row>
    <row r="2793" spans="2:6" ht="12.75" customHeight="1" x14ac:dyDescent="0.2">
      <c r="B2793" s="70"/>
      <c r="C2793" s="73"/>
      <c r="D2793" s="668" t="s">
        <v>692</v>
      </c>
      <c r="E2793" s="677">
        <v>10</v>
      </c>
      <c r="F2793" s="667" t="s">
        <v>2575</v>
      </c>
    </row>
    <row r="2794" spans="2:6" ht="12.75" customHeight="1" x14ac:dyDescent="0.2">
      <c r="B2794" s="70"/>
      <c r="C2794" s="73"/>
      <c r="D2794" s="668" t="s">
        <v>693</v>
      </c>
      <c r="E2794" s="677">
        <v>12</v>
      </c>
      <c r="F2794" s="667" t="s">
        <v>2575</v>
      </c>
    </row>
    <row r="2795" spans="2:6" ht="12.75" customHeight="1" x14ac:dyDescent="0.2">
      <c r="B2795" s="70"/>
      <c r="C2795" s="73"/>
      <c r="D2795" s="668" t="s">
        <v>694</v>
      </c>
      <c r="E2795" s="677">
        <v>16</v>
      </c>
      <c r="F2795" s="667" t="s">
        <v>2575</v>
      </c>
    </row>
    <row r="2796" spans="2:6" ht="12.75" customHeight="1" x14ac:dyDescent="0.2">
      <c r="B2796" s="70"/>
      <c r="C2796" s="73"/>
      <c r="D2796" s="668" t="s">
        <v>695</v>
      </c>
      <c r="E2796" s="677">
        <v>20</v>
      </c>
      <c r="F2796" s="667" t="s">
        <v>2575</v>
      </c>
    </row>
    <row r="2797" spans="2:6" ht="12.75" customHeight="1" x14ac:dyDescent="0.2">
      <c r="B2797" s="70"/>
      <c r="C2797" s="73"/>
      <c r="D2797" s="668" t="s">
        <v>696</v>
      </c>
      <c r="E2797" s="677">
        <v>22</v>
      </c>
      <c r="F2797" s="667" t="s">
        <v>2575</v>
      </c>
    </row>
    <row r="2798" spans="2:6" ht="12.75" customHeight="1" x14ac:dyDescent="0.2">
      <c r="B2798" s="70"/>
      <c r="C2798" s="73"/>
      <c r="D2798" s="668" t="s">
        <v>697</v>
      </c>
      <c r="E2798" s="677">
        <v>26</v>
      </c>
      <c r="F2798" s="667" t="s">
        <v>2575</v>
      </c>
    </row>
    <row r="2799" spans="2:6" ht="12.75" customHeight="1" x14ac:dyDescent="0.2">
      <c r="B2799" s="70"/>
      <c r="C2799" s="73"/>
      <c r="D2799" s="668" t="s">
        <v>698</v>
      </c>
      <c r="E2799" s="677">
        <v>30</v>
      </c>
      <c r="F2799" s="667" t="s">
        <v>2575</v>
      </c>
    </row>
    <row r="2800" spans="2:6" ht="12.75" customHeight="1" x14ac:dyDescent="0.2">
      <c r="B2800" s="70"/>
      <c r="C2800" s="73"/>
      <c r="D2800" s="668" t="s">
        <v>699</v>
      </c>
      <c r="E2800" s="677">
        <v>32</v>
      </c>
      <c r="F2800" s="667" t="s">
        <v>2575</v>
      </c>
    </row>
    <row r="2801" spans="2:6" ht="12.75" customHeight="1" x14ac:dyDescent="0.2">
      <c r="B2801" s="70"/>
      <c r="C2801" s="73"/>
      <c r="D2801" s="668" t="s">
        <v>700</v>
      </c>
      <c r="E2801" s="677">
        <v>36</v>
      </c>
      <c r="F2801" s="667" t="s">
        <v>2575</v>
      </c>
    </row>
    <row r="2802" spans="2:6" ht="12.75" customHeight="1" x14ac:dyDescent="0.2">
      <c r="B2802" s="70"/>
      <c r="C2802" s="73"/>
      <c r="D2802" s="668" t="s">
        <v>701</v>
      </c>
      <c r="E2802" s="677">
        <v>40</v>
      </c>
      <c r="F2802" s="667" t="s">
        <v>2575</v>
      </c>
    </row>
    <row r="2803" spans="2:6" ht="12.75" customHeight="1" x14ac:dyDescent="0.2">
      <c r="B2803" s="70"/>
      <c r="C2803" s="73"/>
      <c r="D2803" s="668" t="s">
        <v>702</v>
      </c>
      <c r="E2803" s="677">
        <v>42</v>
      </c>
      <c r="F2803" s="667" t="s">
        <v>2575</v>
      </c>
    </row>
    <row r="2804" spans="2:6" ht="12.75" customHeight="1" x14ac:dyDescent="0.2">
      <c r="B2804" s="70"/>
      <c r="C2804" s="73"/>
      <c r="D2804" s="668" t="s">
        <v>703</v>
      </c>
      <c r="E2804" s="677">
        <v>46</v>
      </c>
      <c r="F2804" s="667" t="s">
        <v>2575</v>
      </c>
    </row>
    <row r="2805" spans="2:6" ht="12.75" customHeight="1" x14ac:dyDescent="0.2">
      <c r="B2805" s="70"/>
      <c r="C2805" s="73"/>
      <c r="D2805" s="668" t="s">
        <v>704</v>
      </c>
      <c r="E2805" s="677">
        <v>50</v>
      </c>
      <c r="F2805" s="667" t="s">
        <v>2575</v>
      </c>
    </row>
    <row r="2806" spans="2:6" ht="12.75" customHeight="1" x14ac:dyDescent="0.2">
      <c r="B2806" s="70"/>
      <c r="C2806" s="73"/>
      <c r="D2806" s="668" t="s">
        <v>705</v>
      </c>
      <c r="E2806" s="677">
        <v>52</v>
      </c>
      <c r="F2806" s="667" t="s">
        <v>2575</v>
      </c>
    </row>
    <row r="2807" spans="2:6" ht="12.75" customHeight="1" x14ac:dyDescent="0.2">
      <c r="B2807" s="70"/>
      <c r="C2807" s="73"/>
      <c r="D2807" s="668" t="s">
        <v>706</v>
      </c>
      <c r="E2807" s="677">
        <v>56</v>
      </c>
      <c r="F2807" s="667" t="s">
        <v>2575</v>
      </c>
    </row>
    <row r="2808" spans="2:6" ht="12.75" customHeight="1" x14ac:dyDescent="0.2">
      <c r="B2808" s="70"/>
      <c r="C2808" s="73"/>
      <c r="D2808" s="668" t="s">
        <v>707</v>
      </c>
      <c r="E2808" s="677">
        <v>60</v>
      </c>
      <c r="F2808" s="667" t="s">
        <v>2575</v>
      </c>
    </row>
    <row r="2809" spans="2:6" ht="12.75" customHeight="1" x14ac:dyDescent="0.2">
      <c r="B2809" s="70"/>
      <c r="C2809" s="73"/>
      <c r="D2809" s="668" t="s">
        <v>708</v>
      </c>
      <c r="E2809" s="677">
        <v>62</v>
      </c>
      <c r="F2809" s="667" t="s">
        <v>2575</v>
      </c>
    </row>
    <row r="2810" spans="2:6" ht="12.75" customHeight="1" x14ac:dyDescent="0.2">
      <c r="B2810" s="70"/>
      <c r="C2810" s="73"/>
      <c r="D2810" s="668" t="s">
        <v>709</v>
      </c>
      <c r="E2810" s="677">
        <v>66</v>
      </c>
      <c r="F2810" s="667" t="s">
        <v>2575</v>
      </c>
    </row>
    <row r="2811" spans="2:6" ht="12.75" customHeight="1" x14ac:dyDescent="0.2">
      <c r="B2811" s="70"/>
      <c r="C2811" s="73"/>
      <c r="D2811" s="668" t="s">
        <v>710</v>
      </c>
      <c r="E2811" s="677">
        <v>70</v>
      </c>
      <c r="F2811" s="667" t="s">
        <v>2575</v>
      </c>
    </row>
    <row r="2812" spans="2:6" ht="12.75" customHeight="1" x14ac:dyDescent="0.2">
      <c r="B2812" s="70"/>
      <c r="C2812" s="73"/>
      <c r="D2812" s="668" t="s">
        <v>711</v>
      </c>
      <c r="E2812" s="677">
        <v>72</v>
      </c>
      <c r="F2812" s="667" t="s">
        <v>2575</v>
      </c>
    </row>
    <row r="2813" spans="2:6" ht="12.75" customHeight="1" x14ac:dyDescent="0.2">
      <c r="B2813" s="70"/>
      <c r="C2813" s="73"/>
      <c r="D2813" s="668" t="s">
        <v>712</v>
      </c>
      <c r="E2813" s="677">
        <v>76</v>
      </c>
      <c r="F2813" s="667" t="s">
        <v>2575</v>
      </c>
    </row>
    <row r="2814" spans="2:6" ht="12.75" customHeight="1" x14ac:dyDescent="0.2">
      <c r="B2814" s="70"/>
      <c r="C2814" s="73"/>
      <c r="D2814" s="668" t="s">
        <v>713</v>
      </c>
      <c r="E2814" s="677">
        <v>80</v>
      </c>
      <c r="F2814" s="667" t="s">
        <v>2575</v>
      </c>
    </row>
    <row r="2815" spans="2:6" ht="12.75" customHeight="1" x14ac:dyDescent="0.2">
      <c r="B2815" s="70"/>
      <c r="C2815" s="73"/>
      <c r="D2815" s="668" t="s">
        <v>714</v>
      </c>
      <c r="E2815" s="677">
        <v>82</v>
      </c>
      <c r="F2815" s="667" t="s">
        <v>2575</v>
      </c>
    </row>
    <row r="2816" spans="2:6" ht="12.75" customHeight="1" x14ac:dyDescent="0.2">
      <c r="B2816" s="70"/>
      <c r="C2816" s="73"/>
      <c r="D2816" s="668" t="s">
        <v>715</v>
      </c>
      <c r="E2816" s="677">
        <v>86</v>
      </c>
      <c r="F2816" s="667" t="s">
        <v>2575</v>
      </c>
    </row>
    <row r="2817" spans="2:6" ht="12.75" customHeight="1" x14ac:dyDescent="0.2">
      <c r="B2817" s="70"/>
      <c r="C2817" s="73"/>
      <c r="D2817" s="668" t="s">
        <v>716</v>
      </c>
      <c r="E2817" s="677">
        <v>90</v>
      </c>
      <c r="F2817" s="667" t="s">
        <v>2575</v>
      </c>
    </row>
    <row r="2818" spans="2:6" ht="12.75" customHeight="1" x14ac:dyDescent="0.2">
      <c r="B2818" s="70"/>
      <c r="C2818" s="73"/>
      <c r="D2818" s="668" t="s">
        <v>717</v>
      </c>
      <c r="E2818" s="677">
        <v>92</v>
      </c>
      <c r="F2818" s="667" t="s">
        <v>2575</v>
      </c>
    </row>
    <row r="2819" spans="2:6" ht="12.75" customHeight="1" x14ac:dyDescent="0.2">
      <c r="B2819" s="70"/>
      <c r="C2819" s="73"/>
      <c r="D2819" s="668" t="s">
        <v>718</v>
      </c>
      <c r="E2819" s="677">
        <v>96</v>
      </c>
      <c r="F2819" s="667" t="s">
        <v>2575</v>
      </c>
    </row>
    <row r="2820" spans="2:6" ht="12.75" customHeight="1" x14ac:dyDescent="0.2">
      <c r="B2820" s="70"/>
      <c r="C2820" s="73"/>
      <c r="D2820" s="668" t="s">
        <v>719</v>
      </c>
      <c r="E2820" s="677">
        <v>100</v>
      </c>
      <c r="F2820" s="667" t="s">
        <v>2575</v>
      </c>
    </row>
    <row r="2821" spans="2:6" ht="12.75" customHeight="1" x14ac:dyDescent="0.2">
      <c r="B2821" s="70"/>
      <c r="C2821" s="73"/>
      <c r="D2821" s="668" t="s">
        <v>720</v>
      </c>
      <c r="E2821" s="677"/>
      <c r="F2821" s="667"/>
    </row>
    <row r="2822" spans="2:6" ht="12.75" customHeight="1" x14ac:dyDescent="0.2">
      <c r="B2822" s="70"/>
      <c r="C2822" s="73"/>
      <c r="D2822" s="668" t="s">
        <v>721</v>
      </c>
      <c r="E2822" s="677">
        <v>2</v>
      </c>
      <c r="F2822" s="667" t="s">
        <v>2580</v>
      </c>
    </row>
    <row r="2823" spans="2:6" ht="12.75" customHeight="1" x14ac:dyDescent="0.2">
      <c r="B2823" s="70"/>
      <c r="C2823" s="73"/>
      <c r="D2823" s="668" t="s">
        <v>722</v>
      </c>
      <c r="E2823" s="677">
        <v>6</v>
      </c>
      <c r="F2823" s="667" t="s">
        <v>2580</v>
      </c>
    </row>
    <row r="2824" spans="2:6" ht="12.75" customHeight="1" x14ac:dyDescent="0.2">
      <c r="B2824" s="70"/>
      <c r="C2824" s="73"/>
      <c r="D2824" s="668" t="s">
        <v>723</v>
      </c>
      <c r="E2824" s="677">
        <v>10</v>
      </c>
      <c r="F2824" s="667" t="s">
        <v>2580</v>
      </c>
    </row>
    <row r="2825" spans="2:6" ht="12.75" customHeight="1" x14ac:dyDescent="0.2">
      <c r="B2825" s="70"/>
      <c r="C2825" s="73"/>
      <c r="D2825" s="668" t="s">
        <v>724</v>
      </c>
      <c r="E2825" s="677">
        <v>12</v>
      </c>
      <c r="F2825" s="667" t="s">
        <v>2580</v>
      </c>
    </row>
    <row r="2826" spans="2:6" ht="12.75" customHeight="1" x14ac:dyDescent="0.2">
      <c r="B2826" s="70"/>
      <c r="C2826" s="73"/>
      <c r="D2826" s="668" t="s">
        <v>725</v>
      </c>
      <c r="E2826" s="677">
        <v>16</v>
      </c>
      <c r="F2826" s="667" t="s">
        <v>2580</v>
      </c>
    </row>
    <row r="2827" spans="2:6" ht="12.75" customHeight="1" x14ac:dyDescent="0.2">
      <c r="B2827" s="70"/>
      <c r="C2827" s="73"/>
      <c r="D2827" s="668" t="s">
        <v>726</v>
      </c>
      <c r="E2827" s="677">
        <v>20</v>
      </c>
      <c r="F2827" s="667" t="s">
        <v>2580</v>
      </c>
    </row>
    <row r="2828" spans="2:6" ht="12.75" customHeight="1" x14ac:dyDescent="0.2">
      <c r="B2828" s="70"/>
      <c r="C2828" s="73"/>
      <c r="D2828" s="668" t="s">
        <v>727</v>
      </c>
      <c r="E2828" s="677">
        <v>22</v>
      </c>
      <c r="F2828" s="667" t="s">
        <v>2580</v>
      </c>
    </row>
    <row r="2829" spans="2:6" ht="12.75" customHeight="1" x14ac:dyDescent="0.2">
      <c r="B2829" s="70"/>
      <c r="C2829" s="73"/>
      <c r="D2829" s="668" t="s">
        <v>728</v>
      </c>
      <c r="E2829" s="677">
        <v>26</v>
      </c>
      <c r="F2829" s="667" t="s">
        <v>2580</v>
      </c>
    </row>
    <row r="2830" spans="2:6" ht="12.75" customHeight="1" x14ac:dyDescent="0.2">
      <c r="B2830" s="70"/>
      <c r="C2830" s="73"/>
      <c r="D2830" s="668" t="s">
        <v>729</v>
      </c>
      <c r="E2830" s="677">
        <v>30</v>
      </c>
      <c r="F2830" s="667" t="s">
        <v>2580</v>
      </c>
    </row>
    <row r="2831" spans="2:6" ht="12.75" customHeight="1" x14ac:dyDescent="0.2">
      <c r="B2831" s="70"/>
      <c r="C2831" s="73"/>
      <c r="D2831" s="668" t="s">
        <v>730</v>
      </c>
      <c r="E2831" s="677">
        <v>32</v>
      </c>
      <c r="F2831" s="667" t="s">
        <v>2580</v>
      </c>
    </row>
    <row r="2832" spans="2:6" ht="12.75" customHeight="1" x14ac:dyDescent="0.2">
      <c r="B2832" s="70"/>
      <c r="C2832" s="73"/>
      <c r="D2832" s="668" t="s">
        <v>731</v>
      </c>
      <c r="E2832" s="677">
        <v>36</v>
      </c>
      <c r="F2832" s="667" t="s">
        <v>2580</v>
      </c>
    </row>
    <row r="2833" spans="2:6" ht="12.75" customHeight="1" x14ac:dyDescent="0.2">
      <c r="B2833" s="70"/>
      <c r="C2833" s="73"/>
      <c r="D2833" s="668" t="s">
        <v>732</v>
      </c>
      <c r="E2833" s="677">
        <v>40</v>
      </c>
      <c r="F2833" s="667" t="s">
        <v>2580</v>
      </c>
    </row>
    <row r="2834" spans="2:6" ht="12.75" customHeight="1" x14ac:dyDescent="0.2">
      <c r="B2834" s="70"/>
      <c r="C2834" s="73"/>
      <c r="D2834" s="668" t="s">
        <v>733</v>
      </c>
      <c r="E2834" s="677">
        <v>42</v>
      </c>
      <c r="F2834" s="667" t="s">
        <v>2580</v>
      </c>
    </row>
    <row r="2835" spans="2:6" ht="12.75" customHeight="1" x14ac:dyDescent="0.2">
      <c r="B2835" s="70"/>
      <c r="C2835" s="73"/>
      <c r="D2835" s="668" t="s">
        <v>734</v>
      </c>
      <c r="E2835" s="677">
        <v>46</v>
      </c>
      <c r="F2835" s="667" t="s">
        <v>2580</v>
      </c>
    </row>
    <row r="2836" spans="2:6" ht="12.75" customHeight="1" x14ac:dyDescent="0.2">
      <c r="B2836" s="70"/>
      <c r="C2836" s="73"/>
      <c r="D2836" s="668" t="s">
        <v>735</v>
      </c>
      <c r="E2836" s="677">
        <v>50</v>
      </c>
      <c r="F2836" s="667" t="s">
        <v>2580</v>
      </c>
    </row>
    <row r="2837" spans="2:6" ht="12.75" customHeight="1" x14ac:dyDescent="0.2">
      <c r="B2837" s="70"/>
      <c r="C2837" s="73"/>
      <c r="D2837" s="668" t="s">
        <v>736</v>
      </c>
      <c r="E2837" s="677">
        <v>52</v>
      </c>
      <c r="F2837" s="667" t="s">
        <v>2580</v>
      </c>
    </row>
    <row r="2838" spans="2:6" ht="12.75" customHeight="1" x14ac:dyDescent="0.2">
      <c r="B2838" s="70"/>
      <c r="C2838" s="73"/>
      <c r="D2838" s="668" t="s">
        <v>737</v>
      </c>
      <c r="E2838" s="677">
        <v>56</v>
      </c>
      <c r="F2838" s="667" t="s">
        <v>2580</v>
      </c>
    </row>
    <row r="2839" spans="2:6" ht="12.75" customHeight="1" x14ac:dyDescent="0.2">
      <c r="B2839" s="70"/>
      <c r="C2839" s="73"/>
      <c r="D2839" s="668" t="s">
        <v>738</v>
      </c>
      <c r="E2839" s="677">
        <v>60</v>
      </c>
      <c r="F2839" s="667" t="s">
        <v>2580</v>
      </c>
    </row>
    <row r="2840" spans="2:6" ht="12.75" customHeight="1" x14ac:dyDescent="0.2">
      <c r="B2840" s="70"/>
      <c r="C2840" s="73"/>
      <c r="D2840" s="668" t="s">
        <v>739</v>
      </c>
      <c r="E2840" s="677">
        <v>62</v>
      </c>
      <c r="F2840" s="667" t="s">
        <v>2580</v>
      </c>
    </row>
    <row r="2841" spans="2:6" ht="12.75" customHeight="1" x14ac:dyDescent="0.2">
      <c r="B2841" s="70"/>
      <c r="C2841" s="73"/>
      <c r="D2841" s="668" t="s">
        <v>740</v>
      </c>
      <c r="E2841" s="677">
        <v>66</v>
      </c>
      <c r="F2841" s="667" t="s">
        <v>2580</v>
      </c>
    </row>
    <row r="2842" spans="2:6" ht="12.75" customHeight="1" x14ac:dyDescent="0.2">
      <c r="B2842" s="70"/>
      <c r="C2842" s="73"/>
      <c r="D2842" s="668" t="s">
        <v>741</v>
      </c>
      <c r="E2842" s="677">
        <v>70</v>
      </c>
      <c r="F2842" s="667" t="s">
        <v>2580</v>
      </c>
    </row>
    <row r="2843" spans="2:6" ht="12.75" customHeight="1" x14ac:dyDescent="0.2">
      <c r="B2843" s="70"/>
      <c r="C2843" s="73"/>
      <c r="D2843" s="668" t="s">
        <v>742</v>
      </c>
      <c r="E2843" s="677">
        <v>72</v>
      </c>
      <c r="F2843" s="667" t="s">
        <v>2580</v>
      </c>
    </row>
    <row r="2844" spans="2:6" ht="12.75" customHeight="1" x14ac:dyDescent="0.2">
      <c r="B2844" s="70"/>
      <c r="C2844" s="73"/>
      <c r="D2844" s="668" t="s">
        <v>743</v>
      </c>
      <c r="E2844" s="677">
        <v>76</v>
      </c>
      <c r="F2844" s="667" t="s">
        <v>2580</v>
      </c>
    </row>
    <row r="2845" spans="2:6" ht="12.75" customHeight="1" x14ac:dyDescent="0.2">
      <c r="B2845" s="70"/>
      <c r="C2845" s="73"/>
      <c r="D2845" s="668" t="s">
        <v>744</v>
      </c>
      <c r="E2845" s="677">
        <v>80</v>
      </c>
      <c r="F2845" s="667" t="s">
        <v>2580</v>
      </c>
    </row>
    <row r="2846" spans="2:6" ht="12.75" customHeight="1" x14ac:dyDescent="0.2">
      <c r="B2846" s="70"/>
      <c r="C2846" s="73"/>
      <c r="D2846" s="668" t="s">
        <v>745</v>
      </c>
      <c r="E2846" s="677">
        <v>82</v>
      </c>
      <c r="F2846" s="667" t="s">
        <v>2580</v>
      </c>
    </row>
    <row r="2847" spans="2:6" ht="12.75" customHeight="1" x14ac:dyDescent="0.2">
      <c r="B2847" s="70"/>
      <c r="C2847" s="73"/>
      <c r="D2847" s="668" t="s">
        <v>746</v>
      </c>
      <c r="E2847" s="677">
        <v>86</v>
      </c>
      <c r="F2847" s="667" t="s">
        <v>2580</v>
      </c>
    </row>
    <row r="2848" spans="2:6" ht="12.75" customHeight="1" x14ac:dyDescent="0.2">
      <c r="B2848" s="70"/>
      <c r="C2848" s="73"/>
      <c r="D2848" s="668" t="s">
        <v>747</v>
      </c>
      <c r="E2848" s="677">
        <v>90</v>
      </c>
      <c r="F2848" s="667" t="s">
        <v>2580</v>
      </c>
    </row>
    <row r="2849" spans="2:6" ht="12.75" customHeight="1" x14ac:dyDescent="0.2">
      <c r="B2849" s="70"/>
      <c r="C2849" s="73"/>
      <c r="D2849" s="668" t="s">
        <v>748</v>
      </c>
      <c r="E2849" s="677">
        <v>92</v>
      </c>
      <c r="F2849" s="667" t="s">
        <v>2580</v>
      </c>
    </row>
    <row r="2850" spans="2:6" ht="12.75" customHeight="1" x14ac:dyDescent="0.2">
      <c r="B2850" s="70"/>
      <c r="C2850" s="73"/>
      <c r="D2850" s="668" t="s">
        <v>749</v>
      </c>
      <c r="E2850" s="677">
        <v>96</v>
      </c>
      <c r="F2850" s="667" t="s">
        <v>2580</v>
      </c>
    </row>
    <row r="2851" spans="2:6" ht="12.75" customHeight="1" x14ac:dyDescent="0.2">
      <c r="B2851" s="70"/>
      <c r="C2851" s="73"/>
      <c r="D2851" s="668" t="s">
        <v>750</v>
      </c>
      <c r="E2851" s="677">
        <v>100</v>
      </c>
      <c r="F2851" s="667" t="s">
        <v>2580</v>
      </c>
    </row>
    <row r="2852" spans="2:6" ht="12.75" customHeight="1" x14ac:dyDescent="0.2">
      <c r="B2852" s="70"/>
      <c r="C2852" s="73"/>
      <c r="D2852" s="668" t="s">
        <v>751</v>
      </c>
      <c r="E2852" s="677"/>
      <c r="F2852" s="667"/>
    </row>
    <row r="2853" spans="2:6" ht="12.75" customHeight="1" x14ac:dyDescent="0.2">
      <c r="B2853" s="70"/>
      <c r="C2853" s="73"/>
      <c r="D2853" s="668" t="s">
        <v>752</v>
      </c>
      <c r="E2853" s="677">
        <v>2</v>
      </c>
      <c r="F2853" s="667" t="s">
        <v>753</v>
      </c>
    </row>
    <row r="2854" spans="2:6" ht="12.75" customHeight="1" x14ac:dyDescent="0.2">
      <c r="B2854" s="70"/>
      <c r="C2854" s="73"/>
      <c r="D2854" s="668" t="s">
        <v>754</v>
      </c>
      <c r="E2854" s="677">
        <v>6</v>
      </c>
      <c r="F2854" s="667" t="s">
        <v>753</v>
      </c>
    </row>
    <row r="2855" spans="2:6" ht="12.75" customHeight="1" x14ac:dyDescent="0.2">
      <c r="B2855" s="70"/>
      <c r="C2855" s="73"/>
      <c r="D2855" s="668" t="s">
        <v>755</v>
      </c>
      <c r="E2855" s="677">
        <v>10</v>
      </c>
      <c r="F2855" s="667" t="s">
        <v>753</v>
      </c>
    </row>
    <row r="2856" spans="2:6" ht="12.75" customHeight="1" x14ac:dyDescent="0.2">
      <c r="B2856" s="70"/>
      <c r="C2856" s="73"/>
      <c r="D2856" s="668" t="s">
        <v>756</v>
      </c>
      <c r="E2856" s="677">
        <v>12</v>
      </c>
      <c r="F2856" s="667" t="s">
        <v>753</v>
      </c>
    </row>
    <row r="2857" spans="2:6" ht="12.75" customHeight="1" x14ac:dyDescent="0.2">
      <c r="B2857" s="70"/>
      <c r="C2857" s="73"/>
      <c r="D2857" s="668" t="s">
        <v>757</v>
      </c>
      <c r="E2857" s="677">
        <v>16</v>
      </c>
      <c r="F2857" s="667" t="s">
        <v>753</v>
      </c>
    </row>
    <row r="2858" spans="2:6" ht="12.75" customHeight="1" x14ac:dyDescent="0.2">
      <c r="B2858" s="70"/>
      <c r="C2858" s="73"/>
      <c r="D2858" s="668" t="s">
        <v>758</v>
      </c>
      <c r="E2858" s="677">
        <v>20</v>
      </c>
      <c r="F2858" s="667" t="s">
        <v>753</v>
      </c>
    </row>
    <row r="2859" spans="2:6" ht="12.75" customHeight="1" x14ac:dyDescent="0.2">
      <c r="B2859" s="70"/>
      <c r="C2859" s="73"/>
      <c r="D2859" s="668" t="s">
        <v>759</v>
      </c>
      <c r="E2859" s="677">
        <v>22</v>
      </c>
      <c r="F2859" s="667" t="s">
        <v>753</v>
      </c>
    </row>
    <row r="2860" spans="2:6" ht="12.75" customHeight="1" x14ac:dyDescent="0.2">
      <c r="B2860" s="70"/>
      <c r="C2860" s="73"/>
      <c r="D2860" s="668" t="s">
        <v>760</v>
      </c>
      <c r="E2860" s="677">
        <v>26</v>
      </c>
      <c r="F2860" s="667" t="s">
        <v>753</v>
      </c>
    </row>
    <row r="2861" spans="2:6" ht="12.75" customHeight="1" x14ac:dyDescent="0.2">
      <c r="B2861" s="70"/>
      <c r="C2861" s="73"/>
      <c r="D2861" s="668" t="s">
        <v>761</v>
      </c>
      <c r="E2861" s="677">
        <v>30</v>
      </c>
      <c r="F2861" s="667" t="s">
        <v>753</v>
      </c>
    </row>
    <row r="2862" spans="2:6" ht="12.75" customHeight="1" x14ac:dyDescent="0.2">
      <c r="B2862" s="70"/>
      <c r="C2862" s="73"/>
      <c r="D2862" s="668" t="s">
        <v>762</v>
      </c>
      <c r="E2862" s="677">
        <v>32</v>
      </c>
      <c r="F2862" s="667" t="s">
        <v>753</v>
      </c>
    </row>
    <row r="2863" spans="2:6" ht="12.75" customHeight="1" x14ac:dyDescent="0.2">
      <c r="B2863" s="70"/>
      <c r="C2863" s="73"/>
      <c r="D2863" s="668" t="s">
        <v>763</v>
      </c>
      <c r="E2863" s="677">
        <v>36</v>
      </c>
      <c r="F2863" s="667" t="s">
        <v>753</v>
      </c>
    </row>
    <row r="2864" spans="2:6" ht="12.75" customHeight="1" x14ac:dyDescent="0.2">
      <c r="B2864" s="70"/>
      <c r="C2864" s="73"/>
      <c r="D2864" s="668" t="s">
        <v>764</v>
      </c>
      <c r="E2864" s="677">
        <v>40</v>
      </c>
      <c r="F2864" s="667" t="s">
        <v>753</v>
      </c>
    </row>
    <row r="2865" spans="2:6" ht="12.75" customHeight="1" x14ac:dyDescent="0.2">
      <c r="B2865" s="70"/>
      <c r="C2865" s="73"/>
      <c r="D2865" s="668" t="s">
        <v>765</v>
      </c>
      <c r="E2865" s="677">
        <v>42</v>
      </c>
      <c r="F2865" s="667" t="s">
        <v>753</v>
      </c>
    </row>
    <row r="2866" spans="2:6" ht="12.75" customHeight="1" x14ac:dyDescent="0.2">
      <c r="B2866" s="70"/>
      <c r="C2866" s="73"/>
      <c r="D2866" s="668" t="s">
        <v>766</v>
      </c>
      <c r="E2866" s="677">
        <v>46</v>
      </c>
      <c r="F2866" s="667" t="s">
        <v>753</v>
      </c>
    </row>
    <row r="2867" spans="2:6" ht="12.75" customHeight="1" x14ac:dyDescent="0.2">
      <c r="B2867" s="70"/>
      <c r="C2867" s="73"/>
      <c r="D2867" s="668" t="s">
        <v>767</v>
      </c>
      <c r="E2867" s="677">
        <v>50</v>
      </c>
      <c r="F2867" s="667" t="s">
        <v>753</v>
      </c>
    </row>
    <row r="2868" spans="2:6" ht="12.75" customHeight="1" x14ac:dyDescent="0.2">
      <c r="B2868" s="70"/>
      <c r="C2868" s="73"/>
      <c r="D2868" s="668" t="s">
        <v>768</v>
      </c>
      <c r="E2868" s="677">
        <v>52</v>
      </c>
      <c r="F2868" s="667" t="s">
        <v>753</v>
      </c>
    </row>
    <row r="2869" spans="2:6" ht="12.75" customHeight="1" x14ac:dyDescent="0.2">
      <c r="B2869" s="70"/>
      <c r="C2869" s="73"/>
      <c r="D2869" s="668" t="s">
        <v>769</v>
      </c>
      <c r="E2869" s="677">
        <v>56</v>
      </c>
      <c r="F2869" s="667" t="s">
        <v>753</v>
      </c>
    </row>
    <row r="2870" spans="2:6" ht="12.75" customHeight="1" x14ac:dyDescent="0.2">
      <c r="B2870" s="70"/>
      <c r="C2870" s="73"/>
      <c r="D2870" s="668" t="s">
        <v>770</v>
      </c>
      <c r="E2870" s="677">
        <v>60</v>
      </c>
      <c r="F2870" s="667" t="s">
        <v>753</v>
      </c>
    </row>
    <row r="2871" spans="2:6" ht="12.75" customHeight="1" x14ac:dyDescent="0.2">
      <c r="B2871" s="70"/>
      <c r="C2871" s="73"/>
      <c r="D2871" s="668" t="s">
        <v>771</v>
      </c>
      <c r="E2871" s="677">
        <v>62</v>
      </c>
      <c r="F2871" s="667" t="s">
        <v>753</v>
      </c>
    </row>
    <row r="2872" spans="2:6" ht="12.75" customHeight="1" x14ac:dyDescent="0.2">
      <c r="B2872" s="70"/>
      <c r="C2872" s="73"/>
      <c r="D2872" s="668" t="s">
        <v>772</v>
      </c>
      <c r="E2872" s="677">
        <v>66</v>
      </c>
      <c r="F2872" s="667" t="s">
        <v>753</v>
      </c>
    </row>
    <row r="2873" spans="2:6" ht="12.75" customHeight="1" x14ac:dyDescent="0.2">
      <c r="B2873" s="70"/>
      <c r="C2873" s="73"/>
      <c r="D2873" s="668" t="s">
        <v>773</v>
      </c>
      <c r="E2873" s="677">
        <v>70</v>
      </c>
      <c r="F2873" s="667" t="s">
        <v>753</v>
      </c>
    </row>
    <row r="2874" spans="2:6" ht="12.75" customHeight="1" x14ac:dyDescent="0.2">
      <c r="B2874" s="70"/>
      <c r="C2874" s="73"/>
      <c r="D2874" s="668" t="s">
        <v>774</v>
      </c>
      <c r="E2874" s="677">
        <v>72</v>
      </c>
      <c r="F2874" s="667" t="s">
        <v>753</v>
      </c>
    </row>
    <row r="2875" spans="2:6" ht="12.75" customHeight="1" x14ac:dyDescent="0.2">
      <c r="B2875" s="70"/>
      <c r="C2875" s="73"/>
      <c r="D2875" s="668" t="s">
        <v>775</v>
      </c>
      <c r="E2875" s="677">
        <v>76</v>
      </c>
      <c r="F2875" s="667" t="s">
        <v>753</v>
      </c>
    </row>
    <row r="2876" spans="2:6" ht="12.75" customHeight="1" x14ac:dyDescent="0.2">
      <c r="B2876" s="70"/>
      <c r="C2876" s="73"/>
      <c r="D2876" s="668" t="s">
        <v>776</v>
      </c>
      <c r="E2876" s="677">
        <v>80</v>
      </c>
      <c r="F2876" s="667" t="s">
        <v>753</v>
      </c>
    </row>
    <row r="2877" spans="2:6" ht="12.75" customHeight="1" x14ac:dyDescent="0.2">
      <c r="B2877" s="70"/>
      <c r="C2877" s="73"/>
      <c r="D2877" s="668" t="s">
        <v>777</v>
      </c>
      <c r="E2877" s="677">
        <v>82</v>
      </c>
      <c r="F2877" s="667" t="s">
        <v>753</v>
      </c>
    </row>
    <row r="2878" spans="2:6" ht="12.75" customHeight="1" x14ac:dyDescent="0.2">
      <c r="B2878" s="70"/>
      <c r="C2878" s="73"/>
      <c r="D2878" s="668" t="s">
        <v>778</v>
      </c>
      <c r="E2878" s="677">
        <v>86</v>
      </c>
      <c r="F2878" s="667" t="s">
        <v>753</v>
      </c>
    </row>
    <row r="2879" spans="2:6" ht="12.75" customHeight="1" x14ac:dyDescent="0.2">
      <c r="B2879" s="70"/>
      <c r="C2879" s="73"/>
      <c r="D2879" s="668" t="s">
        <v>779</v>
      </c>
      <c r="E2879" s="677">
        <v>90</v>
      </c>
      <c r="F2879" s="667" t="s">
        <v>753</v>
      </c>
    </row>
    <row r="2880" spans="2:6" ht="12.75" customHeight="1" x14ac:dyDescent="0.2">
      <c r="B2880" s="70"/>
      <c r="C2880" s="73"/>
      <c r="D2880" s="668" t="s">
        <v>780</v>
      </c>
      <c r="E2880" s="677">
        <v>92</v>
      </c>
      <c r="F2880" s="667" t="s">
        <v>753</v>
      </c>
    </row>
    <row r="2881" spans="2:6" ht="12.75" customHeight="1" x14ac:dyDescent="0.2">
      <c r="B2881" s="70"/>
      <c r="C2881" s="73"/>
      <c r="D2881" s="668" t="s">
        <v>781</v>
      </c>
      <c r="E2881" s="677">
        <v>96</v>
      </c>
      <c r="F2881" s="667" t="s">
        <v>753</v>
      </c>
    </row>
    <row r="2882" spans="2:6" ht="12.75" customHeight="1" x14ac:dyDescent="0.2">
      <c r="B2882" s="70"/>
      <c r="C2882" s="73"/>
      <c r="D2882" s="668" t="s">
        <v>782</v>
      </c>
      <c r="E2882" s="677">
        <v>100</v>
      </c>
      <c r="F2882" s="667" t="s">
        <v>753</v>
      </c>
    </row>
    <row r="2883" spans="2:6" ht="12.75" customHeight="1" x14ac:dyDescent="0.2">
      <c r="B2883" s="70"/>
      <c r="C2883" s="73"/>
      <c r="D2883" s="668" t="s">
        <v>783</v>
      </c>
      <c r="E2883" s="677"/>
      <c r="F2883" s="667"/>
    </row>
    <row r="2884" spans="2:6" ht="12.75" customHeight="1" x14ac:dyDescent="0.2">
      <c r="B2884" s="70"/>
      <c r="C2884" s="73"/>
      <c r="D2884" s="668" t="s">
        <v>784</v>
      </c>
      <c r="E2884" s="677">
        <v>2</v>
      </c>
      <c r="F2884" s="667" t="s">
        <v>2584</v>
      </c>
    </row>
    <row r="2885" spans="2:6" ht="12.75" customHeight="1" x14ac:dyDescent="0.2">
      <c r="B2885" s="70"/>
      <c r="C2885" s="73"/>
      <c r="D2885" s="668" t="s">
        <v>785</v>
      </c>
      <c r="E2885" s="677">
        <v>6</v>
      </c>
      <c r="F2885" s="667" t="s">
        <v>2584</v>
      </c>
    </row>
    <row r="2886" spans="2:6" ht="12.75" customHeight="1" x14ac:dyDescent="0.2">
      <c r="B2886" s="70"/>
      <c r="C2886" s="73"/>
      <c r="D2886" s="668" t="s">
        <v>786</v>
      </c>
      <c r="E2886" s="677">
        <v>8</v>
      </c>
      <c r="F2886" s="667" t="s">
        <v>2584</v>
      </c>
    </row>
    <row r="2887" spans="2:6" ht="12.75" customHeight="1" x14ac:dyDescent="0.2">
      <c r="B2887" s="70"/>
      <c r="C2887" s="73"/>
      <c r="D2887" s="668" t="s">
        <v>787</v>
      </c>
      <c r="E2887" s="677">
        <v>10</v>
      </c>
      <c r="F2887" s="667" t="s">
        <v>2584</v>
      </c>
    </row>
    <row r="2888" spans="2:6" ht="12.75" customHeight="1" x14ac:dyDescent="0.2">
      <c r="B2888" s="70"/>
      <c r="C2888" s="73"/>
      <c r="D2888" s="668" t="s">
        <v>788</v>
      </c>
      <c r="E2888" s="677">
        <v>12</v>
      </c>
      <c r="F2888" s="667" t="s">
        <v>2584</v>
      </c>
    </row>
    <row r="2889" spans="2:6" ht="12.75" customHeight="1" x14ac:dyDescent="0.2">
      <c r="B2889" s="70"/>
      <c r="C2889" s="73"/>
      <c r="D2889" s="668" t="s">
        <v>789</v>
      </c>
      <c r="E2889" s="677">
        <v>16</v>
      </c>
      <c r="F2889" s="667" t="s">
        <v>2584</v>
      </c>
    </row>
    <row r="2890" spans="2:6" ht="12.75" customHeight="1" x14ac:dyDescent="0.2">
      <c r="B2890" s="70"/>
      <c r="C2890" s="73"/>
      <c r="D2890" s="668" t="s">
        <v>790</v>
      </c>
      <c r="E2890" s="677">
        <v>18</v>
      </c>
      <c r="F2890" s="667" t="s">
        <v>2584</v>
      </c>
    </row>
    <row r="2891" spans="2:6" ht="12.75" customHeight="1" x14ac:dyDescent="0.2">
      <c r="B2891" s="70"/>
      <c r="C2891" s="73"/>
      <c r="D2891" s="668" t="s">
        <v>791</v>
      </c>
      <c r="E2891" s="677">
        <v>20</v>
      </c>
      <c r="F2891" s="667" t="s">
        <v>2584</v>
      </c>
    </row>
    <row r="2892" spans="2:6" ht="12.75" customHeight="1" x14ac:dyDescent="0.2">
      <c r="B2892" s="70"/>
      <c r="C2892" s="73"/>
      <c r="D2892" s="668" t="s">
        <v>792</v>
      </c>
      <c r="E2892" s="677">
        <v>22</v>
      </c>
      <c r="F2892" s="667" t="s">
        <v>2584</v>
      </c>
    </row>
    <row r="2893" spans="2:6" ht="12.75" customHeight="1" x14ac:dyDescent="0.2">
      <c r="B2893" s="70"/>
      <c r="C2893" s="73"/>
      <c r="D2893" s="668" t="s">
        <v>793</v>
      </c>
      <c r="E2893" s="677">
        <v>26</v>
      </c>
      <c r="F2893" s="667" t="s">
        <v>2584</v>
      </c>
    </row>
    <row r="2894" spans="2:6" ht="12.75" customHeight="1" x14ac:dyDescent="0.2">
      <c r="B2894" s="70"/>
      <c r="C2894" s="73"/>
      <c r="D2894" s="668" t="s">
        <v>794</v>
      </c>
      <c r="E2894" s="677">
        <v>28</v>
      </c>
      <c r="F2894" s="667" t="s">
        <v>2584</v>
      </c>
    </row>
    <row r="2895" spans="2:6" ht="12.75" customHeight="1" x14ac:dyDescent="0.2">
      <c r="B2895" s="70"/>
      <c r="C2895" s="73"/>
      <c r="D2895" s="668" t="s">
        <v>795</v>
      </c>
      <c r="E2895" s="677">
        <v>30</v>
      </c>
      <c r="F2895" s="667" t="s">
        <v>2584</v>
      </c>
    </row>
    <row r="2896" spans="2:6" ht="12.75" customHeight="1" x14ac:dyDescent="0.2">
      <c r="B2896" s="70"/>
      <c r="C2896" s="73"/>
      <c r="D2896" s="668" t="s">
        <v>796</v>
      </c>
      <c r="E2896" s="677">
        <v>32</v>
      </c>
      <c r="F2896" s="667" t="s">
        <v>2584</v>
      </c>
    </row>
    <row r="2897" spans="2:6" ht="12.75" customHeight="1" x14ac:dyDescent="0.2">
      <c r="B2897" s="70"/>
      <c r="C2897" s="73"/>
      <c r="D2897" s="668" t="s">
        <v>797</v>
      </c>
      <c r="E2897" s="677">
        <v>36</v>
      </c>
      <c r="F2897" s="667" t="s">
        <v>2584</v>
      </c>
    </row>
    <row r="2898" spans="2:6" ht="12.75" customHeight="1" x14ac:dyDescent="0.2">
      <c r="B2898" s="70"/>
      <c r="C2898" s="73"/>
      <c r="D2898" s="668" t="s">
        <v>798</v>
      </c>
      <c r="E2898" s="677">
        <v>38</v>
      </c>
      <c r="F2898" s="667" t="s">
        <v>2584</v>
      </c>
    </row>
    <row r="2899" spans="2:6" ht="12.75" customHeight="1" x14ac:dyDescent="0.2">
      <c r="B2899" s="70"/>
      <c r="C2899" s="73"/>
      <c r="D2899" s="668" t="s">
        <v>799</v>
      </c>
      <c r="E2899" s="677">
        <v>40</v>
      </c>
      <c r="F2899" s="667" t="s">
        <v>2584</v>
      </c>
    </row>
    <row r="2900" spans="2:6" ht="12.75" customHeight="1" x14ac:dyDescent="0.2">
      <c r="B2900" s="70"/>
      <c r="C2900" s="73"/>
      <c r="D2900" s="668" t="s">
        <v>800</v>
      </c>
      <c r="E2900" s="677">
        <v>42</v>
      </c>
      <c r="F2900" s="667" t="s">
        <v>2584</v>
      </c>
    </row>
    <row r="2901" spans="2:6" ht="12.75" customHeight="1" x14ac:dyDescent="0.2">
      <c r="B2901" s="70"/>
      <c r="C2901" s="73"/>
      <c r="D2901" s="668" t="s">
        <v>801</v>
      </c>
      <c r="E2901" s="677">
        <v>46</v>
      </c>
      <c r="F2901" s="667" t="s">
        <v>2584</v>
      </c>
    </row>
    <row r="2902" spans="2:6" ht="12.75" customHeight="1" x14ac:dyDescent="0.2">
      <c r="B2902" s="70"/>
      <c r="C2902" s="73"/>
      <c r="D2902" s="668" t="s">
        <v>802</v>
      </c>
      <c r="E2902" s="677">
        <v>48</v>
      </c>
      <c r="F2902" s="667" t="s">
        <v>2584</v>
      </c>
    </row>
    <row r="2903" spans="2:6" ht="12.75" customHeight="1" x14ac:dyDescent="0.2">
      <c r="B2903" s="70"/>
      <c r="C2903" s="73"/>
      <c r="D2903" s="668" t="s">
        <v>803</v>
      </c>
      <c r="E2903" s="677">
        <v>50</v>
      </c>
      <c r="F2903" s="667" t="s">
        <v>2584</v>
      </c>
    </row>
    <row r="2904" spans="2:6" ht="12.75" customHeight="1" x14ac:dyDescent="0.2">
      <c r="B2904" s="70"/>
      <c r="C2904" s="73"/>
      <c r="D2904" s="668" t="s">
        <v>804</v>
      </c>
      <c r="E2904" s="677">
        <v>52</v>
      </c>
      <c r="F2904" s="667" t="s">
        <v>2584</v>
      </c>
    </row>
    <row r="2905" spans="2:6" ht="12.75" customHeight="1" x14ac:dyDescent="0.2">
      <c r="B2905" s="70"/>
      <c r="C2905" s="73"/>
      <c r="D2905" s="668" t="s">
        <v>805</v>
      </c>
      <c r="E2905" s="677">
        <v>56</v>
      </c>
      <c r="F2905" s="667" t="s">
        <v>2584</v>
      </c>
    </row>
    <row r="2906" spans="2:6" ht="12.75" customHeight="1" x14ac:dyDescent="0.2">
      <c r="B2906" s="70"/>
      <c r="C2906" s="73"/>
      <c r="D2906" s="668" t="s">
        <v>806</v>
      </c>
      <c r="E2906" s="677">
        <v>58</v>
      </c>
      <c r="F2906" s="667" t="s">
        <v>2584</v>
      </c>
    </row>
    <row r="2907" spans="2:6" ht="12.75" customHeight="1" x14ac:dyDescent="0.2">
      <c r="B2907" s="70"/>
      <c r="C2907" s="73"/>
      <c r="D2907" s="668" t="s">
        <v>807</v>
      </c>
      <c r="E2907" s="677">
        <v>60</v>
      </c>
      <c r="F2907" s="667" t="s">
        <v>2584</v>
      </c>
    </row>
    <row r="2908" spans="2:6" ht="12.75" customHeight="1" x14ac:dyDescent="0.2">
      <c r="B2908" s="70"/>
      <c r="C2908" s="73"/>
      <c r="D2908" s="668" t="s">
        <v>808</v>
      </c>
      <c r="E2908" s="677">
        <v>62</v>
      </c>
      <c r="F2908" s="667" t="s">
        <v>2584</v>
      </c>
    </row>
    <row r="2909" spans="2:6" ht="12.75" customHeight="1" x14ac:dyDescent="0.2">
      <c r="B2909" s="70"/>
      <c r="C2909" s="73"/>
      <c r="D2909" s="668" t="s">
        <v>809</v>
      </c>
      <c r="E2909" s="677">
        <v>66</v>
      </c>
      <c r="F2909" s="667" t="s">
        <v>2584</v>
      </c>
    </row>
    <row r="2910" spans="2:6" ht="12.75" customHeight="1" x14ac:dyDescent="0.2">
      <c r="B2910" s="70"/>
      <c r="C2910" s="73"/>
      <c r="D2910" s="668" t="s">
        <v>810</v>
      </c>
      <c r="E2910" s="677">
        <v>68</v>
      </c>
      <c r="F2910" s="667" t="s">
        <v>2584</v>
      </c>
    </row>
    <row r="2911" spans="2:6" ht="12.75" customHeight="1" x14ac:dyDescent="0.2">
      <c r="B2911" s="70"/>
      <c r="C2911" s="73"/>
      <c r="D2911" s="668" t="s">
        <v>811</v>
      </c>
      <c r="E2911" s="677">
        <v>70</v>
      </c>
      <c r="F2911" s="667" t="s">
        <v>2584</v>
      </c>
    </row>
    <row r="2912" spans="2:6" ht="12.75" customHeight="1" x14ac:dyDescent="0.2">
      <c r="B2912" s="70"/>
      <c r="C2912" s="73"/>
      <c r="D2912" s="668" t="s">
        <v>812</v>
      </c>
      <c r="E2912" s="677">
        <v>72</v>
      </c>
      <c r="F2912" s="667" t="s">
        <v>2584</v>
      </c>
    </row>
    <row r="2913" spans="2:6" ht="12.75" customHeight="1" x14ac:dyDescent="0.2">
      <c r="B2913" s="70"/>
      <c r="C2913" s="73"/>
      <c r="D2913" s="668" t="s">
        <v>813</v>
      </c>
      <c r="E2913" s="677">
        <v>76</v>
      </c>
      <c r="F2913" s="667" t="s">
        <v>2584</v>
      </c>
    </row>
    <row r="2914" spans="2:6" ht="12.75" customHeight="1" x14ac:dyDescent="0.2">
      <c r="B2914" s="70"/>
      <c r="C2914" s="73"/>
      <c r="D2914" s="668" t="s">
        <v>814</v>
      </c>
      <c r="E2914" s="677">
        <v>78</v>
      </c>
      <c r="F2914" s="667" t="s">
        <v>2584</v>
      </c>
    </row>
    <row r="2915" spans="2:6" ht="12.75" customHeight="1" x14ac:dyDescent="0.2">
      <c r="B2915" s="70"/>
      <c r="C2915" s="73"/>
      <c r="D2915" s="668" t="s">
        <v>815</v>
      </c>
      <c r="E2915" s="677">
        <v>80</v>
      </c>
      <c r="F2915" s="667" t="s">
        <v>2584</v>
      </c>
    </row>
    <row r="2916" spans="2:6" ht="12.75" customHeight="1" x14ac:dyDescent="0.2">
      <c r="B2916" s="70"/>
      <c r="C2916" s="73"/>
      <c r="D2916" s="668" t="s">
        <v>816</v>
      </c>
      <c r="E2916" s="677">
        <v>82</v>
      </c>
      <c r="F2916" s="667" t="s">
        <v>2584</v>
      </c>
    </row>
    <row r="2917" spans="2:6" ht="12.75" customHeight="1" x14ac:dyDescent="0.2">
      <c r="B2917" s="70"/>
      <c r="C2917" s="73"/>
      <c r="D2917" s="668" t="s">
        <v>817</v>
      </c>
      <c r="E2917" s="677">
        <v>86</v>
      </c>
      <c r="F2917" s="667" t="s">
        <v>2584</v>
      </c>
    </row>
    <row r="2918" spans="2:6" ht="12.75" customHeight="1" x14ac:dyDescent="0.2">
      <c r="B2918" s="70"/>
      <c r="C2918" s="73"/>
      <c r="D2918" s="668" t="s">
        <v>818</v>
      </c>
      <c r="E2918" s="677">
        <v>88</v>
      </c>
      <c r="F2918" s="667" t="s">
        <v>2584</v>
      </c>
    </row>
    <row r="2919" spans="2:6" ht="12.75" customHeight="1" x14ac:dyDescent="0.2">
      <c r="B2919" s="70"/>
      <c r="C2919" s="73"/>
      <c r="D2919" s="668" t="s">
        <v>819</v>
      </c>
      <c r="E2919" s="677">
        <v>90</v>
      </c>
      <c r="F2919" s="667" t="s">
        <v>2584</v>
      </c>
    </row>
    <row r="2920" spans="2:6" ht="12.75" customHeight="1" x14ac:dyDescent="0.2">
      <c r="B2920" s="70"/>
      <c r="C2920" s="73"/>
      <c r="D2920" s="668" t="s">
        <v>820</v>
      </c>
      <c r="E2920" s="677">
        <v>92</v>
      </c>
      <c r="F2920" s="667" t="s">
        <v>2584</v>
      </c>
    </row>
    <row r="2921" spans="2:6" ht="12.75" customHeight="1" x14ac:dyDescent="0.2">
      <c r="B2921" s="70"/>
      <c r="C2921" s="73"/>
      <c r="D2921" s="668" t="s">
        <v>821</v>
      </c>
      <c r="E2921" s="677">
        <v>96</v>
      </c>
      <c r="F2921" s="667" t="s">
        <v>2584</v>
      </c>
    </row>
    <row r="2922" spans="2:6" ht="12.75" customHeight="1" x14ac:dyDescent="0.2">
      <c r="B2922" s="70"/>
      <c r="C2922" s="73"/>
      <c r="D2922" s="668" t="s">
        <v>822</v>
      </c>
      <c r="E2922" s="677">
        <v>98</v>
      </c>
      <c r="F2922" s="667" t="s">
        <v>2584</v>
      </c>
    </row>
    <row r="2923" spans="2:6" ht="12.75" customHeight="1" x14ac:dyDescent="0.2">
      <c r="B2923" s="70"/>
      <c r="C2923" s="73"/>
      <c r="D2923" s="668" t="s">
        <v>823</v>
      </c>
      <c r="E2923" s="677">
        <v>100</v>
      </c>
      <c r="F2923" s="667" t="s">
        <v>2584</v>
      </c>
    </row>
    <row r="2924" spans="2:6" ht="12.75" customHeight="1" x14ac:dyDescent="0.2">
      <c r="B2924" s="70"/>
      <c r="C2924" s="73"/>
      <c r="D2924" s="668" t="s">
        <v>824</v>
      </c>
      <c r="E2924" s="677"/>
      <c r="F2924" s="667"/>
    </row>
    <row r="2925" spans="2:6" ht="12.75" customHeight="1" x14ac:dyDescent="0.2">
      <c r="B2925" s="70"/>
      <c r="C2925" s="73"/>
      <c r="D2925" s="668" t="s">
        <v>825</v>
      </c>
      <c r="E2925" s="677">
        <v>10</v>
      </c>
      <c r="F2925" s="667" t="s">
        <v>826</v>
      </c>
    </row>
    <row r="2926" spans="2:6" ht="12.75" customHeight="1" x14ac:dyDescent="0.2">
      <c r="B2926" s="70"/>
      <c r="C2926" s="73"/>
      <c r="D2926" s="668" t="s">
        <v>827</v>
      </c>
      <c r="E2926" s="677">
        <v>10</v>
      </c>
      <c r="F2926" s="667" t="s">
        <v>826</v>
      </c>
    </row>
    <row r="2927" spans="2:6" ht="12.75" customHeight="1" x14ac:dyDescent="0.2">
      <c r="B2927" s="70"/>
      <c r="C2927" s="73"/>
      <c r="D2927" s="668" t="s">
        <v>828</v>
      </c>
      <c r="E2927" s="677">
        <v>10</v>
      </c>
      <c r="F2927" s="667" t="s">
        <v>826</v>
      </c>
    </row>
    <row r="2928" spans="2:6" ht="12.75" customHeight="1" x14ac:dyDescent="0.2">
      <c r="B2928" s="70"/>
      <c r="C2928" s="73"/>
      <c r="D2928" s="668" t="s">
        <v>829</v>
      </c>
      <c r="E2928" s="677">
        <v>10</v>
      </c>
      <c r="F2928" s="667" t="s">
        <v>826</v>
      </c>
    </row>
    <row r="2929" spans="2:6" ht="12.75" customHeight="1" x14ac:dyDescent="0.2">
      <c r="B2929" s="70"/>
      <c r="C2929" s="73"/>
      <c r="D2929" s="668" t="s">
        <v>830</v>
      </c>
      <c r="E2929" s="677">
        <v>10</v>
      </c>
      <c r="F2929" s="667" t="s">
        <v>826</v>
      </c>
    </row>
    <row r="2930" spans="2:6" ht="12.75" customHeight="1" x14ac:dyDescent="0.2">
      <c r="B2930" s="70"/>
      <c r="C2930" s="73"/>
      <c r="D2930" s="668" t="s">
        <v>831</v>
      </c>
      <c r="E2930" s="677">
        <v>10</v>
      </c>
      <c r="F2930" s="667" t="s">
        <v>826</v>
      </c>
    </row>
    <row r="2931" spans="2:6" ht="12.75" customHeight="1" x14ac:dyDescent="0.2">
      <c r="B2931" s="70"/>
      <c r="C2931" s="73"/>
      <c r="D2931" s="668" t="s">
        <v>330</v>
      </c>
      <c r="E2931" s="677">
        <v>10</v>
      </c>
      <c r="F2931" s="667" t="s">
        <v>826</v>
      </c>
    </row>
    <row r="2932" spans="2:6" ht="12.75" customHeight="1" x14ac:dyDescent="0.2">
      <c r="B2932" s="70"/>
      <c r="C2932" s="73"/>
      <c r="D2932" s="668" t="s">
        <v>832</v>
      </c>
      <c r="E2932" s="677">
        <v>10</v>
      </c>
      <c r="F2932" s="667" t="s">
        <v>826</v>
      </c>
    </row>
    <row r="2933" spans="2:6" ht="12.75" customHeight="1" x14ac:dyDescent="0.2">
      <c r="B2933" s="70"/>
      <c r="C2933" s="73"/>
      <c r="D2933" s="668" t="s">
        <v>833</v>
      </c>
      <c r="E2933" s="677">
        <v>10</v>
      </c>
      <c r="F2933" s="667" t="s">
        <v>826</v>
      </c>
    </row>
    <row r="2934" spans="2:6" ht="12.75" customHeight="1" x14ac:dyDescent="0.2">
      <c r="B2934" s="70"/>
      <c r="C2934" s="73"/>
      <c r="D2934" s="668" t="s">
        <v>834</v>
      </c>
      <c r="E2934" s="677">
        <v>10</v>
      </c>
      <c r="F2934" s="667" t="s">
        <v>826</v>
      </c>
    </row>
    <row r="2935" spans="2:6" ht="12.75" customHeight="1" x14ac:dyDescent="0.2">
      <c r="B2935" s="70"/>
      <c r="C2935" s="73"/>
      <c r="D2935" s="668" t="s">
        <v>2273</v>
      </c>
      <c r="E2935" s="677">
        <v>10</v>
      </c>
      <c r="F2935" s="667" t="s">
        <v>826</v>
      </c>
    </row>
    <row r="2936" spans="2:6" ht="12.75" customHeight="1" x14ac:dyDescent="0.2">
      <c r="B2936" s="70"/>
      <c r="C2936" s="73"/>
      <c r="D2936" s="668" t="s">
        <v>835</v>
      </c>
      <c r="E2936" s="677">
        <v>10</v>
      </c>
      <c r="F2936" s="667" t="s">
        <v>826</v>
      </c>
    </row>
    <row r="2937" spans="2:6" ht="12.75" customHeight="1" x14ac:dyDescent="0.2">
      <c r="B2937" s="70"/>
      <c r="C2937" s="73"/>
      <c r="D2937" s="668" t="s">
        <v>836</v>
      </c>
      <c r="E2937" s="677"/>
      <c r="F2937" s="667"/>
    </row>
    <row r="2938" spans="2:6" ht="12.75" customHeight="1" x14ac:dyDescent="0.2">
      <c r="B2938" s="70"/>
      <c r="C2938" s="73"/>
      <c r="D2938" s="668" t="s">
        <v>837</v>
      </c>
      <c r="E2938" s="677">
        <v>20</v>
      </c>
      <c r="F2938" s="667" t="s">
        <v>826</v>
      </c>
    </row>
    <row r="2939" spans="2:6" ht="12.75" customHeight="1" x14ac:dyDescent="0.2">
      <c r="B2939" s="70"/>
      <c r="C2939" s="73"/>
      <c r="D2939" s="668" t="s">
        <v>838</v>
      </c>
      <c r="E2939" s="677">
        <v>20</v>
      </c>
      <c r="F2939" s="667" t="s">
        <v>826</v>
      </c>
    </row>
    <row r="2940" spans="2:6" ht="12.75" customHeight="1" x14ac:dyDescent="0.2">
      <c r="B2940" s="70"/>
      <c r="C2940" s="73"/>
      <c r="D2940" s="668" t="s">
        <v>839</v>
      </c>
      <c r="E2940" s="677">
        <v>20</v>
      </c>
      <c r="F2940" s="667" t="s">
        <v>826</v>
      </c>
    </row>
    <row r="2941" spans="2:6" ht="12.75" customHeight="1" x14ac:dyDescent="0.2">
      <c r="B2941" s="70"/>
      <c r="C2941" s="73"/>
      <c r="D2941" s="668" t="s">
        <v>840</v>
      </c>
      <c r="E2941" s="677">
        <v>20</v>
      </c>
      <c r="F2941" s="667" t="s">
        <v>826</v>
      </c>
    </row>
    <row r="2942" spans="2:6" ht="12.75" customHeight="1" x14ac:dyDescent="0.2">
      <c r="B2942" s="70"/>
      <c r="C2942" s="73"/>
      <c r="D2942" s="668" t="s">
        <v>841</v>
      </c>
      <c r="E2942" s="677">
        <v>20</v>
      </c>
      <c r="F2942" s="667" t="s">
        <v>826</v>
      </c>
    </row>
    <row r="2943" spans="2:6" ht="12.75" customHeight="1" x14ac:dyDescent="0.2">
      <c r="B2943" s="70"/>
      <c r="C2943" s="73"/>
      <c r="D2943" s="668" t="s">
        <v>2270</v>
      </c>
      <c r="E2943" s="677">
        <v>20</v>
      </c>
      <c r="F2943" s="667" t="s">
        <v>826</v>
      </c>
    </row>
    <row r="2944" spans="2:6" ht="12.75" customHeight="1" x14ac:dyDescent="0.2">
      <c r="B2944" s="70"/>
      <c r="C2944" s="73"/>
      <c r="D2944" s="668" t="s">
        <v>842</v>
      </c>
      <c r="E2944" s="677">
        <v>20</v>
      </c>
      <c r="F2944" s="667" t="s">
        <v>826</v>
      </c>
    </row>
    <row r="2945" spans="2:6" ht="12.75" customHeight="1" x14ac:dyDescent="0.2">
      <c r="B2945" s="70"/>
      <c r="C2945" s="73"/>
      <c r="D2945" s="668" t="s">
        <v>843</v>
      </c>
      <c r="E2945" s="677">
        <v>20</v>
      </c>
      <c r="F2945" s="667" t="s">
        <v>826</v>
      </c>
    </row>
    <row r="2946" spans="2:6" ht="12.75" customHeight="1" x14ac:dyDescent="0.2">
      <c r="B2946" s="70"/>
      <c r="C2946" s="73"/>
      <c r="D2946" s="668" t="s">
        <v>844</v>
      </c>
      <c r="E2946" s="677">
        <v>20</v>
      </c>
      <c r="F2946" s="667" t="s">
        <v>826</v>
      </c>
    </row>
    <row r="2947" spans="2:6" ht="12.75" customHeight="1" x14ac:dyDescent="0.2">
      <c r="B2947" s="70"/>
      <c r="C2947" s="73"/>
      <c r="D2947" s="668" t="s">
        <v>2552</v>
      </c>
      <c r="E2947" s="677">
        <v>20</v>
      </c>
      <c r="F2947" s="667" t="s">
        <v>826</v>
      </c>
    </row>
    <row r="2948" spans="2:6" ht="12.75" customHeight="1" x14ac:dyDescent="0.2">
      <c r="B2948" s="70"/>
      <c r="C2948" s="73"/>
      <c r="D2948" s="668" t="s">
        <v>845</v>
      </c>
      <c r="E2948" s="677">
        <v>20</v>
      </c>
      <c r="F2948" s="667" t="s">
        <v>826</v>
      </c>
    </row>
    <row r="2949" spans="2:6" ht="12.75" customHeight="1" x14ac:dyDescent="0.2">
      <c r="B2949" s="70"/>
      <c r="C2949" s="73"/>
      <c r="D2949" s="668" t="s">
        <v>846</v>
      </c>
      <c r="E2949" s="677">
        <v>20</v>
      </c>
      <c r="F2949" s="667" t="s">
        <v>826</v>
      </c>
    </row>
    <row r="2950" spans="2:6" ht="12.75" customHeight="1" x14ac:dyDescent="0.2">
      <c r="B2950" s="70"/>
      <c r="C2950" s="73"/>
      <c r="D2950" s="668" t="s">
        <v>847</v>
      </c>
      <c r="E2950" s="677"/>
      <c r="F2950" s="667"/>
    </row>
    <row r="2951" spans="2:6" ht="12.75" customHeight="1" x14ac:dyDescent="0.2">
      <c r="B2951" s="70"/>
      <c r="C2951" s="73"/>
      <c r="D2951" s="668" t="s">
        <v>848</v>
      </c>
      <c r="E2951" s="677">
        <v>30</v>
      </c>
      <c r="F2951" s="667" t="s">
        <v>826</v>
      </c>
    </row>
    <row r="2952" spans="2:6" ht="12.75" customHeight="1" x14ac:dyDescent="0.2">
      <c r="B2952" s="70"/>
      <c r="C2952" s="73"/>
      <c r="D2952" s="668" t="s">
        <v>849</v>
      </c>
      <c r="E2952" s="677">
        <v>30</v>
      </c>
      <c r="F2952" s="667" t="s">
        <v>826</v>
      </c>
    </row>
    <row r="2953" spans="2:6" ht="12.75" customHeight="1" x14ac:dyDescent="0.2">
      <c r="B2953" s="70"/>
      <c r="C2953" s="73"/>
      <c r="D2953" s="668" t="s">
        <v>850</v>
      </c>
      <c r="E2953" s="677">
        <v>30</v>
      </c>
      <c r="F2953" s="667" t="s">
        <v>826</v>
      </c>
    </row>
    <row r="2954" spans="2:6" ht="12.75" customHeight="1" x14ac:dyDescent="0.2">
      <c r="B2954" s="70"/>
      <c r="C2954" s="73"/>
      <c r="D2954" s="668" t="s">
        <v>851</v>
      </c>
      <c r="E2954" s="677">
        <v>30</v>
      </c>
      <c r="F2954" s="667" t="s">
        <v>826</v>
      </c>
    </row>
    <row r="2955" spans="2:6" ht="12.75" customHeight="1" x14ac:dyDescent="0.2">
      <c r="B2955" s="70"/>
      <c r="C2955" s="73"/>
      <c r="D2955" s="668" t="s">
        <v>852</v>
      </c>
      <c r="E2955" s="677">
        <v>30</v>
      </c>
      <c r="F2955" s="667" t="s">
        <v>826</v>
      </c>
    </row>
    <row r="2956" spans="2:6" ht="12.75" customHeight="1" x14ac:dyDescent="0.2">
      <c r="B2956" s="70"/>
      <c r="C2956" s="73"/>
      <c r="D2956" s="668" t="s">
        <v>853</v>
      </c>
      <c r="E2956" s="677">
        <v>30</v>
      </c>
      <c r="F2956" s="667" t="s">
        <v>826</v>
      </c>
    </row>
    <row r="2957" spans="2:6" ht="12.75" customHeight="1" x14ac:dyDescent="0.2">
      <c r="B2957" s="70"/>
      <c r="C2957" s="73"/>
      <c r="D2957" s="668" t="s">
        <v>854</v>
      </c>
      <c r="E2957" s="677">
        <v>30</v>
      </c>
      <c r="F2957" s="667" t="s">
        <v>826</v>
      </c>
    </row>
    <row r="2958" spans="2:6" ht="12.75" customHeight="1" x14ac:dyDescent="0.2">
      <c r="B2958" s="70"/>
      <c r="C2958" s="73"/>
      <c r="D2958" s="668" t="s">
        <v>3177</v>
      </c>
      <c r="E2958" s="677">
        <v>30</v>
      </c>
      <c r="F2958" s="667" t="s">
        <v>826</v>
      </c>
    </row>
    <row r="2959" spans="2:6" ht="12.75" customHeight="1" x14ac:dyDescent="0.2">
      <c r="B2959" s="70"/>
      <c r="C2959" s="73"/>
      <c r="D2959" s="668" t="s">
        <v>855</v>
      </c>
      <c r="E2959" s="677">
        <v>30</v>
      </c>
      <c r="F2959" s="667" t="s">
        <v>826</v>
      </c>
    </row>
    <row r="2960" spans="2:6" ht="12.75" customHeight="1" x14ac:dyDescent="0.2">
      <c r="B2960" s="70"/>
      <c r="C2960" s="73"/>
      <c r="D2960" s="668" t="s">
        <v>856</v>
      </c>
      <c r="E2960" s="677">
        <v>30</v>
      </c>
      <c r="F2960" s="667" t="s">
        <v>826</v>
      </c>
    </row>
    <row r="2961" spans="2:6" ht="12.75" customHeight="1" x14ac:dyDescent="0.2">
      <c r="B2961" s="70"/>
      <c r="C2961" s="73"/>
      <c r="D2961" s="668" t="s">
        <v>2493</v>
      </c>
      <c r="E2961" s="677">
        <v>30</v>
      </c>
      <c r="F2961" s="667" t="s">
        <v>826</v>
      </c>
    </row>
    <row r="2962" spans="2:6" ht="12.75" customHeight="1" x14ac:dyDescent="0.2">
      <c r="B2962" s="70"/>
      <c r="C2962" s="73"/>
      <c r="D2962" s="668" t="s">
        <v>857</v>
      </c>
      <c r="E2962" s="677">
        <v>30</v>
      </c>
      <c r="F2962" s="667" t="s">
        <v>826</v>
      </c>
    </row>
    <row r="2963" spans="2:6" ht="12.75" customHeight="1" x14ac:dyDescent="0.2">
      <c r="B2963" s="70"/>
      <c r="C2963" s="73"/>
      <c r="D2963" s="668" t="s">
        <v>858</v>
      </c>
      <c r="E2963" s="677"/>
      <c r="F2963" s="667"/>
    </row>
    <row r="2964" spans="2:6" ht="12.75" customHeight="1" x14ac:dyDescent="0.2">
      <c r="B2964" s="70"/>
      <c r="C2964" s="73"/>
      <c r="D2964" s="668" t="s">
        <v>859</v>
      </c>
      <c r="E2964" s="677">
        <v>40</v>
      </c>
      <c r="F2964" s="667" t="s">
        <v>826</v>
      </c>
    </row>
    <row r="2965" spans="2:6" ht="12.75" customHeight="1" x14ac:dyDescent="0.2">
      <c r="B2965" s="70"/>
      <c r="C2965" s="73"/>
      <c r="D2965" s="668" t="s">
        <v>860</v>
      </c>
      <c r="E2965" s="677">
        <v>40</v>
      </c>
      <c r="F2965" s="667" t="s">
        <v>826</v>
      </c>
    </row>
    <row r="2966" spans="2:6" ht="12.75" customHeight="1" x14ac:dyDescent="0.2">
      <c r="B2966" s="70"/>
      <c r="C2966" s="73"/>
      <c r="D2966" s="668" t="s">
        <v>861</v>
      </c>
      <c r="E2966" s="677">
        <v>40</v>
      </c>
      <c r="F2966" s="667" t="s">
        <v>826</v>
      </c>
    </row>
    <row r="2967" spans="2:6" ht="12.75" customHeight="1" x14ac:dyDescent="0.2">
      <c r="B2967" s="70"/>
      <c r="C2967" s="73"/>
      <c r="D2967" s="668" t="s">
        <v>862</v>
      </c>
      <c r="E2967" s="677">
        <v>40</v>
      </c>
      <c r="F2967" s="667" t="s">
        <v>826</v>
      </c>
    </row>
    <row r="2968" spans="2:6" ht="12.75" customHeight="1" x14ac:dyDescent="0.2">
      <c r="B2968" s="70"/>
      <c r="C2968" s="73"/>
      <c r="D2968" s="668" t="s">
        <v>863</v>
      </c>
      <c r="E2968" s="677">
        <v>40</v>
      </c>
      <c r="F2968" s="667" t="s">
        <v>826</v>
      </c>
    </row>
    <row r="2969" spans="2:6" ht="12.75" customHeight="1" x14ac:dyDescent="0.2">
      <c r="B2969" s="70"/>
      <c r="C2969" s="73"/>
      <c r="D2969" s="668" t="s">
        <v>864</v>
      </c>
      <c r="E2969" s="677">
        <v>40</v>
      </c>
      <c r="F2969" s="667" t="s">
        <v>826</v>
      </c>
    </row>
    <row r="2970" spans="2:6" ht="12.75" customHeight="1" x14ac:dyDescent="0.2">
      <c r="B2970" s="70"/>
      <c r="C2970" s="73"/>
      <c r="D2970" s="668" t="s">
        <v>865</v>
      </c>
      <c r="E2970" s="677">
        <v>40</v>
      </c>
      <c r="F2970" s="667" t="s">
        <v>826</v>
      </c>
    </row>
    <row r="2971" spans="2:6" ht="12.75" customHeight="1" x14ac:dyDescent="0.2">
      <c r="B2971" s="70"/>
      <c r="C2971" s="73"/>
      <c r="D2971" s="668" t="s">
        <v>866</v>
      </c>
      <c r="E2971" s="677">
        <v>40</v>
      </c>
      <c r="F2971" s="667" t="s">
        <v>826</v>
      </c>
    </row>
    <row r="2972" spans="2:6" ht="12.75" customHeight="1" x14ac:dyDescent="0.2">
      <c r="B2972" s="70"/>
      <c r="C2972" s="73"/>
      <c r="D2972" s="668" t="s">
        <v>867</v>
      </c>
      <c r="E2972" s="677">
        <v>40</v>
      </c>
      <c r="F2972" s="667" t="s">
        <v>826</v>
      </c>
    </row>
    <row r="2973" spans="2:6" ht="12.75" customHeight="1" x14ac:dyDescent="0.2">
      <c r="B2973" s="70"/>
      <c r="C2973" s="73"/>
      <c r="D2973" s="668" t="s">
        <v>380</v>
      </c>
      <c r="E2973" s="677">
        <v>40</v>
      </c>
      <c r="F2973" s="667" t="s">
        <v>826</v>
      </c>
    </row>
    <row r="2974" spans="2:6" ht="12.75" customHeight="1" x14ac:dyDescent="0.2">
      <c r="B2974" s="70"/>
      <c r="C2974" s="73"/>
      <c r="D2974" s="668" t="s">
        <v>868</v>
      </c>
      <c r="E2974" s="677">
        <v>40</v>
      </c>
      <c r="F2974" s="667" t="s">
        <v>826</v>
      </c>
    </row>
    <row r="2975" spans="2:6" ht="12.75" customHeight="1" x14ac:dyDescent="0.2">
      <c r="B2975" s="70"/>
      <c r="C2975" s="73"/>
      <c r="D2975" s="668" t="s">
        <v>869</v>
      </c>
      <c r="E2975" s="677">
        <v>40</v>
      </c>
      <c r="F2975" s="667" t="s">
        <v>826</v>
      </c>
    </row>
    <row r="2976" spans="2:6" ht="12.75" customHeight="1" x14ac:dyDescent="0.2">
      <c r="B2976" s="70"/>
      <c r="C2976" s="73"/>
      <c r="D2976" s="668" t="s">
        <v>870</v>
      </c>
      <c r="E2976" s="677"/>
      <c r="F2976" s="667"/>
    </row>
    <row r="2977" spans="2:6" ht="12.75" customHeight="1" x14ac:dyDescent="0.2">
      <c r="B2977" s="70"/>
      <c r="C2977" s="73"/>
      <c r="D2977" s="668" t="s">
        <v>871</v>
      </c>
      <c r="E2977" s="677">
        <v>50</v>
      </c>
      <c r="F2977" s="667" t="s">
        <v>826</v>
      </c>
    </row>
    <row r="2978" spans="2:6" ht="12.75" customHeight="1" x14ac:dyDescent="0.2">
      <c r="B2978" s="70"/>
      <c r="C2978" s="73"/>
      <c r="D2978" s="668" t="s">
        <v>872</v>
      </c>
      <c r="E2978" s="677">
        <v>50</v>
      </c>
      <c r="F2978" s="667" t="s">
        <v>826</v>
      </c>
    </row>
    <row r="2979" spans="2:6" ht="12.75" customHeight="1" x14ac:dyDescent="0.2">
      <c r="B2979" s="70"/>
      <c r="C2979" s="73"/>
      <c r="D2979" s="668" t="s">
        <v>873</v>
      </c>
      <c r="E2979" s="677">
        <v>50</v>
      </c>
      <c r="F2979" s="667" t="s">
        <v>826</v>
      </c>
    </row>
    <row r="2980" spans="2:6" ht="12.75" customHeight="1" x14ac:dyDescent="0.2">
      <c r="B2980" s="70"/>
      <c r="C2980" s="73"/>
      <c r="D2980" s="668" t="s">
        <v>874</v>
      </c>
      <c r="E2980" s="677">
        <v>50</v>
      </c>
      <c r="F2980" s="667" t="s">
        <v>826</v>
      </c>
    </row>
    <row r="2981" spans="2:6" ht="12.75" customHeight="1" x14ac:dyDescent="0.2">
      <c r="B2981" s="70"/>
      <c r="C2981" s="73"/>
      <c r="D2981" s="668" t="s">
        <v>875</v>
      </c>
      <c r="E2981" s="677">
        <v>50</v>
      </c>
      <c r="F2981" s="667" t="s">
        <v>826</v>
      </c>
    </row>
    <row r="2982" spans="2:6" ht="12.75" customHeight="1" x14ac:dyDescent="0.2">
      <c r="B2982" s="70"/>
      <c r="C2982" s="73"/>
      <c r="D2982" s="668" t="s">
        <v>876</v>
      </c>
      <c r="E2982" s="677">
        <v>50</v>
      </c>
      <c r="F2982" s="667" t="s">
        <v>826</v>
      </c>
    </row>
    <row r="2983" spans="2:6" ht="12.75" customHeight="1" x14ac:dyDescent="0.2">
      <c r="B2983" s="70"/>
      <c r="C2983" s="73"/>
      <c r="D2983" s="668" t="s">
        <v>877</v>
      </c>
      <c r="E2983" s="677">
        <v>50</v>
      </c>
      <c r="F2983" s="667" t="s">
        <v>826</v>
      </c>
    </row>
    <row r="2984" spans="2:6" ht="12.75" customHeight="1" x14ac:dyDescent="0.2">
      <c r="B2984" s="70"/>
      <c r="C2984" s="73"/>
      <c r="D2984" s="668" t="s">
        <v>878</v>
      </c>
      <c r="E2984" s="677">
        <v>50</v>
      </c>
      <c r="F2984" s="667" t="s">
        <v>826</v>
      </c>
    </row>
    <row r="2985" spans="2:6" ht="12.75" customHeight="1" x14ac:dyDescent="0.2">
      <c r="B2985" s="70"/>
      <c r="C2985" s="73"/>
      <c r="D2985" s="668" t="s">
        <v>879</v>
      </c>
      <c r="E2985" s="677">
        <v>50</v>
      </c>
      <c r="F2985" s="667" t="s">
        <v>826</v>
      </c>
    </row>
    <row r="2986" spans="2:6" ht="12.75" customHeight="1" x14ac:dyDescent="0.2">
      <c r="B2986" s="70"/>
      <c r="C2986" s="73"/>
      <c r="D2986" s="668" t="s">
        <v>880</v>
      </c>
      <c r="E2986" s="677">
        <v>50</v>
      </c>
      <c r="F2986" s="667" t="s">
        <v>826</v>
      </c>
    </row>
    <row r="2987" spans="2:6" ht="12.75" customHeight="1" x14ac:dyDescent="0.2">
      <c r="B2987" s="70"/>
      <c r="C2987" s="73"/>
      <c r="D2987" s="668" t="s">
        <v>881</v>
      </c>
      <c r="E2987" s="677">
        <v>50</v>
      </c>
      <c r="F2987" s="667" t="s">
        <v>826</v>
      </c>
    </row>
    <row r="2988" spans="2:6" ht="12.75" customHeight="1" x14ac:dyDescent="0.2">
      <c r="B2988" s="70"/>
      <c r="C2988" s="73"/>
      <c r="D2988" s="668" t="s">
        <v>882</v>
      </c>
      <c r="E2988" s="677">
        <v>50</v>
      </c>
      <c r="F2988" s="667" t="s">
        <v>826</v>
      </c>
    </row>
    <row r="2989" spans="2:6" ht="12.75" customHeight="1" x14ac:dyDescent="0.2">
      <c r="B2989" s="70"/>
      <c r="C2989" s="73"/>
      <c r="D2989" s="668" t="s">
        <v>883</v>
      </c>
      <c r="E2989" s="677"/>
      <c r="F2989" s="667"/>
    </row>
    <row r="2990" spans="2:6" ht="12.75" customHeight="1" x14ac:dyDescent="0.2">
      <c r="B2990" s="70"/>
      <c r="C2990" s="73"/>
      <c r="D2990" s="668" t="s">
        <v>884</v>
      </c>
      <c r="E2990" s="677">
        <v>60</v>
      </c>
      <c r="F2990" s="667" t="s">
        <v>826</v>
      </c>
    </row>
    <row r="2991" spans="2:6" ht="12.75" customHeight="1" x14ac:dyDescent="0.2">
      <c r="B2991" s="70"/>
      <c r="C2991" s="73"/>
      <c r="D2991" s="668" t="s">
        <v>885</v>
      </c>
      <c r="E2991" s="677">
        <v>60</v>
      </c>
      <c r="F2991" s="667" t="s">
        <v>826</v>
      </c>
    </row>
    <row r="2992" spans="2:6" ht="12.75" customHeight="1" x14ac:dyDescent="0.2">
      <c r="B2992" s="70"/>
      <c r="C2992" s="73"/>
      <c r="D2992" s="668" t="s">
        <v>886</v>
      </c>
      <c r="E2992" s="677">
        <v>60</v>
      </c>
      <c r="F2992" s="667" t="s">
        <v>826</v>
      </c>
    </row>
    <row r="2993" spans="2:6" ht="12.75" customHeight="1" x14ac:dyDescent="0.2">
      <c r="B2993" s="70"/>
      <c r="C2993" s="73"/>
      <c r="D2993" s="668" t="s">
        <v>887</v>
      </c>
      <c r="E2993" s="677">
        <v>60</v>
      </c>
      <c r="F2993" s="667" t="s">
        <v>826</v>
      </c>
    </row>
    <row r="2994" spans="2:6" ht="12.75" customHeight="1" x14ac:dyDescent="0.2">
      <c r="B2994" s="70"/>
      <c r="C2994" s="73"/>
      <c r="D2994" s="668" t="s">
        <v>888</v>
      </c>
      <c r="E2994" s="677">
        <v>60</v>
      </c>
      <c r="F2994" s="667" t="s">
        <v>826</v>
      </c>
    </row>
    <row r="2995" spans="2:6" ht="12.75" customHeight="1" x14ac:dyDescent="0.2">
      <c r="B2995" s="70"/>
      <c r="C2995" s="73"/>
      <c r="D2995" s="668" t="s">
        <v>889</v>
      </c>
      <c r="E2995" s="677">
        <v>60</v>
      </c>
      <c r="F2995" s="667" t="s">
        <v>826</v>
      </c>
    </row>
    <row r="2996" spans="2:6" ht="12.75" customHeight="1" x14ac:dyDescent="0.2">
      <c r="B2996" s="70"/>
      <c r="C2996" s="73"/>
      <c r="D2996" s="668" t="s">
        <v>890</v>
      </c>
      <c r="E2996" s="677">
        <v>60</v>
      </c>
      <c r="F2996" s="667" t="s">
        <v>826</v>
      </c>
    </row>
    <row r="2997" spans="2:6" ht="12.75" customHeight="1" x14ac:dyDescent="0.2">
      <c r="B2997" s="70"/>
      <c r="C2997" s="73"/>
      <c r="D2997" s="668" t="s">
        <v>891</v>
      </c>
      <c r="E2997" s="677">
        <v>60</v>
      </c>
      <c r="F2997" s="667" t="s">
        <v>826</v>
      </c>
    </row>
    <row r="2998" spans="2:6" ht="12.75" customHeight="1" x14ac:dyDescent="0.2">
      <c r="B2998" s="70"/>
      <c r="C2998" s="73"/>
      <c r="D2998" s="668" t="s">
        <v>892</v>
      </c>
      <c r="E2998" s="677">
        <v>60</v>
      </c>
      <c r="F2998" s="667" t="s">
        <v>826</v>
      </c>
    </row>
    <row r="2999" spans="2:6" ht="12.75" customHeight="1" x14ac:dyDescent="0.2">
      <c r="B2999" s="70"/>
      <c r="C2999" s="73"/>
      <c r="D2999" s="668" t="s">
        <v>893</v>
      </c>
      <c r="E2999" s="677">
        <v>60</v>
      </c>
      <c r="F2999" s="667" t="s">
        <v>826</v>
      </c>
    </row>
    <row r="3000" spans="2:6" ht="12.75" customHeight="1" x14ac:dyDescent="0.2">
      <c r="B3000" s="70"/>
      <c r="C3000" s="73"/>
      <c r="D3000" s="668" t="s">
        <v>894</v>
      </c>
      <c r="E3000" s="677">
        <v>60</v>
      </c>
      <c r="F3000" s="667" t="s">
        <v>826</v>
      </c>
    </row>
    <row r="3001" spans="2:6" ht="12.75" customHeight="1" x14ac:dyDescent="0.2">
      <c r="B3001" s="70"/>
      <c r="C3001" s="73"/>
      <c r="D3001" s="668" t="s">
        <v>895</v>
      </c>
      <c r="E3001" s="677">
        <v>60</v>
      </c>
      <c r="F3001" s="667" t="s">
        <v>826</v>
      </c>
    </row>
    <row r="3002" spans="2:6" ht="12.75" customHeight="1" x14ac:dyDescent="0.2">
      <c r="B3002" s="70"/>
      <c r="C3002" s="73"/>
      <c r="D3002" s="668" t="s">
        <v>896</v>
      </c>
      <c r="E3002" s="677"/>
      <c r="F3002" s="667"/>
    </row>
    <row r="3003" spans="2:6" ht="12.75" customHeight="1" x14ac:dyDescent="0.2">
      <c r="B3003" s="70"/>
      <c r="C3003" s="73"/>
      <c r="D3003" s="668" t="s">
        <v>897</v>
      </c>
      <c r="E3003" s="677">
        <v>70</v>
      </c>
      <c r="F3003" s="667" t="s">
        <v>826</v>
      </c>
    </row>
    <row r="3004" spans="2:6" ht="12.75" customHeight="1" x14ac:dyDescent="0.2">
      <c r="B3004" s="70"/>
      <c r="C3004" s="73"/>
      <c r="D3004" s="668" t="s">
        <v>898</v>
      </c>
      <c r="E3004" s="677">
        <v>70</v>
      </c>
      <c r="F3004" s="667" t="s">
        <v>826</v>
      </c>
    </row>
    <row r="3005" spans="2:6" ht="12.75" customHeight="1" x14ac:dyDescent="0.2">
      <c r="B3005" s="70"/>
      <c r="C3005" s="73"/>
      <c r="D3005" s="668" t="s">
        <v>899</v>
      </c>
      <c r="E3005" s="677">
        <v>70</v>
      </c>
      <c r="F3005" s="667" t="s">
        <v>826</v>
      </c>
    </row>
    <row r="3006" spans="2:6" ht="12.75" customHeight="1" x14ac:dyDescent="0.2">
      <c r="B3006" s="70"/>
      <c r="C3006" s="73"/>
      <c r="D3006" s="668" t="s">
        <v>900</v>
      </c>
      <c r="E3006" s="677">
        <v>70</v>
      </c>
      <c r="F3006" s="667" t="s">
        <v>826</v>
      </c>
    </row>
    <row r="3007" spans="2:6" ht="12.75" customHeight="1" x14ac:dyDescent="0.2">
      <c r="B3007" s="70"/>
      <c r="C3007" s="73"/>
      <c r="D3007" s="668" t="s">
        <v>901</v>
      </c>
      <c r="E3007" s="677">
        <v>70</v>
      </c>
      <c r="F3007" s="667" t="s">
        <v>826</v>
      </c>
    </row>
    <row r="3008" spans="2:6" ht="12.75" customHeight="1" x14ac:dyDescent="0.2">
      <c r="B3008" s="70"/>
      <c r="C3008" s="73"/>
      <c r="D3008" s="668" t="s">
        <v>902</v>
      </c>
      <c r="E3008" s="677">
        <v>70</v>
      </c>
      <c r="F3008" s="667" t="s">
        <v>826</v>
      </c>
    </row>
    <row r="3009" spans="2:6" ht="12.75" customHeight="1" x14ac:dyDescent="0.2">
      <c r="B3009" s="70"/>
      <c r="C3009" s="73"/>
      <c r="D3009" s="668" t="s">
        <v>903</v>
      </c>
      <c r="E3009" s="677">
        <v>70</v>
      </c>
      <c r="F3009" s="667" t="s">
        <v>826</v>
      </c>
    </row>
    <row r="3010" spans="2:6" ht="12.75" customHeight="1" x14ac:dyDescent="0.2">
      <c r="B3010" s="70"/>
      <c r="C3010" s="73"/>
      <c r="D3010" s="668" t="s">
        <v>904</v>
      </c>
      <c r="E3010" s="677">
        <v>70</v>
      </c>
      <c r="F3010" s="667" t="s">
        <v>826</v>
      </c>
    </row>
    <row r="3011" spans="2:6" ht="12.75" customHeight="1" x14ac:dyDescent="0.2">
      <c r="B3011" s="70"/>
      <c r="C3011" s="73"/>
      <c r="D3011" s="668" t="s">
        <v>905</v>
      </c>
      <c r="E3011" s="677">
        <v>70</v>
      </c>
      <c r="F3011" s="667" t="s">
        <v>826</v>
      </c>
    </row>
    <row r="3012" spans="2:6" ht="12.75" customHeight="1" x14ac:dyDescent="0.2">
      <c r="B3012" s="70"/>
      <c r="C3012" s="73"/>
      <c r="D3012" s="668" t="s">
        <v>2818</v>
      </c>
      <c r="E3012" s="677">
        <v>70</v>
      </c>
      <c r="F3012" s="667" t="s">
        <v>826</v>
      </c>
    </row>
    <row r="3013" spans="2:6" ht="12.75" customHeight="1" x14ac:dyDescent="0.2">
      <c r="B3013" s="70"/>
      <c r="C3013" s="73"/>
      <c r="D3013" s="668" t="s">
        <v>906</v>
      </c>
      <c r="E3013" s="677">
        <v>70</v>
      </c>
      <c r="F3013" s="667" t="s">
        <v>826</v>
      </c>
    </row>
    <row r="3014" spans="2:6" ht="12.75" customHeight="1" x14ac:dyDescent="0.2">
      <c r="B3014" s="70"/>
      <c r="C3014" s="73"/>
      <c r="D3014" s="668" t="s">
        <v>907</v>
      </c>
      <c r="E3014" s="677">
        <v>70</v>
      </c>
      <c r="F3014" s="667" t="s">
        <v>826</v>
      </c>
    </row>
    <row r="3015" spans="2:6" ht="12.75" customHeight="1" x14ac:dyDescent="0.2">
      <c r="B3015" s="70"/>
      <c r="C3015" s="73"/>
      <c r="D3015" s="668" t="s">
        <v>908</v>
      </c>
      <c r="E3015" s="677"/>
      <c r="F3015" s="667"/>
    </row>
    <row r="3016" spans="2:6" ht="12.75" customHeight="1" x14ac:dyDescent="0.2">
      <c r="B3016" s="70"/>
      <c r="C3016" s="73"/>
      <c r="D3016" s="668" t="s">
        <v>909</v>
      </c>
      <c r="E3016" s="677">
        <v>80</v>
      </c>
      <c r="F3016" s="667" t="s">
        <v>826</v>
      </c>
    </row>
    <row r="3017" spans="2:6" ht="12.75" customHeight="1" x14ac:dyDescent="0.2">
      <c r="B3017" s="70"/>
      <c r="C3017" s="73"/>
      <c r="D3017" s="668" t="s">
        <v>910</v>
      </c>
      <c r="E3017" s="677">
        <v>80</v>
      </c>
      <c r="F3017" s="667" t="s">
        <v>826</v>
      </c>
    </row>
    <row r="3018" spans="2:6" ht="12.75" customHeight="1" x14ac:dyDescent="0.2">
      <c r="B3018" s="70"/>
      <c r="C3018" s="73"/>
      <c r="D3018" s="668" t="s">
        <v>911</v>
      </c>
      <c r="E3018" s="677">
        <v>80</v>
      </c>
      <c r="F3018" s="667" t="s">
        <v>826</v>
      </c>
    </row>
    <row r="3019" spans="2:6" ht="12.75" customHeight="1" x14ac:dyDescent="0.2">
      <c r="B3019" s="70"/>
      <c r="C3019" s="73"/>
      <c r="D3019" s="668" t="s">
        <v>912</v>
      </c>
      <c r="E3019" s="677">
        <v>80</v>
      </c>
      <c r="F3019" s="667" t="s">
        <v>826</v>
      </c>
    </row>
    <row r="3020" spans="2:6" ht="12.75" customHeight="1" x14ac:dyDescent="0.2">
      <c r="B3020" s="70"/>
      <c r="C3020" s="73"/>
      <c r="D3020" s="668" t="s">
        <v>37</v>
      </c>
      <c r="E3020" s="677">
        <v>80</v>
      </c>
      <c r="F3020" s="667" t="s">
        <v>826</v>
      </c>
    </row>
    <row r="3021" spans="2:6" ht="12.75" customHeight="1" x14ac:dyDescent="0.2">
      <c r="B3021" s="70"/>
      <c r="C3021" s="73"/>
      <c r="D3021" s="668" t="s">
        <v>913</v>
      </c>
      <c r="E3021" s="677">
        <v>80</v>
      </c>
      <c r="F3021" s="667" t="s">
        <v>826</v>
      </c>
    </row>
    <row r="3022" spans="2:6" ht="12.75" customHeight="1" x14ac:dyDescent="0.2">
      <c r="B3022" s="70"/>
      <c r="C3022" s="73"/>
      <c r="D3022" s="668" t="s">
        <v>7410</v>
      </c>
      <c r="E3022" s="677">
        <v>80</v>
      </c>
      <c r="F3022" s="667" t="s">
        <v>826</v>
      </c>
    </row>
    <row r="3023" spans="2:6" ht="12.75" customHeight="1" x14ac:dyDescent="0.2">
      <c r="B3023" s="70"/>
      <c r="C3023" s="73"/>
      <c r="D3023" s="668" t="s">
        <v>2496</v>
      </c>
      <c r="E3023" s="677">
        <v>80</v>
      </c>
      <c r="F3023" s="667" t="s">
        <v>826</v>
      </c>
    </row>
    <row r="3024" spans="2:6" ht="12.75" customHeight="1" x14ac:dyDescent="0.2">
      <c r="B3024" s="70"/>
      <c r="C3024" s="73"/>
      <c r="D3024" s="668" t="s">
        <v>2632</v>
      </c>
      <c r="E3024" s="677">
        <v>80</v>
      </c>
      <c r="F3024" s="667" t="s">
        <v>826</v>
      </c>
    </row>
    <row r="3025" spans="2:6" ht="12.75" customHeight="1" x14ac:dyDescent="0.2">
      <c r="B3025" s="70"/>
      <c r="C3025" s="73"/>
      <c r="D3025" s="668" t="s">
        <v>2629</v>
      </c>
      <c r="E3025" s="677">
        <v>80</v>
      </c>
      <c r="F3025" s="667" t="s">
        <v>826</v>
      </c>
    </row>
    <row r="3026" spans="2:6" ht="12.75" customHeight="1" x14ac:dyDescent="0.2">
      <c r="B3026" s="70"/>
      <c r="C3026" s="73"/>
      <c r="D3026" s="668" t="s">
        <v>914</v>
      </c>
      <c r="E3026" s="677">
        <v>80</v>
      </c>
      <c r="F3026" s="667" t="s">
        <v>826</v>
      </c>
    </row>
    <row r="3027" spans="2:6" ht="12.75" customHeight="1" x14ac:dyDescent="0.2">
      <c r="B3027" s="70"/>
      <c r="C3027" s="73"/>
      <c r="D3027" s="668" t="s">
        <v>915</v>
      </c>
      <c r="E3027" s="677">
        <v>80</v>
      </c>
      <c r="F3027" s="667" t="s">
        <v>826</v>
      </c>
    </row>
    <row r="3028" spans="2:6" ht="12.75" customHeight="1" x14ac:dyDescent="0.2">
      <c r="B3028" s="70"/>
      <c r="C3028" s="73"/>
      <c r="D3028" s="668" t="s">
        <v>916</v>
      </c>
      <c r="E3028" s="677"/>
      <c r="F3028" s="667"/>
    </row>
    <row r="3029" spans="2:6" ht="12.75" customHeight="1" x14ac:dyDescent="0.2">
      <c r="B3029" s="70"/>
      <c r="C3029" s="73"/>
      <c r="D3029" s="668" t="s">
        <v>917</v>
      </c>
      <c r="E3029" s="677">
        <v>90</v>
      </c>
      <c r="F3029" s="667" t="s">
        <v>826</v>
      </c>
    </row>
    <row r="3030" spans="2:6" ht="12.75" customHeight="1" x14ac:dyDescent="0.2">
      <c r="B3030" s="70"/>
      <c r="C3030" s="73"/>
      <c r="D3030" s="668" t="s">
        <v>2174</v>
      </c>
      <c r="E3030" s="677">
        <v>90</v>
      </c>
      <c r="F3030" s="667" t="s">
        <v>826</v>
      </c>
    </row>
    <row r="3031" spans="2:6" ht="12.75" customHeight="1" x14ac:dyDescent="0.2">
      <c r="B3031" s="70"/>
      <c r="C3031" s="73"/>
      <c r="D3031" s="668" t="s">
        <v>918</v>
      </c>
      <c r="E3031" s="677">
        <v>90</v>
      </c>
      <c r="F3031" s="667" t="s">
        <v>826</v>
      </c>
    </row>
    <row r="3032" spans="2:6" ht="12.75" customHeight="1" x14ac:dyDescent="0.2">
      <c r="B3032" s="70"/>
      <c r="C3032" s="73"/>
      <c r="D3032" s="668" t="s">
        <v>919</v>
      </c>
      <c r="E3032" s="677">
        <v>90</v>
      </c>
      <c r="F3032" s="667" t="s">
        <v>826</v>
      </c>
    </row>
    <row r="3033" spans="2:6" ht="12.75" customHeight="1" x14ac:dyDescent="0.2">
      <c r="B3033" s="70"/>
      <c r="C3033" s="73"/>
      <c r="D3033" s="668" t="s">
        <v>920</v>
      </c>
      <c r="E3033" s="677">
        <v>90</v>
      </c>
      <c r="F3033" s="667" t="s">
        <v>826</v>
      </c>
    </row>
    <row r="3034" spans="2:6" ht="12.75" customHeight="1" x14ac:dyDescent="0.2">
      <c r="B3034" s="70"/>
      <c r="C3034" s="73"/>
      <c r="D3034" s="668" t="s">
        <v>921</v>
      </c>
      <c r="E3034" s="677">
        <v>90</v>
      </c>
      <c r="F3034" s="667" t="s">
        <v>826</v>
      </c>
    </row>
    <row r="3035" spans="2:6" ht="12.75" customHeight="1" x14ac:dyDescent="0.2">
      <c r="B3035" s="70"/>
      <c r="C3035" s="73"/>
      <c r="D3035" s="668" t="s">
        <v>922</v>
      </c>
      <c r="E3035" s="677">
        <v>90</v>
      </c>
      <c r="F3035" s="667" t="s">
        <v>826</v>
      </c>
    </row>
    <row r="3036" spans="2:6" ht="12.75" customHeight="1" x14ac:dyDescent="0.2">
      <c r="B3036" s="70"/>
      <c r="C3036" s="73"/>
      <c r="D3036" s="668" t="s">
        <v>923</v>
      </c>
      <c r="E3036" s="677">
        <v>90</v>
      </c>
      <c r="F3036" s="667" t="s">
        <v>826</v>
      </c>
    </row>
    <row r="3037" spans="2:6" ht="12.75" customHeight="1" x14ac:dyDescent="0.2">
      <c r="B3037" s="70"/>
      <c r="C3037" s="73"/>
      <c r="D3037" s="668" t="s">
        <v>924</v>
      </c>
      <c r="E3037" s="677">
        <v>90</v>
      </c>
      <c r="F3037" s="667" t="s">
        <v>826</v>
      </c>
    </row>
    <row r="3038" spans="2:6" ht="12.75" customHeight="1" x14ac:dyDescent="0.2">
      <c r="B3038" s="70"/>
      <c r="C3038" s="73"/>
      <c r="D3038" s="668" t="s">
        <v>925</v>
      </c>
      <c r="E3038" s="677">
        <v>90</v>
      </c>
      <c r="F3038" s="667" t="s">
        <v>826</v>
      </c>
    </row>
    <row r="3039" spans="2:6" ht="12.75" customHeight="1" x14ac:dyDescent="0.2">
      <c r="B3039" s="70"/>
      <c r="C3039" s="73"/>
      <c r="D3039" s="668" t="s">
        <v>294</v>
      </c>
      <c r="E3039" s="677">
        <v>90</v>
      </c>
      <c r="F3039" s="667" t="s">
        <v>826</v>
      </c>
    </row>
    <row r="3040" spans="2:6" ht="12.75" customHeight="1" x14ac:dyDescent="0.2">
      <c r="B3040" s="70"/>
      <c r="C3040" s="73"/>
      <c r="D3040" s="668" t="s">
        <v>926</v>
      </c>
      <c r="E3040" s="677">
        <v>90</v>
      </c>
      <c r="F3040" s="667" t="s">
        <v>826</v>
      </c>
    </row>
    <row r="3041" spans="2:6" ht="12.75" customHeight="1" x14ac:dyDescent="0.2">
      <c r="B3041" s="70"/>
      <c r="C3041" s="73"/>
      <c r="D3041" s="668" t="s">
        <v>927</v>
      </c>
      <c r="E3041" s="677"/>
      <c r="F3041" s="667"/>
    </row>
    <row r="3042" spans="2:6" ht="12.75" customHeight="1" x14ac:dyDescent="0.2">
      <c r="B3042" s="70"/>
      <c r="C3042" s="73"/>
      <c r="D3042" s="668" t="s">
        <v>928</v>
      </c>
      <c r="E3042" s="677">
        <v>100</v>
      </c>
      <c r="F3042" s="667" t="s">
        <v>826</v>
      </c>
    </row>
    <row r="3043" spans="2:6" ht="12.75" customHeight="1" x14ac:dyDescent="0.2">
      <c r="B3043" s="70"/>
      <c r="C3043" s="73"/>
      <c r="D3043" s="668" t="s">
        <v>929</v>
      </c>
      <c r="E3043" s="677">
        <v>100</v>
      </c>
      <c r="F3043" s="667" t="s">
        <v>826</v>
      </c>
    </row>
    <row r="3044" spans="2:6" ht="12.75" customHeight="1" x14ac:dyDescent="0.2">
      <c r="B3044" s="70"/>
      <c r="C3044" s="73"/>
      <c r="D3044" s="668" t="s">
        <v>930</v>
      </c>
      <c r="E3044" s="677">
        <v>100</v>
      </c>
      <c r="F3044" s="667" t="s">
        <v>826</v>
      </c>
    </row>
    <row r="3045" spans="2:6" ht="12.75" customHeight="1" x14ac:dyDescent="0.2">
      <c r="B3045" s="70"/>
      <c r="C3045" s="73"/>
      <c r="D3045" s="668" t="s">
        <v>931</v>
      </c>
      <c r="E3045" s="677">
        <v>100</v>
      </c>
      <c r="F3045" s="667" t="s">
        <v>826</v>
      </c>
    </row>
    <row r="3046" spans="2:6" ht="12.75" customHeight="1" x14ac:dyDescent="0.2">
      <c r="B3046" s="70"/>
      <c r="C3046" s="73"/>
      <c r="D3046" s="668" t="s">
        <v>932</v>
      </c>
      <c r="E3046" s="677">
        <v>100</v>
      </c>
      <c r="F3046" s="667" t="s">
        <v>826</v>
      </c>
    </row>
    <row r="3047" spans="2:6" ht="12.75" customHeight="1" x14ac:dyDescent="0.2">
      <c r="B3047" s="70"/>
      <c r="C3047" s="73"/>
      <c r="D3047" s="668" t="s">
        <v>933</v>
      </c>
      <c r="E3047" s="677">
        <v>100</v>
      </c>
      <c r="F3047" s="667" t="s">
        <v>826</v>
      </c>
    </row>
    <row r="3048" spans="2:6" ht="12.75" customHeight="1" x14ac:dyDescent="0.2">
      <c r="B3048" s="70"/>
      <c r="C3048" s="73"/>
      <c r="D3048" s="668" t="s">
        <v>934</v>
      </c>
      <c r="E3048" s="677">
        <v>100</v>
      </c>
      <c r="F3048" s="667" t="s">
        <v>826</v>
      </c>
    </row>
    <row r="3049" spans="2:6" ht="12.75" customHeight="1" x14ac:dyDescent="0.2">
      <c r="B3049" s="70"/>
      <c r="C3049" s="73"/>
      <c r="D3049" s="668" t="s">
        <v>935</v>
      </c>
      <c r="E3049" s="677">
        <v>100</v>
      </c>
      <c r="F3049" s="667" t="s">
        <v>826</v>
      </c>
    </row>
    <row r="3050" spans="2:6" ht="12.75" customHeight="1" x14ac:dyDescent="0.2">
      <c r="B3050" s="70"/>
      <c r="C3050" s="73"/>
      <c r="D3050" s="668" t="s">
        <v>936</v>
      </c>
      <c r="E3050" s="677">
        <v>100</v>
      </c>
      <c r="F3050" s="667" t="s">
        <v>826</v>
      </c>
    </row>
    <row r="3051" spans="2:6" ht="12.75" customHeight="1" x14ac:dyDescent="0.2">
      <c r="B3051" s="70"/>
      <c r="C3051" s="73"/>
      <c r="D3051" s="668" t="s">
        <v>937</v>
      </c>
      <c r="E3051" s="677">
        <v>100</v>
      </c>
      <c r="F3051" s="667" t="s">
        <v>826</v>
      </c>
    </row>
    <row r="3052" spans="2:6" ht="12.75" customHeight="1" x14ac:dyDescent="0.2">
      <c r="B3052" s="70"/>
      <c r="C3052" s="73"/>
      <c r="D3052" s="668" t="s">
        <v>938</v>
      </c>
      <c r="E3052" s="677">
        <v>100</v>
      </c>
      <c r="F3052" s="667" t="s">
        <v>826</v>
      </c>
    </row>
    <row r="3053" spans="2:6" ht="12.75" customHeight="1" x14ac:dyDescent="0.2">
      <c r="B3053" s="70"/>
      <c r="C3053" s="73"/>
      <c r="D3053" s="668" t="s">
        <v>939</v>
      </c>
      <c r="E3053" s="677">
        <v>100</v>
      </c>
      <c r="F3053" s="667" t="s">
        <v>826</v>
      </c>
    </row>
    <row r="3054" spans="2:6" ht="12.75" customHeight="1" x14ac:dyDescent="0.2">
      <c r="B3054" s="70"/>
      <c r="C3054" s="73"/>
      <c r="D3054" s="668" t="s">
        <v>940</v>
      </c>
      <c r="E3054" s="677"/>
      <c r="F3054" s="667"/>
    </row>
    <row r="3055" spans="2:6" ht="12.75" customHeight="1" x14ac:dyDescent="0.2">
      <c r="B3055" s="70"/>
      <c r="C3055" s="73"/>
      <c r="D3055" s="668" t="s">
        <v>941</v>
      </c>
      <c r="E3055" s="677">
        <v>4</v>
      </c>
      <c r="F3055" s="667" t="s">
        <v>259</v>
      </c>
    </row>
    <row r="3056" spans="2:6" ht="12.75" customHeight="1" x14ac:dyDescent="0.2">
      <c r="B3056" s="70"/>
      <c r="C3056" s="73"/>
      <c r="D3056" s="668" t="s">
        <v>942</v>
      </c>
      <c r="E3056" s="677">
        <v>14</v>
      </c>
      <c r="F3056" s="667" t="s">
        <v>259</v>
      </c>
    </row>
    <row r="3057" spans="2:6" ht="12.75" customHeight="1" x14ac:dyDescent="0.2">
      <c r="B3057" s="70"/>
      <c r="C3057" s="73"/>
      <c r="D3057" s="668" t="s">
        <v>943</v>
      </c>
      <c r="E3057" s="677">
        <v>24</v>
      </c>
      <c r="F3057" s="667" t="s">
        <v>259</v>
      </c>
    </row>
    <row r="3058" spans="2:6" ht="12.75" customHeight="1" x14ac:dyDescent="0.2">
      <c r="B3058" s="70"/>
      <c r="C3058" s="73"/>
      <c r="D3058" s="668" t="s">
        <v>944</v>
      </c>
      <c r="E3058" s="677">
        <v>34</v>
      </c>
      <c r="F3058" s="667" t="s">
        <v>259</v>
      </c>
    </row>
    <row r="3059" spans="2:6" ht="12.75" customHeight="1" x14ac:dyDescent="0.2">
      <c r="B3059" s="70"/>
      <c r="C3059" s="73"/>
      <c r="D3059" s="668" t="s">
        <v>945</v>
      </c>
      <c r="E3059" s="677">
        <v>44</v>
      </c>
      <c r="F3059" s="667" t="s">
        <v>259</v>
      </c>
    </row>
    <row r="3060" spans="2:6" ht="12.75" customHeight="1" x14ac:dyDescent="0.2">
      <c r="B3060" s="70"/>
      <c r="C3060" s="73"/>
      <c r="D3060" s="668" t="s">
        <v>946</v>
      </c>
      <c r="E3060" s="677">
        <v>54</v>
      </c>
      <c r="F3060" s="667" t="s">
        <v>259</v>
      </c>
    </row>
    <row r="3061" spans="2:6" ht="12.75" customHeight="1" x14ac:dyDescent="0.2">
      <c r="B3061" s="70"/>
      <c r="C3061" s="73"/>
      <c r="D3061" s="668" t="s">
        <v>947</v>
      </c>
      <c r="E3061" s="677">
        <v>64</v>
      </c>
      <c r="F3061" s="667" t="s">
        <v>259</v>
      </c>
    </row>
    <row r="3062" spans="2:6" ht="12.75" customHeight="1" x14ac:dyDescent="0.2">
      <c r="B3062" s="70"/>
      <c r="C3062" s="73"/>
      <c r="D3062" s="668" t="s">
        <v>948</v>
      </c>
      <c r="E3062" s="677">
        <v>74</v>
      </c>
      <c r="F3062" s="667" t="s">
        <v>259</v>
      </c>
    </row>
    <row r="3063" spans="2:6" ht="12.75" customHeight="1" x14ac:dyDescent="0.2">
      <c r="B3063" s="70"/>
      <c r="C3063" s="73"/>
      <c r="D3063" s="668" t="s">
        <v>949</v>
      </c>
      <c r="E3063" s="677">
        <v>84</v>
      </c>
      <c r="F3063" s="667" t="s">
        <v>259</v>
      </c>
    </row>
    <row r="3064" spans="2:6" ht="12.75" customHeight="1" x14ac:dyDescent="0.2">
      <c r="B3064" s="70"/>
      <c r="C3064" s="73"/>
      <c r="D3064" s="668" t="s">
        <v>950</v>
      </c>
      <c r="E3064" s="677">
        <v>94</v>
      </c>
      <c r="F3064" s="667" t="s">
        <v>259</v>
      </c>
    </row>
    <row r="3065" spans="2:6" ht="12.75" customHeight="1" x14ac:dyDescent="0.2">
      <c r="B3065" s="70"/>
      <c r="C3065" s="73"/>
      <c r="D3065" s="668" t="s">
        <v>951</v>
      </c>
      <c r="E3065" s="677"/>
      <c r="F3065" s="667"/>
    </row>
    <row r="3066" spans="2:6" ht="12.75" customHeight="1" x14ac:dyDescent="0.2">
      <c r="B3066" s="70"/>
      <c r="C3066" s="73"/>
      <c r="D3066" s="668" t="s">
        <v>952</v>
      </c>
      <c r="E3066" s="677">
        <v>4</v>
      </c>
      <c r="F3066" s="667" t="s">
        <v>260</v>
      </c>
    </row>
    <row r="3067" spans="2:6" ht="12.75" customHeight="1" x14ac:dyDescent="0.2">
      <c r="B3067" s="70"/>
      <c r="C3067" s="73"/>
      <c r="D3067" s="668" t="s">
        <v>953</v>
      </c>
      <c r="E3067" s="677">
        <v>14</v>
      </c>
      <c r="F3067" s="667" t="s">
        <v>260</v>
      </c>
    </row>
    <row r="3068" spans="2:6" ht="12.75" customHeight="1" x14ac:dyDescent="0.2">
      <c r="B3068" s="70"/>
      <c r="C3068" s="73"/>
      <c r="D3068" s="668" t="s">
        <v>954</v>
      </c>
      <c r="E3068" s="677">
        <v>24</v>
      </c>
      <c r="F3068" s="667" t="s">
        <v>260</v>
      </c>
    </row>
    <row r="3069" spans="2:6" ht="12.75" customHeight="1" x14ac:dyDescent="0.2">
      <c r="B3069" s="70"/>
      <c r="C3069" s="73"/>
      <c r="D3069" s="668" t="s">
        <v>955</v>
      </c>
      <c r="E3069" s="677">
        <v>34</v>
      </c>
      <c r="F3069" s="667" t="s">
        <v>260</v>
      </c>
    </row>
    <row r="3070" spans="2:6" ht="12.75" customHeight="1" x14ac:dyDescent="0.2">
      <c r="B3070" s="70"/>
      <c r="C3070" s="73"/>
      <c r="D3070" s="668" t="s">
        <v>956</v>
      </c>
      <c r="E3070" s="677">
        <v>44</v>
      </c>
      <c r="F3070" s="667" t="s">
        <v>260</v>
      </c>
    </row>
    <row r="3071" spans="2:6" ht="12.75" customHeight="1" x14ac:dyDescent="0.2">
      <c r="B3071" s="70"/>
      <c r="C3071" s="73"/>
      <c r="D3071" s="668" t="s">
        <v>957</v>
      </c>
      <c r="E3071" s="677">
        <v>54</v>
      </c>
      <c r="F3071" s="667" t="s">
        <v>260</v>
      </c>
    </row>
    <row r="3072" spans="2:6" ht="12.75" customHeight="1" x14ac:dyDescent="0.2">
      <c r="B3072" s="70"/>
      <c r="C3072" s="73"/>
      <c r="D3072" s="668" t="s">
        <v>958</v>
      </c>
      <c r="E3072" s="677">
        <v>64</v>
      </c>
      <c r="F3072" s="667" t="s">
        <v>260</v>
      </c>
    </row>
    <row r="3073" spans="2:6" ht="12.75" customHeight="1" x14ac:dyDescent="0.2">
      <c r="B3073" s="70"/>
      <c r="C3073" s="73"/>
      <c r="D3073" s="668" t="s">
        <v>959</v>
      </c>
      <c r="E3073" s="677">
        <v>74</v>
      </c>
      <c r="F3073" s="667" t="s">
        <v>260</v>
      </c>
    </row>
    <row r="3074" spans="2:6" ht="12.75" customHeight="1" x14ac:dyDescent="0.2">
      <c r="B3074" s="70"/>
      <c r="C3074" s="73"/>
      <c r="D3074" s="668" t="s">
        <v>960</v>
      </c>
      <c r="E3074" s="677">
        <v>84</v>
      </c>
      <c r="F3074" s="667" t="s">
        <v>260</v>
      </c>
    </row>
    <row r="3075" spans="2:6" ht="12.75" customHeight="1" x14ac:dyDescent="0.2">
      <c r="B3075" s="70"/>
      <c r="C3075" s="73"/>
      <c r="D3075" s="668" t="s">
        <v>961</v>
      </c>
      <c r="E3075" s="677">
        <v>94</v>
      </c>
      <c r="F3075" s="667" t="s">
        <v>260</v>
      </c>
    </row>
    <row r="3076" spans="2:6" ht="12.75" customHeight="1" x14ac:dyDescent="0.2">
      <c r="B3076" s="70"/>
      <c r="C3076" s="73"/>
      <c r="D3076" s="668" t="s">
        <v>962</v>
      </c>
      <c r="E3076" s="677"/>
      <c r="F3076" s="667"/>
    </row>
    <row r="3077" spans="2:6" ht="12.75" customHeight="1" x14ac:dyDescent="0.2">
      <c r="B3077" s="70"/>
      <c r="C3077" s="73"/>
      <c r="D3077" s="668" t="s">
        <v>963</v>
      </c>
      <c r="E3077" s="677">
        <v>4</v>
      </c>
      <c r="F3077" s="667" t="s">
        <v>261</v>
      </c>
    </row>
    <row r="3078" spans="2:6" ht="12.75" customHeight="1" x14ac:dyDescent="0.2">
      <c r="B3078" s="70"/>
      <c r="C3078" s="73"/>
      <c r="D3078" s="668" t="s">
        <v>964</v>
      </c>
      <c r="E3078" s="677">
        <v>14</v>
      </c>
      <c r="F3078" s="667" t="s">
        <v>261</v>
      </c>
    </row>
    <row r="3079" spans="2:6" ht="12.75" customHeight="1" x14ac:dyDescent="0.2">
      <c r="B3079" s="70"/>
      <c r="C3079" s="73"/>
      <c r="D3079" s="668" t="s">
        <v>965</v>
      </c>
      <c r="E3079" s="677">
        <v>24</v>
      </c>
      <c r="F3079" s="667" t="s">
        <v>261</v>
      </c>
    </row>
    <row r="3080" spans="2:6" ht="12.75" customHeight="1" x14ac:dyDescent="0.2">
      <c r="B3080" s="70"/>
      <c r="C3080" s="73"/>
      <c r="D3080" s="668" t="s">
        <v>966</v>
      </c>
      <c r="E3080" s="677">
        <v>34</v>
      </c>
      <c r="F3080" s="667" t="s">
        <v>261</v>
      </c>
    </row>
    <row r="3081" spans="2:6" ht="12.75" customHeight="1" x14ac:dyDescent="0.2">
      <c r="B3081" s="70"/>
      <c r="C3081" s="73"/>
      <c r="D3081" s="668" t="s">
        <v>967</v>
      </c>
      <c r="E3081" s="677">
        <v>44</v>
      </c>
      <c r="F3081" s="667" t="s">
        <v>261</v>
      </c>
    </row>
    <row r="3082" spans="2:6" ht="12.75" customHeight="1" x14ac:dyDescent="0.2">
      <c r="B3082" s="70"/>
      <c r="C3082" s="73"/>
      <c r="D3082" s="668" t="s">
        <v>968</v>
      </c>
      <c r="E3082" s="677">
        <v>54</v>
      </c>
      <c r="F3082" s="667" t="s">
        <v>261</v>
      </c>
    </row>
    <row r="3083" spans="2:6" ht="12.75" customHeight="1" x14ac:dyDescent="0.2">
      <c r="B3083" s="70"/>
      <c r="C3083" s="73"/>
      <c r="D3083" s="668" t="s">
        <v>969</v>
      </c>
      <c r="E3083" s="677">
        <v>64</v>
      </c>
      <c r="F3083" s="667" t="s">
        <v>261</v>
      </c>
    </row>
    <row r="3084" spans="2:6" ht="12.75" customHeight="1" x14ac:dyDescent="0.2">
      <c r="B3084" s="70"/>
      <c r="C3084" s="73"/>
      <c r="D3084" s="668" t="s">
        <v>970</v>
      </c>
      <c r="E3084" s="677">
        <v>74</v>
      </c>
      <c r="F3084" s="667" t="s">
        <v>261</v>
      </c>
    </row>
    <row r="3085" spans="2:6" ht="12.75" customHeight="1" x14ac:dyDescent="0.2">
      <c r="B3085" s="70"/>
      <c r="C3085" s="73"/>
      <c r="D3085" s="668" t="s">
        <v>971</v>
      </c>
      <c r="E3085" s="677">
        <v>84</v>
      </c>
      <c r="F3085" s="667" t="s">
        <v>261</v>
      </c>
    </row>
    <row r="3086" spans="2:6" ht="12.75" customHeight="1" x14ac:dyDescent="0.2">
      <c r="B3086" s="70"/>
      <c r="C3086" s="73"/>
      <c r="D3086" s="668" t="s">
        <v>972</v>
      </c>
      <c r="E3086" s="677">
        <v>94</v>
      </c>
      <c r="F3086" s="667" t="s">
        <v>261</v>
      </c>
    </row>
    <row r="3087" spans="2:6" ht="12.75" customHeight="1" x14ac:dyDescent="0.2">
      <c r="B3087" s="70"/>
      <c r="C3087" s="73"/>
      <c r="D3087" s="668" t="s">
        <v>973</v>
      </c>
      <c r="E3087" s="677"/>
      <c r="F3087" s="667"/>
    </row>
    <row r="3088" spans="2:6" ht="12.75" customHeight="1" x14ac:dyDescent="0.2">
      <c r="B3088" s="70"/>
      <c r="C3088" s="73"/>
      <c r="D3088" s="668" t="s">
        <v>974</v>
      </c>
      <c r="E3088" s="677">
        <v>4</v>
      </c>
      <c r="F3088" s="667" t="s">
        <v>262</v>
      </c>
    </row>
    <row r="3089" spans="2:6" ht="12.75" customHeight="1" x14ac:dyDescent="0.2">
      <c r="B3089" s="70"/>
      <c r="C3089" s="73"/>
      <c r="D3089" s="668" t="s">
        <v>975</v>
      </c>
      <c r="E3089" s="677">
        <v>14</v>
      </c>
      <c r="F3089" s="667" t="s">
        <v>262</v>
      </c>
    </row>
    <row r="3090" spans="2:6" ht="12.75" customHeight="1" x14ac:dyDescent="0.2">
      <c r="B3090" s="70"/>
      <c r="C3090" s="73"/>
      <c r="D3090" s="668" t="s">
        <v>976</v>
      </c>
      <c r="E3090" s="677">
        <v>24</v>
      </c>
      <c r="F3090" s="667" t="s">
        <v>262</v>
      </c>
    </row>
    <row r="3091" spans="2:6" ht="12.75" customHeight="1" x14ac:dyDescent="0.2">
      <c r="B3091" s="70"/>
      <c r="C3091" s="73"/>
      <c r="D3091" s="668" t="s">
        <v>977</v>
      </c>
      <c r="E3091" s="677">
        <v>34</v>
      </c>
      <c r="F3091" s="667" t="s">
        <v>262</v>
      </c>
    </row>
    <row r="3092" spans="2:6" ht="12.75" customHeight="1" x14ac:dyDescent="0.2">
      <c r="B3092" s="70"/>
      <c r="C3092" s="73"/>
      <c r="D3092" s="668" t="s">
        <v>978</v>
      </c>
      <c r="E3092" s="677">
        <v>44</v>
      </c>
      <c r="F3092" s="667" t="s">
        <v>262</v>
      </c>
    </row>
    <row r="3093" spans="2:6" ht="12.75" customHeight="1" x14ac:dyDescent="0.2">
      <c r="B3093" s="70"/>
      <c r="C3093" s="73"/>
      <c r="D3093" s="668" t="s">
        <v>784</v>
      </c>
      <c r="E3093" s="677">
        <v>54</v>
      </c>
      <c r="F3093" s="667" t="s">
        <v>262</v>
      </c>
    </row>
    <row r="3094" spans="2:6" ht="12.75" customHeight="1" x14ac:dyDescent="0.2">
      <c r="B3094" s="70"/>
      <c r="C3094" s="73"/>
      <c r="D3094" s="668" t="s">
        <v>979</v>
      </c>
      <c r="E3094" s="677">
        <v>64</v>
      </c>
      <c r="F3094" s="667" t="s">
        <v>262</v>
      </c>
    </row>
    <row r="3095" spans="2:6" ht="12.75" customHeight="1" x14ac:dyDescent="0.2">
      <c r="B3095" s="70"/>
      <c r="C3095" s="73"/>
      <c r="D3095" s="668" t="s">
        <v>980</v>
      </c>
      <c r="E3095" s="677">
        <v>74</v>
      </c>
      <c r="F3095" s="667" t="s">
        <v>262</v>
      </c>
    </row>
    <row r="3096" spans="2:6" ht="12.75" customHeight="1" x14ac:dyDescent="0.2">
      <c r="B3096" s="70"/>
      <c r="C3096" s="73"/>
      <c r="D3096" s="668" t="s">
        <v>981</v>
      </c>
      <c r="E3096" s="677">
        <v>84</v>
      </c>
      <c r="F3096" s="667" t="s">
        <v>262</v>
      </c>
    </row>
    <row r="3097" spans="2:6" ht="12.75" customHeight="1" x14ac:dyDescent="0.2">
      <c r="B3097" s="70"/>
      <c r="C3097" s="73"/>
      <c r="D3097" s="668" t="s">
        <v>982</v>
      </c>
      <c r="E3097" s="677">
        <v>94</v>
      </c>
      <c r="F3097" s="667" t="s">
        <v>262</v>
      </c>
    </row>
    <row r="3098" spans="2:6" ht="12.75" customHeight="1" x14ac:dyDescent="0.2">
      <c r="B3098" s="70"/>
      <c r="C3098" s="73"/>
      <c r="D3098" s="668" t="s">
        <v>983</v>
      </c>
      <c r="E3098" s="677"/>
      <c r="F3098" s="667"/>
    </row>
    <row r="3099" spans="2:6" ht="12.75" customHeight="1" x14ac:dyDescent="0.2">
      <c r="B3099" s="70"/>
      <c r="C3099" s="73"/>
      <c r="D3099" s="668" t="s">
        <v>984</v>
      </c>
      <c r="E3099" s="677">
        <v>4</v>
      </c>
      <c r="F3099" s="667" t="s">
        <v>263</v>
      </c>
    </row>
    <row r="3100" spans="2:6" ht="12.75" customHeight="1" x14ac:dyDescent="0.2">
      <c r="B3100" s="70"/>
      <c r="C3100" s="73"/>
      <c r="D3100" s="668" t="s">
        <v>985</v>
      </c>
      <c r="E3100" s="677">
        <v>14</v>
      </c>
      <c r="F3100" s="667" t="s">
        <v>263</v>
      </c>
    </row>
    <row r="3101" spans="2:6" ht="12.75" customHeight="1" x14ac:dyDescent="0.2">
      <c r="B3101" s="70"/>
      <c r="C3101" s="73"/>
      <c r="D3101" s="668" t="s">
        <v>986</v>
      </c>
      <c r="E3101" s="677">
        <v>24</v>
      </c>
      <c r="F3101" s="667" t="s">
        <v>263</v>
      </c>
    </row>
    <row r="3102" spans="2:6" ht="12.75" customHeight="1" x14ac:dyDescent="0.2">
      <c r="B3102" s="70"/>
      <c r="C3102" s="73"/>
      <c r="D3102" s="668" t="s">
        <v>987</v>
      </c>
      <c r="E3102" s="677">
        <v>34</v>
      </c>
      <c r="F3102" s="667" t="s">
        <v>263</v>
      </c>
    </row>
    <row r="3103" spans="2:6" ht="12.75" customHeight="1" x14ac:dyDescent="0.2">
      <c r="B3103" s="70"/>
      <c r="C3103" s="73"/>
      <c r="D3103" s="668" t="s">
        <v>988</v>
      </c>
      <c r="E3103" s="677">
        <v>44</v>
      </c>
      <c r="F3103" s="667" t="s">
        <v>263</v>
      </c>
    </row>
    <row r="3104" spans="2:6" ht="12.75" customHeight="1" x14ac:dyDescent="0.2">
      <c r="B3104" s="70"/>
      <c r="C3104" s="73"/>
      <c r="D3104" s="668" t="s">
        <v>989</v>
      </c>
      <c r="E3104" s="677">
        <v>54</v>
      </c>
      <c r="F3104" s="667" t="s">
        <v>263</v>
      </c>
    </row>
    <row r="3105" spans="2:6" ht="12.75" customHeight="1" x14ac:dyDescent="0.2">
      <c r="B3105" s="70"/>
      <c r="C3105" s="73"/>
      <c r="D3105" s="668" t="s">
        <v>990</v>
      </c>
      <c r="E3105" s="677">
        <v>64</v>
      </c>
      <c r="F3105" s="667" t="s">
        <v>263</v>
      </c>
    </row>
    <row r="3106" spans="2:6" ht="12.75" customHeight="1" x14ac:dyDescent="0.2">
      <c r="B3106" s="70"/>
      <c r="C3106" s="73"/>
      <c r="D3106" s="668" t="s">
        <v>991</v>
      </c>
      <c r="E3106" s="677">
        <v>74</v>
      </c>
      <c r="F3106" s="667" t="s">
        <v>263</v>
      </c>
    </row>
    <row r="3107" spans="2:6" ht="12.75" customHeight="1" x14ac:dyDescent="0.2">
      <c r="B3107" s="70"/>
      <c r="C3107" s="73"/>
      <c r="D3107" s="668" t="s">
        <v>992</v>
      </c>
      <c r="E3107" s="677">
        <v>84</v>
      </c>
      <c r="F3107" s="667" t="s">
        <v>263</v>
      </c>
    </row>
    <row r="3108" spans="2:6" ht="12.75" customHeight="1" x14ac:dyDescent="0.2">
      <c r="B3108" s="70"/>
      <c r="C3108" s="73"/>
      <c r="D3108" s="668" t="s">
        <v>993</v>
      </c>
      <c r="E3108" s="677">
        <v>94</v>
      </c>
      <c r="F3108" s="667" t="s">
        <v>263</v>
      </c>
    </row>
    <row r="3109" spans="2:6" ht="12.75" customHeight="1" x14ac:dyDescent="0.2">
      <c r="B3109" s="70"/>
      <c r="C3109" s="73"/>
      <c r="D3109" s="668" t="s">
        <v>994</v>
      </c>
      <c r="E3109" s="677"/>
      <c r="F3109" s="667"/>
    </row>
    <row r="3110" spans="2:6" ht="12.75" customHeight="1" x14ac:dyDescent="0.2">
      <c r="B3110" s="70"/>
      <c r="C3110" s="73"/>
      <c r="D3110" s="668" t="s">
        <v>995</v>
      </c>
      <c r="E3110" s="677">
        <v>4</v>
      </c>
      <c r="F3110" s="667" t="s">
        <v>264</v>
      </c>
    </row>
    <row r="3111" spans="2:6" ht="12.75" customHeight="1" x14ac:dyDescent="0.2">
      <c r="B3111" s="70"/>
      <c r="C3111" s="73"/>
      <c r="D3111" s="668" t="s">
        <v>996</v>
      </c>
      <c r="E3111" s="677">
        <v>14</v>
      </c>
      <c r="F3111" s="667" t="s">
        <v>264</v>
      </c>
    </row>
    <row r="3112" spans="2:6" ht="12.75" customHeight="1" x14ac:dyDescent="0.2">
      <c r="B3112" s="70"/>
      <c r="C3112" s="73"/>
      <c r="D3112" s="668" t="s">
        <v>997</v>
      </c>
      <c r="E3112" s="677">
        <v>24</v>
      </c>
      <c r="F3112" s="667" t="s">
        <v>264</v>
      </c>
    </row>
    <row r="3113" spans="2:6" ht="12.75" customHeight="1" x14ac:dyDescent="0.2">
      <c r="B3113" s="70"/>
      <c r="C3113" s="73"/>
      <c r="D3113" s="668" t="s">
        <v>998</v>
      </c>
      <c r="E3113" s="677">
        <v>34</v>
      </c>
      <c r="F3113" s="667" t="s">
        <v>264</v>
      </c>
    </row>
    <row r="3114" spans="2:6" ht="12.75" customHeight="1" x14ac:dyDescent="0.2">
      <c r="B3114" s="70"/>
      <c r="C3114" s="73"/>
      <c r="D3114" s="668" t="s">
        <v>999</v>
      </c>
      <c r="E3114" s="677">
        <v>44</v>
      </c>
      <c r="F3114" s="667" t="s">
        <v>264</v>
      </c>
    </row>
    <row r="3115" spans="2:6" ht="12.75" customHeight="1" x14ac:dyDescent="0.2">
      <c r="B3115" s="70"/>
      <c r="C3115" s="73"/>
      <c r="D3115" s="668" t="s">
        <v>1000</v>
      </c>
      <c r="E3115" s="677">
        <v>54</v>
      </c>
      <c r="F3115" s="667" t="s">
        <v>264</v>
      </c>
    </row>
    <row r="3116" spans="2:6" ht="12.75" customHeight="1" x14ac:dyDescent="0.2">
      <c r="B3116" s="70"/>
      <c r="C3116" s="73"/>
      <c r="D3116" s="668" t="s">
        <v>1001</v>
      </c>
      <c r="E3116" s="677">
        <v>64</v>
      </c>
      <c r="F3116" s="667" t="s">
        <v>264</v>
      </c>
    </row>
    <row r="3117" spans="2:6" ht="12.75" customHeight="1" x14ac:dyDescent="0.2">
      <c r="B3117" s="70"/>
      <c r="C3117" s="73"/>
      <c r="D3117" s="668" t="s">
        <v>1002</v>
      </c>
      <c r="E3117" s="677">
        <v>74</v>
      </c>
      <c r="F3117" s="667" t="s">
        <v>264</v>
      </c>
    </row>
    <row r="3118" spans="2:6" ht="12.75" customHeight="1" x14ac:dyDescent="0.2">
      <c r="B3118" s="70"/>
      <c r="C3118" s="73"/>
      <c r="D3118" s="668" t="s">
        <v>1003</v>
      </c>
      <c r="E3118" s="677">
        <v>84</v>
      </c>
      <c r="F3118" s="667" t="s">
        <v>264</v>
      </c>
    </row>
    <row r="3119" spans="2:6" ht="12.75" customHeight="1" x14ac:dyDescent="0.2">
      <c r="B3119" s="70"/>
      <c r="C3119" s="73"/>
      <c r="D3119" s="668" t="s">
        <v>1004</v>
      </c>
      <c r="E3119" s="677">
        <v>94</v>
      </c>
      <c r="F3119" s="667" t="s">
        <v>264</v>
      </c>
    </row>
    <row r="3120" spans="2:6" ht="12.75" customHeight="1" x14ac:dyDescent="0.2">
      <c r="B3120" s="70"/>
      <c r="C3120" s="73"/>
      <c r="D3120" s="668" t="s">
        <v>1005</v>
      </c>
      <c r="E3120" s="677"/>
      <c r="F3120" s="667"/>
    </row>
    <row r="3121" spans="2:6" ht="12.75" customHeight="1" x14ac:dyDescent="0.2">
      <c r="B3121" s="70"/>
      <c r="C3121" s="73"/>
      <c r="D3121" s="668" t="s">
        <v>1006</v>
      </c>
      <c r="E3121" s="677">
        <v>4</v>
      </c>
      <c r="F3121" s="667" t="s">
        <v>265</v>
      </c>
    </row>
    <row r="3122" spans="2:6" ht="12.75" customHeight="1" x14ac:dyDescent="0.2">
      <c r="B3122" s="70"/>
      <c r="C3122" s="73"/>
      <c r="D3122" s="668" t="s">
        <v>1007</v>
      </c>
      <c r="E3122" s="677">
        <v>14</v>
      </c>
      <c r="F3122" s="667" t="s">
        <v>265</v>
      </c>
    </row>
    <row r="3123" spans="2:6" ht="12.75" customHeight="1" x14ac:dyDescent="0.2">
      <c r="B3123" s="70"/>
      <c r="C3123" s="73"/>
      <c r="D3123" s="668" t="s">
        <v>1008</v>
      </c>
      <c r="E3123" s="677">
        <v>24</v>
      </c>
      <c r="F3123" s="667" t="s">
        <v>265</v>
      </c>
    </row>
    <row r="3124" spans="2:6" ht="12.75" customHeight="1" x14ac:dyDescent="0.2">
      <c r="B3124" s="70"/>
      <c r="C3124" s="73"/>
      <c r="D3124" s="668" t="s">
        <v>1009</v>
      </c>
      <c r="E3124" s="677">
        <v>34</v>
      </c>
      <c r="F3124" s="667" t="s">
        <v>265</v>
      </c>
    </row>
    <row r="3125" spans="2:6" ht="12.75" customHeight="1" x14ac:dyDescent="0.2">
      <c r="B3125" s="70"/>
      <c r="C3125" s="73"/>
      <c r="D3125" s="668" t="s">
        <v>1010</v>
      </c>
      <c r="E3125" s="677">
        <v>44</v>
      </c>
      <c r="F3125" s="667" t="s">
        <v>265</v>
      </c>
    </row>
    <row r="3126" spans="2:6" ht="12.75" customHeight="1" x14ac:dyDescent="0.2">
      <c r="B3126" s="70"/>
      <c r="C3126" s="73"/>
      <c r="D3126" s="668" t="s">
        <v>1011</v>
      </c>
      <c r="E3126" s="677">
        <v>54</v>
      </c>
      <c r="F3126" s="667" t="s">
        <v>265</v>
      </c>
    </row>
    <row r="3127" spans="2:6" ht="12.75" customHeight="1" x14ac:dyDescent="0.2">
      <c r="B3127" s="70"/>
      <c r="C3127" s="73"/>
      <c r="D3127" s="668" t="s">
        <v>1012</v>
      </c>
      <c r="E3127" s="677">
        <v>64</v>
      </c>
      <c r="F3127" s="667" t="s">
        <v>265</v>
      </c>
    </row>
    <row r="3128" spans="2:6" ht="12.75" customHeight="1" x14ac:dyDescent="0.2">
      <c r="B3128" s="70"/>
      <c r="C3128" s="73"/>
      <c r="D3128" s="668" t="s">
        <v>1013</v>
      </c>
      <c r="E3128" s="677">
        <v>74</v>
      </c>
      <c r="F3128" s="667" t="s">
        <v>265</v>
      </c>
    </row>
    <row r="3129" spans="2:6" ht="12.75" customHeight="1" x14ac:dyDescent="0.2">
      <c r="B3129" s="70"/>
      <c r="C3129" s="73"/>
      <c r="D3129" s="668" t="s">
        <v>1014</v>
      </c>
      <c r="E3129" s="677">
        <v>84</v>
      </c>
      <c r="F3129" s="667" t="s">
        <v>265</v>
      </c>
    </row>
    <row r="3130" spans="2:6" ht="12.75" customHeight="1" x14ac:dyDescent="0.2">
      <c r="B3130" s="70"/>
      <c r="C3130" s="73"/>
      <c r="D3130" s="668" t="s">
        <v>1015</v>
      </c>
      <c r="E3130" s="677">
        <v>94</v>
      </c>
      <c r="F3130" s="667" t="s">
        <v>265</v>
      </c>
    </row>
    <row r="3131" spans="2:6" ht="12.75" customHeight="1" x14ac:dyDescent="0.2">
      <c r="B3131" s="70"/>
      <c r="C3131" s="73"/>
      <c r="D3131" s="668" t="s">
        <v>1016</v>
      </c>
      <c r="E3131" s="677"/>
      <c r="F3131" s="667"/>
    </row>
    <row r="3132" spans="2:6" ht="12.75" customHeight="1" x14ac:dyDescent="0.2">
      <c r="B3132" s="70"/>
      <c r="C3132" s="73"/>
      <c r="D3132" s="668" t="s">
        <v>1017</v>
      </c>
      <c r="E3132" s="677">
        <v>4</v>
      </c>
      <c r="F3132" s="667" t="s">
        <v>266</v>
      </c>
    </row>
    <row r="3133" spans="2:6" ht="12.75" customHeight="1" x14ac:dyDescent="0.2">
      <c r="B3133" s="70"/>
      <c r="C3133" s="73"/>
      <c r="D3133" s="668" t="s">
        <v>1018</v>
      </c>
      <c r="E3133" s="677">
        <v>14</v>
      </c>
      <c r="F3133" s="667" t="s">
        <v>266</v>
      </c>
    </row>
    <row r="3134" spans="2:6" ht="12.75" customHeight="1" x14ac:dyDescent="0.2">
      <c r="B3134" s="70"/>
      <c r="C3134" s="73"/>
      <c r="D3134" s="668" t="s">
        <v>1019</v>
      </c>
      <c r="E3134" s="677">
        <v>24</v>
      </c>
      <c r="F3134" s="667" t="s">
        <v>266</v>
      </c>
    </row>
    <row r="3135" spans="2:6" ht="12.75" customHeight="1" x14ac:dyDescent="0.2">
      <c r="B3135" s="70"/>
      <c r="C3135" s="73"/>
      <c r="D3135" s="668" t="s">
        <v>1020</v>
      </c>
      <c r="E3135" s="677">
        <v>34</v>
      </c>
      <c r="F3135" s="667" t="s">
        <v>266</v>
      </c>
    </row>
    <row r="3136" spans="2:6" ht="12.75" customHeight="1" x14ac:dyDescent="0.2">
      <c r="B3136" s="70"/>
      <c r="C3136" s="73"/>
      <c r="D3136" s="668" t="s">
        <v>1021</v>
      </c>
      <c r="E3136" s="677">
        <v>44</v>
      </c>
      <c r="F3136" s="667" t="s">
        <v>266</v>
      </c>
    </row>
    <row r="3137" spans="2:6" ht="12.75" customHeight="1" x14ac:dyDescent="0.2">
      <c r="B3137" s="70"/>
      <c r="C3137" s="73"/>
      <c r="D3137" s="668" t="s">
        <v>1022</v>
      </c>
      <c r="E3137" s="677">
        <v>54</v>
      </c>
      <c r="F3137" s="667" t="s">
        <v>266</v>
      </c>
    </row>
    <row r="3138" spans="2:6" ht="12.75" customHeight="1" x14ac:dyDescent="0.2">
      <c r="B3138" s="70"/>
      <c r="C3138" s="73"/>
      <c r="D3138" s="668" t="s">
        <v>1023</v>
      </c>
      <c r="E3138" s="677">
        <v>64</v>
      </c>
      <c r="F3138" s="667" t="s">
        <v>266</v>
      </c>
    </row>
    <row r="3139" spans="2:6" ht="12.75" customHeight="1" x14ac:dyDescent="0.2">
      <c r="B3139" s="70"/>
      <c r="C3139" s="73"/>
      <c r="D3139" s="668" t="s">
        <v>1024</v>
      </c>
      <c r="E3139" s="677">
        <v>74</v>
      </c>
      <c r="F3139" s="667" t="s">
        <v>266</v>
      </c>
    </row>
    <row r="3140" spans="2:6" ht="12.75" customHeight="1" x14ac:dyDescent="0.2">
      <c r="B3140" s="70"/>
      <c r="C3140" s="73"/>
      <c r="D3140" s="668" t="s">
        <v>1025</v>
      </c>
      <c r="E3140" s="677">
        <v>84</v>
      </c>
      <c r="F3140" s="667" t="s">
        <v>266</v>
      </c>
    </row>
    <row r="3141" spans="2:6" ht="12.75" customHeight="1" x14ac:dyDescent="0.2">
      <c r="B3141" s="70"/>
      <c r="C3141" s="73"/>
      <c r="D3141" s="668" t="s">
        <v>1026</v>
      </c>
      <c r="E3141" s="677">
        <v>94</v>
      </c>
      <c r="F3141" s="667" t="s">
        <v>266</v>
      </c>
    </row>
    <row r="3142" spans="2:6" ht="12.75" customHeight="1" x14ac:dyDescent="0.2">
      <c r="B3142" s="70"/>
      <c r="C3142" s="73"/>
      <c r="D3142" s="668" t="s">
        <v>1027</v>
      </c>
      <c r="E3142" s="677"/>
      <c r="F3142" s="667"/>
    </row>
    <row r="3143" spans="2:6" ht="12.75" customHeight="1" x14ac:dyDescent="0.2">
      <c r="B3143" s="70"/>
      <c r="C3143" s="73"/>
      <c r="D3143" s="668" t="s">
        <v>1028</v>
      </c>
      <c r="E3143" s="677">
        <v>4</v>
      </c>
      <c r="F3143" s="667" t="s">
        <v>267</v>
      </c>
    </row>
    <row r="3144" spans="2:6" ht="12.75" customHeight="1" x14ac:dyDescent="0.2">
      <c r="B3144" s="70"/>
      <c r="C3144" s="73"/>
      <c r="D3144" s="668" t="s">
        <v>267</v>
      </c>
      <c r="E3144" s="677">
        <v>14</v>
      </c>
      <c r="F3144" s="667" t="s">
        <v>267</v>
      </c>
    </row>
    <row r="3145" spans="2:6" ht="12.75" customHeight="1" x14ac:dyDescent="0.2">
      <c r="B3145" s="70"/>
      <c r="C3145" s="73"/>
      <c r="D3145" s="668" t="s">
        <v>1029</v>
      </c>
      <c r="E3145" s="677">
        <v>24</v>
      </c>
      <c r="F3145" s="667" t="s">
        <v>267</v>
      </c>
    </row>
    <row r="3146" spans="2:6" ht="12.75" customHeight="1" x14ac:dyDescent="0.2">
      <c r="B3146" s="70"/>
      <c r="C3146" s="73"/>
      <c r="D3146" s="668" t="s">
        <v>1030</v>
      </c>
      <c r="E3146" s="677">
        <v>34</v>
      </c>
      <c r="F3146" s="667" t="s">
        <v>267</v>
      </c>
    </row>
    <row r="3147" spans="2:6" ht="12.75" customHeight="1" x14ac:dyDescent="0.2">
      <c r="B3147" s="70"/>
      <c r="C3147" s="73"/>
      <c r="D3147" s="668" t="s">
        <v>1031</v>
      </c>
      <c r="E3147" s="677">
        <v>44</v>
      </c>
      <c r="F3147" s="667" t="s">
        <v>267</v>
      </c>
    </row>
    <row r="3148" spans="2:6" ht="12.75" customHeight="1" x14ac:dyDescent="0.2">
      <c r="B3148" s="70"/>
      <c r="C3148" s="73"/>
      <c r="D3148" s="668" t="s">
        <v>1032</v>
      </c>
      <c r="E3148" s="677">
        <v>54</v>
      </c>
      <c r="F3148" s="667" t="s">
        <v>267</v>
      </c>
    </row>
    <row r="3149" spans="2:6" ht="12.75" customHeight="1" x14ac:dyDescent="0.2">
      <c r="B3149" s="70"/>
      <c r="C3149" s="73"/>
      <c r="D3149" s="668" t="s">
        <v>1033</v>
      </c>
      <c r="E3149" s="677">
        <v>64</v>
      </c>
      <c r="F3149" s="667" t="s">
        <v>267</v>
      </c>
    </row>
    <row r="3150" spans="2:6" ht="12.75" customHeight="1" x14ac:dyDescent="0.2">
      <c r="B3150" s="70"/>
      <c r="C3150" s="73"/>
      <c r="D3150" s="668" t="s">
        <v>1034</v>
      </c>
      <c r="E3150" s="677">
        <v>74</v>
      </c>
      <c r="F3150" s="667" t="s">
        <v>267</v>
      </c>
    </row>
    <row r="3151" spans="2:6" ht="12.75" customHeight="1" x14ac:dyDescent="0.2">
      <c r="B3151" s="70"/>
      <c r="C3151" s="73"/>
      <c r="D3151" s="668" t="s">
        <v>1035</v>
      </c>
      <c r="E3151" s="677">
        <v>84</v>
      </c>
      <c r="F3151" s="667" t="s">
        <v>267</v>
      </c>
    </row>
    <row r="3152" spans="2:6" ht="12.75" customHeight="1" x14ac:dyDescent="0.2">
      <c r="B3152" s="70"/>
      <c r="C3152" s="73"/>
      <c r="D3152" s="668" t="s">
        <v>1036</v>
      </c>
      <c r="E3152" s="677">
        <v>94</v>
      </c>
      <c r="F3152" s="667"/>
    </row>
    <row r="3153" spans="2:6" ht="12.75" customHeight="1" x14ac:dyDescent="0.2">
      <c r="B3153" s="70"/>
      <c r="C3153" s="73"/>
      <c r="D3153" s="668" t="s">
        <v>1037</v>
      </c>
      <c r="E3153" s="677"/>
      <c r="F3153" s="667"/>
    </row>
    <row r="3154" spans="2:6" ht="12.75" customHeight="1" x14ac:dyDescent="0.2">
      <c r="B3154" s="70"/>
      <c r="C3154" s="73"/>
      <c r="D3154" s="668" t="s">
        <v>1038</v>
      </c>
      <c r="E3154" s="677">
        <v>4</v>
      </c>
      <c r="F3154" s="667" t="s">
        <v>268</v>
      </c>
    </row>
    <row r="3155" spans="2:6" ht="12.75" customHeight="1" x14ac:dyDescent="0.2">
      <c r="B3155" s="70"/>
      <c r="C3155" s="73"/>
      <c r="D3155" s="668" t="s">
        <v>1039</v>
      </c>
      <c r="E3155" s="677">
        <v>14</v>
      </c>
      <c r="F3155" s="667" t="s">
        <v>268</v>
      </c>
    </row>
    <row r="3156" spans="2:6" ht="12.75" customHeight="1" x14ac:dyDescent="0.2">
      <c r="B3156" s="70"/>
      <c r="C3156" s="73"/>
      <c r="D3156" s="668" t="s">
        <v>2855</v>
      </c>
      <c r="E3156" s="677">
        <v>24</v>
      </c>
      <c r="F3156" s="667" t="s">
        <v>268</v>
      </c>
    </row>
    <row r="3157" spans="2:6" ht="12.75" customHeight="1" x14ac:dyDescent="0.2">
      <c r="B3157" s="70"/>
      <c r="C3157" s="73"/>
      <c r="D3157" s="668" t="s">
        <v>1040</v>
      </c>
      <c r="E3157" s="677">
        <v>34</v>
      </c>
      <c r="F3157" s="667" t="s">
        <v>268</v>
      </c>
    </row>
    <row r="3158" spans="2:6" ht="12.75" customHeight="1" x14ac:dyDescent="0.2">
      <c r="B3158" s="70"/>
      <c r="C3158" s="73"/>
      <c r="D3158" s="668" t="s">
        <v>1041</v>
      </c>
      <c r="E3158" s="677">
        <v>44</v>
      </c>
      <c r="F3158" s="667" t="s">
        <v>268</v>
      </c>
    </row>
    <row r="3159" spans="2:6" ht="12.75" customHeight="1" x14ac:dyDescent="0.2">
      <c r="B3159" s="70"/>
      <c r="C3159" s="73"/>
      <c r="D3159" s="668" t="s">
        <v>1042</v>
      </c>
      <c r="E3159" s="677">
        <v>54</v>
      </c>
      <c r="F3159" s="667" t="s">
        <v>268</v>
      </c>
    </row>
    <row r="3160" spans="2:6" ht="12.75" customHeight="1" x14ac:dyDescent="0.2">
      <c r="B3160" s="70"/>
      <c r="C3160" s="73"/>
      <c r="D3160" s="668" t="s">
        <v>1043</v>
      </c>
      <c r="E3160" s="677">
        <v>64</v>
      </c>
      <c r="F3160" s="667" t="s">
        <v>268</v>
      </c>
    </row>
    <row r="3161" spans="2:6" ht="12.75" customHeight="1" x14ac:dyDescent="0.2">
      <c r="B3161" s="70"/>
      <c r="C3161" s="73"/>
      <c r="D3161" s="668" t="s">
        <v>1044</v>
      </c>
      <c r="E3161" s="677">
        <v>74</v>
      </c>
      <c r="F3161" s="667" t="s">
        <v>268</v>
      </c>
    </row>
    <row r="3162" spans="2:6" ht="12.75" customHeight="1" x14ac:dyDescent="0.2">
      <c r="B3162" s="70"/>
      <c r="C3162" s="73"/>
      <c r="D3162" s="668" t="s">
        <v>1045</v>
      </c>
      <c r="E3162" s="677">
        <v>84</v>
      </c>
      <c r="F3162" s="667" t="s">
        <v>268</v>
      </c>
    </row>
    <row r="3163" spans="2:6" ht="12.75" customHeight="1" x14ac:dyDescent="0.2">
      <c r="B3163" s="70"/>
      <c r="C3163" s="73"/>
      <c r="D3163" s="668" t="s">
        <v>1046</v>
      </c>
      <c r="E3163" s="677">
        <v>94</v>
      </c>
      <c r="F3163" s="667" t="s">
        <v>268</v>
      </c>
    </row>
    <row r="3164" spans="2:6" ht="12.75" customHeight="1" x14ac:dyDescent="0.2">
      <c r="B3164" s="70"/>
      <c r="C3164" s="73"/>
      <c r="D3164" s="668" t="s">
        <v>1047</v>
      </c>
      <c r="E3164" s="677"/>
      <c r="F3164" s="667"/>
    </row>
    <row r="3165" spans="2:6" ht="12.75" customHeight="1" x14ac:dyDescent="0.2">
      <c r="B3165" s="70"/>
      <c r="C3165" s="73"/>
      <c r="D3165" s="668" t="s">
        <v>1048</v>
      </c>
      <c r="E3165" s="677">
        <v>4</v>
      </c>
      <c r="F3165" s="667" t="s">
        <v>269</v>
      </c>
    </row>
    <row r="3166" spans="2:6" ht="12.75" customHeight="1" x14ac:dyDescent="0.2">
      <c r="B3166" s="70"/>
      <c r="C3166" s="73"/>
      <c r="D3166" s="668" t="s">
        <v>1049</v>
      </c>
      <c r="E3166" s="677">
        <v>14</v>
      </c>
      <c r="F3166" s="667" t="s">
        <v>269</v>
      </c>
    </row>
    <row r="3167" spans="2:6" ht="12.75" customHeight="1" x14ac:dyDescent="0.2">
      <c r="B3167" s="70"/>
      <c r="C3167" s="73"/>
      <c r="D3167" s="668" t="s">
        <v>1050</v>
      </c>
      <c r="E3167" s="677">
        <v>24</v>
      </c>
      <c r="F3167" s="667" t="s">
        <v>269</v>
      </c>
    </row>
    <row r="3168" spans="2:6" ht="12.75" customHeight="1" x14ac:dyDescent="0.2">
      <c r="B3168" s="70"/>
      <c r="C3168" s="73"/>
      <c r="D3168" s="668" t="s">
        <v>1051</v>
      </c>
      <c r="E3168" s="677">
        <v>34</v>
      </c>
      <c r="F3168" s="667" t="s">
        <v>269</v>
      </c>
    </row>
    <row r="3169" spans="2:6" ht="12.75" customHeight="1" x14ac:dyDescent="0.2">
      <c r="B3169" s="70"/>
      <c r="C3169" s="73"/>
      <c r="D3169" s="668" t="s">
        <v>1052</v>
      </c>
      <c r="E3169" s="677">
        <v>44</v>
      </c>
      <c r="F3169" s="667" t="s">
        <v>269</v>
      </c>
    </row>
    <row r="3170" spans="2:6" ht="12.75" customHeight="1" x14ac:dyDescent="0.2">
      <c r="B3170" s="70"/>
      <c r="C3170" s="73"/>
      <c r="D3170" s="668" t="s">
        <v>1053</v>
      </c>
      <c r="E3170" s="677">
        <v>54</v>
      </c>
      <c r="F3170" s="667" t="s">
        <v>269</v>
      </c>
    </row>
    <row r="3171" spans="2:6" ht="12.75" customHeight="1" x14ac:dyDescent="0.2">
      <c r="B3171" s="70"/>
      <c r="C3171" s="73"/>
      <c r="D3171" s="668" t="s">
        <v>1054</v>
      </c>
      <c r="E3171" s="677">
        <v>64</v>
      </c>
      <c r="F3171" s="667" t="s">
        <v>269</v>
      </c>
    </row>
    <row r="3172" spans="2:6" ht="12.75" customHeight="1" x14ac:dyDescent="0.2">
      <c r="B3172" s="70"/>
      <c r="C3172" s="73"/>
      <c r="D3172" s="668" t="s">
        <v>1055</v>
      </c>
      <c r="E3172" s="677">
        <v>74</v>
      </c>
      <c r="F3172" s="667" t="s">
        <v>269</v>
      </c>
    </row>
    <row r="3173" spans="2:6" ht="12.75" customHeight="1" x14ac:dyDescent="0.2">
      <c r="B3173" s="70"/>
      <c r="C3173" s="73"/>
      <c r="D3173" s="668" t="s">
        <v>1056</v>
      </c>
      <c r="E3173" s="677">
        <v>84</v>
      </c>
      <c r="F3173" s="667" t="s">
        <v>269</v>
      </c>
    </row>
    <row r="3174" spans="2:6" ht="12.75" customHeight="1" x14ac:dyDescent="0.2">
      <c r="B3174" s="70"/>
      <c r="C3174" s="73"/>
      <c r="D3174" s="668" t="s">
        <v>1057</v>
      </c>
      <c r="E3174" s="677">
        <v>94</v>
      </c>
      <c r="F3174" s="667" t="s">
        <v>269</v>
      </c>
    </row>
    <row r="3175" spans="2:6" ht="12.75" customHeight="1" x14ac:dyDescent="0.2">
      <c r="B3175" s="70"/>
      <c r="C3175" s="73"/>
      <c r="D3175" s="668" t="s">
        <v>1058</v>
      </c>
      <c r="E3175" s="677"/>
      <c r="F3175" s="667"/>
    </row>
    <row r="3176" spans="2:6" ht="12.75" customHeight="1" x14ac:dyDescent="0.2">
      <c r="B3176" s="70"/>
      <c r="C3176" s="73"/>
      <c r="D3176" s="668" t="s">
        <v>1059</v>
      </c>
      <c r="E3176" s="677">
        <v>4</v>
      </c>
      <c r="F3176" s="667" t="s">
        <v>270</v>
      </c>
    </row>
    <row r="3177" spans="2:6" ht="12.75" customHeight="1" x14ac:dyDescent="0.2">
      <c r="B3177" s="70"/>
      <c r="C3177" s="73"/>
      <c r="D3177" s="668" t="s">
        <v>1060</v>
      </c>
      <c r="E3177" s="677">
        <v>14</v>
      </c>
      <c r="F3177" s="667" t="s">
        <v>270</v>
      </c>
    </row>
    <row r="3178" spans="2:6" ht="12.75" customHeight="1" x14ac:dyDescent="0.2">
      <c r="B3178" s="70"/>
      <c r="C3178" s="73"/>
      <c r="D3178" s="668" t="s">
        <v>1061</v>
      </c>
      <c r="E3178" s="677">
        <v>24</v>
      </c>
      <c r="F3178" s="667" t="s">
        <v>270</v>
      </c>
    </row>
    <row r="3179" spans="2:6" ht="12.75" customHeight="1" x14ac:dyDescent="0.2">
      <c r="B3179" s="70"/>
      <c r="C3179" s="73"/>
      <c r="D3179" s="668" t="s">
        <v>1062</v>
      </c>
      <c r="E3179" s="677">
        <v>34</v>
      </c>
      <c r="F3179" s="667" t="s">
        <v>270</v>
      </c>
    </row>
    <row r="3180" spans="2:6" ht="12.75" customHeight="1" x14ac:dyDescent="0.2">
      <c r="B3180" s="70"/>
      <c r="C3180" s="73"/>
      <c r="D3180" s="668" t="s">
        <v>1063</v>
      </c>
      <c r="E3180" s="677">
        <v>44</v>
      </c>
      <c r="F3180" s="667" t="s">
        <v>270</v>
      </c>
    </row>
    <row r="3181" spans="2:6" ht="12.75" customHeight="1" x14ac:dyDescent="0.2">
      <c r="B3181" s="70"/>
      <c r="C3181" s="73"/>
      <c r="D3181" s="668" t="s">
        <v>1064</v>
      </c>
      <c r="E3181" s="677">
        <v>54</v>
      </c>
      <c r="F3181" s="667" t="s">
        <v>270</v>
      </c>
    </row>
    <row r="3182" spans="2:6" ht="12.75" customHeight="1" x14ac:dyDescent="0.2">
      <c r="B3182" s="70"/>
      <c r="C3182" s="73"/>
      <c r="D3182" s="668" t="s">
        <v>1065</v>
      </c>
      <c r="E3182" s="677">
        <v>64</v>
      </c>
      <c r="F3182" s="667" t="s">
        <v>270</v>
      </c>
    </row>
    <row r="3183" spans="2:6" ht="12.75" customHeight="1" x14ac:dyDescent="0.2">
      <c r="B3183" s="70"/>
      <c r="C3183" s="73"/>
      <c r="D3183" s="668" t="s">
        <v>1066</v>
      </c>
      <c r="E3183" s="677">
        <v>74</v>
      </c>
      <c r="F3183" s="667" t="s">
        <v>270</v>
      </c>
    </row>
    <row r="3184" spans="2:6" ht="12.75" customHeight="1" x14ac:dyDescent="0.2">
      <c r="B3184" s="70"/>
      <c r="C3184" s="73"/>
      <c r="D3184" s="668" t="s">
        <v>1067</v>
      </c>
      <c r="E3184" s="677">
        <v>84</v>
      </c>
      <c r="F3184" s="667" t="s">
        <v>270</v>
      </c>
    </row>
    <row r="3185" spans="2:6" ht="12.75" customHeight="1" x14ac:dyDescent="0.2">
      <c r="B3185" s="70"/>
      <c r="C3185" s="73"/>
      <c r="D3185" s="668" t="s">
        <v>1068</v>
      </c>
      <c r="E3185" s="677">
        <v>94</v>
      </c>
      <c r="F3185" s="667" t="s">
        <v>270</v>
      </c>
    </row>
    <row r="3186" spans="2:6" ht="12.75" customHeight="1" x14ac:dyDescent="0.2">
      <c r="B3186" s="70"/>
      <c r="C3186" s="73"/>
      <c r="D3186" s="668" t="s">
        <v>1069</v>
      </c>
      <c r="E3186" s="677"/>
      <c r="F3186" s="667"/>
    </row>
    <row r="3187" spans="2:6" ht="12.75" customHeight="1" x14ac:dyDescent="0.2">
      <c r="B3187" s="70"/>
      <c r="C3187" s="73"/>
      <c r="D3187" s="668" t="s">
        <v>1070</v>
      </c>
      <c r="E3187" s="677">
        <v>4</v>
      </c>
      <c r="F3187" s="667" t="s">
        <v>3077</v>
      </c>
    </row>
    <row r="3188" spans="2:6" ht="12.75" customHeight="1" x14ac:dyDescent="0.2">
      <c r="B3188" s="70"/>
      <c r="C3188" s="73"/>
      <c r="D3188" s="668" t="s">
        <v>1071</v>
      </c>
      <c r="E3188" s="677">
        <v>14</v>
      </c>
      <c r="F3188" s="667" t="s">
        <v>3077</v>
      </c>
    </row>
    <row r="3189" spans="2:6" ht="12.75" customHeight="1" x14ac:dyDescent="0.2">
      <c r="B3189" s="70"/>
      <c r="C3189" s="73"/>
      <c r="D3189" s="668" t="s">
        <v>1072</v>
      </c>
      <c r="E3189" s="677">
        <v>24</v>
      </c>
      <c r="F3189" s="667" t="s">
        <v>3077</v>
      </c>
    </row>
    <row r="3190" spans="2:6" ht="12.75" customHeight="1" x14ac:dyDescent="0.2">
      <c r="B3190" s="70"/>
      <c r="C3190" s="73"/>
      <c r="D3190" s="668" t="s">
        <v>1073</v>
      </c>
      <c r="E3190" s="677">
        <v>34</v>
      </c>
      <c r="F3190" s="667" t="s">
        <v>3077</v>
      </c>
    </row>
    <row r="3191" spans="2:6" ht="12.75" customHeight="1" x14ac:dyDescent="0.2">
      <c r="B3191" s="70"/>
      <c r="C3191" s="73"/>
      <c r="D3191" s="668" t="s">
        <v>1074</v>
      </c>
      <c r="E3191" s="677">
        <v>44</v>
      </c>
      <c r="F3191" s="667" t="s">
        <v>3077</v>
      </c>
    </row>
    <row r="3192" spans="2:6" ht="12.75" customHeight="1" x14ac:dyDescent="0.2">
      <c r="B3192" s="70"/>
      <c r="C3192" s="73"/>
      <c r="D3192" s="668" t="s">
        <v>1075</v>
      </c>
      <c r="E3192" s="677">
        <v>54</v>
      </c>
      <c r="F3192" s="667" t="s">
        <v>3077</v>
      </c>
    </row>
    <row r="3193" spans="2:6" ht="12.75" customHeight="1" x14ac:dyDescent="0.2">
      <c r="B3193" s="70"/>
      <c r="C3193" s="73"/>
      <c r="D3193" s="668" t="s">
        <v>1076</v>
      </c>
      <c r="E3193" s="677">
        <v>64</v>
      </c>
      <c r="F3193" s="667" t="s">
        <v>3077</v>
      </c>
    </row>
    <row r="3194" spans="2:6" ht="12.75" customHeight="1" x14ac:dyDescent="0.2">
      <c r="B3194" s="70"/>
      <c r="C3194" s="73"/>
      <c r="D3194" s="668" t="s">
        <v>1077</v>
      </c>
      <c r="E3194" s="677">
        <v>74</v>
      </c>
      <c r="F3194" s="667" t="s">
        <v>3077</v>
      </c>
    </row>
    <row r="3195" spans="2:6" ht="12.75" customHeight="1" x14ac:dyDescent="0.2">
      <c r="B3195" s="70"/>
      <c r="C3195" s="73"/>
      <c r="D3195" s="668" t="s">
        <v>1078</v>
      </c>
      <c r="E3195" s="677">
        <v>84</v>
      </c>
      <c r="F3195" s="667" t="s">
        <v>3077</v>
      </c>
    </row>
    <row r="3196" spans="2:6" ht="12.75" customHeight="1" x14ac:dyDescent="0.2">
      <c r="B3196" s="70"/>
      <c r="C3196" s="73"/>
      <c r="D3196" s="668" t="s">
        <v>1079</v>
      </c>
      <c r="E3196" s="677">
        <v>94</v>
      </c>
      <c r="F3196" s="667" t="s">
        <v>3077</v>
      </c>
    </row>
    <row r="3197" spans="2:6" ht="12.75" customHeight="1" x14ac:dyDescent="0.2">
      <c r="B3197" s="70"/>
      <c r="C3197" s="73"/>
      <c r="D3197" s="668" t="s">
        <v>1080</v>
      </c>
      <c r="E3197" s="677"/>
      <c r="F3197" s="667"/>
    </row>
    <row r="3198" spans="2:6" ht="12.75" customHeight="1" x14ac:dyDescent="0.2">
      <c r="B3198" s="70"/>
      <c r="C3198" s="73"/>
      <c r="D3198" s="668" t="s">
        <v>1081</v>
      </c>
      <c r="E3198" s="677">
        <v>4</v>
      </c>
      <c r="F3198" s="667" t="s">
        <v>271</v>
      </c>
    </row>
    <row r="3199" spans="2:6" ht="12.75" customHeight="1" x14ac:dyDescent="0.2">
      <c r="B3199" s="70"/>
      <c r="C3199" s="73"/>
      <c r="D3199" s="668" t="s">
        <v>1082</v>
      </c>
      <c r="E3199" s="677">
        <v>14</v>
      </c>
      <c r="F3199" s="667" t="s">
        <v>271</v>
      </c>
    </row>
    <row r="3200" spans="2:6" ht="12.75" customHeight="1" x14ac:dyDescent="0.2">
      <c r="B3200" s="70"/>
      <c r="C3200" s="73"/>
      <c r="D3200" s="668" t="s">
        <v>1083</v>
      </c>
      <c r="E3200" s="677">
        <v>24</v>
      </c>
      <c r="F3200" s="667" t="s">
        <v>271</v>
      </c>
    </row>
    <row r="3201" spans="2:6" ht="12.75" customHeight="1" x14ac:dyDescent="0.2">
      <c r="B3201" s="70"/>
      <c r="C3201" s="73"/>
      <c r="D3201" s="668" t="s">
        <v>1084</v>
      </c>
      <c r="E3201" s="677">
        <v>34</v>
      </c>
      <c r="F3201" s="667" t="s">
        <v>271</v>
      </c>
    </row>
    <row r="3202" spans="2:6" ht="12.75" customHeight="1" x14ac:dyDescent="0.2">
      <c r="B3202" s="70"/>
      <c r="C3202" s="73"/>
      <c r="D3202" s="668" t="s">
        <v>1085</v>
      </c>
      <c r="E3202" s="677">
        <v>44</v>
      </c>
      <c r="F3202" s="667" t="s">
        <v>271</v>
      </c>
    </row>
    <row r="3203" spans="2:6" ht="12.75" customHeight="1" x14ac:dyDescent="0.2">
      <c r="B3203" s="70"/>
      <c r="C3203" s="73"/>
      <c r="D3203" s="668" t="s">
        <v>1086</v>
      </c>
      <c r="E3203" s="677">
        <v>54</v>
      </c>
      <c r="F3203" s="667" t="s">
        <v>271</v>
      </c>
    </row>
    <row r="3204" spans="2:6" ht="12.75" customHeight="1" x14ac:dyDescent="0.2">
      <c r="B3204" s="70"/>
      <c r="C3204" s="73"/>
      <c r="D3204" s="668" t="s">
        <v>1087</v>
      </c>
      <c r="E3204" s="677">
        <v>64</v>
      </c>
      <c r="F3204" s="667" t="s">
        <v>271</v>
      </c>
    </row>
    <row r="3205" spans="2:6" ht="12.75" customHeight="1" x14ac:dyDescent="0.2">
      <c r="B3205" s="70"/>
      <c r="C3205" s="73"/>
      <c r="D3205" s="668" t="s">
        <v>1088</v>
      </c>
      <c r="E3205" s="677">
        <v>74</v>
      </c>
      <c r="F3205" s="667" t="s">
        <v>271</v>
      </c>
    </row>
    <row r="3206" spans="2:6" ht="12.75" customHeight="1" x14ac:dyDescent="0.2">
      <c r="B3206" s="70"/>
      <c r="C3206" s="73"/>
      <c r="D3206" s="668" t="s">
        <v>1089</v>
      </c>
      <c r="E3206" s="677">
        <v>84</v>
      </c>
      <c r="F3206" s="667" t="s">
        <v>271</v>
      </c>
    </row>
    <row r="3207" spans="2:6" ht="12.75" customHeight="1" thickBot="1" x14ac:dyDescent="0.25">
      <c r="B3207" s="221"/>
      <c r="C3207" s="222"/>
      <c r="D3207" s="674" t="s">
        <v>1090</v>
      </c>
      <c r="E3207" s="678">
        <v>94</v>
      </c>
      <c r="F3207" s="676" t="s">
        <v>271</v>
      </c>
    </row>
    <row r="3208" spans="2:6" ht="12.75" customHeight="1" thickBot="1" x14ac:dyDescent="0.25">
      <c r="B3208" s="518"/>
      <c r="C3208" s="518"/>
      <c r="D3208" s="672"/>
      <c r="E3208" s="679"/>
      <c r="F3208" s="673"/>
    </row>
    <row r="3209" spans="2:6" ht="12.75" customHeight="1" thickBot="1" x14ac:dyDescent="0.25">
      <c r="B3209" s="4884" t="s">
        <v>1091</v>
      </c>
      <c r="C3209" s="4884"/>
      <c r="D3209" s="4884"/>
      <c r="E3209" s="679"/>
      <c r="F3209" s="673"/>
    </row>
    <row r="3210" spans="2:6" ht="12.75" customHeight="1" thickBot="1" x14ac:dyDescent="0.25">
      <c r="B3210" s="4884"/>
      <c r="C3210" s="4884"/>
      <c r="D3210" s="4884"/>
      <c r="E3210" s="679"/>
      <c r="F3210" s="673"/>
    </row>
    <row r="3211" spans="2:6" ht="12.75" customHeight="1" x14ac:dyDescent="0.2">
      <c r="B3211" s="692" t="str">
        <f>IF(Ki!$P$10="-",Ki!$K$10,"")</f>
        <v/>
      </c>
      <c r="C3211" s="146"/>
      <c r="D3211" s="286"/>
      <c r="E3211" s="679"/>
      <c r="F3211" s="673"/>
    </row>
    <row r="3212" spans="2:6" ht="12.75" customHeight="1" x14ac:dyDescent="0.2">
      <c r="B3212" s="693" t="str">
        <f>IF(Ki!$P$12="-",", "&amp;Ki!$K$12,"")</f>
        <v/>
      </c>
      <c r="C3212" s="73"/>
      <c r="D3212" s="75"/>
      <c r="E3212" s="679"/>
      <c r="F3212" s="673"/>
    </row>
    <row r="3213" spans="2:6" ht="12.75" customHeight="1" x14ac:dyDescent="0.2">
      <c r="B3213" s="693" t="str">
        <f>IF(Ki!$P$13="-",", "&amp;Ki!$L$13&amp;" "&amp;Ki!$F$35,"")</f>
        <v/>
      </c>
      <c r="C3213" s="73"/>
      <c r="D3213" s="75"/>
      <c r="E3213" s="679"/>
      <c r="F3213" s="673"/>
    </row>
    <row r="3214" spans="2:6" ht="12.75" customHeight="1" x14ac:dyDescent="0.2">
      <c r="B3214" s="693" t="str">
        <f>IF(Ki!$P$14="-",", "&amp;Ki!$M$14,"")</f>
        <v/>
      </c>
      <c r="C3214" s="73"/>
      <c r="D3214" s="75"/>
      <c r="E3214" s="679"/>
      <c r="F3214" s="673"/>
    </row>
    <row r="3215" spans="2:6" ht="12.75" customHeight="1" x14ac:dyDescent="0.2">
      <c r="B3215" s="693" t="str">
        <f>IF(Ki!$P$15="-",", "&amp;Ki!$L$15,"")</f>
        <v/>
      </c>
      <c r="C3215" s="73"/>
      <c r="D3215" s="75"/>
      <c r="E3215" s="679"/>
      <c r="F3215" s="673"/>
    </row>
    <row r="3216" spans="2:6" ht="12.75" customHeight="1" x14ac:dyDescent="0.2">
      <c r="B3216" s="693" t="str">
        <f>IF(Ki!$P$16="-",", "&amp;Ki!$L$16,"")</f>
        <v/>
      </c>
      <c r="C3216" s="73"/>
      <c r="D3216" s="75"/>
      <c r="E3216" s="679"/>
      <c r="F3216" s="673"/>
    </row>
    <row r="3217" spans="2:6" ht="12.75" customHeight="1" x14ac:dyDescent="0.2">
      <c r="B3217" s="693" t="str">
        <f>IF(Ki!$P$17="-",", "&amp;Ki!$M$17,"")</f>
        <v/>
      </c>
      <c r="C3217" s="73"/>
      <c r="D3217" s="75"/>
      <c r="E3217" s="679"/>
      <c r="F3217" s="673"/>
    </row>
    <row r="3218" spans="2:6" ht="12.75" customHeight="1" x14ac:dyDescent="0.2">
      <c r="B3218" s="693" t="str">
        <f>IF(Ki!$P$18="-",", "&amp;Ki!$N$18,"")</f>
        <v/>
      </c>
      <c r="C3218" s="73"/>
      <c r="D3218" s="75"/>
      <c r="E3218" s="679"/>
      <c r="F3218" s="673"/>
    </row>
    <row r="3219" spans="2:6" ht="12.75" customHeight="1" x14ac:dyDescent="0.2">
      <c r="B3219" s="693" t="str">
        <f>IF(Ki!$P$19="-",", "&amp;Ki!$M$19,"")</f>
        <v/>
      </c>
      <c r="C3219" s="73"/>
      <c r="D3219" s="75"/>
    </row>
    <row r="3220" spans="2:6" ht="12.75" customHeight="1" x14ac:dyDescent="0.2">
      <c r="B3220" s="693" t="str">
        <f>IF(Ki!$P$20="-",", "&amp;Ki!$N$20,"")</f>
        <v/>
      </c>
      <c r="C3220" s="73"/>
      <c r="D3220" s="75"/>
    </row>
    <row r="3221" spans="2:6" ht="12.75" customHeight="1" x14ac:dyDescent="0.2">
      <c r="B3221" s="693" t="str">
        <f>IF(Ki!$P$21="-",", "&amp;"Mult. arcana","")</f>
        <v/>
      </c>
      <c r="C3221" s="73"/>
      <c r="D3221" s="75"/>
    </row>
    <row r="3222" spans="2:6" ht="12.75" customHeight="1" x14ac:dyDescent="0.2">
      <c r="B3222" s="693" t="str">
        <f>IF(Ki!$P$22="-",", "&amp;Ki!$N$22,"")</f>
        <v/>
      </c>
      <c r="C3222" s="73"/>
      <c r="D3222" s="75"/>
    </row>
    <row r="3223" spans="2:6" ht="12.75" customHeight="1" x14ac:dyDescent="0.2">
      <c r="B3223" s="693" t="str">
        <f>IF(Ki!$P$23="-",", "&amp;"Mag. arcana","")</f>
        <v/>
      </c>
      <c r="C3223" s="73"/>
      <c r="D3223" s="75"/>
    </row>
    <row r="3224" spans="2:6" ht="12.75" customHeight="1" x14ac:dyDescent="0.2">
      <c r="B3224" s="693" t="str">
        <f>IF(Ki!$P$24="-",", "&amp;Ki!$M$24,"")</f>
        <v/>
      </c>
      <c r="C3224" s="73"/>
      <c r="D3224" s="75"/>
    </row>
    <row r="3225" spans="2:6" ht="12.75" customHeight="1" x14ac:dyDescent="0.2">
      <c r="B3225" s="693" t="str">
        <f>IF(Ki!$P$25="-",", "&amp;Ki!$L$25,"")</f>
        <v/>
      </c>
      <c r="C3225" s="73"/>
      <c r="D3225" s="75"/>
    </row>
    <row r="3226" spans="2:6" ht="12.75" customHeight="1" x14ac:dyDescent="0.2">
      <c r="B3226" s="693" t="str">
        <f>IF(Ki!$P$26="-",", "&amp;Ki!$L$26,"")</f>
        <v/>
      </c>
      <c r="C3226" s="73"/>
      <c r="D3226" s="75"/>
    </row>
    <row r="3227" spans="2:6" ht="12.75" customHeight="1" x14ac:dyDescent="0.2">
      <c r="B3227" s="693" t="str">
        <f>IF(Ki!$P$27="-",", "&amp;Ki!$K$27,"")</f>
        <v/>
      </c>
      <c r="C3227" s="73"/>
      <c r="D3227" s="75"/>
    </row>
    <row r="3228" spans="2:6" ht="12.75" customHeight="1" x14ac:dyDescent="0.2">
      <c r="B3228" s="693" t="str">
        <f>IF(Ki!$P$28="-",", "&amp;Ki!$L$28,"")</f>
        <v/>
      </c>
      <c r="C3228" s="73"/>
      <c r="D3228" s="75"/>
    </row>
    <row r="3229" spans="2:6" ht="12.75" customHeight="1" x14ac:dyDescent="0.2">
      <c r="B3229" s="693" t="str">
        <f>IF(Ki!$P$29="-",", "&amp;Ki!$M$29,"")</f>
        <v/>
      </c>
      <c r="C3229" s="73"/>
      <c r="D3229" s="75"/>
    </row>
    <row r="3230" spans="2:6" ht="12.75" customHeight="1" x14ac:dyDescent="0.2">
      <c r="B3230" s="693" t="str">
        <f>IF(Ki!$P$30="-",", "&amp;Ki!$M$30,"")</f>
        <v/>
      </c>
      <c r="C3230" s="73"/>
      <c r="D3230" s="75"/>
    </row>
    <row r="3231" spans="2:6" ht="12.75" customHeight="1" x14ac:dyDescent="0.2">
      <c r="B3231" s="693" t="str">
        <f>IF(Ki!$P$31="-",", "&amp;Ki!$M$31,"")</f>
        <v/>
      </c>
      <c r="C3231" s="73"/>
      <c r="D3231" s="75"/>
    </row>
    <row r="3232" spans="2:6" ht="12.75" customHeight="1" x14ac:dyDescent="0.2">
      <c r="B3232" s="693" t="str">
        <f>IF(Ki!$P$32="-",", "&amp;Ki!$K$32,"")</f>
        <v/>
      </c>
      <c r="C3232" s="73"/>
      <c r="D3232" s="75"/>
    </row>
    <row r="3233" spans="2:4" ht="12.75" customHeight="1" x14ac:dyDescent="0.2">
      <c r="B3233" s="693" t="str">
        <f>IF(Ki!$P$33="-",", "&amp;Ki!$L$33,"")</f>
        <v/>
      </c>
      <c r="C3233" s="73"/>
      <c r="D3233" s="75"/>
    </row>
    <row r="3234" spans="2:4" ht="12.75" customHeight="1" x14ac:dyDescent="0.2">
      <c r="B3234" s="693" t="str">
        <f>IF(Ki!$P$34="-",", "&amp;Ki!$M$34,"")</f>
        <v/>
      </c>
      <c r="C3234" s="73"/>
      <c r="D3234" s="75"/>
    </row>
    <row r="3235" spans="2:4" ht="12.75" customHeight="1" x14ac:dyDescent="0.2">
      <c r="B3235" s="693" t="str">
        <f>IF(Ki!$P$35="-",", "&amp;Ki!$N$35,"")</f>
        <v>, Arm. arcana</v>
      </c>
      <c r="C3235" s="73"/>
      <c r="D3235" s="75"/>
    </row>
    <row r="3236" spans="2:4" ht="12.75" customHeight="1" x14ac:dyDescent="0.2">
      <c r="B3236" s="693" t="str">
        <f>IF(Ki!$P$36="-",", "&amp;Ki!$L$36,"")</f>
        <v/>
      </c>
      <c r="C3236" s="73"/>
      <c r="D3236" s="75"/>
    </row>
    <row r="3237" spans="2:4" ht="12.75" customHeight="1" x14ac:dyDescent="0.2">
      <c r="B3237" s="693" t="str">
        <f>IF(Ki!$P$37="-",", "&amp;Ki!$M$37,"")</f>
        <v/>
      </c>
      <c r="C3237" s="73"/>
      <c r="D3237" s="75"/>
    </row>
    <row r="3238" spans="2:4" ht="12.75" customHeight="1" x14ac:dyDescent="0.2">
      <c r="B3238" s="693" t="str">
        <f>IF(Ki!$P$38="-",", "&amp;Ki!$M$38,"")</f>
        <v/>
      </c>
      <c r="C3238" s="73"/>
      <c r="D3238" s="75"/>
    </row>
    <row r="3239" spans="2:4" ht="12.75" customHeight="1" x14ac:dyDescent="0.2">
      <c r="B3239" s="693" t="str">
        <f>IF(Ki!$P$39="-",", "&amp;Ki!$M$39,"")</f>
        <v/>
      </c>
      <c r="C3239" s="73"/>
      <c r="D3239" s="75"/>
    </row>
    <row r="3240" spans="2:4" ht="12.75" customHeight="1" x14ac:dyDescent="0.2">
      <c r="B3240" s="693" t="str">
        <f>IF(Ki!$P$40="-",", "&amp;Ki!$M$40,"")</f>
        <v/>
      </c>
      <c r="C3240" s="73"/>
      <c r="D3240" s="75"/>
    </row>
    <row r="3241" spans="2:4" ht="12.75" customHeight="1" x14ac:dyDescent="0.2">
      <c r="B3241" s="693" t="str">
        <f>IF(Ki!$P$41="-",", "&amp;Ki!$L$41,"")</f>
        <v/>
      </c>
      <c r="C3241" s="73"/>
      <c r="D3241" s="75"/>
    </row>
    <row r="3242" spans="2:4" ht="12.75" customHeight="1" x14ac:dyDescent="0.2">
      <c r="B3242" s="693" t="str">
        <f>IF(Ki!$P$42="-",", "&amp;Ki!$L$42,"")</f>
        <v/>
      </c>
      <c r="C3242" s="73"/>
      <c r="D3242" s="75"/>
    </row>
    <row r="3243" spans="2:4" ht="12.75" customHeight="1" x14ac:dyDescent="0.2">
      <c r="B3243" s="693" t="str">
        <f>IF(Ki!$P$43="-",", "&amp;Ki!$L$43,"")</f>
        <v/>
      </c>
      <c r="C3243" s="73"/>
      <c r="D3243" s="75"/>
    </row>
    <row r="3244" spans="2:4" ht="12.75" customHeight="1" x14ac:dyDescent="0.2">
      <c r="B3244" s="693" t="str">
        <f>IF(Ki!$P$44="-",", "&amp;Ki!$K$44,"")</f>
        <v/>
      </c>
      <c r="C3244" s="73"/>
      <c r="D3244" s="75"/>
    </row>
    <row r="3245" spans="2:4" ht="12.75" customHeight="1" x14ac:dyDescent="0.2">
      <c r="B3245" s="693" t="str">
        <f>IF(Ki!$P$45="-",", "&amp;Ki!$L$45,"")</f>
        <v/>
      </c>
      <c r="C3245" s="73"/>
      <c r="D3245" s="75"/>
    </row>
    <row r="3246" spans="2:4" ht="12.75" customHeight="1" x14ac:dyDescent="0.2">
      <c r="B3246" s="693" t="str">
        <f>IF(Ki!$P$46="-",", "&amp;Ki!$M$46,"")</f>
        <v/>
      </c>
      <c r="C3246" s="73"/>
      <c r="D3246" s="75"/>
    </row>
    <row r="3247" spans="2:4" ht="12.75" customHeight="1" x14ac:dyDescent="0.2">
      <c r="B3247" s="693" t="str">
        <f>IF(Ki!$P$47="-",", "&amp;Ki!$M$47,"")</f>
        <v/>
      </c>
      <c r="C3247" s="73"/>
      <c r="D3247" s="75"/>
    </row>
    <row r="3248" spans="2:4" ht="12.75" customHeight="1" x14ac:dyDescent="0.2">
      <c r="B3248" s="693" t="str">
        <f>IF(Ki!$P$48="-",", "&amp;Ki!$L$48,"")</f>
        <v/>
      </c>
      <c r="C3248" s="73"/>
      <c r="D3248" s="75"/>
    </row>
    <row r="3249" spans="2:4" ht="12.75" customHeight="1" x14ac:dyDescent="0.2">
      <c r="B3249" s="693" t="str">
        <f>IF(Ki!$P$49="-",", "&amp;Ki!$K$49,"")</f>
        <v/>
      </c>
      <c r="C3249" s="73"/>
      <c r="D3249" s="75"/>
    </row>
    <row r="3250" spans="2:4" ht="12.75" customHeight="1" x14ac:dyDescent="0.2">
      <c r="B3250" s="693" t="str">
        <f>IF(Ki!$P$50="-",", "&amp;Ki!$L$50&amp;" "&amp;Ki!$F$36,"")</f>
        <v/>
      </c>
      <c r="C3250" s="73"/>
      <c r="D3250" s="75"/>
    </row>
    <row r="3251" spans="2:4" ht="12.75" customHeight="1" x14ac:dyDescent="0.2">
      <c r="B3251" s="693" t="str">
        <f>IF(Ki!$P$51="-",", "&amp;Ki!$M$51,"")</f>
        <v/>
      </c>
      <c r="C3251" s="73"/>
      <c r="D3251" s="75"/>
    </row>
    <row r="3252" spans="2:4" ht="12.75" customHeight="1" x14ac:dyDescent="0.2">
      <c r="B3252" s="693" t="str">
        <f>IF(Ki!$P$52="-",", "&amp;Ki!$M$52,"")</f>
        <v/>
      </c>
      <c r="C3252" s="73"/>
      <c r="D3252" s="75"/>
    </row>
    <row r="3253" spans="2:4" ht="12.75" customHeight="1" x14ac:dyDescent="0.2">
      <c r="B3253" s="693" t="str">
        <f>IF(Ki!$P$53="-",", "&amp;Ki!$L$53,"")</f>
        <v/>
      </c>
      <c r="C3253" s="73"/>
      <c r="D3253" s="75"/>
    </row>
    <row r="3254" spans="2:4" ht="12.75" customHeight="1" x14ac:dyDescent="0.2">
      <c r="B3254" s="693" t="str">
        <f>IF(Ki!$P$54="-",", "&amp;Ki!$M$54,"")</f>
        <v/>
      </c>
      <c r="C3254" s="73"/>
      <c r="D3254" s="75"/>
    </row>
    <row r="3255" spans="2:4" ht="12.75" customHeight="1" x14ac:dyDescent="0.2">
      <c r="B3255" s="693" t="str">
        <f>IF(Ki!$P$55="-",", "&amp;Ki!$M$55,"")</f>
        <v/>
      </c>
      <c r="C3255" s="73"/>
      <c r="D3255" s="75"/>
    </row>
    <row r="3256" spans="2:4" ht="12.75" customHeight="1" x14ac:dyDescent="0.2">
      <c r="B3256" s="693" t="str">
        <f>IF(Ki!$P$56="-",", "&amp;Ki!$M$56,"")</f>
        <v/>
      </c>
      <c r="C3256" s="73"/>
      <c r="D3256" s="75"/>
    </row>
    <row r="3257" spans="2:4" ht="12.75" customHeight="1" x14ac:dyDescent="0.2">
      <c r="B3257" s="693" t="str">
        <f>IF(Ki!$P$57="-",", "&amp;Ki!$L$57,"")</f>
        <v/>
      </c>
      <c r="C3257" s="73"/>
      <c r="D3257" s="75"/>
    </row>
    <row r="3258" spans="2:4" ht="12.75" customHeight="1" x14ac:dyDescent="0.2">
      <c r="B3258" s="693" t="str">
        <f>IF(Ki!$P$58="-",", "&amp;Ki!$M$58,"")</f>
        <v/>
      </c>
      <c r="C3258" s="73"/>
      <c r="D3258" s="75"/>
    </row>
    <row r="3259" spans="2:4" ht="12.75" customHeight="1" x14ac:dyDescent="0.2">
      <c r="B3259" s="693" t="str">
        <f>IF(Ki!$P$59="-",", "&amp;Ki!$M$59,"")</f>
        <v/>
      </c>
      <c r="C3259" s="73"/>
      <c r="D3259" s="75"/>
    </row>
    <row r="3260" spans="2:4" ht="12.75" customHeight="1" x14ac:dyDescent="0.2">
      <c r="B3260" s="693" t="str">
        <f>IF(Ki!$P$60="-",", "&amp;Ki!$L$60,"")</f>
        <v/>
      </c>
      <c r="C3260" s="73"/>
      <c r="D3260" s="75"/>
    </row>
    <row r="3261" spans="2:4" ht="12.75" customHeight="1" x14ac:dyDescent="0.2">
      <c r="B3261" s="693" t="str">
        <f>IF(Ki!$P$61="-",", "&amp;Ki!$M$61,"")</f>
        <v/>
      </c>
      <c r="C3261" s="73"/>
      <c r="D3261" s="75"/>
    </row>
    <row r="3262" spans="2:4" ht="12.75" customHeight="1" x14ac:dyDescent="0.2">
      <c r="B3262" s="693" t="str">
        <f>IF(Ki!$P$62="-",", "&amp;Ki!$K$62,"")</f>
        <v/>
      </c>
      <c r="C3262" s="73"/>
      <c r="D3262" s="75"/>
    </row>
    <row r="3263" spans="2:4" ht="12.75" customHeight="1" x14ac:dyDescent="0.2">
      <c r="B3263" s="693" t="str">
        <f>IF(COUNTIF(Principal!C140:G147,"Inhumanidad")&gt;0,"",IF(Ki!$P$63="-",", "&amp;Ki!$K$63,""))</f>
        <v/>
      </c>
      <c r="C3263" s="73"/>
      <c r="D3263" s="75"/>
    </row>
    <row r="3264" spans="2:4" ht="12.75" customHeight="1" x14ac:dyDescent="0.2">
      <c r="B3264" s="693" t="str">
        <f>IF(Ki!$P$64="-",", "&amp;Ki!$L$64,"")</f>
        <v/>
      </c>
      <c r="C3264" s="73"/>
      <c r="D3264" s="75"/>
    </row>
    <row r="3265" spans="2:4" ht="12.75" customHeight="1" x14ac:dyDescent="0.2">
      <c r="B3265" s="693" t="str">
        <f>IF(Ki!$H$43="-",IF(SUM(Ki!$Q$10:$Q$64)=0,Ki!$C$43,", "&amp;Ki!$C$43),"")</f>
        <v/>
      </c>
      <c r="C3265" s="73"/>
      <c r="D3265" s="75"/>
    </row>
    <row r="3266" spans="2:4" ht="12.75" customHeight="1" x14ac:dyDescent="0.2">
      <c r="B3266" s="693" t="str">
        <f>IF(Ki!$H$45="-",", "&amp;Ki!$C$45,"")</f>
        <v/>
      </c>
      <c r="C3266" s="73"/>
      <c r="D3266" s="75"/>
    </row>
    <row r="3267" spans="2:4" ht="12.75" customHeight="1" x14ac:dyDescent="0.2">
      <c r="B3267" s="693" t="str">
        <f>IF(Ki!$H$46="-",", "&amp;Ki!$D$46,"")</f>
        <v/>
      </c>
      <c r="C3267" s="73"/>
      <c r="D3267" s="75"/>
    </row>
    <row r="3268" spans="2:4" ht="12.75" customHeight="1" x14ac:dyDescent="0.2">
      <c r="B3268" s="693" t="str">
        <f>IF(Ki!$H$47="-",", "&amp;Ki!$C$47,"")</f>
        <v/>
      </c>
      <c r="C3268" s="73"/>
      <c r="D3268" s="75"/>
    </row>
    <row r="3269" spans="2:4" ht="12.75" customHeight="1" x14ac:dyDescent="0.2">
      <c r="B3269" s="693" t="str">
        <f>IF(Ki!$H$48="-",", "&amp;Ki!$D$48,"")</f>
        <v/>
      </c>
      <c r="C3269" s="73"/>
      <c r="D3269" s="75"/>
    </row>
    <row r="3270" spans="2:4" ht="12.75" customHeight="1" x14ac:dyDescent="0.2">
      <c r="B3270" s="693" t="str">
        <f>IF(Ki!$H$49="-",", "&amp;Ki!$C$49,"")</f>
        <v/>
      </c>
      <c r="C3270" s="73"/>
      <c r="D3270" s="75"/>
    </row>
    <row r="3271" spans="2:4" ht="12.75" customHeight="1" x14ac:dyDescent="0.2">
      <c r="B3271" s="693" t="str">
        <f>IF(Ki!$H$50="-",", "&amp;Ki!$D$50,"")</f>
        <v/>
      </c>
      <c r="C3271" s="73"/>
      <c r="D3271" s="75"/>
    </row>
    <row r="3272" spans="2:4" ht="12.75" customHeight="1" x14ac:dyDescent="0.2">
      <c r="B3272" s="693" t="str">
        <f>IF(Ki!$H$51="-",", "&amp;Ki!$C$51,"")</f>
        <v/>
      </c>
      <c r="C3272" s="73"/>
      <c r="D3272" s="75"/>
    </row>
    <row r="3273" spans="2:4" ht="12.75" customHeight="1" x14ac:dyDescent="0.2">
      <c r="B3273" s="693" t="str">
        <f>IF(Ki!$H$52="-",", "&amp;Ki!$D$52,"")</f>
        <v/>
      </c>
      <c r="C3273" s="73"/>
      <c r="D3273" s="75"/>
    </row>
    <row r="3274" spans="2:4" ht="12.75" customHeight="1" x14ac:dyDescent="0.2">
      <c r="B3274" s="693" t="str">
        <f>IF(Ki!$H$53="-",", "&amp;Ki!$C$53,"")</f>
        <v/>
      </c>
      <c r="C3274" s="73"/>
      <c r="D3274" s="75"/>
    </row>
    <row r="3275" spans="2:4" ht="12.75" customHeight="1" x14ac:dyDescent="0.2">
      <c r="B3275" s="693" t="str">
        <f>IF(Ki!$H$54="-",", "&amp;Ki!$C$54,"")</f>
        <v/>
      </c>
      <c r="C3275" s="73"/>
      <c r="D3275" s="75"/>
    </row>
    <row r="3276" spans="2:4" ht="12.75" customHeight="1" x14ac:dyDescent="0.2">
      <c r="B3276" s="693" t="str">
        <f>IF(Ki!$H$56="-",", "&amp;Ki!$C$56,"")</f>
        <v/>
      </c>
      <c r="C3276" s="73"/>
      <c r="D3276" s="75"/>
    </row>
    <row r="3277" spans="2:4" ht="12.75" customHeight="1" x14ac:dyDescent="0.2">
      <c r="B3277" s="693" t="str">
        <f>IF(Ki!$H$57="-",", "&amp;Ki!$D$57,"")</f>
        <v/>
      </c>
      <c r="C3277" s="73"/>
      <c r="D3277" s="75"/>
    </row>
    <row r="3278" spans="2:4" ht="12.75" customHeight="1" x14ac:dyDescent="0.2">
      <c r="B3278" s="693" t="str">
        <f>IF(Ki!$H$58="-",", "&amp;Ki!$D$58,"")</f>
        <v/>
      </c>
      <c r="C3278" s="73"/>
      <c r="D3278" s="75"/>
    </row>
    <row r="3279" spans="2:4" ht="12.75" customHeight="1" x14ac:dyDescent="0.2">
      <c r="B3279" s="693" t="str">
        <f>IF(Ki!$H$55="-",", "&amp;Ki!$D$55,"")</f>
        <v/>
      </c>
      <c r="C3279" s="73"/>
      <c r="D3279" s="75"/>
    </row>
    <row r="3280" spans="2:4" ht="12.75" customHeight="1" x14ac:dyDescent="0.2">
      <c r="B3280" s="693" t="str">
        <f>IF(Ki!$H$59="-",", "&amp;Ki!$D$59,"")</f>
        <v/>
      </c>
      <c r="C3280" s="73"/>
      <c r="D3280" s="75"/>
    </row>
    <row r="3281" spans="2:4" ht="12.75" customHeight="1" x14ac:dyDescent="0.2">
      <c r="B3281" s="693" t="str">
        <f>IF(Ki!$H$60="-",", "&amp;Ki!$E$60,"")</f>
        <v/>
      </c>
      <c r="C3281" s="73"/>
      <c r="D3281" s="75"/>
    </row>
    <row r="3282" spans="2:4" ht="12.75" customHeight="1" x14ac:dyDescent="0.2">
      <c r="B3282" s="693" t="str">
        <f>IF(Ki!$H$61="-",", "&amp;Ki!$C$61,"")</f>
        <v/>
      </c>
      <c r="C3282" s="73"/>
      <c r="D3282" s="75"/>
    </row>
    <row r="3283" spans="2:4" ht="12.75" customHeight="1" x14ac:dyDescent="0.2">
      <c r="B3283" s="693" t="str">
        <f>IF(Ki!$H$62="-",", "&amp;Ki!$C$62,"")</f>
        <v/>
      </c>
      <c r="C3283" s="73"/>
      <c r="D3283" s="75"/>
    </row>
    <row r="3284" spans="2:4" ht="12.75" customHeight="1" x14ac:dyDescent="0.2">
      <c r="B3284" s="693" t="str">
        <f>IF(COUNTIF(Principal!$C$91:$G$98,"Inhumanidad")&gt;0,"",IF(Ki!$H$63="-",", "&amp;Ki!$C$63,""))</f>
        <v/>
      </c>
      <c r="C3284" s="73"/>
      <c r="D3284" s="75"/>
    </row>
    <row r="3285" spans="2:4" ht="12.75" customHeight="1" thickBot="1" x14ac:dyDescent="0.25">
      <c r="B3285" s="694" t="str">
        <f>IF(Ki!$H$64="-",", "&amp;Ki!$D$64,"")</f>
        <v/>
      </c>
      <c r="C3285" s="222"/>
      <c r="D3285" s="223"/>
    </row>
    <row r="3287" spans="2:4" ht="12.75" customHeight="1" thickBot="1" x14ac:dyDescent="0.25">
      <c r="B3287" s="3028" t="s">
        <v>1092</v>
      </c>
      <c r="C3287" s="3028"/>
    </row>
    <row r="3288" spans="2:4" ht="12.75" customHeight="1" thickBot="1" x14ac:dyDescent="0.25">
      <c r="B3288" s="3028"/>
      <c r="C3288" s="3028"/>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94" t="s">
        <v>1093</v>
      </c>
      <c r="C3303" s="2995"/>
      <c r="D3303" s="2995"/>
      <c r="E3303" s="2996"/>
      <c r="F3303" s="4887" t="s">
        <v>8909</v>
      </c>
      <c r="G3303" s="2077"/>
      <c r="H3303" s="2076" t="s">
        <v>2218</v>
      </c>
      <c r="I3303" s="4867" t="s">
        <v>8890</v>
      </c>
      <c r="J3303" s="4867" t="s">
        <v>8911</v>
      </c>
      <c r="K3303" s="4867" t="s">
        <v>8908</v>
      </c>
      <c r="L3303" s="4907" t="s">
        <v>8892</v>
      </c>
      <c r="M3303" s="4887"/>
      <c r="N3303" s="4907" t="s">
        <v>8906</v>
      </c>
      <c r="O3303" s="4908"/>
      <c r="P3303" s="4867" t="s">
        <v>8912</v>
      </c>
    </row>
    <row r="3304" spans="2:16" ht="12.75" customHeight="1" x14ac:dyDescent="0.2">
      <c r="B3304" s="4889"/>
      <c r="C3304" s="4890"/>
      <c r="D3304" s="4890"/>
      <c r="E3304" s="4891"/>
      <c r="F3304" s="4888"/>
      <c r="G3304" s="2079"/>
      <c r="H3304" s="2078"/>
      <c r="I3304" s="4868"/>
      <c r="J3304" s="4868"/>
      <c r="K3304" s="4868"/>
      <c r="L3304" s="1915" t="s">
        <v>8904</v>
      </c>
      <c r="M3304" s="1916" t="s">
        <v>8905</v>
      </c>
      <c r="N3304" s="4909"/>
      <c r="O3304" s="4910"/>
      <c r="P3304" s="4868"/>
    </row>
    <row r="3305" spans="2:16" ht="12.75" customHeight="1" x14ac:dyDescent="0.2">
      <c r="B3305" s="1906" t="str">
        <f t="shared" ref="B3305:B3336" si="95">IF(AND(O3305&gt;0,NOT(M3305="")),", "&amp;M3305,M3305)</f>
        <v/>
      </c>
      <c r="C3305" s="73"/>
      <c r="D3305" s="73"/>
      <c r="E3305" s="1917"/>
      <c r="F3305" s="2591" t="b">
        <f>AND(NOT(Acrobacias_final="-"),OR(PDs!T126&gt;4,PDs!W126&gt;0,PDs!X126&gt;0,$F$518&gt;0))</f>
        <v>0</v>
      </c>
      <c r="G3305" s="1921" t="s">
        <v>2258</v>
      </c>
      <c r="H3305" s="1920"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19" t="str">
        <f>IF(PDs!I126=0,"","("&amp;PDs!I126&amp;")")</f>
        <v/>
      </c>
      <c r="J3305" s="1922" t="e">
        <f>LEFT(PDs!AG126,2)</f>
        <v>#N/A</v>
      </c>
      <c r="K3305" s="1922" t="str">
        <f>IF(PDs!AI126,MID(PDs!AH126,4,25)&amp;MID(PDs!AG126,4,25),"")</f>
        <v/>
      </c>
      <c r="L3305" s="1923">
        <f>COUNTIF($G$3305:$G$3360,"&lt;="&amp;G3305)</f>
        <v>1</v>
      </c>
      <c r="M3305" s="1923" t="str">
        <f>INDEX($H$3305:$H$3360,MATCH(ROWS($L$3305:L3305),$L$3305:$L$3360,0))</f>
        <v/>
      </c>
      <c r="N3305" s="1921">
        <v>0</v>
      </c>
      <c r="O3305" s="1924">
        <v>0</v>
      </c>
      <c r="P3305" s="4923" t="s">
        <v>9817</v>
      </c>
    </row>
    <row r="3306" spans="2:16" ht="12.75" customHeight="1" x14ac:dyDescent="0.2">
      <c r="B3306" s="1906" t="str">
        <f t="shared" si="95"/>
        <v/>
      </c>
      <c r="C3306" s="73"/>
      <c r="D3306" s="73"/>
      <c r="E3306" s="1917"/>
      <c r="F3306" s="2592" t="b">
        <f>AND(NOT(Atletismo_final="-"),OR(PDs!T127&gt;4,PDs!W127&gt;0,PDs!X127&gt;0,$F$518&gt;0))</f>
        <v>0</v>
      </c>
      <c r="G3306" s="1927" t="s">
        <v>2260</v>
      </c>
      <c r="H3306" s="1926"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25" t="str">
        <f>IF(PDs!I127=0,"","("&amp;PDs!I127&amp;")")</f>
        <v/>
      </c>
      <c r="J3306" s="1928" t="e">
        <f>LEFT(PDs!AG127,2)</f>
        <v>#N/A</v>
      </c>
      <c r="K3306" s="1928" t="str">
        <f>IF(PDs!AI127,MID(PDs!AH127,4,25)&amp;MID(PDs!AG127,4,25),"")</f>
        <v/>
      </c>
      <c r="L3306" s="1929">
        <f t="shared" ref="L3306:L3336" si="96">COUNTIF($G$3305:$G$3360,"&lt;="&amp;G3306)</f>
        <v>7</v>
      </c>
      <c r="M3306" s="1929" t="str">
        <f>INDEX($H$3305:$H$3360,MATCH(ROWS($L$3305:L3306),$L$3305:$L$3360,0))</f>
        <v/>
      </c>
      <c r="N3306" s="1927">
        <f>IF(M3305="",0,1)</f>
        <v>0</v>
      </c>
      <c r="O3306" s="1930">
        <f>SUM($N$3306:N3306)</f>
        <v>0</v>
      </c>
      <c r="P3306" s="4924"/>
    </row>
    <row r="3307" spans="2:16" ht="12.75" customHeight="1" x14ac:dyDescent="0.2">
      <c r="B3307" s="1906" t="str">
        <f t="shared" si="95"/>
        <v/>
      </c>
      <c r="C3307" s="73"/>
      <c r="D3307" s="73"/>
      <c r="E3307" s="1917"/>
      <c r="F3307" s="2592" t="b">
        <f>AND(NOT(Montar_final="-"),OR(PDs!T128&gt;4,PDs!W128&gt;0,PDs!X128&gt;0,$F$518&gt;0))</f>
        <v>0</v>
      </c>
      <c r="G3307" s="1927" t="s">
        <v>2263</v>
      </c>
      <c r="H3307" s="1926"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25" t="str">
        <f>IF(PDs!I128=0,"","("&amp;PDs!I128&amp;")")</f>
        <v/>
      </c>
      <c r="J3307" s="1928" t="e">
        <f>LEFT(PDs!AG128,2)</f>
        <v>#N/A</v>
      </c>
      <c r="K3307" s="1928" t="str">
        <f>IF(PDs!AI128,MID(PDs!AH128,4,25)&amp;MID(PDs!AG128,4,25),"")</f>
        <v/>
      </c>
      <c r="L3307" s="1929">
        <f>COUNTIF($G$3305:$G$3360,"&lt;="&amp;G3307)</f>
        <v>29</v>
      </c>
      <c r="M3307" s="1929" t="str">
        <f>INDEX($H$3305:$H$3360,MATCH(ROWS($L$3305:L3307),$L$3305:$L$3360,0))</f>
        <v/>
      </c>
      <c r="N3307" s="1927">
        <f t="shared" ref="N3307:N3360" si="97">IF(M3306="",0,1)</f>
        <v>0</v>
      </c>
      <c r="O3307" s="1930">
        <f>SUM($N$3306:N3307)</f>
        <v>0</v>
      </c>
      <c r="P3307" s="4924"/>
    </row>
    <row r="3308" spans="2:16" ht="12.75" customHeight="1" x14ac:dyDescent="0.2">
      <c r="B3308" s="1906" t="str">
        <f t="shared" si="95"/>
        <v/>
      </c>
      <c r="C3308" s="73"/>
      <c r="D3308" s="73"/>
      <c r="E3308" s="1917"/>
      <c r="F3308" s="2592" t="b">
        <f>AND(NOT(Nadar_final="-"),OR(PDs!T129&gt;4,PDs!W129&gt;0,PDs!X129&gt;0,$F$518&gt;0))</f>
        <v>0</v>
      </c>
      <c r="G3308" s="1927" t="s">
        <v>2267</v>
      </c>
      <c r="H3308" s="1926"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25" t="str">
        <f>IF(PDs!I129=0,"","("&amp;PDs!I129&amp;")")</f>
        <v/>
      </c>
      <c r="J3308" s="1928" t="e">
        <f>LEFT(PDs!AG129,2)</f>
        <v>#N/A</v>
      </c>
      <c r="K3308" s="1928" t="str">
        <f>IF(PDs!AI129,MID(PDs!AH129,4,25)&amp;MID(PDs!AG129,4,25),"")</f>
        <v/>
      </c>
      <c r="L3308" s="1929">
        <f t="shared" si="96"/>
        <v>31</v>
      </c>
      <c r="M3308" s="1929" t="str">
        <f>INDEX($H$3305:$H$3360,MATCH(ROWS($L$3305:L3308),$L$3305:$L$3360,0))</f>
        <v/>
      </c>
      <c r="N3308" s="1927">
        <f t="shared" si="97"/>
        <v>0</v>
      </c>
      <c r="O3308" s="1930">
        <f>SUM($N$3306:N3308)</f>
        <v>0</v>
      </c>
      <c r="P3308" s="4924"/>
    </row>
    <row r="3309" spans="2:16" ht="12.75" customHeight="1" x14ac:dyDescent="0.2">
      <c r="B3309" s="1906" t="str">
        <f t="shared" si="95"/>
        <v/>
      </c>
      <c r="C3309" s="73"/>
      <c r="D3309" s="73"/>
      <c r="E3309" s="1917"/>
      <c r="F3309" s="2592" t="b">
        <f>AND(NOT(Trepar_final="-"),OR(PDs!T130&gt;4,PDs!W130&gt;0,PDs!X130&gt;0,$F$518&gt;0))</f>
        <v>0</v>
      </c>
      <c r="G3309" s="1927" t="s">
        <v>2270</v>
      </c>
      <c r="H3309" s="1926"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25" t="str">
        <f>IF(PDs!I130=0,"","("&amp;PDs!I130&amp;")")</f>
        <v/>
      </c>
      <c r="J3309" s="1928" t="e">
        <f>LEFT(PDs!AG130,2)</f>
        <v>#N/A</v>
      </c>
      <c r="K3309" s="1928" t="str">
        <f>IF(PDs!AI130,MID(PDs!AH130,4,25)&amp;MID(PDs!AG130,4,25),"")</f>
        <v/>
      </c>
      <c r="L3309" s="1929">
        <f t="shared" si="96"/>
        <v>49</v>
      </c>
      <c r="M3309" s="1929" t="str">
        <f>INDEX($H$3305:$H$3360,MATCH(ROWS($L$3305:L3309),$L$3305:$L$3360,0))</f>
        <v/>
      </c>
      <c r="N3309" s="1927">
        <f t="shared" si="97"/>
        <v>0</v>
      </c>
      <c r="O3309" s="1930">
        <f>SUM($N$3306:N3309)</f>
        <v>0</v>
      </c>
      <c r="P3309" s="4924"/>
    </row>
    <row r="3310" spans="2:16" ht="12.75" customHeight="1" x14ac:dyDescent="0.2">
      <c r="B3310" s="1906" t="str">
        <f t="shared" si="95"/>
        <v/>
      </c>
      <c r="C3310" s="73"/>
      <c r="D3310" s="73"/>
      <c r="E3310" s="1917"/>
      <c r="F3310" s="2592" t="b">
        <f>AND(NOT(Saltar_final="-"),OR(PDs!T131&gt;4,PDs!W131&gt;0,PDs!X131&gt;0,$F$518&gt;0))</f>
        <v>0</v>
      </c>
      <c r="G3310" s="1927" t="s">
        <v>2273</v>
      </c>
      <c r="H3310" s="1926"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25" t="str">
        <f>IF(PDs!I131=0,"","("&amp;PDs!I131&amp;")")</f>
        <v/>
      </c>
      <c r="J3310" s="1928" t="e">
        <f>LEFT(PDs!AG131,2)</f>
        <v>#N/A</v>
      </c>
      <c r="K3310" s="1928" t="str">
        <f>IF(PDs!AI131,MID(PDs!AH131,4,25)&amp;MID(PDs!AG131,4,25),"")</f>
        <v/>
      </c>
      <c r="L3310" s="1929">
        <f t="shared" si="96"/>
        <v>43</v>
      </c>
      <c r="M3310" s="1929" t="str">
        <f>INDEX($H$3305:$H$3360,MATCH(ROWS($L$3305:L3310),$L$3305:$L$3360,0))</f>
        <v/>
      </c>
      <c r="N3310" s="1927">
        <f t="shared" si="97"/>
        <v>0</v>
      </c>
      <c r="O3310" s="1930">
        <f>SUM($N$3306:N3310)</f>
        <v>0</v>
      </c>
      <c r="P3310" s="4924"/>
    </row>
    <row r="3311" spans="2:16" ht="12.75" customHeight="1" x14ac:dyDescent="0.2">
      <c r="B3311" s="1906" t="str">
        <f t="shared" si="95"/>
        <v/>
      </c>
      <c r="C3311" s="73"/>
      <c r="D3311" s="73"/>
      <c r="E3311" s="1917"/>
      <c r="F3311" s="2592" t="b">
        <f>AND(NOT(Pilotar_final="-"),OR(PDs!T132&gt;4,PDs!W132&gt;0,PDs!X132&gt;0,$F$518&gt;0))</f>
        <v>0</v>
      </c>
      <c r="G3311" s="1927" t="s">
        <v>8782</v>
      </c>
      <c r="H3311" s="1926"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25" t="str">
        <f>IF(PDs!I132=0,"","("&amp;PDs!I132&amp;")")</f>
        <v/>
      </c>
      <c r="J3311" s="1928" t="e">
        <f>LEFT(PDs!AG132,2)</f>
        <v>#N/A</v>
      </c>
      <c r="K3311" s="1928" t="str">
        <f>IF(PDs!AI132,MID(PDs!AH132,4,25)&amp;MID(PDs!AG132,4,25),"")</f>
        <v/>
      </c>
      <c r="L3311" s="1929">
        <f t="shared" si="96"/>
        <v>38</v>
      </c>
      <c r="M3311" s="1929" t="str">
        <f>INDEX($H$3305:$H$3360,MATCH(ROWS($L$3305:L3311),$L$3305:$L$3360,0))</f>
        <v/>
      </c>
      <c r="N3311" s="1927">
        <f t="shared" si="97"/>
        <v>0</v>
      </c>
      <c r="O3311" s="1930">
        <f>SUM($N$3306:N3311)</f>
        <v>0</v>
      </c>
      <c r="P3311" s="4924"/>
    </row>
    <row r="3312" spans="2:16" ht="12.75" customHeight="1" x14ac:dyDescent="0.2">
      <c r="B3312" s="1906" t="str">
        <f t="shared" si="95"/>
        <v/>
      </c>
      <c r="C3312" s="73"/>
      <c r="D3312" s="73"/>
      <c r="E3312" s="1917"/>
      <c r="F3312" s="2592" t="b">
        <f>AND(NOT(Estilo_final="-"),OR(PDs!T133&gt;4,PDs!W133&gt;0,PDs!X133&gt;0,$F$518&gt;0))</f>
        <v>0</v>
      </c>
      <c r="G3312" s="1927" t="s">
        <v>2277</v>
      </c>
      <c r="H3312" s="1926"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25" t="str">
        <f>IF(PDs!I133=0,"","("&amp;PDs!I133&amp;")")</f>
        <v/>
      </c>
      <c r="J3312" s="1928" t="e">
        <f>LEFT(PDs!AG133,2)</f>
        <v>#N/A</v>
      </c>
      <c r="K3312" s="1928" t="str">
        <f>IF(PDs!AI133,MID(PDs!AH133,4,25)&amp;MID(PDs!AG133,4,25),"")</f>
        <v/>
      </c>
      <c r="L3312" s="1929">
        <f t="shared" si="96"/>
        <v>18</v>
      </c>
      <c r="M3312" s="1929" t="str">
        <f>INDEX($H$3305:$H$3360,MATCH(ROWS($L$3305:L3312),$L$3305:$L$3360,0))</f>
        <v/>
      </c>
      <c r="N3312" s="1927">
        <f t="shared" si="97"/>
        <v>0</v>
      </c>
      <c r="O3312" s="1930">
        <f>SUM($N$3306:N3312)</f>
        <v>0</v>
      </c>
      <c r="P3312" s="4924"/>
    </row>
    <row r="3313" spans="2:16" ht="12.75" customHeight="1" x14ac:dyDescent="0.2">
      <c r="B3313" s="1906" t="str">
        <f t="shared" si="95"/>
        <v/>
      </c>
      <c r="C3313" s="73"/>
      <c r="D3313" s="73"/>
      <c r="E3313" s="1917"/>
      <c r="F3313" s="2592" t="b">
        <f>AND(NOT(Intimidar_final="-"),OR(PDs!T134&gt;4,PDs!W134&gt;0,PDs!X134&gt;0,$F$518&gt;0))</f>
        <v>0</v>
      </c>
      <c r="G3313" s="1927" t="s">
        <v>2279</v>
      </c>
      <c r="H3313" s="1926"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25" t="str">
        <f>IF(PDs!I134=0,"","("&amp;PDs!I134&amp;")")</f>
        <v/>
      </c>
      <c r="J3313" s="1928" t="e">
        <f>LEFT(PDs!AG134,2)</f>
        <v>#N/A</v>
      </c>
      <c r="K3313" s="1928" t="str">
        <f>IF(PDs!AI134,MID(PDs!AH134,4,25)&amp;MID(PDs!AG134,4,25),"")</f>
        <v/>
      </c>
      <c r="L3313" s="1929">
        <f t="shared" si="96"/>
        <v>24</v>
      </c>
      <c r="M3313" s="1929" t="str">
        <f>INDEX($H$3305:$H$3360,MATCH(ROWS($L$3305:L3313),$L$3305:$L$3360,0))</f>
        <v/>
      </c>
      <c r="N3313" s="1927">
        <f t="shared" si="97"/>
        <v>0</v>
      </c>
      <c r="O3313" s="1930">
        <f>SUM($N$3306:N3313)</f>
        <v>0</v>
      </c>
      <c r="P3313" s="4924"/>
    </row>
    <row r="3314" spans="2:16" ht="12.75" customHeight="1" x14ac:dyDescent="0.2">
      <c r="B3314" s="1906" t="str">
        <f t="shared" si="95"/>
        <v/>
      </c>
      <c r="C3314" s="73"/>
      <c r="D3314" s="73"/>
      <c r="E3314" s="1917"/>
      <c r="F3314" s="2592" t="b">
        <f>AND(NOT(Liderazgo_final="-"),OR(PDs!T135&gt;4,PDs!W135&gt;0,PDs!X135&gt;0,$F$518&gt;0))</f>
        <v>0</v>
      </c>
      <c r="G3314" s="1927" t="s">
        <v>2282</v>
      </c>
      <c r="H3314" s="1926"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25" t="str">
        <f>IF(PDs!I135=0,"","("&amp;PDs!I135&amp;")")</f>
        <v/>
      </c>
      <c r="J3314" s="1928" t="e">
        <f>LEFT(PDs!AG135,2)</f>
        <v>#N/A</v>
      </c>
      <c r="K3314" s="1928" t="str">
        <f>IF(PDs!AI135,MID(PDs!AH135,4,25)&amp;MID(PDs!AG135,4,25),"")</f>
        <v/>
      </c>
      <c r="L3314" s="1929">
        <f t="shared" si="96"/>
        <v>26</v>
      </c>
      <c r="M3314" s="1929" t="str">
        <f>INDEX($H$3305:$H$3360,MATCH(ROWS($L$3305:L3314),$L$3305:$L$3360,0))</f>
        <v/>
      </c>
      <c r="N3314" s="1927">
        <f t="shared" si="97"/>
        <v>0</v>
      </c>
      <c r="O3314" s="1930">
        <f>SUM($N$3306:N3314)</f>
        <v>0</v>
      </c>
      <c r="P3314" s="4924"/>
    </row>
    <row r="3315" spans="2:16" ht="12.75" customHeight="1" x14ac:dyDescent="0.2">
      <c r="B3315" s="1906" t="str">
        <f t="shared" si="95"/>
        <v/>
      </c>
      <c r="C3315" s="73"/>
      <c r="D3315" s="73"/>
      <c r="E3315" s="1917"/>
      <c r="F3315" s="2593" t="b">
        <f>AND(NOT(Persuasión_final="-"),OR(PDs!T136&gt;4,PDs!W136&gt;0,PDs!X136&gt;0,$F$518&gt;0))</f>
        <v>0</v>
      </c>
      <c r="G3315" s="1939" t="s">
        <v>2284</v>
      </c>
      <c r="H3315" s="1938"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37" t="str">
        <f>IF(PDs!I136=0,"","("&amp;PDs!I136&amp;")")</f>
        <v/>
      </c>
      <c r="J3315" s="1940" t="e">
        <f>LEFT(PDs!AG136,2)</f>
        <v>#N/A</v>
      </c>
      <c r="K3315" s="1940" t="str">
        <f>IF(PDs!AI136,MID(PDs!AH136,4,25)&amp;MID(PDs!AG136,4,25),"")</f>
        <v/>
      </c>
      <c r="L3315" s="1929">
        <f t="shared" si="96"/>
        <v>37</v>
      </c>
      <c r="M3315" s="1929" t="str">
        <f>INDEX($H$3305:$H$3360,MATCH(ROWS($L$3305:L3315),$L$3305:$L$3360,0))</f>
        <v/>
      </c>
      <c r="N3315" s="1927">
        <f t="shared" si="97"/>
        <v>0</v>
      </c>
      <c r="O3315" s="1930">
        <f>SUM($N$3306:N3315)</f>
        <v>0</v>
      </c>
      <c r="P3315" s="4924"/>
    </row>
    <row r="3316" spans="2:16" ht="12.75" customHeight="1" x14ac:dyDescent="0.2">
      <c r="B3316" s="1906" t="str">
        <f t="shared" si="95"/>
        <v/>
      </c>
      <c r="C3316" s="73"/>
      <c r="D3316" s="73"/>
      <c r="E3316" s="1917"/>
      <c r="F3316" s="2592" t="b">
        <f>AND(NOT(Comercio_final="-"),OR(PDs!T137&gt;4,PDs!W137&gt;0,PDs!X137&gt;0,$F$518&gt;0))</f>
        <v>0</v>
      </c>
      <c r="G3316" s="1927" t="s">
        <v>1282</v>
      </c>
      <c r="H3316" s="1926"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25" t="str">
        <f>IF(PDs!I137=0,"","("&amp;PDs!I137&amp;")")</f>
        <v/>
      </c>
      <c r="J3316" s="1928" t="e">
        <f>LEFT(PDs!AG137,2)</f>
        <v>#N/A</v>
      </c>
      <c r="K3316" s="1928" t="str">
        <f>IF(PDs!AI137,MID(PDs!AH137,4,25)&amp;MID(PDs!AG137,4,25),"")</f>
        <v/>
      </c>
      <c r="L3316" s="1929">
        <f t="shared" si="96"/>
        <v>14</v>
      </c>
      <c r="M3316" s="1929" t="str">
        <f>INDEX($H$3305:$H$3360,MATCH(ROWS($L$3305:L3316),$L$3305:$L$3360,0))</f>
        <v/>
      </c>
      <c r="N3316" s="1927">
        <f t="shared" si="97"/>
        <v>0</v>
      </c>
      <c r="O3316" s="1930">
        <f>SUM($N$3306:N3316)</f>
        <v>0</v>
      </c>
      <c r="P3316" s="4924"/>
    </row>
    <row r="3317" spans="2:16" ht="12.75" customHeight="1" x14ac:dyDescent="0.2">
      <c r="B3317" s="1906" t="str">
        <f t="shared" si="95"/>
        <v/>
      </c>
      <c r="C3317" s="73"/>
      <c r="D3317" s="73"/>
      <c r="E3317" s="1917"/>
      <c r="F3317" s="2593" t="b">
        <f>AND(NOT(Callejeo_final="-"),OR(PDs!T138&gt;4,PDs!W138&gt;0,PDs!X138&gt;0,$F$518&gt;0))</f>
        <v>0</v>
      </c>
      <c r="G3317" s="1939" t="s">
        <v>1283</v>
      </c>
      <c r="H3317" s="1938"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37" t="str">
        <f>IF(PDs!I138=0,"","("&amp;PDs!I138&amp;")")</f>
        <v/>
      </c>
      <c r="J3317" s="1940">
        <v>40</v>
      </c>
      <c r="K3317" s="1940" t="s">
        <v>8910</v>
      </c>
      <c r="L3317" s="1929">
        <f t="shared" si="96"/>
        <v>11</v>
      </c>
      <c r="M3317" s="1929" t="str">
        <f>INDEX($H$3305:$H$3360,MATCH(ROWS($L$3305:L3317),$L$3305:$L$3360,0))</f>
        <v/>
      </c>
      <c r="N3317" s="1927">
        <f t="shared" si="97"/>
        <v>0</v>
      </c>
      <c r="O3317" s="1930">
        <f>SUM($N$3306:N3317)</f>
        <v>0</v>
      </c>
      <c r="P3317" s="4924"/>
    </row>
    <row r="3318" spans="2:16" ht="12.75" customHeight="1" x14ac:dyDescent="0.2">
      <c r="B3318" s="1906" t="str">
        <f t="shared" si="95"/>
        <v/>
      </c>
      <c r="C3318" s="73"/>
      <c r="D3318" s="73"/>
      <c r="E3318" s="1917"/>
      <c r="F3318" s="2592" t="b">
        <f>AND(NOT(Etiqueta_final="-"),OR(PDs!T139&gt;4,PDs!W139&gt;0,PDs!X139&gt;0,$F$518&gt;0))</f>
        <v>0</v>
      </c>
      <c r="G3318" s="1927" t="s">
        <v>1284</v>
      </c>
      <c r="H3318" s="1926"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25" t="str">
        <f>IF(PDs!I139=0,"","("&amp;PDs!I139&amp;")")</f>
        <v/>
      </c>
      <c r="J3318" s="1928" t="e">
        <f>LEFT(PDs!AG139,2)</f>
        <v>#N/A</v>
      </c>
      <c r="K3318" s="1928" t="str">
        <f>IF(PDs!AI139,MID(PDs!AH139,4,25)&amp;MID(PDs!AG139,4,25),"")</f>
        <v/>
      </c>
      <c r="L3318" s="1929">
        <f t="shared" si="96"/>
        <v>19</v>
      </c>
      <c r="M3318" s="1929" t="str">
        <f>INDEX($H$3305:$H$3360,MATCH(ROWS($L$3305:L3318),$L$3305:$L$3360,0))</f>
        <v/>
      </c>
      <c r="N3318" s="1927">
        <f t="shared" si="97"/>
        <v>0</v>
      </c>
      <c r="O3318" s="1930">
        <f>SUM($N$3306:N3318)</f>
        <v>0</v>
      </c>
      <c r="P3318" s="4924"/>
    </row>
    <row r="3319" spans="2:16" ht="12.75" customHeight="1" x14ac:dyDescent="0.2">
      <c r="B3319" s="1906" t="str">
        <f t="shared" si="95"/>
        <v/>
      </c>
      <c r="C3319" s="73"/>
      <c r="D3319" s="73"/>
      <c r="E3319" s="1917"/>
      <c r="F3319" s="2592" t="b">
        <f>AND(NOT(Advertir_final="-"),OR(PDs!T140&gt;4,PDs!W140&gt;0,PDs!X140&gt;0,$F$518&gt;0))</f>
        <v>0</v>
      </c>
      <c r="G3319" s="1927" t="s">
        <v>2286</v>
      </c>
      <c r="H3319" s="1926"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25" t="str">
        <f>IF(PDs!I140=0,"","("&amp;PDs!I140&amp;")")</f>
        <v/>
      </c>
      <c r="J3319" s="1928" t="e">
        <f>LEFT(PDs!AG140,2)</f>
        <v>#N/A</v>
      </c>
      <c r="K3319" s="1928" t="str">
        <f>IF(PDs!AI140,MID(PDs!AH140,4,25)&amp;MID(PDs!AG140,4,25),"")</f>
        <v/>
      </c>
      <c r="L3319" s="1929">
        <f t="shared" si="96"/>
        <v>2</v>
      </c>
      <c r="M3319" s="1929" t="str">
        <f>INDEX($H$3305:$H$3360,MATCH(ROWS($L$3305:L3319),$L$3305:$L$3360,0))</f>
        <v/>
      </c>
      <c r="N3319" s="1927">
        <f t="shared" si="97"/>
        <v>0</v>
      </c>
      <c r="O3319" s="1930">
        <f>SUM($N$3306:N3319)</f>
        <v>0</v>
      </c>
      <c r="P3319" s="4924"/>
    </row>
    <row r="3320" spans="2:16" ht="12.75" customHeight="1" x14ac:dyDescent="0.2">
      <c r="B3320" s="1906" t="str">
        <f t="shared" si="95"/>
        <v/>
      </c>
      <c r="C3320" s="73"/>
      <c r="D3320" s="73"/>
      <c r="E3320" s="1917"/>
      <c r="F3320" s="2592" t="b">
        <f>AND(NOT(Buscar_final="-"),OR(PDs!T141&gt;4,PDs!W141&gt;0,PDs!X141&gt;0,$F$518&gt;0))</f>
        <v>0</v>
      </c>
      <c r="G3320" s="1927" t="s">
        <v>2287</v>
      </c>
      <c r="H3320" s="1926"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25" t="str">
        <f>IF(PDs!I141=0,"","("&amp;PDs!I141&amp;")")</f>
        <v/>
      </c>
      <c r="J3320" s="1928" t="e">
        <f>LEFT(PDs!AG141,2)</f>
        <v>#N/A</v>
      </c>
      <c r="K3320" s="1928" t="str">
        <f>IF(PDs!AI141,MID(PDs!AH141,4,25)&amp;MID(PDs!AG141,4,25),"")</f>
        <v/>
      </c>
      <c r="L3320" s="1929">
        <f t="shared" si="96"/>
        <v>9</v>
      </c>
      <c r="M3320" s="1929" t="str">
        <f>INDEX($H$3305:$H$3360,MATCH(ROWS($L$3305:L3320),$L$3305:$L$3360,0))</f>
        <v/>
      </c>
      <c r="N3320" s="1927">
        <f t="shared" si="97"/>
        <v>0</v>
      </c>
      <c r="O3320" s="1930">
        <f>SUM($N$3306:N3320)</f>
        <v>0</v>
      </c>
      <c r="P3320" s="4924"/>
    </row>
    <row r="3321" spans="2:16" ht="12.75" customHeight="1" x14ac:dyDescent="0.2">
      <c r="B3321" s="1906" t="str">
        <f t="shared" si="95"/>
        <v/>
      </c>
      <c r="C3321" s="73"/>
      <c r="D3321" s="73"/>
      <c r="E3321" s="1917"/>
      <c r="F3321" s="2592" t="b">
        <f>AND(NOT(Rastrear_final="-"),OR(PDs!T142&gt;4,PDs!W142&gt;0,PDs!X142&gt;0,$F$518&gt;0))</f>
        <v>0</v>
      </c>
      <c r="G3321" s="1927" t="s">
        <v>2288</v>
      </c>
      <c r="H3321" s="1926"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25" t="str">
        <f>IF(PDs!I142=0,"","("&amp;PDs!I142&amp;")")</f>
        <v/>
      </c>
      <c r="J3321" s="1928" t="e">
        <f>LEFT(PDs!AG142,2)</f>
        <v>#N/A</v>
      </c>
      <c r="K3321" s="1928" t="str">
        <f>IF(PDs!AI142,MID(PDs!AH142,4,25)&amp;MID(PDs!AG142,4,25),"")</f>
        <v/>
      </c>
      <c r="L3321" s="1929">
        <f t="shared" si="96"/>
        <v>39</v>
      </c>
      <c r="M3321" s="1929" t="str">
        <f>INDEX($H$3305:$H$3360,MATCH(ROWS($L$3305:L3321),$L$3305:$L$3360,0))</f>
        <v/>
      </c>
      <c r="N3321" s="1927">
        <f t="shared" si="97"/>
        <v>0</v>
      </c>
      <c r="O3321" s="1930">
        <f>SUM($N$3306:N3321)</f>
        <v>0</v>
      </c>
      <c r="P3321" s="4924"/>
    </row>
    <row r="3322" spans="2:16" ht="12.75" customHeight="1" x14ac:dyDescent="0.2">
      <c r="B3322" s="1906" t="str">
        <f t="shared" si="95"/>
        <v/>
      </c>
      <c r="C3322" s="73"/>
      <c r="D3322" s="73"/>
      <c r="E3322" s="1917"/>
      <c r="F3322" s="2592" t="b">
        <f>AND(NOT(Animales_final="-"),OR(PDs!T143&gt;4,PDs!W143&gt;0,PDs!X143&gt;0,$F$518&gt;0))</f>
        <v>0</v>
      </c>
      <c r="G3322" s="1927" t="s">
        <v>2290</v>
      </c>
      <c r="H3322" s="1926"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25" t="str">
        <f>IF(PDs!I143=0,"","("&amp;PDs!I143&amp;")")</f>
        <v/>
      </c>
      <c r="J3322" s="1928" t="e">
        <f>LEFT(PDs!AG143,2)</f>
        <v>#N/A</v>
      </c>
      <c r="K3322" s="1928" t="str">
        <f>IF(PDs!AI143,MID(PDs!AH143,4,25)&amp;MID(PDs!AG143,4,25),"")</f>
        <v/>
      </c>
      <c r="L3322" s="1929">
        <f t="shared" si="96"/>
        <v>4</v>
      </c>
      <c r="M3322" s="1929" t="str">
        <f>INDEX($H$3305:$H$3360,MATCH(ROWS($L$3305:L3322),$L$3305:$L$3360,0))</f>
        <v/>
      </c>
      <c r="N3322" s="1927">
        <f t="shared" si="97"/>
        <v>0</v>
      </c>
      <c r="O3322" s="1930">
        <f>SUM($N$3306:N3322)</f>
        <v>0</v>
      </c>
      <c r="P3322" s="4924"/>
    </row>
    <row r="3323" spans="2:16" ht="12.75" customHeight="1" x14ac:dyDescent="0.2">
      <c r="B3323" s="1906" t="str">
        <f t="shared" si="95"/>
        <v/>
      </c>
      <c r="C3323" s="73"/>
      <c r="D3323" s="73"/>
      <c r="E3323" s="1917"/>
      <c r="F3323" s="2592" t="b">
        <f>AND(NOT(Ciencia_final="-"),OR(PDs!T144&gt;4,PDs!W144&gt;0,PDs!X144&gt;0,$F$518&gt;0))</f>
        <v>0</v>
      </c>
      <c r="G3323" s="1927" t="s">
        <v>2291</v>
      </c>
      <c r="H3323" s="1926"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25" t="str">
        <f>IF(PDs!I144=0,"","("&amp;PDs!I144&amp;")")</f>
        <v/>
      </c>
      <c r="J3323" s="1928" t="e">
        <f>LEFT(PDs!AG144,2)</f>
        <v>#N/A</v>
      </c>
      <c r="K3323" s="1928" t="str">
        <f>IF(PDs!AI144,MID(PDs!AH144,4,25)&amp;MID(PDs!AG144,4,25),"")</f>
        <v/>
      </c>
      <c r="L3323" s="1929">
        <f t="shared" si="96"/>
        <v>13</v>
      </c>
      <c r="M3323" s="1929" t="str">
        <f>INDEX($H$3305:$H$3360,MATCH(ROWS($L$3305:L3323),$L$3305:$L$3360,0))</f>
        <v/>
      </c>
      <c r="N3323" s="1927">
        <f t="shared" si="97"/>
        <v>0</v>
      </c>
      <c r="O3323" s="1930">
        <f>SUM($N$3306:N3323)</f>
        <v>0</v>
      </c>
      <c r="P3323" s="4924"/>
    </row>
    <row r="3324" spans="2:16" ht="12.75" customHeight="1" x14ac:dyDescent="0.2">
      <c r="B3324" s="1906" t="str">
        <f t="shared" si="95"/>
        <v/>
      </c>
      <c r="C3324" s="73"/>
      <c r="D3324" s="73"/>
      <c r="E3324" s="1917"/>
      <c r="F3324" s="2592" t="b">
        <f>AND(NOT(Ley_final="-"),OR(PDs!T145&gt;4,PDs!W145&gt;0,PDs!X145&gt;0,$F$518&gt;0))</f>
        <v>0</v>
      </c>
      <c r="G3324" s="1927" t="s">
        <v>3679</v>
      </c>
      <c r="H3324" s="1926"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25" t="str">
        <f>IF(PDs!I145=0,"","("&amp;PDs!I145&amp;")")</f>
        <v/>
      </c>
      <c r="J3324" s="1928" t="e">
        <f>LEFT(PDs!AG145,2)</f>
        <v>#N/A</v>
      </c>
      <c r="K3324" s="1928" t="str">
        <f>IF(PDs!AI145,MID(PDs!AH145,4,25)&amp;MID(PDs!AG145,4,25),"")</f>
        <v/>
      </c>
      <c r="L3324" s="1929">
        <f t="shared" si="96"/>
        <v>25</v>
      </c>
      <c r="M3324" s="1929" t="str">
        <f>INDEX($H$3305:$H$3360,MATCH(ROWS($L$3305:L3324),$L$3305:$L$3360,0))</f>
        <v/>
      </c>
      <c r="N3324" s="1927">
        <f t="shared" si="97"/>
        <v>0</v>
      </c>
      <c r="O3324" s="1930">
        <f>SUM($N$3306:N3324)</f>
        <v>0</v>
      </c>
      <c r="P3324" s="4924"/>
    </row>
    <row r="3325" spans="2:16" ht="12.75" customHeight="1" x14ac:dyDescent="0.2">
      <c r="B3325" s="1906" t="str">
        <f t="shared" si="95"/>
        <v/>
      </c>
      <c r="C3325" s="73"/>
      <c r="D3325" s="73"/>
      <c r="E3325" s="1917"/>
      <c r="F3325" s="2592" t="b">
        <f>AND(NOT(Herbolaria_final="-"),OR(PDs!T146&gt;4,PDs!W146&gt;0,PDs!X146&gt;0,$F$518&gt;0))</f>
        <v>0</v>
      </c>
      <c r="G3325" s="1927" t="s">
        <v>2292</v>
      </c>
      <c r="H3325" s="1926"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25" t="str">
        <f>IF(PDs!I146=0,"","("&amp;PDs!I146&amp;")")</f>
        <v/>
      </c>
      <c r="J3325" s="1928" t="e">
        <f>LEFT(PDs!AG146,2)</f>
        <v>#N/A</v>
      </c>
      <c r="K3325" s="1928" t="str">
        <f>IF(PDs!AI146,MID(PDs!AH146,4,25)&amp;MID(PDs!AG146,4,25),"")</f>
        <v/>
      </c>
      <c r="L3325" s="1929">
        <f t="shared" si="96"/>
        <v>22</v>
      </c>
      <c r="M3325" s="1929" t="str">
        <f>INDEX($H$3305:$H$3360,MATCH(ROWS($L$3305:L3325),$L$3305:$L$3360,0))</f>
        <v/>
      </c>
      <c r="N3325" s="1927">
        <f t="shared" si="97"/>
        <v>0</v>
      </c>
      <c r="O3325" s="1930">
        <f>SUM($N$3306:N3325)</f>
        <v>0</v>
      </c>
      <c r="P3325" s="4924"/>
    </row>
    <row r="3326" spans="2:16" ht="12.75" customHeight="1" x14ac:dyDescent="0.2">
      <c r="B3326" s="1906" t="str">
        <f t="shared" si="95"/>
        <v/>
      </c>
      <c r="C3326" s="73"/>
      <c r="D3326" s="73"/>
      <c r="E3326" s="1917"/>
      <c r="F3326" s="2592" t="b">
        <f>AND(NOT(Historia_final="-"),OR(PDs!T147&gt;4,PDs!W147&gt;0,PDs!X147&gt;0,$F$518&gt;0))</f>
        <v>0</v>
      </c>
      <c r="G3326" s="1927" t="s">
        <v>2294</v>
      </c>
      <c r="H3326" s="1926"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25" t="str">
        <f>IF(PDs!I147=0,"","("&amp;PDs!I147&amp;")")</f>
        <v/>
      </c>
      <c r="J3326" s="1928" t="e">
        <f>LEFT(PDs!AG147,2)</f>
        <v>#N/A</v>
      </c>
      <c r="K3326" s="1928" t="str">
        <f>IF(PDs!AI147,MID(PDs!AH147,4,25)&amp;MID(PDs!AG147,4,25),"")</f>
        <v/>
      </c>
      <c r="L3326" s="1929">
        <f t="shared" si="96"/>
        <v>23</v>
      </c>
      <c r="M3326" s="1929" t="str">
        <f>INDEX($H$3305:$H$3360,MATCH(ROWS($L$3305:L3326),$L$3305:$L$3360,0))</f>
        <v/>
      </c>
      <c r="N3326" s="1927">
        <f t="shared" si="97"/>
        <v>0</v>
      </c>
      <c r="O3326" s="1930">
        <f>SUM($N$3306:N3326)</f>
        <v>0</v>
      </c>
      <c r="P3326" s="4924"/>
    </row>
    <row r="3327" spans="2:16" ht="12.75" customHeight="1" x14ac:dyDescent="0.2">
      <c r="B3327" s="1906" t="str">
        <f t="shared" si="95"/>
        <v/>
      </c>
      <c r="C3327" s="73"/>
      <c r="D3327" s="73"/>
      <c r="E3327" s="1917"/>
      <c r="F3327" s="2592" t="b">
        <f>AND(NOT(Tactica_final="-"),OR(PDs!T148&gt;4,PDs!W148&gt;0,PDs!X148&gt;0,$F$518&gt;0))</f>
        <v>0</v>
      </c>
      <c r="G3327" s="1927" t="s">
        <v>1285</v>
      </c>
      <c r="H3327" s="1926"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25" t="str">
        <f>IF(PDs!I148=0,"","("&amp;PDs!I148&amp;")")</f>
        <v/>
      </c>
      <c r="J3327" s="1928" t="e">
        <f>LEFT(PDs!AG148,2)</f>
        <v>#N/A</v>
      </c>
      <c r="K3327" s="1928" t="str">
        <f>IF(PDs!AI148,MID(PDs!AH148,4,25)&amp;MID(PDs!AG148,4,25),"")</f>
        <v/>
      </c>
      <c r="L3327" s="1929">
        <f t="shared" si="96"/>
        <v>46</v>
      </c>
      <c r="M3327" s="1929" t="str">
        <f>INDEX($H$3305:$H$3360,MATCH(ROWS($L$3305:L3327),$L$3305:$L$3360,0))</f>
        <v/>
      </c>
      <c r="N3327" s="1927">
        <f t="shared" si="97"/>
        <v>0</v>
      </c>
      <c r="O3327" s="1930">
        <f>SUM($N$3306:N3327)</f>
        <v>0</v>
      </c>
      <c r="P3327" s="4924"/>
    </row>
    <row r="3328" spans="2:16" ht="12.75" customHeight="1" x14ac:dyDescent="0.2">
      <c r="B3328" s="1906" t="str">
        <f t="shared" si="95"/>
        <v/>
      </c>
      <c r="C3328" s="73"/>
      <c r="D3328" s="73"/>
      <c r="E3328" s="1917"/>
      <c r="F3328" s="2592" t="b">
        <f>AND(NOT(Medicina_final="-"),OR(PDs!T149&gt;4,PDs!W149&gt;0,PDs!X149&gt;0,$F$518&gt;0))</f>
        <v>0</v>
      </c>
      <c r="G3328" s="1927" t="s">
        <v>2297</v>
      </c>
      <c r="H3328" s="1926"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25" t="str">
        <f>IF(PDs!I149=0,"","("&amp;PDs!I149&amp;")")</f>
        <v/>
      </c>
      <c r="J3328" s="1928" t="e">
        <f>LEFT(PDs!AG149,2)</f>
        <v>#N/A</v>
      </c>
      <c r="K3328" s="1928" t="str">
        <f>IF(PDs!AI149,MID(PDs!AH149,4,25)&amp;MID(PDs!AG149,4,25),"")</f>
        <v/>
      </c>
      <c r="L3328" s="1929">
        <f t="shared" si="96"/>
        <v>27</v>
      </c>
      <c r="M3328" s="1929" t="str">
        <f>INDEX($H$3305:$H$3360,MATCH(ROWS($L$3305:L3328),$L$3305:$L$3360,0))</f>
        <v/>
      </c>
      <c r="N3328" s="1927">
        <f t="shared" si="97"/>
        <v>0</v>
      </c>
      <c r="O3328" s="1930">
        <f>SUM($N$3306:N3328)</f>
        <v>0</v>
      </c>
      <c r="P3328" s="4924"/>
    </row>
    <row r="3329" spans="2:16" ht="12.75" customHeight="1" x14ac:dyDescent="0.2">
      <c r="B3329" s="1906" t="str">
        <f t="shared" si="95"/>
        <v/>
      </c>
      <c r="C3329" s="73"/>
      <c r="D3329" s="73"/>
      <c r="E3329" s="1917"/>
      <c r="F3329" s="2592" t="b">
        <f>AND(NOT(Memorizar_final="-"),OR(PDs!T150&gt;4,PDs!W150&gt;0,PDs!X150&gt;0,$F$518&gt;0))</f>
        <v>0</v>
      </c>
      <c r="G3329" s="1927" t="s">
        <v>2298</v>
      </c>
      <c r="H3329" s="1926"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25" t="str">
        <f>IF(PDs!I150=0,"","("&amp;PDs!I150&amp;")")</f>
        <v/>
      </c>
      <c r="J3329" s="1928" t="e">
        <f>LEFT(PDs!AG150,2)</f>
        <v>#N/A</v>
      </c>
      <c r="K3329" s="1928" t="str">
        <f>IF(PDs!AI150,MID(PDs!AH150,4,25)&amp;MID(PDs!AG150,4,25),"")</f>
        <v/>
      </c>
      <c r="L3329" s="1929">
        <f t="shared" si="96"/>
        <v>28</v>
      </c>
      <c r="M3329" s="1929" t="str">
        <f>INDEX($H$3305:$H$3360,MATCH(ROWS($L$3305:L3329),$L$3305:$L$3360,0))</f>
        <v/>
      </c>
      <c r="N3329" s="1927">
        <f t="shared" si="97"/>
        <v>0</v>
      </c>
      <c r="O3329" s="1930">
        <f>SUM($N$3306:N3329)</f>
        <v>0</v>
      </c>
      <c r="P3329" s="4924"/>
    </row>
    <row r="3330" spans="2:16" ht="12.75" customHeight="1" x14ac:dyDescent="0.2">
      <c r="B3330" s="1906" t="str">
        <f t="shared" si="95"/>
        <v/>
      </c>
      <c r="C3330" s="73"/>
      <c r="D3330" s="73"/>
      <c r="E3330" s="1917"/>
      <c r="F3330" s="2592" t="b">
        <f>AND(NOT(Navegación_final="-"),OR(PDs!T151&gt;4,PDs!W151&gt;0,PDs!X151&gt;0,$F$518&gt;0))</f>
        <v>0</v>
      </c>
      <c r="G3330" s="1927" t="s">
        <v>2299</v>
      </c>
      <c r="H3330" s="1926"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25" t="str">
        <f>IF(PDs!I151=0,"","("&amp;PDs!I151&amp;")")</f>
        <v/>
      </c>
      <c r="J3330" s="1928" t="e">
        <f>LEFT(PDs!AG151,2)</f>
        <v>#N/A</v>
      </c>
      <c r="K3330" s="1928" t="str">
        <f>IF(PDs!AI151,MID(PDs!AH151,4,25)&amp;MID(PDs!AG151,4,25),"")</f>
        <v/>
      </c>
      <c r="L3330" s="1929">
        <f t="shared" si="96"/>
        <v>32</v>
      </c>
      <c r="M3330" s="1929" t="str">
        <f>INDEX($H$3305:$H$3360,MATCH(ROWS($L$3305:L3330),$L$3305:$L$3360,0))</f>
        <v/>
      </c>
      <c r="N3330" s="1927">
        <f t="shared" si="97"/>
        <v>0</v>
      </c>
      <c r="O3330" s="1930">
        <f>SUM($N$3306:N3330)</f>
        <v>0</v>
      </c>
      <c r="P3330" s="4924"/>
    </row>
    <row r="3331" spans="2:16" ht="12.75" customHeight="1" x14ac:dyDescent="0.2">
      <c r="B3331" s="1906" t="str">
        <f t="shared" si="95"/>
        <v/>
      </c>
      <c r="C3331" s="73"/>
      <c r="D3331" s="73"/>
      <c r="E3331" s="1917"/>
      <c r="F3331" s="2592" t="b">
        <f>AND(NOT(Ocultismo_final="-"),OR(PDs!T152&gt;4,PDs!W152&gt;0,PDs!X152&gt;0,$F$518&gt;0))</f>
        <v>0</v>
      </c>
      <c r="G3331" s="1927" t="s">
        <v>2300</v>
      </c>
      <c r="H3331" s="1926"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25" t="str">
        <f>IF(PDs!I152=0,"","("&amp;PDs!I152&amp;")")</f>
        <v/>
      </c>
      <c r="J3331" s="1928" t="e">
        <f>LEFT(PDs!AG152,2)</f>
        <v>#N/A</v>
      </c>
      <c r="K3331" s="1928" t="str">
        <f>IF(PDs!AI152,MID(PDs!AH152,4,25)&amp;MID(PDs!AG152,4,25),"")</f>
        <v/>
      </c>
      <c r="L3331" s="1929">
        <f t="shared" si="96"/>
        <v>34</v>
      </c>
      <c r="M3331" s="1929" t="str">
        <f>INDEX($H$3305:$H$3360,MATCH(ROWS($L$3305:L3331),$L$3305:$L$3360,0))</f>
        <v/>
      </c>
      <c r="N3331" s="1927">
        <f t="shared" si="97"/>
        <v>0</v>
      </c>
      <c r="O3331" s="1930">
        <f>SUM($N$3306:N3331)</f>
        <v>0</v>
      </c>
      <c r="P3331" s="4924"/>
    </row>
    <row r="3332" spans="2:16" ht="12.75" customHeight="1" x14ac:dyDescent="0.2">
      <c r="B3332" s="1906" t="str">
        <f t="shared" si="95"/>
        <v/>
      </c>
      <c r="C3332" s="73"/>
      <c r="D3332" s="73"/>
      <c r="E3332" s="1917"/>
      <c r="F3332" s="2592" t="b">
        <f>AND(NOT(Tasación_final="-"),OR(PDs!T153&gt;4,PDs!W153&gt;0,PDs!X153&gt;0,$F$518&gt;0))</f>
        <v>0</v>
      </c>
      <c r="G3332" s="1927" t="s">
        <v>2301</v>
      </c>
      <c r="H3332" s="1926"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25" t="str">
        <f>IF(PDs!I153=0,"","("&amp;PDs!I153&amp;")")</f>
        <v/>
      </c>
      <c r="J3332" s="1928" t="e">
        <f>LEFT(PDs!AG153,2)</f>
        <v>#N/A</v>
      </c>
      <c r="K3332" s="1928" t="str">
        <f>IF(PDs!AI153,MID(PDs!AH153,4,25)&amp;MID(PDs!AG153,4,25),"")</f>
        <v/>
      </c>
      <c r="L3332" s="1929">
        <f t="shared" si="96"/>
        <v>47</v>
      </c>
      <c r="M3332" s="1929" t="str">
        <f>INDEX($H$3305:$H$3360,MATCH(ROWS($L$3305:L3332),$L$3305:$L$3360,0))</f>
        <v/>
      </c>
      <c r="N3332" s="1927">
        <f t="shared" si="97"/>
        <v>0</v>
      </c>
      <c r="O3332" s="1930">
        <f>SUM($N$3306:N3332)</f>
        <v>0</v>
      </c>
      <c r="P3332" s="4924"/>
    </row>
    <row r="3333" spans="2:16" ht="12.75" customHeight="1" x14ac:dyDescent="0.2">
      <c r="B3333" s="1906" t="str">
        <f t="shared" si="95"/>
        <v/>
      </c>
      <c r="C3333" s="73"/>
      <c r="D3333" s="73"/>
      <c r="E3333" s="1917"/>
      <c r="F3333" s="2592" t="b">
        <f>AND(NOT(V.Mágica_final="-"),OR(PDs!T154&gt;4,PDs!W154&gt;0,PDs!X154&gt;0,$F$518&gt;0))</f>
        <v>0</v>
      </c>
      <c r="G3333" s="1927" t="s">
        <v>2302</v>
      </c>
      <c r="H3333" s="1926"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25" t="str">
        <f>IF(PDs!I154=0,"","("&amp;PDs!I154&amp;")")</f>
        <v/>
      </c>
      <c r="J3333" s="1928" t="e">
        <f>LEFT(PDs!AG154,2)</f>
        <v>#N/A</v>
      </c>
      <c r="K3333" s="1928" t="str">
        <f>IF(PDs!AI154,MID(PDs!AH154,4,25)&amp;MID(PDs!AG154,4,25),"")</f>
        <v/>
      </c>
      <c r="L3333" s="1929">
        <f t="shared" si="96"/>
        <v>50</v>
      </c>
      <c r="M3333" s="1929" t="str">
        <f>INDEX($H$3305:$H$3360,MATCH(ROWS($L$3305:L3333),$L$3305:$L$3360,0))</f>
        <v/>
      </c>
      <c r="N3333" s="1927">
        <f t="shared" si="97"/>
        <v>0</v>
      </c>
      <c r="O3333" s="1930">
        <f>SUM($N$3306:N3333)</f>
        <v>0</v>
      </c>
      <c r="P3333" s="4924"/>
    </row>
    <row r="3334" spans="2:16" ht="12.75" customHeight="1" x14ac:dyDescent="0.2">
      <c r="B3334" s="1906" t="str">
        <f t="shared" si="95"/>
        <v/>
      </c>
      <c r="C3334" s="73"/>
      <c r="D3334" s="73"/>
      <c r="E3334" s="1917"/>
      <c r="F3334" s="2592" t="b">
        <f>AND(NOT(Frialdad_final="-"),OR(PDs!T155&gt;4,PDs!W155&gt;0,PDs!X155&gt;0,$F$518&gt;0))</f>
        <v>0</v>
      </c>
      <c r="G3334" s="1927" t="s">
        <v>2304</v>
      </c>
      <c r="H3334" s="1926"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25" t="str">
        <f>IF(PDs!I155=0,"","("&amp;PDs!I155&amp;")")</f>
        <v/>
      </c>
      <c r="J3334" s="1928" t="e">
        <f>LEFT(PDs!AG155,2)</f>
        <v>#N/A</v>
      </c>
      <c r="K3334" s="1928" t="str">
        <f>IF(PDs!AI155,MID(PDs!AH155,4,25)&amp;MID(PDs!AG155,4,25),"")</f>
        <v/>
      </c>
      <c r="L3334" s="1929">
        <f t="shared" si="96"/>
        <v>21</v>
      </c>
      <c r="M3334" s="1929" t="str">
        <f>INDEX($H$3305:$H$3360,MATCH(ROWS($L$3305:L3334),$L$3305:$L$3360,0))</f>
        <v/>
      </c>
      <c r="N3334" s="1927">
        <f t="shared" si="97"/>
        <v>0</v>
      </c>
      <c r="O3334" s="1930">
        <f>SUM($N$3306:N3334)</f>
        <v>0</v>
      </c>
      <c r="P3334" s="4924"/>
    </row>
    <row r="3335" spans="2:16" ht="12.75" customHeight="1" x14ac:dyDescent="0.2">
      <c r="B3335" s="1906" t="str">
        <f t="shared" si="95"/>
        <v/>
      </c>
      <c r="C3335" s="73"/>
      <c r="D3335" s="73"/>
      <c r="E3335" s="1917"/>
      <c r="F3335" s="2592" t="b">
        <f>AND(NOT(P.Fuerza_final="-"),OR(PDs!T156&gt;4,PDs!W156&gt;0,PDs!X156&gt;0,$F$518&gt;0))</f>
        <v>0</v>
      </c>
      <c r="G3335" s="1927" t="s">
        <v>2305</v>
      </c>
      <c r="H3335" s="1926"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25" t="str">
        <f>IF(PDs!I156=0,"","("&amp;PDs!I156&amp;")")</f>
        <v/>
      </c>
      <c r="J3335" s="1928" t="e">
        <f>LEFT(PDs!AG156,2)</f>
        <v>#N/A</v>
      </c>
      <c r="K3335" s="1928" t="str">
        <f>IF(PDs!AI156,MID(PDs!AH156,4,25)&amp;MID(PDs!AG156,4,25),"")</f>
        <v/>
      </c>
      <c r="L3335" s="1929">
        <f t="shared" si="96"/>
        <v>36</v>
      </c>
      <c r="M3335" s="1929" t="str">
        <f>INDEX($H$3305:$H$3360,MATCH(ROWS($L$3305:L3335),$L$3305:$L$3360,0))</f>
        <v/>
      </c>
      <c r="N3335" s="1927">
        <f t="shared" si="97"/>
        <v>0</v>
      </c>
      <c r="O3335" s="1930">
        <f>SUM($N$3306:N3335)</f>
        <v>0</v>
      </c>
      <c r="P3335" s="4924"/>
    </row>
    <row r="3336" spans="2:16" ht="12.75" customHeight="1" x14ac:dyDescent="0.2">
      <c r="B3336" s="1906" t="str">
        <f t="shared" si="95"/>
        <v/>
      </c>
      <c r="C3336" s="73"/>
      <c r="D3336" s="73"/>
      <c r="E3336" s="1917"/>
      <c r="F3336" s="2592" t="b">
        <f>AND(NOT(Res.Dolor_final="-"),OR(PDs!T157&gt;4,PDs!W157&gt;0,PDs!X157&gt;0,$F$518&gt;0))</f>
        <v>0</v>
      </c>
      <c r="G3336" s="1927" t="s">
        <v>2308</v>
      </c>
      <c r="H3336" s="1926"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25" t="str">
        <f>IF(PDs!I157=0,"","("&amp;PDs!I157&amp;")")</f>
        <v/>
      </c>
      <c r="J3336" s="1928" t="e">
        <f>LEFT(PDs!AG157,2)</f>
        <v>#N/A</v>
      </c>
      <c r="K3336" s="1928" t="str">
        <f>IF(PDs!AI157,MID(PDs!AH157,4,25)&amp;MID(PDs!AG157,4,25),"")</f>
        <v/>
      </c>
      <c r="L3336" s="1929">
        <f t="shared" si="96"/>
        <v>40</v>
      </c>
      <c r="M3336" s="1929" t="str">
        <f>INDEX($H$3305:$H$3360,MATCH(ROWS($L$3305:L3336),$L$3305:$L$3360,0))</f>
        <v/>
      </c>
      <c r="N3336" s="1927">
        <f t="shared" si="97"/>
        <v>0</v>
      </c>
      <c r="O3336" s="1930">
        <f>SUM($N$3306:N3336)</f>
        <v>0</v>
      </c>
      <c r="P3336" s="4924"/>
    </row>
    <row r="3337" spans="2:16" ht="12.75" customHeight="1" x14ac:dyDescent="0.2">
      <c r="B3337" s="1906" t="str">
        <f t="shared" ref="B3337:B3355" si="98">IF(AND(O3337&gt;0,NOT(M3337="")),", "&amp;M3337,M3337)</f>
        <v/>
      </c>
      <c r="C3337" s="73"/>
      <c r="D3337" s="73"/>
      <c r="E3337" s="1917"/>
      <c r="F3337" s="2592" t="b">
        <f>AND(NOT(Cerrajería_final="-"),OR(PDs!T158&gt;4,PDs!W158&gt;0,PDs!X158&gt;0,$F$518&gt;0))</f>
        <v>0</v>
      </c>
      <c r="G3337" s="1927" t="s">
        <v>2312</v>
      </c>
      <c r="H3337" s="1926"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25" t="str">
        <f>IF(PDs!I158=0,"","("&amp;PDs!I158&amp;")")</f>
        <v/>
      </c>
      <c r="J3337" s="1928" t="e">
        <f>LEFT(PDs!AG158,2)</f>
        <v>#N/A</v>
      </c>
      <c r="K3337" s="1928" t="str">
        <f>IF(PDs!AI158,MID(PDs!AH158,4,25)&amp;MID(PDs!AG158,4,25),"")</f>
        <v/>
      </c>
      <c r="L3337" s="1929">
        <f t="shared" ref="L3337:L3360" si="99">COUNTIF($G$3305:$G$3360,"&lt;="&amp;G3337)</f>
        <v>12</v>
      </c>
      <c r="M3337" s="1929" t="str">
        <f>INDEX($H$3305:$H$3360,MATCH(ROWS($L$3305:L3337),$L$3305:$L$3360,0))</f>
        <v/>
      </c>
      <c r="N3337" s="1927">
        <f t="shared" si="97"/>
        <v>0</v>
      </c>
      <c r="O3337" s="1930">
        <f>SUM($N$3306:N3337)</f>
        <v>0</v>
      </c>
      <c r="P3337" s="4924"/>
    </row>
    <row r="3338" spans="2:16" ht="12.75" customHeight="1" x14ac:dyDescent="0.2">
      <c r="B3338" s="1906" t="str">
        <f t="shared" si="98"/>
        <v/>
      </c>
      <c r="C3338" s="73"/>
      <c r="D3338" s="73"/>
      <c r="E3338" s="1917"/>
      <c r="F3338" s="2592" t="b">
        <f>AND(NOT(Disfraz_final="-"),OR(PDs!T159&gt;4,PDs!W159&gt;0,PDs!X159&gt;0,$F$518&gt;0))</f>
        <v>0</v>
      </c>
      <c r="G3338" s="1927" t="s">
        <v>2314</v>
      </c>
      <c r="H3338" s="1926"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25" t="str">
        <f>IF(PDs!I159=0,"","("&amp;PDs!I159&amp;")")</f>
        <v/>
      </c>
      <c r="J3338" s="1928" t="e">
        <f>LEFT(PDs!AG159,2)</f>
        <v>#N/A</v>
      </c>
      <c r="K3338" s="1928" t="str">
        <f>IF(PDs!AI159,MID(PDs!AH159,4,25)&amp;MID(PDs!AG159,4,25),"")</f>
        <v/>
      </c>
      <c r="L3338" s="1929">
        <f t="shared" si="99"/>
        <v>17</v>
      </c>
      <c r="M3338" s="1929" t="str">
        <f>INDEX($H$3305:$H$3360,MATCH(ROWS($L$3305:L3338),$L$3305:$L$3360,0))</f>
        <v/>
      </c>
      <c r="N3338" s="1927">
        <f t="shared" si="97"/>
        <v>0</v>
      </c>
      <c r="O3338" s="1930">
        <f>SUM($N$3306:N3338)</f>
        <v>0</v>
      </c>
      <c r="P3338" s="4924"/>
    </row>
    <row r="3339" spans="2:16" ht="12.75" customHeight="1" x14ac:dyDescent="0.2">
      <c r="B3339" s="1906" t="str">
        <f t="shared" si="98"/>
        <v/>
      </c>
      <c r="C3339" s="73"/>
      <c r="D3339" s="73"/>
      <c r="E3339" s="1917"/>
      <c r="F3339" s="2592" t="b">
        <f>AND(NOT(Ocultarse_final="-"),OR(PDs!T160&gt;4,PDs!W160&gt;0,PDs!X160&gt;0,$F$518&gt;0))</f>
        <v>0</v>
      </c>
      <c r="G3339" s="1927" t="s">
        <v>2316</v>
      </c>
      <c r="H3339" s="1926"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25" t="str">
        <f>IF(PDs!I160=0,"","("&amp;PDs!I160&amp;")")</f>
        <v/>
      </c>
      <c r="J3339" s="1928" t="e">
        <f>LEFT(PDs!AG160,2)</f>
        <v>#N/A</v>
      </c>
      <c r="K3339" s="1928" t="str">
        <f>IF(PDs!AI160,MID(PDs!AH160,4,25)&amp;MID(PDs!AG160,4,25),"")</f>
        <v/>
      </c>
      <c r="L3339" s="1929">
        <f t="shared" si="99"/>
        <v>33</v>
      </c>
      <c r="M3339" s="1929" t="str">
        <f>INDEX($H$3305:$H$3360,MATCH(ROWS($L$3305:L3339),$L$3305:$L$3360,0))</f>
        <v/>
      </c>
      <c r="N3339" s="1927">
        <f t="shared" si="97"/>
        <v>0</v>
      </c>
      <c r="O3339" s="1930">
        <f>SUM($N$3306:N3339)</f>
        <v>0</v>
      </c>
      <c r="P3339" s="4924"/>
    </row>
    <row r="3340" spans="2:16" ht="12.75" customHeight="1" x14ac:dyDescent="0.2">
      <c r="B3340" s="1906" t="str">
        <f t="shared" si="98"/>
        <v/>
      </c>
      <c r="C3340" s="73"/>
      <c r="D3340" s="73"/>
      <c r="E3340" s="1917"/>
      <c r="F3340" s="2592" t="b">
        <f>AND(NOT(Robo_final="-"),OR(PDs!T161&gt;4,PDs!W161&gt;0,PDs!X161&gt;0,$F$518&gt;0))</f>
        <v>0</v>
      </c>
      <c r="G3340" s="1927" t="s">
        <v>2318</v>
      </c>
      <c r="H3340" s="1926"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25" t="str">
        <f>IF(PDs!I161=0,"","("&amp;PDs!I161&amp;")")</f>
        <v/>
      </c>
      <c r="J3340" s="1928" t="e">
        <f>LEFT(PDs!AG161,2)</f>
        <v>#N/A</v>
      </c>
      <c r="K3340" s="1928" t="str">
        <f>IF(PDs!AI161,MID(PDs!AH161,4,25)&amp;MID(PDs!AG161,4,25),"")</f>
        <v/>
      </c>
      <c r="L3340" s="1929">
        <f t="shared" si="99"/>
        <v>41</v>
      </c>
      <c r="M3340" s="1929" t="str">
        <f>INDEX($H$3305:$H$3360,MATCH(ROWS($L$3305:L3340),$L$3305:$L$3360,0))</f>
        <v/>
      </c>
      <c r="N3340" s="1927">
        <f t="shared" si="97"/>
        <v>0</v>
      </c>
      <c r="O3340" s="1930">
        <f>SUM($N$3306:N3340)</f>
        <v>0</v>
      </c>
      <c r="P3340" s="4924"/>
    </row>
    <row r="3341" spans="2:16" ht="12.75" customHeight="1" x14ac:dyDescent="0.2">
      <c r="B3341" s="1906" t="str">
        <f t="shared" si="98"/>
        <v/>
      </c>
      <c r="C3341" s="73"/>
      <c r="D3341" s="73"/>
      <c r="E3341" s="1917"/>
      <c r="F3341" s="2592" t="b">
        <f>AND(NOT(Sigilo_final="-"),OR(PDs!T162&gt;4,PDs!W162&gt;0,PDs!X162&gt;0,$F$518&gt;0))</f>
        <v>0</v>
      </c>
      <c r="G3341" s="1927" t="s">
        <v>2320</v>
      </c>
      <c r="H3341" s="1926"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25" t="str">
        <f>IF(PDs!I162=0,"","("&amp;PDs!I162&amp;")")</f>
        <v/>
      </c>
      <c r="J3341" s="1928" t="e">
        <f>LEFT(PDs!AG162,2)</f>
        <v>#N/A</v>
      </c>
      <c r="K3341" s="1928" t="str">
        <f>IF(PDs!AI162,MID(PDs!AH162,4,25)&amp;MID(PDs!AG162,4,25),"")</f>
        <v/>
      </c>
      <c r="L3341" s="1929">
        <f t="shared" si="99"/>
        <v>44</v>
      </c>
      <c r="M3341" s="1929" t="str">
        <f>INDEX($H$3305:$H$3360,MATCH(ROWS($L$3305:L3341),$L$3305:$L$3360,0))</f>
        <v/>
      </c>
      <c r="N3341" s="1927">
        <f t="shared" si="97"/>
        <v>0</v>
      </c>
      <c r="O3341" s="1930">
        <f>SUM($N$3306:N3341)</f>
        <v>0</v>
      </c>
      <c r="P3341" s="4924"/>
    </row>
    <row r="3342" spans="2:16" ht="14.65" customHeight="1" x14ac:dyDescent="0.2">
      <c r="B3342" s="1906" t="str">
        <f t="shared" si="98"/>
        <v/>
      </c>
      <c r="C3342" s="73"/>
      <c r="D3342" s="73"/>
      <c r="E3342" s="1917"/>
      <c r="F3342" s="2592" t="b">
        <f>AND(NOT(Trampería_final="-"),OR(PDs!T163&gt;4,PDs!W163&gt;0,PDs!X163&gt;0,$F$518&gt;0))</f>
        <v>0</v>
      </c>
      <c r="G3342" s="1927" t="s">
        <v>2322</v>
      </c>
      <c r="H3342" s="1926"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25" t="str">
        <f>IF(PDs!I163=0,"","("&amp;PDs!I163&amp;")")</f>
        <v/>
      </c>
      <c r="J3342" s="1928" t="e">
        <f>LEFT(PDs!AG163,2)</f>
        <v>#N/A</v>
      </c>
      <c r="K3342" s="1928" t="str">
        <f>IF(PDs!AI163,MID(PDs!AH163,4,25)&amp;MID(PDs!AG163,4,25),"")</f>
        <v/>
      </c>
      <c r="L3342" s="1929">
        <f t="shared" si="99"/>
        <v>48</v>
      </c>
      <c r="M3342" s="1929" t="str">
        <f>INDEX($H$3305:$H$3360,MATCH(ROWS($L$3305:L3342),$L$3305:$L$3360,0))</f>
        <v/>
      </c>
      <c r="N3342" s="1927">
        <f t="shared" si="97"/>
        <v>0</v>
      </c>
      <c r="O3342" s="1930">
        <f>SUM($N$3306:N3342)</f>
        <v>0</v>
      </c>
      <c r="P3342" s="4924"/>
    </row>
    <row r="3343" spans="2:16" ht="14.65" customHeight="1" x14ac:dyDescent="0.2">
      <c r="B3343" s="1906" t="str">
        <f t="shared" si="98"/>
        <v/>
      </c>
      <c r="C3343" s="73"/>
      <c r="D3343" s="73"/>
      <c r="E3343" s="1917"/>
      <c r="F3343" s="2592" t="b">
        <f>AND(NOT(Venenos_final="-"),OR(PDs!T164&gt;4,PDs!W164&gt;0,PDs!X164&gt;0,$F$518&gt;0))</f>
        <v>0</v>
      </c>
      <c r="G3343" s="1927" t="s">
        <v>2323</v>
      </c>
      <c r="H3343" s="1926"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25" t="str">
        <f>IF(PDs!I164=0,"","("&amp;PDs!I164&amp;")")</f>
        <v/>
      </c>
      <c r="J3343" s="1928" t="e">
        <f>LEFT(PDs!AG164,2)</f>
        <v>#N/A</v>
      </c>
      <c r="K3343" s="1928" t="str">
        <f>IF(PDs!AI164,MID(PDs!AH164,4,25)&amp;MID(PDs!AG164,4,25),"")</f>
        <v/>
      </c>
      <c r="L3343" s="1929">
        <f t="shared" si="99"/>
        <v>51</v>
      </c>
      <c r="M3343" s="1929" t="str">
        <f>INDEX($H$3305:$H$3360,MATCH(ROWS($L$3305:L3343),$L$3305:$L$3360,0))</f>
        <v/>
      </c>
      <c r="N3343" s="1927">
        <f t="shared" si="97"/>
        <v>0</v>
      </c>
      <c r="O3343" s="1930">
        <f>SUM($N$3306:N3343)</f>
        <v>0</v>
      </c>
      <c r="P3343" s="4924"/>
    </row>
    <row r="3344" spans="2:16" ht="14.65" customHeight="1" x14ac:dyDescent="0.2">
      <c r="B3344" s="1906" t="str">
        <f t="shared" si="98"/>
        <v/>
      </c>
      <c r="C3344" s="73"/>
      <c r="D3344" s="73"/>
      <c r="E3344" s="1917"/>
      <c r="F3344" s="2592" t="b">
        <f>AND(NOT(Arte_final="-"),OR(PDs!T165&gt;4,PDs!W165&gt;0,PDs!X165&gt;0,$F$518&gt;0))</f>
        <v>0</v>
      </c>
      <c r="G3344" s="1927" t="s">
        <v>2325</v>
      </c>
      <c r="H3344" s="1926"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25" t="str">
        <f>IF(PDs!I165=0,"","("&amp;PDs!I165&amp;")")</f>
        <v/>
      </c>
      <c r="J3344" s="1928" t="e">
        <f>LEFT(PDs!AG165,2)</f>
        <v>#N/A</v>
      </c>
      <c r="K3344" s="1928" t="str">
        <f>IF(PDs!AI165,MID(PDs!AH165,4,25)&amp;MID(PDs!AG165,4,25),"")</f>
        <v/>
      </c>
      <c r="L3344" s="1929">
        <f t="shared" si="99"/>
        <v>6</v>
      </c>
      <c r="M3344" s="1929" t="str">
        <f>INDEX($H$3305:$H$3360,MATCH(ROWS($L$3305:L3344),$L$3305:$L$3360,0))</f>
        <v/>
      </c>
      <c r="N3344" s="1927">
        <f t="shared" si="97"/>
        <v>0</v>
      </c>
      <c r="O3344" s="1930">
        <f>SUM($N$3306:N3344)</f>
        <v>0</v>
      </c>
      <c r="P3344" s="4924"/>
    </row>
    <row r="3345" spans="2:16" ht="14.65" customHeight="1" x14ac:dyDescent="0.2">
      <c r="B3345" s="1906" t="str">
        <f t="shared" si="98"/>
        <v/>
      </c>
      <c r="C3345" s="73"/>
      <c r="D3345" s="73"/>
      <c r="E3345" s="1917"/>
      <c r="F3345" s="2592" t="b">
        <f>AND(NOT(Baile_final="-"),OR(PDs!T166&gt;4,PDs!W166&gt;0,PDs!X166&gt;0,$F$518&gt;0))</f>
        <v>0</v>
      </c>
      <c r="G3345" s="1927" t="s">
        <v>2326</v>
      </c>
      <c r="H3345" s="1926"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25" t="str">
        <f>IF(PDs!I166=0,"","("&amp;PDs!I166&amp;")")</f>
        <v/>
      </c>
      <c r="J3345" s="1928" t="e">
        <f>LEFT(PDs!AG166,2)</f>
        <v>#N/A</v>
      </c>
      <c r="K3345" s="1928" t="str">
        <f>IF(PDs!AI166,MID(PDs!AH166,4,25)&amp;MID(PDs!AG166,4,25),"")</f>
        <v/>
      </c>
      <c r="L3345" s="1929">
        <f t="shared" si="99"/>
        <v>8</v>
      </c>
      <c r="M3345" s="1929" t="str">
        <f>INDEX($H$3305:$H$3360,MATCH(ROWS($L$3305:L3345),$L$3305:$L$3360,0))</f>
        <v/>
      </c>
      <c r="N3345" s="1927">
        <f t="shared" si="97"/>
        <v>0</v>
      </c>
      <c r="O3345" s="1930">
        <f>SUM($N$3306:N3345)</f>
        <v>0</v>
      </c>
      <c r="P3345" s="4924"/>
    </row>
    <row r="3346" spans="2:16" ht="14.65" customHeight="1" x14ac:dyDescent="0.2">
      <c r="B3346" s="1906" t="str">
        <f t="shared" si="98"/>
        <v/>
      </c>
      <c r="C3346" s="73"/>
      <c r="D3346" s="73"/>
      <c r="E3346" s="1917"/>
      <c r="F3346" s="2592" t="b">
        <f>AND(NOT(Forja_final="-"),OR(PDs!T167&gt;4,PDs!W167&gt;0,PDs!X167&gt;0,$F$518&gt;0))</f>
        <v>0</v>
      </c>
      <c r="G3346" s="1927" t="s">
        <v>2327</v>
      </c>
      <c r="H3346" s="1926"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25" t="str">
        <f>IF(PDs!I167=0,"","("&amp;PDs!I167&amp;")")</f>
        <v/>
      </c>
      <c r="J3346" s="1928" t="e">
        <f>LEFT(PDs!AG167,2)</f>
        <v>#N/A</v>
      </c>
      <c r="K3346" s="1928" t="str">
        <f>IF(PDs!AI167,MID(PDs!AH167,4,25)&amp;MID(PDs!AG167,4,25),"")</f>
        <v/>
      </c>
      <c r="L3346" s="1929">
        <f t="shared" si="99"/>
        <v>20</v>
      </c>
      <c r="M3346" s="1929" t="str">
        <f>INDEX($H$3305:$H$3360,MATCH(ROWS($L$3305:L3346),$L$3305:$L$3360,0))</f>
        <v/>
      </c>
      <c r="N3346" s="1927">
        <f t="shared" si="97"/>
        <v>0</v>
      </c>
      <c r="O3346" s="1930">
        <f>SUM($N$3306:N3346)</f>
        <v>0</v>
      </c>
      <c r="P3346" s="4924"/>
    </row>
    <row r="3347" spans="2:16" ht="14.65" customHeight="1" x14ac:dyDescent="0.2">
      <c r="B3347" s="1906" t="str">
        <f t="shared" si="98"/>
        <v/>
      </c>
      <c r="C3347" s="73"/>
      <c r="D3347" s="73"/>
      <c r="E3347" s="1917"/>
      <c r="F3347" s="2592" t="b">
        <f>AND(NOT(Runas_final="-"),OR(PDs!T168&gt;4,PDs!W168&gt;0,PDs!X168&gt;0,$F$518&gt;0))</f>
        <v>0</v>
      </c>
      <c r="G3347" s="1927" t="s">
        <v>1279</v>
      </c>
      <c r="H3347" s="1926"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25" t="str">
        <f>IF(PDs!I168=0,"","("&amp;PDs!I168&amp;")")</f>
        <v/>
      </c>
      <c r="J3347" s="1928" t="e">
        <f>LEFT(PDs!AG168,2)</f>
        <v>#N/A</v>
      </c>
      <c r="K3347" s="1928" t="str">
        <f>IF(PDs!AI168,MID(PDs!AH168,4,25)&amp;MID(PDs!AG168,4,25),"")</f>
        <v/>
      </c>
      <c r="L3347" s="1929">
        <f t="shared" si="99"/>
        <v>42</v>
      </c>
      <c r="M3347" s="1929" t="str">
        <f>INDEX($H$3305:$H$3360,MATCH(ROWS($L$3305:L3347),$L$3305:$L$3360,0))</f>
        <v/>
      </c>
      <c r="N3347" s="1927">
        <f t="shared" si="97"/>
        <v>0</v>
      </c>
      <c r="O3347" s="1930">
        <f>SUM($N$3306:N3347)</f>
        <v>0</v>
      </c>
      <c r="P3347" s="4924"/>
    </row>
    <row r="3348" spans="2:16" ht="14.65" customHeight="1" x14ac:dyDescent="0.2">
      <c r="B3348" s="1906" t="str">
        <f t="shared" si="98"/>
        <v/>
      </c>
      <c r="C3348" s="73"/>
      <c r="D3348" s="73"/>
      <c r="E3348" s="1917"/>
      <c r="F3348" s="2592" t="b">
        <f>AND(NOT(Alquimia_final="-"),OR(PDs!T169&gt;4,PDs!W169&gt;0,PDs!X169&gt;0,$F$518&gt;0))</f>
        <v>0</v>
      </c>
      <c r="G3348" s="1927" t="s">
        <v>1280</v>
      </c>
      <c r="H3348" s="1926"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25" t="str">
        <f>IF(PDs!I169=0,"","("&amp;PDs!I169&amp;")")</f>
        <v/>
      </c>
      <c r="J3348" s="1928" t="e">
        <f>LEFT(PDs!AG169,2)</f>
        <v>#N/A</v>
      </c>
      <c r="K3348" s="1928" t="str">
        <f>IF(PDs!AI169,MID(PDs!AH169,4,25)&amp;MID(PDs!AG169,4,25),"")</f>
        <v/>
      </c>
      <c r="L3348" s="1929">
        <f t="shared" si="99"/>
        <v>3</v>
      </c>
      <c r="M3348" s="1929" t="str">
        <f>INDEX($H$3305:$H$3360,MATCH(ROWS($L$3305:L3348),$L$3305:$L$3360,0))</f>
        <v/>
      </c>
      <c r="N3348" s="1927">
        <f t="shared" si="97"/>
        <v>0</v>
      </c>
      <c r="O3348" s="1930">
        <f>SUM($N$3306:N3348)</f>
        <v>0</v>
      </c>
      <c r="P3348" s="4924"/>
    </row>
    <row r="3349" spans="2:16" ht="14.65" customHeight="1" x14ac:dyDescent="0.2">
      <c r="B3349" s="1906" t="str">
        <f t="shared" si="98"/>
        <v/>
      </c>
      <c r="C3349" s="73"/>
      <c r="D3349" s="73"/>
      <c r="E3349" s="1917"/>
      <c r="F3349" s="2592" t="b">
        <f>AND(NOT(Animismo_final="-"),OR(PDs!T170&gt;4,PDs!W170&gt;0,PDs!X170&gt;0,$F$518&gt;0))</f>
        <v>0</v>
      </c>
      <c r="G3349" s="1927" t="s">
        <v>1281</v>
      </c>
      <c r="H3349" s="1926"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25" t="str">
        <f>IF(PDs!I170=0,"","("&amp;PDs!I170&amp;")")</f>
        <v/>
      </c>
      <c r="J3349" s="1928" t="e">
        <f>LEFT(PDs!AG170,2)</f>
        <v>#N/A</v>
      </c>
      <c r="K3349" s="1928" t="str">
        <f>IF(PDs!AI170,MID(PDs!AH170,4,25)&amp;MID(PDs!AG170,4,25),"")</f>
        <v/>
      </c>
      <c r="L3349" s="1929">
        <f t="shared" si="99"/>
        <v>5</v>
      </c>
      <c r="M3349" s="1929" t="str">
        <f>INDEX($H$3305:$H$3360,MATCH(ROWS($L$3305:L3349),$L$3305:$L$3360,0))</f>
        <v/>
      </c>
      <c r="N3349" s="1927">
        <f t="shared" si="97"/>
        <v>0</v>
      </c>
      <c r="O3349" s="1930">
        <f>SUM($N$3306:N3349)</f>
        <v>0</v>
      </c>
      <c r="P3349" s="4924"/>
    </row>
    <row r="3350" spans="2:16" ht="14.65" customHeight="1" x14ac:dyDescent="0.2">
      <c r="B3350" s="1906" t="str">
        <f t="shared" si="98"/>
        <v/>
      </c>
      <c r="C3350" s="73"/>
      <c r="D3350" s="73"/>
      <c r="E3350" s="1917"/>
      <c r="F3350" s="2592" t="b">
        <f>AND(NOT(Música_final="-"),OR(PDs!T171&gt;4,PDs!W171&gt;0,PDs!X171&gt;0,$F$518&gt;0))</f>
        <v>0</v>
      </c>
      <c r="G3350" s="1927" t="s">
        <v>2328</v>
      </c>
      <c r="H3350" s="1926"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25" t="str">
        <f>IF(PDs!I171=0,"","("&amp;PDs!I171&amp;")")</f>
        <v/>
      </c>
      <c r="J3350" s="1928" t="e">
        <f>LEFT(PDs!AG171,2)</f>
        <v>#N/A</v>
      </c>
      <c r="K3350" s="1928" t="str">
        <f>IF(PDs!AI171,MID(PDs!AH171,4,25)&amp;MID(PDs!AG171,4,25),"")</f>
        <v/>
      </c>
      <c r="L3350" s="1929">
        <f t="shared" si="99"/>
        <v>30</v>
      </c>
      <c r="M3350" s="1929" t="str">
        <f>INDEX($H$3305:$H$3360,MATCH(ROWS($L$3305:L3350),$L$3305:$L$3360,0))</f>
        <v/>
      </c>
      <c r="N3350" s="1927">
        <f t="shared" si="97"/>
        <v>0</v>
      </c>
      <c r="O3350" s="1930">
        <f>SUM($N$3306:N3350)</f>
        <v>0</v>
      </c>
      <c r="P3350" s="4924"/>
    </row>
    <row r="3351" spans="2:16" ht="14.65" customHeight="1" x14ac:dyDescent="0.2">
      <c r="B3351" s="1906" t="str">
        <f t="shared" si="98"/>
        <v/>
      </c>
      <c r="C3351" s="73"/>
      <c r="D3351" s="73"/>
      <c r="E3351" s="1917"/>
      <c r="F3351" s="2592" t="b">
        <f>AND(NOT(T.Manos_final="-"),OR(PDs!T172&gt;4,PDs!W172&gt;0,PDs!X172&gt;0,$F$518&gt;0))</f>
        <v>0</v>
      </c>
      <c r="G3351" s="1927" t="s">
        <v>2331</v>
      </c>
      <c r="H3351" s="1926"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25" t="str">
        <f>IF(PDs!I172=0,"","("&amp;PDs!I172&amp;")")</f>
        <v/>
      </c>
      <c r="J3351" s="1928" t="e">
        <f>LEFT(PDs!AG172,2)</f>
        <v>#N/A</v>
      </c>
      <c r="K3351" s="1928" t="str">
        <f>IF(PDs!AI172,MID(PDs!AH172,4,25)&amp;MID(PDs!AG172,4,25),"")</f>
        <v/>
      </c>
      <c r="L3351" s="1929">
        <f t="shared" si="99"/>
        <v>45</v>
      </c>
      <c r="M3351" s="1929" t="str">
        <f>INDEX($H$3305:$H$3360,MATCH(ROWS($L$3305:L3351),$L$3305:$L$3360,0))</f>
        <v/>
      </c>
      <c r="N3351" s="1927">
        <f t="shared" si="97"/>
        <v>0</v>
      </c>
      <c r="O3351" s="1930">
        <f>SUM($N$3306:N3351)</f>
        <v>0</v>
      </c>
      <c r="P3351" s="4924"/>
    </row>
    <row r="3352" spans="2:16" ht="14.65" customHeight="1" x14ac:dyDescent="0.2">
      <c r="B3352" s="1906" t="str">
        <f t="shared" si="98"/>
        <v/>
      </c>
      <c r="C3352" s="73"/>
      <c r="D3352" s="73"/>
      <c r="E3352" s="1917"/>
      <c r="F3352" s="2592" t="b">
        <f>AND(NOT(Caligrafíaritual_final="-"),OR(PDs!T173&gt;4,PDs!W173&gt;0,PDs!X173&gt;0,$F$518&gt;0))</f>
        <v>0</v>
      </c>
      <c r="G3352" s="1927" t="s">
        <v>8783</v>
      </c>
      <c r="H3352" s="1926"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25" t="str">
        <f>IF(PDs!I173=0,"","("&amp;PDs!I173&amp;")")</f>
        <v/>
      </c>
      <c r="J3352" s="1928" t="e">
        <f>LEFT(PDs!AG173,2)</f>
        <v>#N/A</v>
      </c>
      <c r="K3352" s="1928" t="str">
        <f>IF(PDs!AI173,MID(PDs!AH173,4,25)&amp;MID(PDs!AG173,4,25),"")</f>
        <v/>
      </c>
      <c r="L3352" s="1929">
        <f t="shared" si="99"/>
        <v>10</v>
      </c>
      <c r="M3352" s="1929" t="str">
        <f>INDEX($H$3305:$H$3360,MATCH(ROWS($L$3305:L3352),$L$3305:$L$3360,0))</f>
        <v/>
      </c>
      <c r="N3352" s="1927">
        <f t="shared" si="97"/>
        <v>0</v>
      </c>
      <c r="O3352" s="1930">
        <f>SUM($N$3306:N3352)</f>
        <v>0</v>
      </c>
      <c r="P3352" s="4924"/>
    </row>
    <row r="3353" spans="2:16" ht="14.65" customHeight="1" x14ac:dyDescent="0.2">
      <c r="B3353" s="1906" t="str">
        <f t="shared" si="98"/>
        <v/>
      </c>
      <c r="C3353" s="73"/>
      <c r="D3353" s="73"/>
      <c r="E3353" s="1917"/>
      <c r="F3353" s="2593" t="b">
        <f>AND(NOT(Orfebrería_final="-"),OR(PDs!T174&gt;4,PDs!W174&gt;0,PDs!X174&gt;0,$F$518&gt;0))</f>
        <v>0</v>
      </c>
      <c r="G3353" s="1939" t="s">
        <v>8784</v>
      </c>
      <c r="H3353" s="1938"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37" t="str">
        <f>IF(PDs!I174=0,"","("&amp;PDs!I174&amp;")")</f>
        <v/>
      </c>
      <c r="J3353" s="1940" t="e">
        <f>LEFT(PDs!AG174,2)</f>
        <v>#N/A</v>
      </c>
      <c r="K3353" s="1940" t="str">
        <f>IF(PDs!AI174,MID(PDs!AH174,4,25)&amp;MID(PDs!AG174,4,25),"")</f>
        <v/>
      </c>
      <c r="L3353" s="1929">
        <f t="shared" si="99"/>
        <v>35</v>
      </c>
      <c r="M3353" s="1929" t="str">
        <f>INDEX($H$3305:$H$3360,MATCH(ROWS($L$3305:L3353),$L$3305:$L$3360,0))</f>
        <v/>
      </c>
      <c r="N3353" s="1927">
        <f t="shared" si="97"/>
        <v>0</v>
      </c>
      <c r="O3353" s="1930">
        <f>SUM($N$3306:N3353)</f>
        <v>0</v>
      </c>
      <c r="P3353" s="4924"/>
    </row>
    <row r="3354" spans="2:16" ht="12.75" customHeight="1" x14ac:dyDescent="0.2">
      <c r="B3354" s="1906" t="str">
        <f t="shared" si="98"/>
        <v/>
      </c>
      <c r="C3354" s="73"/>
      <c r="D3354" s="73"/>
      <c r="E3354" s="1917"/>
      <c r="F3354" s="2592" t="b">
        <f>AND(NOT(Confección_final="-"),OR(PDs!T175&gt;4,PDs!W175&gt;0,PDs!X175&gt;0,$F$518&gt;0))</f>
        <v>0</v>
      </c>
      <c r="G3354" s="1927" t="s">
        <v>8785</v>
      </c>
      <c r="H3354" s="1926"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25" t="str">
        <f>IF(PDs!I175=0,"","("&amp;PDs!I175&amp;")")</f>
        <v/>
      </c>
      <c r="J3354" s="1928" t="e">
        <f>LEFT(PDs!AG175,2)</f>
        <v>#N/A</v>
      </c>
      <c r="K3354" s="1928" t="str">
        <f>IF(PDs!AI175,MID(PDs!AH175,4,25)&amp;MID(PDs!AG175,4,25),"")</f>
        <v/>
      </c>
      <c r="L3354" s="1929">
        <f t="shared" si="99"/>
        <v>16</v>
      </c>
      <c r="M3354" s="1929" t="str">
        <f>INDEX($H$3305:$H$3360,MATCH(ROWS($L$3305:L3354),$L$3305:$L$3360,0))</f>
        <v/>
      </c>
      <c r="N3354" s="1927">
        <f t="shared" si="97"/>
        <v>0</v>
      </c>
      <c r="O3354" s="1930">
        <f>SUM($N$3306:N3354)</f>
        <v>0</v>
      </c>
      <c r="P3354" s="4924"/>
    </row>
    <row r="3355" spans="2:16" ht="12.75" customHeight="1" x14ac:dyDescent="0.2">
      <c r="B3355" s="1906" t="str">
        <f t="shared" si="98"/>
        <v/>
      </c>
      <c r="C3355" s="73"/>
      <c r="D3355" s="73"/>
      <c r="E3355" s="1917"/>
      <c r="F3355" s="2592" t="b">
        <f>AND(NOT(Conf.marionetas_final="-"),OR(PDs!T176&gt;4,PDs!W176&gt;0,PDs!X176&gt;0,$F$518&gt;0))</f>
        <v>0</v>
      </c>
      <c r="G3355" s="1927" t="s">
        <v>8786</v>
      </c>
      <c r="H3355" s="1926"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25" t="str">
        <f>IF(PDs!I176=0,"","("&amp;PDs!I176&amp;")")</f>
        <v/>
      </c>
      <c r="J3355" s="1928" t="e">
        <f>LEFT(PDs!AG176,2)</f>
        <v>#N/A</v>
      </c>
      <c r="K3355" s="1928" t="str">
        <f>IF(PDs!AI176,MID(PDs!AH176,4,25)&amp;MID(PDs!AG176,4,25),"")</f>
        <v/>
      </c>
      <c r="L3355" s="1929">
        <f t="shared" si="99"/>
        <v>15</v>
      </c>
      <c r="M3355" s="1929" t="str">
        <f>INDEX($H$3305:$H$3360,MATCH(ROWS($L$3305:L3355),$L$3305:$L$3360,0))</f>
        <v/>
      </c>
      <c r="N3355" s="1927">
        <f t="shared" si="97"/>
        <v>0</v>
      </c>
      <c r="O3355" s="1930">
        <f>SUM($N$3306:N3355)</f>
        <v>0</v>
      </c>
      <c r="P3355" s="4924"/>
    </row>
    <row r="3356" spans="2:16" ht="12.75" customHeight="1" x14ac:dyDescent="0.2">
      <c r="B3356" s="1906" t="str">
        <f>IF(ISNA(M3356),"",IF(AND(O3356&gt;0,NOT(M3356="")),", "&amp;M3356&amp;" ",M3356))</f>
        <v/>
      </c>
      <c r="C3356" s="73"/>
      <c r="D3356" s="73"/>
      <c r="E3356" s="1917"/>
      <c r="F3356" s="2592" t="b">
        <f>AND(NOT(PDs!$AA$177="-"),OR(PDs!T177&gt;4,PDs!W177&gt;0,PDs!X177&gt;0,$F$518&gt;0))</f>
        <v>0</v>
      </c>
      <c r="G3356" s="1927">
        <f>PDs!E177</f>
        <v>0</v>
      </c>
      <c r="H3356" s="1926"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25" t="str">
        <f>IF(PDs!I177=0,"","("&amp;PDs!I177&amp;")")</f>
        <v/>
      </c>
      <c r="J3356" s="1928">
        <f>PDs!AF177</f>
        <v>0</v>
      </c>
      <c r="K3356" s="1928" t="e">
        <f>IF(PDs!AI178,MID(PDs!AH178,4,25)&amp;MID(PDs!AG177,4,25),"")</f>
        <v>#VALUE!</v>
      </c>
      <c r="L3356" s="1929">
        <f t="shared" si="99"/>
        <v>5</v>
      </c>
      <c r="M3356" s="1929" t="e">
        <f>INDEX($H$3305:$H$3360,MATCH(ROWS($L$3305:L3356),$L$3305:$L$3360,0))</f>
        <v>#N/A</v>
      </c>
      <c r="N3356" s="1927">
        <f t="shared" si="97"/>
        <v>0</v>
      </c>
      <c r="O3356" s="1930">
        <f>SUM($N$3306:N3356)</f>
        <v>0</v>
      </c>
      <c r="P3356" s="4924"/>
    </row>
    <row r="3357" spans="2:16" ht="12.75" customHeight="1" x14ac:dyDescent="0.2">
      <c r="B3357" s="1906" t="str">
        <f>IF(ISNA(M3357),"",IF(AND(O3357&gt;0,NOT(M3357="")),", "&amp;M3357,M3357))</f>
        <v/>
      </c>
      <c r="C3357" s="73"/>
      <c r="D3357" s="73"/>
      <c r="E3357" s="1917"/>
      <c r="F3357" s="2592" t="b">
        <f>AND(NOT(PDs!$AA$178="-"),OR(PDs!T178&gt;4,PDs!W178&gt;0,PDs!X178&gt;0,$F$518&gt;0))</f>
        <v>0</v>
      </c>
      <c r="G3357" s="1927">
        <f>PDs!E178</f>
        <v>0</v>
      </c>
      <c r="H3357" s="1926"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25" t="str">
        <f>IF(PDs!I178=0,"","("&amp;PDs!I178&amp;")")</f>
        <v/>
      </c>
      <c r="J3357" s="1928">
        <f>PDs!AF178</f>
        <v>0</v>
      </c>
      <c r="K3357" s="1928" t="e">
        <f>IF(PDs!AI179,MID(PDs!AH179,4,25)&amp;MID(PDs!AG178,4,25),"")</f>
        <v>#VALUE!</v>
      </c>
      <c r="L3357" s="1929">
        <f t="shared" si="99"/>
        <v>5</v>
      </c>
      <c r="M3357" s="1929" t="e">
        <f>INDEX($H$3305:$H$3360,MATCH(ROWS($L$3305:L3357),$L$3305:$L$3360,0))</f>
        <v>#N/A</v>
      </c>
      <c r="N3357" s="1927" t="e">
        <f t="shared" si="97"/>
        <v>#N/A</v>
      </c>
      <c r="O3357" s="1930" t="e">
        <f>SUM($N$3306:N3357)</f>
        <v>#N/A</v>
      </c>
      <c r="P3357" s="4924"/>
    </row>
    <row r="3358" spans="2:16" ht="12.75" customHeight="1" x14ac:dyDescent="0.2">
      <c r="B3358" s="1906" t="str">
        <f>IF(ISNA(M3358),"",IF(AND(O3358&gt;0,NOT(M3358="")),", "&amp;M3358,M3358))</f>
        <v/>
      </c>
      <c r="C3358" s="73"/>
      <c r="D3358" s="73"/>
      <c r="E3358" s="1917"/>
      <c r="F3358" s="2592" t="b">
        <f>AND(NOT(PDs!$AA$179="-"),OR(PDs!T179&gt;4,PDs!W179&gt;0,PDs!X179&gt;0,$F$518&gt;0))</f>
        <v>0</v>
      </c>
      <c r="G3358" s="1927">
        <f>PDs!E179</f>
        <v>0</v>
      </c>
      <c r="H3358" s="1926"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25" t="str">
        <f>IF(PDs!I179=0,"","("&amp;PDs!I179&amp;")")</f>
        <v/>
      </c>
      <c r="J3358" s="1928">
        <f>PDs!AF179</f>
        <v>0</v>
      </c>
      <c r="K3358" s="1928" t="e">
        <f>IF(PDs!AI180,MID(PDs!AH180,4,25)&amp;MID(PDs!AG179,4,25),"")</f>
        <v>#VALUE!</v>
      </c>
      <c r="L3358" s="1929">
        <f t="shared" si="99"/>
        <v>5</v>
      </c>
      <c r="M3358" s="1929" t="e">
        <f>INDEX($H$3305:$H$3360,MATCH(ROWS($L$3305:L3358),$L$3305:$L$3360,0))</f>
        <v>#N/A</v>
      </c>
      <c r="N3358" s="1927" t="e">
        <f t="shared" si="97"/>
        <v>#N/A</v>
      </c>
      <c r="O3358" s="1930" t="e">
        <f>SUM($N$3306:N3358)</f>
        <v>#N/A</v>
      </c>
      <c r="P3358" s="4924"/>
    </row>
    <row r="3359" spans="2:16" ht="12.75" customHeight="1" x14ac:dyDescent="0.2">
      <c r="B3359" s="1906" t="str">
        <f>IF(ISNA(M3359),"",IF(AND(O3359&gt;0,NOT(M3359="")),", "&amp;M3359,M3359))</f>
        <v/>
      </c>
      <c r="C3359" s="73"/>
      <c r="D3359" s="73"/>
      <c r="E3359" s="1917"/>
      <c r="F3359" s="2592" t="b">
        <f>AND(NOT(PDs!$AA$180="-"),OR(PDs!T180&gt;4,PDs!W180&gt;0,PDs!X180&gt;0,$F$518&gt;0))</f>
        <v>0</v>
      </c>
      <c r="G3359" s="1927">
        <f>PDs!E180</f>
        <v>0</v>
      </c>
      <c r="H3359" s="1926"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25" t="str">
        <f>IF(PDs!I180=0,"","("&amp;PDs!I180&amp;")")</f>
        <v/>
      </c>
      <c r="J3359" s="1928">
        <f>PDs!AF180</f>
        <v>0</v>
      </c>
      <c r="K3359" s="1928" t="e">
        <f>IF(PDs!AI181,MID(PDs!AH181,4,25)&amp;MID(PDs!AG180,4,25),"")</f>
        <v>#VALUE!</v>
      </c>
      <c r="L3359" s="1929">
        <f t="shared" si="99"/>
        <v>5</v>
      </c>
      <c r="M3359" s="1929" t="e">
        <f>INDEX($H$3305:$H$3360,MATCH(ROWS($L$3305:L3359),$L$3305:$L$3360,0))</f>
        <v>#N/A</v>
      </c>
      <c r="N3359" s="1927" t="e">
        <f t="shared" si="97"/>
        <v>#N/A</v>
      </c>
      <c r="O3359" s="1930" t="e">
        <f>SUM($N$3306:N3359)</f>
        <v>#N/A</v>
      </c>
      <c r="P3359" s="4924"/>
    </row>
    <row r="3360" spans="2:16" ht="12.75" customHeight="1" thickBot="1" x14ac:dyDescent="0.25">
      <c r="B3360" s="1907" t="str">
        <f>IF(ISNA(M3360),"",IF(AND(O3360&gt;0,NOT(M3360="")),", "&amp;M3360,M3360))</f>
        <v/>
      </c>
      <c r="C3360" s="1908"/>
      <c r="D3360" s="1908"/>
      <c r="E3360" s="1918"/>
      <c r="F3360" s="2594" t="b">
        <f>AND(NOT(PDs!$AA$181="-"),OR(PDs!T181&gt;4,PDs!W181&gt;0,PDs!X181&gt;0,$F$518&gt;0))</f>
        <v>0</v>
      </c>
      <c r="G3360" s="1933">
        <f>PDs!E181</f>
        <v>0</v>
      </c>
      <c r="H3360" s="1932"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31" t="str">
        <f>IF(PDs!I181=0,"","("&amp;PDs!I181&amp;")")</f>
        <v/>
      </c>
      <c r="J3360" s="1934">
        <f>PDs!AF181</f>
        <v>0</v>
      </c>
      <c r="K3360" s="1931" t="e">
        <f>IF(PDs!AI182,MID(PDs!AH182,4,25)&amp;MID(PDs!AG181,4,25),"")</f>
        <v>#VALUE!</v>
      </c>
      <c r="L3360" s="1935">
        <f t="shared" si="99"/>
        <v>5</v>
      </c>
      <c r="M3360" s="1935" t="e">
        <f>INDEX($H$3305:$H$3360,MATCH(ROWS($L$3305:L3360),$L$3305:$L$3360,0))</f>
        <v>#N/A</v>
      </c>
      <c r="N3360" s="1933" t="e">
        <f t="shared" si="97"/>
        <v>#N/A</v>
      </c>
      <c r="O3360" s="1936" t="e">
        <f>SUM($N$3306:N3360)</f>
        <v>#N/A</v>
      </c>
      <c r="P3360" s="4924"/>
    </row>
    <row r="3361" spans="2:30" ht="12.75" customHeight="1" thickBot="1" x14ac:dyDescent="0.25">
      <c r="H3361" s="447"/>
    </row>
    <row r="3362" spans="2:30" ht="12.75" customHeight="1" thickBot="1" x14ac:dyDescent="0.25">
      <c r="B3362" s="2180"/>
      <c r="C3362" s="3136" t="s">
        <v>1094</v>
      </c>
      <c r="D3362" s="3137"/>
      <c r="E3362" s="3138"/>
    </row>
    <row r="3363" spans="2:30" ht="12.75" customHeight="1" x14ac:dyDescent="0.2">
      <c r="B3363" s="2180"/>
      <c r="C3363" s="4885"/>
      <c r="D3363" s="3067"/>
      <c r="E3363" s="4886"/>
    </row>
    <row r="3364" spans="2:30" ht="12.75" customHeight="1" x14ac:dyDescent="0.2">
      <c r="B3364" s="2683" t="s">
        <v>3750</v>
      </c>
      <c r="C3364" s="2576" t="s">
        <v>2218</v>
      </c>
      <c r="D3364" s="2575" t="s">
        <v>8905</v>
      </c>
      <c r="E3364" s="2577" t="s">
        <v>9781</v>
      </c>
    </row>
    <row r="3365" spans="2:30" ht="12.75" customHeight="1" x14ac:dyDescent="0.2">
      <c r="B3365" s="2681" t="str">
        <f>IF(C3365="","",COUNTIF($C$3365:$C$3407,"&lt;="&amp;C3365)-SUMPRODUCT(--($C$3365:$C$3407="")))</f>
        <v/>
      </c>
      <c r="C3365" s="1906" t="str">
        <f>IF(Combate!AH11=" ","",Combate!AH11)</f>
        <v/>
      </c>
      <c r="D3365" s="2572" t="str">
        <f>IF(ISNA(VLOOKUP(MIN($B$3365:$B$3407)+A1-1,$B$3365:$C$3407,2,0)),"",VLOOKUP(MIN($B$3365:$B$3407)+A1-1,$B$3365:$C$3407,2,0))</f>
        <v/>
      </c>
      <c r="E3365" s="4898"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680" t="str">
        <f t="shared" ref="B3366:B3370" si="100">IF(C3366="","",COUNTIF($C$3365:$C$3407,"&lt;="&amp;C3366)-SUMPRODUCT(--($C$3365:$C$3407="")))</f>
        <v/>
      </c>
      <c r="C3366" s="1906" t="str">
        <f>IF(Combate!AH12=" ","",Combate!AH12)</f>
        <v/>
      </c>
      <c r="D3366" s="2573" t="str">
        <f>IF(ISNA(VLOOKUP(MIN($B$3365:$B$3407)+A2-1,$B$3365:$C$3407,2,0)),"",", "&amp;VLOOKUP(MIN($B$3365:$B$3407)+A2-1,$B$3365:$C$3407,2,0))</f>
        <v/>
      </c>
      <c r="E3366" s="4898"/>
    </row>
    <row r="3367" spans="2:30" ht="12.75" customHeight="1" x14ac:dyDescent="0.2">
      <c r="B3367" s="2680" t="str">
        <f t="shared" si="100"/>
        <v/>
      </c>
      <c r="C3367" s="1906" t="str">
        <f>IF(Combate!AH13=" ","",Combate!AH13)</f>
        <v/>
      </c>
      <c r="D3367" s="2573" t="str">
        <f t="shared" ref="D3367:D3407" si="101">IF(ISNA(VLOOKUP(MIN($B$3365:$B$3407)+A3-1,$B$3365:$C$3407,2,0)),"",", "&amp;VLOOKUP(MIN($B$3365:$B$3407)+A3-1,$B$3365:$C$3407,2,0))</f>
        <v/>
      </c>
      <c r="E3367" s="4898"/>
      <c r="G3367" s="2994" t="s">
        <v>9770</v>
      </c>
      <c r="H3367" s="2995"/>
      <c r="I3367" s="2995"/>
      <c r="J3367" s="2995"/>
      <c r="K3367" s="2995"/>
      <c r="L3367" s="2995"/>
      <c r="M3367" s="2995"/>
      <c r="N3367" s="2995"/>
      <c r="O3367" s="2995"/>
      <c r="P3367" s="2995"/>
      <c r="Q3367" s="2995"/>
      <c r="R3367" s="2995"/>
      <c r="S3367" s="2995"/>
      <c r="T3367" s="2995"/>
      <c r="U3367" s="2995"/>
      <c r="V3367" s="2995"/>
      <c r="W3367" s="2995"/>
      <c r="X3367" s="2995"/>
      <c r="Y3367" s="2995"/>
      <c r="Z3367" s="2995"/>
      <c r="AA3367" s="2995"/>
      <c r="AB3367" s="2996"/>
    </row>
    <row r="3368" spans="2:30" ht="12.75" customHeight="1" x14ac:dyDescent="0.2">
      <c r="B3368" s="2680" t="str">
        <f t="shared" si="100"/>
        <v/>
      </c>
      <c r="C3368" s="1906" t="str">
        <f>IF(Combate!AH14=" ","",Combate!AH14)</f>
        <v/>
      </c>
      <c r="D3368" s="2573" t="str">
        <f t="shared" si="101"/>
        <v/>
      </c>
      <c r="E3368" s="4898"/>
      <c r="G3368" s="4889" t="s">
        <v>9769</v>
      </c>
      <c r="H3368" s="4890"/>
      <c r="I3368" s="3781" t="s">
        <v>9768</v>
      </c>
      <c r="J3368" s="3781"/>
      <c r="K3368" s="3781"/>
      <c r="L3368" s="3781"/>
      <c r="M3368" s="3781"/>
      <c r="N3368" s="3781"/>
      <c r="O3368" s="3781"/>
      <c r="P3368" s="3781"/>
      <c r="Q3368" s="3781"/>
      <c r="R3368" s="3781"/>
      <c r="S3368" s="3781"/>
      <c r="T3368" s="3781"/>
      <c r="U3368" s="3781"/>
      <c r="V3368" s="3781"/>
      <c r="W3368" s="3781"/>
      <c r="X3368" s="3781"/>
      <c r="Y3368" s="3781"/>
      <c r="Z3368" s="3781"/>
      <c r="AA3368" s="3781"/>
      <c r="AB3368" s="3963"/>
    </row>
    <row r="3369" spans="2:30" ht="12.75" customHeight="1" x14ac:dyDescent="0.2">
      <c r="B3369" s="2680" t="str">
        <f t="shared" si="100"/>
        <v/>
      </c>
      <c r="C3369" s="1906" t="str">
        <f>IF(Combate!AH15=" ","",Combate!AH15)</f>
        <v/>
      </c>
      <c r="D3369" s="2573" t="str">
        <f t="shared" si="101"/>
        <v/>
      </c>
      <c r="E3369" s="4898"/>
      <c r="G3369" s="2583" t="s">
        <v>2218</v>
      </c>
      <c r="H3369" s="2578" t="s">
        <v>9780</v>
      </c>
      <c r="I3369" s="4863" t="str">
        <f>IF(ISNA(VLOOKUP(A1,$AC$3372:$AD$3399,2,FALSE)),"",VLOOKUP(A1,$AC$3372:$AD$3399,2,FALSE))</f>
        <v/>
      </c>
      <c r="J3369" s="4863"/>
      <c r="K3369" s="4863" t="str">
        <f>IF(ISNA(VLOOKUP(B1,$AC$3372:$AD$3399,2,FALSE)),"",VLOOKUP(B1,$AC$3372:$AD$3399,2,FALSE))</f>
        <v/>
      </c>
      <c r="L3369" s="4863"/>
      <c r="M3369" s="4863" t="str">
        <f>IF(ISNA(VLOOKUP(C1,$AC$3372:$AD$3399,2,FALSE)),"",VLOOKUP(C1,$AC$3372:$AD$3399,2,FALSE))</f>
        <v/>
      </c>
      <c r="N3369" s="4863"/>
      <c r="O3369" s="4863" t="str">
        <f>IF(ISNA(VLOOKUP(D1,$AC$3372:$AD$3399,2,FALSE)),"",VLOOKUP(D1,$AC$3372:$AD$3399,2,FALSE))</f>
        <v/>
      </c>
      <c r="P3369" s="4863"/>
      <c r="Q3369" s="4863" t="str">
        <f>IF(ISNA(VLOOKUP(E1,$AC$3372:$AD$3399,2,FALSE)),"",VLOOKUP(E1,$AC$3372:$AD$3399,2,FALSE))</f>
        <v/>
      </c>
      <c r="R3369" s="4863"/>
      <c r="S3369" s="4863" t="str">
        <f>IF(ISNA(VLOOKUP(F1,$AC$3372:$AD$3399,2,FALSE)),"",VLOOKUP(F1,$AC$3372:$AD$3399,2,FALSE))</f>
        <v/>
      </c>
      <c r="T3369" s="4863"/>
      <c r="U3369" s="4863" t="str">
        <f>IF(ISNA(VLOOKUP(G1,$AC$3372:$AD$3399,2,FALSE)),"",VLOOKUP(G1,$AC$3372:$AD$3399,2,FALSE))</f>
        <v/>
      </c>
      <c r="V3369" s="4863"/>
      <c r="W3369" s="4863" t="str">
        <f>IF(ISNA(VLOOKUP(H1,$AC$3372:$AD$3399,2,FALSE)),"",VLOOKUP(H1,$AC$3372:$AD$3399,2,FALSE))</f>
        <v/>
      </c>
      <c r="X3369" s="4863"/>
      <c r="Y3369" s="4863" t="str">
        <f>IF(ISNA(VLOOKUP(I1,$AC$3372:$AD$3399,2,FALSE)),"",VLOOKUP(I1,$AC$3372:$AD$3399,2,FALSE))</f>
        <v/>
      </c>
      <c r="Z3369" s="4863"/>
      <c r="AA3369" s="4863" t="str">
        <f>IF(ISNA(VLOOKUP(J1,$AC$3372:$AD$3399,2,FALSE)),"",VLOOKUP(J1,$AC$3372:$AD$3399,2,FALSE))</f>
        <v/>
      </c>
      <c r="AB3369" s="4902"/>
    </row>
    <row r="3370" spans="2:30" ht="12.75" customHeight="1" x14ac:dyDescent="0.2">
      <c r="B3370" s="2680" t="str">
        <f t="shared" si="100"/>
        <v/>
      </c>
      <c r="C3370" s="2553" t="str">
        <f>IF(Combate!AH16=" ","",Combate!AH16)</f>
        <v/>
      </c>
      <c r="D3370" s="2573" t="str">
        <f t="shared" si="101"/>
        <v/>
      </c>
      <c r="E3370" s="4898"/>
      <c r="G3370" s="2530" t="str">
        <f>IF(ISNA(VLOOKUP(A1,Principal!$S$42:$AH$69,10,FALSE)),"",IF(VLOOKUP(A1,Principal!$S$42:$AH$69,10,FALSE)=0,"",VLOOKUP(A1,Principal!$S$42:$AH$69,10,FALSE)))</f>
        <v>Armadura física: TA 8</v>
      </c>
      <c r="H3370" s="555" t="str">
        <f>G3370</f>
        <v>Armadura física: TA 8</v>
      </c>
      <c r="I3370" s="2578" t="s">
        <v>2218</v>
      </c>
      <c r="J3370" s="2578" t="s">
        <v>9780</v>
      </c>
      <c r="K3370" s="2578" t="s">
        <v>2218</v>
      </c>
      <c r="L3370" s="2578" t="s">
        <v>9780</v>
      </c>
      <c r="M3370" s="2578" t="s">
        <v>2218</v>
      </c>
      <c r="N3370" s="2578" t="s">
        <v>9780</v>
      </c>
      <c r="O3370" s="2578" t="s">
        <v>2218</v>
      </c>
      <c r="P3370" s="2578" t="s">
        <v>9780</v>
      </c>
      <c r="Q3370" s="2578" t="s">
        <v>2218</v>
      </c>
      <c r="R3370" s="2578" t="s">
        <v>9780</v>
      </c>
      <c r="S3370" s="2578" t="s">
        <v>2218</v>
      </c>
      <c r="T3370" s="2578" t="s">
        <v>9780</v>
      </c>
      <c r="U3370" s="2578" t="s">
        <v>2218</v>
      </c>
      <c r="V3370" s="2578" t="s">
        <v>9780</v>
      </c>
      <c r="W3370" s="2578" t="s">
        <v>2218</v>
      </c>
      <c r="X3370" s="2578" t="s">
        <v>9780</v>
      </c>
      <c r="Y3370" s="2578" t="s">
        <v>2218</v>
      </c>
      <c r="Z3370" s="2578" t="s">
        <v>9780</v>
      </c>
      <c r="AA3370" s="2578" t="s">
        <v>2218</v>
      </c>
      <c r="AB3370" s="2584" t="s">
        <v>9780</v>
      </c>
      <c r="AC3370" s="4864" t="s">
        <v>9771</v>
      </c>
      <c r="AD3370" s="4865"/>
    </row>
    <row r="3371" spans="2:30" ht="12.75" customHeight="1" x14ac:dyDescent="0.2">
      <c r="B3371" s="2680" t="str">
        <f t="shared" ref="B3371:B3380" si="102">IF(C3371="","",COUNTIF($C$3365:$C$3407,"&lt;="&amp;C3371)-SUMPRODUCT(--($C$3365:$C$3407="")))</f>
        <v/>
      </c>
      <c r="C3371" s="1906" t="str">
        <f>Combate!X19</f>
        <v/>
      </c>
      <c r="D3371" s="2573" t="str">
        <f t="shared" si="101"/>
        <v/>
      </c>
      <c r="E3371" s="4898"/>
      <c r="G3371" s="2530" t="str">
        <f>IF(ISNA(VLOOKUP(A2,Principal!$S$42:$AH$69,10,FALSE)),"",IF(VLOOKUP(A2,Principal!$S$42:$AH$69,10,FALSE)=0,"",VLOOKUP(A2,Principal!$S$42:$AH$69,10,FALSE)))</f>
        <v/>
      </c>
      <c r="H3371" s="555" t="str">
        <f>IF(G3371="","",", "&amp;G3371)</f>
        <v/>
      </c>
      <c r="I3371" s="2580" t="str">
        <f>IF(ISNA(VLOOKUP(I$3369&amp;$A1,Principal!$U$42:$AH$69,8,FALSE)),"",VLOOKUP(I$3369&amp;$A1,Principal!$U$42:$AH$69,8,FALSE))</f>
        <v/>
      </c>
      <c r="J3371" s="2579" t="str">
        <f>I3371</f>
        <v/>
      </c>
      <c r="K3371" s="2580" t="str">
        <f>IF(ISNA(VLOOKUP(K$3369&amp;$A1,Principal!$U$42:$AH$69,8,FALSE)),"",VLOOKUP(K$3369&amp;$A1,Principal!$U$42:$AH$69,8,FALSE))</f>
        <v/>
      </c>
      <c r="L3371" s="2579" t="str">
        <f>K3371</f>
        <v/>
      </c>
      <c r="M3371" s="2580" t="str">
        <f>IF(ISNA(VLOOKUP(M$3369&amp;$A1,Principal!$U$42:$AH$69,8,FALSE)),"",VLOOKUP(M$3369&amp;$A1,Principal!$U$42:$AH$69,8,FALSE))</f>
        <v/>
      </c>
      <c r="N3371" s="2579" t="str">
        <f>M3371</f>
        <v/>
      </c>
      <c r="O3371" s="2580" t="str">
        <f>IF(ISNA(VLOOKUP(O$3369&amp;$A1,Principal!$U$42:$AH$69,8,FALSE)),"",VLOOKUP(O$3369&amp;$A1,Principal!$U$42:$AH$69,8,FALSE))</f>
        <v/>
      </c>
      <c r="P3371" s="2579" t="str">
        <f>O3371</f>
        <v/>
      </c>
      <c r="Q3371" s="2580" t="str">
        <f>IF(ISNA(VLOOKUP(Q$3369&amp;$A1,Principal!$U$42:$AH$69,8,FALSE)),"",VLOOKUP(Q$3369&amp;$A1,Principal!$U$42:$AH$69,8,FALSE))</f>
        <v/>
      </c>
      <c r="R3371" s="2579" t="str">
        <f>Q3371</f>
        <v/>
      </c>
      <c r="S3371" s="2580" t="str">
        <f>IF(ISNA(VLOOKUP(S$3369&amp;$A1,Principal!$U$42:$AH$69,8,FALSE)),"",VLOOKUP(S$3369&amp;$A1,Principal!$U$42:$AH$69,8,FALSE))</f>
        <v/>
      </c>
      <c r="T3371" s="2579" t="str">
        <f>S3371</f>
        <v/>
      </c>
      <c r="U3371" s="2580" t="str">
        <f>IF(ISNA(VLOOKUP(U$3369&amp;$A1,Principal!$U$42:$AH$69,8,FALSE)),"",VLOOKUP(U$3369&amp;$A1,Principal!$U$42:$AH$69,8,FALSE))</f>
        <v/>
      </c>
      <c r="V3371" s="2579" t="str">
        <f>U3371</f>
        <v/>
      </c>
      <c r="W3371" s="2580" t="str">
        <f>IF(ISNA(VLOOKUP(W$3369&amp;$A1,Principal!$U$42:$AH$69,8,FALSE)),"",VLOOKUP(W$3369&amp;$A1,Principal!$U$42:$AH$69,8,FALSE))</f>
        <v/>
      </c>
      <c r="X3371" s="2579" t="str">
        <f>W3371</f>
        <v/>
      </c>
      <c r="Y3371" s="2580" t="str">
        <f>IF(ISNA(VLOOKUP(Y$3369&amp;$A1,Principal!$U$42:$AH$69,8,FALSE)),"",VLOOKUP(Y$3369&amp;$A1,Principal!$U$42:$AH$69,8,FALSE))</f>
        <v/>
      </c>
      <c r="Z3371" s="2579" t="str">
        <f>Y3371</f>
        <v/>
      </c>
      <c r="AA3371" s="2580" t="str">
        <f>IF(ISNA(VLOOKUP(AA$3369&amp;$A1,Principal!$U$42:$AH$69,8,FALSE)),"",VLOOKUP(AA$3369&amp;$A1,Principal!$U$42:$AH$69,8,FALSE))</f>
        <v/>
      </c>
      <c r="AB3371" s="2585" t="str">
        <f>AA3371</f>
        <v/>
      </c>
      <c r="AC3371" s="2582" t="s">
        <v>3750</v>
      </c>
      <c r="AD3371" s="2587" t="s">
        <v>9772</v>
      </c>
    </row>
    <row r="3372" spans="2:30" ht="12.75" customHeight="1" x14ac:dyDescent="0.2">
      <c r="B3372" s="2680" t="str">
        <f t="shared" si="102"/>
        <v/>
      </c>
      <c r="C3372" s="1906" t="str">
        <f>Combate!X20</f>
        <v/>
      </c>
      <c r="D3372" s="2573" t="str">
        <f t="shared" si="101"/>
        <v/>
      </c>
      <c r="E3372" s="4898"/>
      <c r="G3372" s="2530" t="str">
        <f>IF(ISNA(VLOOKUP(A3,Principal!$S$42:$AH$69,10,FALSE)),"",IF(VLOOKUP(A3,Principal!$S$42:$AH$69,10,FALSE)=0,"",VLOOKUP(A3,Principal!$S$42:$AH$69,10,FALSE)))</f>
        <v/>
      </c>
      <c r="H3372" s="555" t="str">
        <f t="shared" ref="H3372:H3399" si="103">IF(G3372="","",", "&amp;G3372)</f>
        <v/>
      </c>
      <c r="I3372" s="2580" t="str">
        <f>IF(ISNA(VLOOKUP(I$3369&amp;$A2,Principal!$U$42:$AH$69,8,FALSE)),"",VLOOKUP(I$3369&amp;$A2,Principal!$U$42:$AH$69,8,FALSE))</f>
        <v/>
      </c>
      <c r="J3372" s="555" t="str">
        <f>IF(I3372="","",", "&amp;I3372)</f>
        <v/>
      </c>
      <c r="K3372" s="2580" t="str">
        <f>IF(ISNA(VLOOKUP(K$3369&amp;$A2,Principal!$U$42:$AH$69,8,FALSE)),"",VLOOKUP(K$3369&amp;$A2,Principal!$U$42:$AH$69,8,FALSE))</f>
        <v/>
      </c>
      <c r="L3372" s="555" t="str">
        <f>IF(K3372="","",", "&amp;K3372)</f>
        <v/>
      </c>
      <c r="M3372" s="2580" t="str">
        <f>IF(ISNA(VLOOKUP(M$3369&amp;$A2,Principal!$U$42:$AH$69,8,FALSE)),"",VLOOKUP(M$3369&amp;$A2,Principal!$U$42:$AH$69,8,FALSE))</f>
        <v/>
      </c>
      <c r="N3372" s="555" t="str">
        <f>IF(M3372="","",", "&amp;M3372)</f>
        <v/>
      </c>
      <c r="O3372" s="2580" t="str">
        <f>IF(ISNA(VLOOKUP(O$3369&amp;$A2,Principal!$U$42:$AH$69,8,FALSE)),"",VLOOKUP(O$3369&amp;$A2,Principal!$U$42:$AH$69,8,FALSE))</f>
        <v/>
      </c>
      <c r="P3372" s="555" t="str">
        <f>IF(O3372="","",", "&amp;O3372)</f>
        <v/>
      </c>
      <c r="Q3372" s="2580" t="str">
        <f>IF(ISNA(VLOOKUP(Q$3369&amp;$A2,Principal!$U$42:$AH$69,8,FALSE)),"",VLOOKUP(Q$3369&amp;$A2,Principal!$U$42:$AH$69,8,FALSE))</f>
        <v/>
      </c>
      <c r="R3372" s="555" t="str">
        <f>IF(Q3372="","",", "&amp;Q3372)</f>
        <v/>
      </c>
      <c r="S3372" s="2580" t="str">
        <f>IF(ISNA(VLOOKUP(S$3369&amp;$A2,Principal!$U$42:$AH$69,8,FALSE)),"",VLOOKUP(S$3369&amp;$A2,Principal!$U$42:$AH$69,8,FALSE))</f>
        <v/>
      </c>
      <c r="T3372" s="555" t="str">
        <f>IF(S3372="","",", "&amp;S3372)</f>
        <v/>
      </c>
      <c r="U3372" s="2580" t="str">
        <f>IF(ISNA(VLOOKUP(U$3369&amp;$A2,Principal!$U$42:$AH$69,8,FALSE)),"",VLOOKUP(U$3369&amp;$A2,Principal!$U$42:$AH$69,8,FALSE))</f>
        <v/>
      </c>
      <c r="V3372" s="555" t="str">
        <f>IF(U3372="","",", "&amp;U3372)</f>
        <v/>
      </c>
      <c r="W3372" s="2580" t="str">
        <f>IF(ISNA(VLOOKUP(W$3369&amp;$A2,Principal!$U$42:$AH$69,8,FALSE)),"",VLOOKUP(W$3369&amp;$A2,Principal!$U$42:$AH$69,8,FALSE))</f>
        <v/>
      </c>
      <c r="X3372" s="555" t="str">
        <f>IF(W3372="","",", "&amp;W3372)</f>
        <v/>
      </c>
      <c r="Y3372" s="2580" t="str">
        <f>IF(ISNA(VLOOKUP(Y$3369&amp;$A2,Principal!$U$42:$AH$69,8,FALSE)),"",VLOOKUP(Y$3369&amp;$A2,Principal!$U$42:$AH$69,8,FALSE))</f>
        <v/>
      </c>
      <c r="Z3372" s="555" t="str">
        <f>IF(Y3372="","",", "&amp;Y3372)</f>
        <v/>
      </c>
      <c r="AA3372" s="2580" t="str">
        <f>IF(ISNA(VLOOKUP(AA$3369&amp;$A2,Principal!$U$42:$AH$69,8,FALSE)),"",VLOOKUP(AA$3369&amp;$A2,Principal!$U$42:$AH$69,8,FALSE))</f>
        <v/>
      </c>
      <c r="AB3372" s="2586" t="str">
        <f>IF(AA3372="","",", "&amp;AA3372)</f>
        <v/>
      </c>
      <c r="AC3372" s="2550" t="str">
        <f>IF(AD3372=0,"",MAX($AC$3371:AC3371)+1)</f>
        <v/>
      </c>
      <c r="AD3372" s="2588">
        <f>Principal!V42</f>
        <v>0</v>
      </c>
    </row>
    <row r="3373" spans="2:30" ht="12.75" customHeight="1" x14ac:dyDescent="0.2">
      <c r="B3373" s="2680" t="str">
        <f t="shared" si="102"/>
        <v/>
      </c>
      <c r="C3373" s="1906" t="str">
        <f>Combate!X21</f>
        <v/>
      </c>
      <c r="D3373" s="2573" t="str">
        <f t="shared" si="101"/>
        <v/>
      </c>
      <c r="E3373" s="4898"/>
      <c r="G3373" s="2530" t="str">
        <f>IF(ISNA(VLOOKUP(A4,Principal!$S$42:$AH$69,10,FALSE)),"",IF(VLOOKUP(A4,Principal!$S$42:$AH$69,10,FALSE)=0,"",VLOOKUP(A4,Principal!$S$42:$AH$69,10,FALSE)))</f>
        <v/>
      </c>
      <c r="H3373" s="555" t="str">
        <f t="shared" si="103"/>
        <v/>
      </c>
      <c r="I3373" s="2580" t="str">
        <f>IF(ISNA(VLOOKUP(I$3369&amp;$A3,Principal!$U$42:$AH$69,8,FALSE)),"",VLOOKUP(I$3369&amp;$A3,Principal!$U$42:$AH$69,8,FALSE))</f>
        <v/>
      </c>
      <c r="J3373" s="555" t="str">
        <f t="shared" ref="J3373:L3399" si="104">IF(I3373="","",", "&amp;I3373)</f>
        <v/>
      </c>
      <c r="K3373" s="2580" t="str">
        <f>IF(ISNA(VLOOKUP(K$3369&amp;$A3,Principal!$U$42:$AH$69,8,FALSE)),"",VLOOKUP(K$3369&amp;$A3,Principal!$U$42:$AH$69,8,FALSE))</f>
        <v/>
      </c>
      <c r="L3373" s="555" t="str">
        <f t="shared" si="104"/>
        <v/>
      </c>
      <c r="M3373" s="2580" t="str">
        <f>IF(ISNA(VLOOKUP(M$3369&amp;$A3,Principal!$U$42:$AH$69,8,FALSE)),"",VLOOKUP(M$3369&amp;$A3,Principal!$U$42:$AH$69,8,FALSE))</f>
        <v/>
      </c>
      <c r="N3373" s="555" t="str">
        <f t="shared" ref="N3373" si="105">IF(M3373="","",", "&amp;M3373)</f>
        <v/>
      </c>
      <c r="O3373" s="2580" t="str">
        <f>IF(ISNA(VLOOKUP(O$3369&amp;$A3,Principal!$U$42:$AH$69,8,FALSE)),"",VLOOKUP(O$3369&amp;$A3,Principal!$U$42:$AH$69,8,FALSE))</f>
        <v/>
      </c>
      <c r="P3373" s="555" t="str">
        <f t="shared" ref="P3373" si="106">IF(O3373="","",", "&amp;O3373)</f>
        <v/>
      </c>
      <c r="Q3373" s="2580" t="str">
        <f>IF(ISNA(VLOOKUP(Q$3369&amp;$A3,Principal!$U$42:$AH$69,8,FALSE)),"",VLOOKUP(Q$3369&amp;$A3,Principal!$U$42:$AH$69,8,FALSE))</f>
        <v/>
      </c>
      <c r="R3373" s="555" t="str">
        <f t="shared" ref="R3373" si="107">IF(Q3373="","",", "&amp;Q3373)</f>
        <v/>
      </c>
      <c r="S3373" s="2580" t="str">
        <f>IF(ISNA(VLOOKUP(S$3369&amp;$A3,Principal!$U$42:$AH$69,8,FALSE)),"",VLOOKUP(S$3369&amp;$A3,Principal!$U$42:$AH$69,8,FALSE))</f>
        <v/>
      </c>
      <c r="T3373" s="555" t="str">
        <f t="shared" ref="T3373" si="108">IF(S3373="","",", "&amp;S3373)</f>
        <v/>
      </c>
      <c r="U3373" s="2580" t="str">
        <f>IF(ISNA(VLOOKUP(U$3369&amp;$A3,Principal!$U$42:$AH$69,8,FALSE)),"",VLOOKUP(U$3369&amp;$A3,Principal!$U$42:$AH$69,8,FALSE))</f>
        <v/>
      </c>
      <c r="V3373" s="555" t="str">
        <f t="shared" ref="V3373" si="109">IF(U3373="","",", "&amp;U3373)</f>
        <v/>
      </c>
      <c r="W3373" s="2580" t="str">
        <f>IF(ISNA(VLOOKUP(W$3369&amp;$A3,Principal!$U$42:$AH$69,8,FALSE)),"",VLOOKUP(W$3369&amp;$A3,Principal!$U$42:$AH$69,8,FALSE))</f>
        <v/>
      </c>
      <c r="X3373" s="555" t="str">
        <f t="shared" ref="X3373" si="110">IF(W3373="","",", "&amp;W3373)</f>
        <v/>
      </c>
      <c r="Y3373" s="2580" t="str">
        <f>IF(ISNA(VLOOKUP(Y$3369&amp;$A3,Principal!$U$42:$AH$69,8,FALSE)),"",VLOOKUP(Y$3369&amp;$A3,Principal!$U$42:$AH$69,8,FALSE))</f>
        <v/>
      </c>
      <c r="Z3373" s="555" t="str">
        <f t="shared" ref="Z3373" si="111">IF(Y3373="","",", "&amp;Y3373)</f>
        <v/>
      </c>
      <c r="AA3373" s="2580" t="str">
        <f>IF(ISNA(VLOOKUP(AA$3369&amp;$A3,Principal!$U$42:$AH$69,8,FALSE)),"",VLOOKUP(AA$3369&amp;$A3,Principal!$U$42:$AH$69,8,FALSE))</f>
        <v/>
      </c>
      <c r="AB3373" s="2586" t="str">
        <f t="shared" ref="AB3373" si="112">IF(AA3373="","",", "&amp;AA3373)</f>
        <v/>
      </c>
      <c r="AC3373" s="2550" t="str">
        <f>IF(OR(AD3373=0,ISNUMBER(MATCH(AD3373,$AD$3372:$AD3372,0))),"",MAX($AC$3371:AC3372)+1)</f>
        <v/>
      </c>
      <c r="AD3373" s="2588">
        <f>Principal!V43</f>
        <v>0</v>
      </c>
    </row>
    <row r="3374" spans="2:30" ht="12.75" customHeight="1" x14ac:dyDescent="0.2">
      <c r="B3374" s="2680" t="str">
        <f t="shared" si="102"/>
        <v/>
      </c>
      <c r="C3374" s="1906" t="str">
        <f>Combate!X22</f>
        <v/>
      </c>
      <c r="D3374" s="2573" t="str">
        <f t="shared" si="101"/>
        <v/>
      </c>
      <c r="E3374" s="4898"/>
      <c r="G3374" s="2530" t="str">
        <f>IF(ISNA(VLOOKUP(A5,Principal!$S$42:$AH$69,10,FALSE)),"",IF(VLOOKUP(A5,Principal!$S$42:$AH$69,10,FALSE)=0,"",VLOOKUP(A5,Principal!$S$42:$AH$69,10,FALSE)))</f>
        <v/>
      </c>
      <c r="H3374" s="555" t="str">
        <f t="shared" si="103"/>
        <v/>
      </c>
      <c r="I3374" s="2580" t="str">
        <f>IF(ISNA(VLOOKUP(I$3369&amp;$A4,Principal!$U$42:$AH$69,8,FALSE)),"",VLOOKUP(I$3369&amp;$A4,Principal!$U$42:$AH$69,8,FALSE))</f>
        <v/>
      </c>
      <c r="J3374" s="555" t="str">
        <f t="shared" si="104"/>
        <v/>
      </c>
      <c r="K3374" s="2580" t="str">
        <f>IF(ISNA(VLOOKUP(K$3369&amp;$A4,Principal!$U$42:$AH$69,8,FALSE)),"",VLOOKUP(K$3369&amp;$A4,Principal!$U$42:$AH$69,8,FALSE))</f>
        <v/>
      </c>
      <c r="L3374" s="555" t="str">
        <f t="shared" si="104"/>
        <v/>
      </c>
      <c r="M3374" s="2580" t="str">
        <f>IF(ISNA(VLOOKUP(M$3369&amp;$A4,Principal!$U$42:$AH$69,8,FALSE)),"",VLOOKUP(M$3369&amp;$A4,Principal!$U$42:$AH$69,8,FALSE))</f>
        <v/>
      </c>
      <c r="N3374" s="555" t="str">
        <f t="shared" ref="N3374" si="113">IF(M3374="","",", "&amp;M3374)</f>
        <v/>
      </c>
      <c r="O3374" s="2580" t="str">
        <f>IF(ISNA(VLOOKUP(O$3369&amp;$A4,Principal!$U$42:$AH$69,8,FALSE)),"",VLOOKUP(O$3369&amp;$A4,Principal!$U$42:$AH$69,8,FALSE))</f>
        <v/>
      </c>
      <c r="P3374" s="555" t="str">
        <f t="shared" ref="P3374" si="114">IF(O3374="","",", "&amp;O3374)</f>
        <v/>
      </c>
      <c r="Q3374" s="2580" t="str">
        <f>IF(ISNA(VLOOKUP(Q$3369&amp;$A4,Principal!$U$42:$AH$69,8,FALSE)),"",VLOOKUP(Q$3369&amp;$A4,Principal!$U$42:$AH$69,8,FALSE))</f>
        <v/>
      </c>
      <c r="R3374" s="555" t="str">
        <f t="shared" ref="R3374" si="115">IF(Q3374="","",", "&amp;Q3374)</f>
        <v/>
      </c>
      <c r="S3374" s="2580" t="str">
        <f>IF(ISNA(VLOOKUP(S$3369&amp;$A4,Principal!$U$42:$AH$69,8,FALSE)),"",VLOOKUP(S$3369&amp;$A4,Principal!$U$42:$AH$69,8,FALSE))</f>
        <v/>
      </c>
      <c r="T3374" s="555" t="str">
        <f t="shared" ref="T3374" si="116">IF(S3374="","",", "&amp;S3374)</f>
        <v/>
      </c>
      <c r="U3374" s="2580" t="str">
        <f>IF(ISNA(VLOOKUP(U$3369&amp;$A4,Principal!$U$42:$AH$69,8,FALSE)),"",VLOOKUP(U$3369&amp;$A4,Principal!$U$42:$AH$69,8,FALSE))</f>
        <v/>
      </c>
      <c r="V3374" s="555" t="str">
        <f t="shared" ref="V3374" si="117">IF(U3374="","",", "&amp;U3374)</f>
        <v/>
      </c>
      <c r="W3374" s="2580" t="str">
        <f>IF(ISNA(VLOOKUP(W$3369&amp;$A4,Principal!$U$42:$AH$69,8,FALSE)),"",VLOOKUP(W$3369&amp;$A4,Principal!$U$42:$AH$69,8,FALSE))</f>
        <v/>
      </c>
      <c r="X3374" s="555" t="str">
        <f t="shared" ref="X3374" si="118">IF(W3374="","",", "&amp;W3374)</f>
        <v/>
      </c>
      <c r="Y3374" s="2580" t="str">
        <f>IF(ISNA(VLOOKUP(Y$3369&amp;$A4,Principal!$U$42:$AH$69,8,FALSE)),"",VLOOKUP(Y$3369&amp;$A4,Principal!$U$42:$AH$69,8,FALSE))</f>
        <v/>
      </c>
      <c r="Z3374" s="555" t="str">
        <f t="shared" ref="Z3374" si="119">IF(Y3374="","",", "&amp;Y3374)</f>
        <v/>
      </c>
      <c r="AA3374" s="2580" t="str">
        <f>IF(ISNA(VLOOKUP(AA$3369&amp;$A4,Principal!$U$42:$AH$69,8,FALSE)),"",VLOOKUP(AA$3369&amp;$A4,Principal!$U$42:$AH$69,8,FALSE))</f>
        <v/>
      </c>
      <c r="AB3374" s="2586" t="str">
        <f t="shared" ref="AB3374" si="120">IF(AA3374="","",", "&amp;AA3374)</f>
        <v/>
      </c>
      <c r="AC3374" s="2550" t="str">
        <f>IF(OR(AD3374=0,ISNUMBER(MATCH(AD3374,$AD$3372:$AD3373,0))),"",MAX($AC$3371:AC3373)+1)</f>
        <v/>
      </c>
      <c r="AD3374" s="2588">
        <f>Principal!V44</f>
        <v>0</v>
      </c>
    </row>
    <row r="3375" spans="2:30" ht="12.75" customHeight="1" x14ac:dyDescent="0.2">
      <c r="B3375" s="2680" t="str">
        <f t="shared" si="102"/>
        <v/>
      </c>
      <c r="C3375" s="1906" t="str">
        <f>Combate!X23</f>
        <v/>
      </c>
      <c r="D3375" s="2573" t="str">
        <f t="shared" si="101"/>
        <v/>
      </c>
      <c r="E3375" s="4898"/>
      <c r="G3375" s="2530" t="str">
        <f>IF(ISNA(VLOOKUP(A6,Principal!$S$42:$AH$69,10,FALSE)),"",IF(VLOOKUP(A6,Principal!$S$42:$AH$69,10,FALSE)=0,"",VLOOKUP(A6,Principal!$S$42:$AH$69,10,FALSE)))</f>
        <v/>
      </c>
      <c r="H3375" s="555" t="str">
        <f t="shared" si="103"/>
        <v/>
      </c>
      <c r="I3375" s="2580" t="str">
        <f>IF(ISNA(VLOOKUP(I$3369&amp;$A5,Principal!$U$42:$AH$69,8,FALSE)),"",VLOOKUP(I$3369&amp;$A5,Principal!$U$42:$AH$69,8,FALSE))</f>
        <v/>
      </c>
      <c r="J3375" s="555" t="str">
        <f t="shared" si="104"/>
        <v/>
      </c>
      <c r="K3375" s="2580" t="str">
        <f>IF(ISNA(VLOOKUP(K$3369&amp;$A5,Principal!$U$42:$AH$69,8,FALSE)),"",VLOOKUP(K$3369&amp;$A5,Principal!$U$42:$AH$69,8,FALSE))</f>
        <v/>
      </c>
      <c r="L3375" s="555" t="str">
        <f t="shared" si="104"/>
        <v/>
      </c>
      <c r="M3375" s="2580" t="str">
        <f>IF(ISNA(VLOOKUP(M$3369&amp;$A5,Principal!$U$42:$AH$69,8,FALSE)),"",VLOOKUP(M$3369&amp;$A5,Principal!$U$42:$AH$69,8,FALSE))</f>
        <v/>
      </c>
      <c r="N3375" s="555" t="str">
        <f t="shared" ref="N3375" si="121">IF(M3375="","",", "&amp;M3375)</f>
        <v/>
      </c>
      <c r="O3375" s="2580" t="str">
        <f>IF(ISNA(VLOOKUP(O$3369&amp;$A5,Principal!$U$42:$AH$69,8,FALSE)),"",VLOOKUP(O$3369&amp;$A5,Principal!$U$42:$AH$69,8,FALSE))</f>
        <v/>
      </c>
      <c r="P3375" s="555" t="str">
        <f t="shared" ref="P3375" si="122">IF(O3375="","",", "&amp;O3375)</f>
        <v/>
      </c>
      <c r="Q3375" s="2580" t="str">
        <f>IF(ISNA(VLOOKUP(Q$3369&amp;$A5,Principal!$U$42:$AH$69,8,FALSE)),"",VLOOKUP(Q$3369&amp;$A5,Principal!$U$42:$AH$69,8,FALSE))</f>
        <v/>
      </c>
      <c r="R3375" s="555" t="str">
        <f t="shared" ref="R3375" si="123">IF(Q3375="","",", "&amp;Q3375)</f>
        <v/>
      </c>
      <c r="S3375" s="2580" t="str">
        <f>IF(ISNA(VLOOKUP(S$3369&amp;$A5,Principal!$U$42:$AH$69,8,FALSE)),"",VLOOKUP(S$3369&amp;$A5,Principal!$U$42:$AH$69,8,FALSE))</f>
        <v/>
      </c>
      <c r="T3375" s="555" t="str">
        <f t="shared" ref="T3375" si="124">IF(S3375="","",", "&amp;S3375)</f>
        <v/>
      </c>
      <c r="U3375" s="2580" t="str">
        <f>IF(ISNA(VLOOKUP(U$3369&amp;$A5,Principal!$U$42:$AH$69,8,FALSE)),"",VLOOKUP(U$3369&amp;$A5,Principal!$U$42:$AH$69,8,FALSE))</f>
        <v/>
      </c>
      <c r="V3375" s="555" t="str">
        <f t="shared" ref="V3375" si="125">IF(U3375="","",", "&amp;U3375)</f>
        <v/>
      </c>
      <c r="W3375" s="2580" t="str">
        <f>IF(ISNA(VLOOKUP(W$3369&amp;$A5,Principal!$U$42:$AH$69,8,FALSE)),"",VLOOKUP(W$3369&amp;$A5,Principal!$U$42:$AH$69,8,FALSE))</f>
        <v/>
      </c>
      <c r="X3375" s="555" t="str">
        <f t="shared" ref="X3375" si="126">IF(W3375="","",", "&amp;W3375)</f>
        <v/>
      </c>
      <c r="Y3375" s="2580" t="str">
        <f>IF(ISNA(VLOOKUP(Y$3369&amp;$A5,Principal!$U$42:$AH$69,8,FALSE)),"",VLOOKUP(Y$3369&amp;$A5,Principal!$U$42:$AH$69,8,FALSE))</f>
        <v/>
      </c>
      <c r="Z3375" s="555" t="str">
        <f t="shared" ref="Z3375" si="127">IF(Y3375="","",", "&amp;Y3375)</f>
        <v/>
      </c>
      <c r="AA3375" s="2580" t="str">
        <f>IF(ISNA(VLOOKUP(AA$3369&amp;$A5,Principal!$U$42:$AH$69,8,FALSE)),"",VLOOKUP(AA$3369&amp;$A5,Principal!$U$42:$AH$69,8,FALSE))</f>
        <v/>
      </c>
      <c r="AB3375" s="2586" t="str">
        <f t="shared" ref="AB3375" si="128">IF(AA3375="","",", "&amp;AA3375)</f>
        <v/>
      </c>
      <c r="AC3375" s="2550" t="str">
        <f>IF(OR(AD3375=0,ISNUMBER(MATCH(AD3375,$AD$3372:$AD3374,0))),"",MAX($AC$3371:AC3374)+1)</f>
        <v/>
      </c>
      <c r="AD3375" s="2588">
        <f>Principal!V45</f>
        <v>0</v>
      </c>
    </row>
    <row r="3376" spans="2:30" ht="12.75" customHeight="1" x14ac:dyDescent="0.2">
      <c r="B3376" s="2680" t="str">
        <f t="shared" si="102"/>
        <v/>
      </c>
      <c r="C3376" s="1906" t="str">
        <f>Combate!X24</f>
        <v/>
      </c>
      <c r="D3376" s="2573" t="str">
        <f t="shared" si="101"/>
        <v/>
      </c>
      <c r="E3376" s="4898"/>
      <c r="G3376" s="2530" t="str">
        <f>IF(ISNA(VLOOKUP(A7,Principal!$S$42:$AH$69,10,FALSE)),"",IF(VLOOKUP(A7,Principal!$S$42:$AH$69,10,FALSE)=0,"",VLOOKUP(A7,Principal!$S$42:$AH$69,10,FALSE)))</f>
        <v/>
      </c>
      <c r="H3376" s="555" t="str">
        <f t="shared" si="103"/>
        <v/>
      </c>
      <c r="I3376" s="2580" t="str">
        <f>IF(ISNA(VLOOKUP(I$3369&amp;$A6,Principal!$U$42:$AH$69,8,FALSE)),"",VLOOKUP(I$3369&amp;$A6,Principal!$U$42:$AH$69,8,FALSE))</f>
        <v/>
      </c>
      <c r="J3376" s="555" t="str">
        <f t="shared" si="104"/>
        <v/>
      </c>
      <c r="K3376" s="2580" t="str">
        <f>IF(ISNA(VLOOKUP(K$3369&amp;$A6,Principal!$U$42:$AH$69,8,FALSE)),"",VLOOKUP(K$3369&amp;$A6,Principal!$U$42:$AH$69,8,FALSE))</f>
        <v/>
      </c>
      <c r="L3376" s="555" t="str">
        <f t="shared" si="104"/>
        <v/>
      </c>
      <c r="M3376" s="2580" t="str">
        <f>IF(ISNA(VLOOKUP(M$3369&amp;$A6,Principal!$U$42:$AH$69,8,FALSE)),"",VLOOKUP(M$3369&amp;$A6,Principal!$U$42:$AH$69,8,FALSE))</f>
        <v/>
      </c>
      <c r="N3376" s="555" t="str">
        <f t="shared" ref="N3376" si="129">IF(M3376="","",", "&amp;M3376)</f>
        <v/>
      </c>
      <c r="O3376" s="2580" t="str">
        <f>IF(ISNA(VLOOKUP(O$3369&amp;$A6,Principal!$U$42:$AH$69,8,FALSE)),"",VLOOKUP(O$3369&amp;$A6,Principal!$U$42:$AH$69,8,FALSE))</f>
        <v/>
      </c>
      <c r="P3376" s="555" t="str">
        <f t="shared" ref="P3376" si="130">IF(O3376="","",", "&amp;O3376)</f>
        <v/>
      </c>
      <c r="Q3376" s="2580" t="str">
        <f>IF(ISNA(VLOOKUP(Q$3369&amp;$A6,Principal!$U$42:$AH$69,8,FALSE)),"",VLOOKUP(Q$3369&amp;$A6,Principal!$U$42:$AH$69,8,FALSE))</f>
        <v/>
      </c>
      <c r="R3376" s="555" t="str">
        <f t="shared" ref="R3376" si="131">IF(Q3376="","",", "&amp;Q3376)</f>
        <v/>
      </c>
      <c r="S3376" s="2580" t="str">
        <f>IF(ISNA(VLOOKUP(S$3369&amp;$A6,Principal!$U$42:$AH$69,8,FALSE)),"",VLOOKUP(S$3369&amp;$A6,Principal!$U$42:$AH$69,8,FALSE))</f>
        <v/>
      </c>
      <c r="T3376" s="555" t="str">
        <f t="shared" ref="T3376" si="132">IF(S3376="","",", "&amp;S3376)</f>
        <v/>
      </c>
      <c r="U3376" s="2580" t="str">
        <f>IF(ISNA(VLOOKUP(U$3369&amp;$A6,Principal!$U$42:$AH$69,8,FALSE)),"",VLOOKUP(U$3369&amp;$A6,Principal!$U$42:$AH$69,8,FALSE))</f>
        <v/>
      </c>
      <c r="V3376" s="555" t="str">
        <f t="shared" ref="V3376" si="133">IF(U3376="","",", "&amp;U3376)</f>
        <v/>
      </c>
      <c r="W3376" s="2580" t="str">
        <f>IF(ISNA(VLOOKUP(W$3369&amp;$A6,Principal!$U$42:$AH$69,8,FALSE)),"",VLOOKUP(W$3369&amp;$A6,Principal!$U$42:$AH$69,8,FALSE))</f>
        <v/>
      </c>
      <c r="X3376" s="555" t="str">
        <f t="shared" ref="X3376" si="134">IF(W3376="","",", "&amp;W3376)</f>
        <v/>
      </c>
      <c r="Y3376" s="2580" t="str">
        <f>IF(ISNA(VLOOKUP(Y$3369&amp;$A6,Principal!$U$42:$AH$69,8,FALSE)),"",VLOOKUP(Y$3369&amp;$A6,Principal!$U$42:$AH$69,8,FALSE))</f>
        <v/>
      </c>
      <c r="Z3376" s="555" t="str">
        <f t="shared" ref="Z3376" si="135">IF(Y3376="","",", "&amp;Y3376)</f>
        <v/>
      </c>
      <c r="AA3376" s="2580" t="str">
        <f>IF(ISNA(VLOOKUP(AA$3369&amp;$A6,Principal!$U$42:$AH$69,8,FALSE)),"",VLOOKUP(AA$3369&amp;$A6,Principal!$U$42:$AH$69,8,FALSE))</f>
        <v/>
      </c>
      <c r="AB3376" s="2586" t="str">
        <f t="shared" ref="AB3376" si="136">IF(AA3376="","",", "&amp;AA3376)</f>
        <v/>
      </c>
      <c r="AC3376" s="2550" t="str">
        <f>IF(OR(AD3376=0,ISNUMBER(MATCH(AD3376,$AD$3372:$AD3375,0))),"",MAX($AC$3371:AC3375)+1)</f>
        <v/>
      </c>
      <c r="AD3376" s="2588">
        <f>Principal!V46</f>
        <v>0</v>
      </c>
    </row>
    <row r="3377" spans="2:30" ht="12.75" customHeight="1" x14ac:dyDescent="0.2">
      <c r="B3377" s="2680" t="str">
        <f t="shared" si="102"/>
        <v/>
      </c>
      <c r="C3377" s="1906" t="str">
        <f>Combate!X25</f>
        <v/>
      </c>
      <c r="D3377" s="2573" t="str">
        <f t="shared" si="101"/>
        <v/>
      </c>
      <c r="E3377" s="4898"/>
      <c r="G3377" s="2530" t="str">
        <f>IF(ISNA(VLOOKUP(A8,Principal!$S$42:$AH$69,10,FALSE)),"",IF(VLOOKUP(A8,Principal!$S$42:$AH$69,10,FALSE)=0,"",VLOOKUP(A8,Principal!$S$42:$AH$69,10,FALSE)))</f>
        <v/>
      </c>
      <c r="H3377" s="555" t="str">
        <f t="shared" si="103"/>
        <v/>
      </c>
      <c r="I3377" s="2580" t="str">
        <f>IF(ISNA(VLOOKUP(I$3369&amp;$A7,Principal!$U$42:$AH$69,8,FALSE)),"",VLOOKUP(I$3369&amp;$A7,Principal!$U$42:$AH$69,8,FALSE))</f>
        <v/>
      </c>
      <c r="J3377" s="555" t="str">
        <f t="shared" si="104"/>
        <v/>
      </c>
      <c r="K3377" s="2580" t="str">
        <f>IF(ISNA(VLOOKUP(K$3369&amp;$A7,Principal!$U$42:$AH$69,8,FALSE)),"",VLOOKUP(K$3369&amp;$A7,Principal!$U$42:$AH$69,8,FALSE))</f>
        <v/>
      </c>
      <c r="L3377" s="555" t="str">
        <f t="shared" si="104"/>
        <v/>
      </c>
      <c r="M3377" s="2580" t="str">
        <f>IF(ISNA(VLOOKUP(M$3369&amp;$A7,Principal!$U$42:$AH$69,8,FALSE)),"",VLOOKUP(M$3369&amp;$A7,Principal!$U$42:$AH$69,8,FALSE))</f>
        <v/>
      </c>
      <c r="N3377" s="555" t="str">
        <f t="shared" ref="N3377" si="137">IF(M3377="","",", "&amp;M3377)</f>
        <v/>
      </c>
      <c r="O3377" s="2580" t="str">
        <f>IF(ISNA(VLOOKUP(O$3369&amp;$A7,Principal!$U$42:$AH$69,8,FALSE)),"",VLOOKUP(O$3369&amp;$A7,Principal!$U$42:$AH$69,8,FALSE))</f>
        <v/>
      </c>
      <c r="P3377" s="555" t="str">
        <f t="shared" ref="P3377" si="138">IF(O3377="","",", "&amp;O3377)</f>
        <v/>
      </c>
      <c r="Q3377" s="2580" t="str">
        <f>IF(ISNA(VLOOKUP(Q$3369&amp;$A7,Principal!$U$42:$AH$69,8,FALSE)),"",VLOOKUP(Q$3369&amp;$A7,Principal!$U$42:$AH$69,8,FALSE))</f>
        <v/>
      </c>
      <c r="R3377" s="555" t="str">
        <f t="shared" ref="R3377" si="139">IF(Q3377="","",", "&amp;Q3377)</f>
        <v/>
      </c>
      <c r="S3377" s="2580" t="str">
        <f>IF(ISNA(VLOOKUP(S$3369&amp;$A7,Principal!$U$42:$AH$69,8,FALSE)),"",VLOOKUP(S$3369&amp;$A7,Principal!$U$42:$AH$69,8,FALSE))</f>
        <v/>
      </c>
      <c r="T3377" s="555" t="str">
        <f t="shared" ref="T3377" si="140">IF(S3377="","",", "&amp;S3377)</f>
        <v/>
      </c>
      <c r="U3377" s="2580" t="str">
        <f>IF(ISNA(VLOOKUP(U$3369&amp;$A7,Principal!$U$42:$AH$69,8,FALSE)),"",VLOOKUP(U$3369&amp;$A7,Principal!$U$42:$AH$69,8,FALSE))</f>
        <v/>
      </c>
      <c r="V3377" s="555" t="str">
        <f t="shared" ref="V3377" si="141">IF(U3377="","",", "&amp;U3377)</f>
        <v/>
      </c>
      <c r="W3377" s="2580" t="str">
        <f>IF(ISNA(VLOOKUP(W$3369&amp;$A7,Principal!$U$42:$AH$69,8,FALSE)),"",VLOOKUP(W$3369&amp;$A7,Principal!$U$42:$AH$69,8,FALSE))</f>
        <v/>
      </c>
      <c r="X3377" s="555" t="str">
        <f t="shared" ref="X3377" si="142">IF(W3377="","",", "&amp;W3377)</f>
        <v/>
      </c>
      <c r="Y3377" s="2580" t="str">
        <f>IF(ISNA(VLOOKUP(Y$3369&amp;$A7,Principal!$U$42:$AH$69,8,FALSE)),"",VLOOKUP(Y$3369&amp;$A7,Principal!$U$42:$AH$69,8,FALSE))</f>
        <v/>
      </c>
      <c r="Z3377" s="555" t="str">
        <f t="shared" ref="Z3377" si="143">IF(Y3377="","",", "&amp;Y3377)</f>
        <v/>
      </c>
      <c r="AA3377" s="2580" t="str">
        <f>IF(ISNA(VLOOKUP(AA$3369&amp;$A7,Principal!$U$42:$AH$69,8,FALSE)),"",VLOOKUP(AA$3369&amp;$A7,Principal!$U$42:$AH$69,8,FALSE))</f>
        <v/>
      </c>
      <c r="AB3377" s="2586" t="str">
        <f t="shared" ref="AB3377" si="144">IF(AA3377="","",", "&amp;AA3377)</f>
        <v/>
      </c>
      <c r="AC3377" s="2550" t="str">
        <f>IF(OR(AD3377=0,ISNUMBER(MATCH(AD3377,$AD$3372:$AD3376,0))),"",MAX($AC$3371:AC3376)+1)</f>
        <v/>
      </c>
      <c r="AD3377" s="2588">
        <f>Principal!V47</f>
        <v>0</v>
      </c>
    </row>
    <row r="3378" spans="2:30" ht="12.75" customHeight="1" x14ac:dyDescent="0.2">
      <c r="B3378" s="2680" t="str">
        <f t="shared" si="102"/>
        <v/>
      </c>
      <c r="C3378" s="1906" t="str">
        <f>Combate!X26</f>
        <v/>
      </c>
      <c r="D3378" s="2573" t="str">
        <f t="shared" si="101"/>
        <v/>
      </c>
      <c r="E3378" s="4898"/>
      <c r="G3378" s="2530" t="str">
        <f>IF(ISNA(VLOOKUP(A9,Principal!$S$42:$AH$69,10,FALSE)),"",IF(VLOOKUP(A9,Principal!$S$42:$AH$69,10,FALSE)=0,"",VLOOKUP(A9,Principal!$S$42:$AH$69,10,FALSE)))</f>
        <v/>
      </c>
      <c r="H3378" s="555" t="str">
        <f t="shared" si="103"/>
        <v/>
      </c>
      <c r="I3378" s="2580" t="str">
        <f>IF(ISNA(VLOOKUP(I$3369&amp;$A8,Principal!$U$42:$AH$69,8,FALSE)),"",VLOOKUP(I$3369&amp;$A8,Principal!$U$42:$AH$69,8,FALSE))</f>
        <v/>
      </c>
      <c r="J3378" s="555" t="str">
        <f t="shared" si="104"/>
        <v/>
      </c>
      <c r="K3378" s="2580" t="str">
        <f>IF(ISNA(VLOOKUP(K$3369&amp;$A8,Principal!$U$42:$AH$69,8,FALSE)),"",VLOOKUP(K$3369&amp;$A8,Principal!$U$42:$AH$69,8,FALSE))</f>
        <v/>
      </c>
      <c r="L3378" s="555" t="str">
        <f t="shared" si="104"/>
        <v/>
      </c>
      <c r="M3378" s="2580" t="str">
        <f>IF(ISNA(VLOOKUP(M$3369&amp;$A8,Principal!$U$42:$AH$69,8,FALSE)),"",VLOOKUP(M$3369&amp;$A8,Principal!$U$42:$AH$69,8,FALSE))</f>
        <v/>
      </c>
      <c r="N3378" s="555" t="str">
        <f t="shared" ref="N3378" si="145">IF(M3378="","",", "&amp;M3378)</f>
        <v/>
      </c>
      <c r="O3378" s="2580" t="str">
        <f>IF(ISNA(VLOOKUP(O$3369&amp;$A8,Principal!$U$42:$AH$69,8,FALSE)),"",VLOOKUP(O$3369&amp;$A8,Principal!$U$42:$AH$69,8,FALSE))</f>
        <v/>
      </c>
      <c r="P3378" s="555" t="str">
        <f t="shared" ref="P3378" si="146">IF(O3378="","",", "&amp;O3378)</f>
        <v/>
      </c>
      <c r="Q3378" s="2580" t="str">
        <f>IF(ISNA(VLOOKUP(Q$3369&amp;$A8,Principal!$U$42:$AH$69,8,FALSE)),"",VLOOKUP(Q$3369&amp;$A8,Principal!$U$42:$AH$69,8,FALSE))</f>
        <v/>
      </c>
      <c r="R3378" s="555" t="str">
        <f t="shared" ref="R3378" si="147">IF(Q3378="","",", "&amp;Q3378)</f>
        <v/>
      </c>
      <c r="S3378" s="2580" t="str">
        <f>IF(ISNA(VLOOKUP(S$3369&amp;$A8,Principal!$U$42:$AH$69,8,FALSE)),"",VLOOKUP(S$3369&amp;$A8,Principal!$U$42:$AH$69,8,FALSE))</f>
        <v/>
      </c>
      <c r="T3378" s="555" t="str">
        <f t="shared" ref="T3378" si="148">IF(S3378="","",", "&amp;S3378)</f>
        <v/>
      </c>
      <c r="U3378" s="2580" t="str">
        <f>IF(ISNA(VLOOKUP(U$3369&amp;$A8,Principal!$U$42:$AH$69,8,FALSE)),"",VLOOKUP(U$3369&amp;$A8,Principal!$U$42:$AH$69,8,FALSE))</f>
        <v/>
      </c>
      <c r="V3378" s="555" t="str">
        <f t="shared" ref="V3378" si="149">IF(U3378="","",", "&amp;U3378)</f>
        <v/>
      </c>
      <c r="W3378" s="2580" t="str">
        <f>IF(ISNA(VLOOKUP(W$3369&amp;$A8,Principal!$U$42:$AH$69,8,FALSE)),"",VLOOKUP(W$3369&amp;$A8,Principal!$U$42:$AH$69,8,FALSE))</f>
        <v/>
      </c>
      <c r="X3378" s="555" t="str">
        <f t="shared" ref="X3378" si="150">IF(W3378="","",", "&amp;W3378)</f>
        <v/>
      </c>
      <c r="Y3378" s="2580" t="str">
        <f>IF(ISNA(VLOOKUP(Y$3369&amp;$A8,Principal!$U$42:$AH$69,8,FALSE)),"",VLOOKUP(Y$3369&amp;$A8,Principal!$U$42:$AH$69,8,FALSE))</f>
        <v/>
      </c>
      <c r="Z3378" s="555" t="str">
        <f t="shared" ref="Z3378" si="151">IF(Y3378="","",", "&amp;Y3378)</f>
        <v/>
      </c>
      <c r="AA3378" s="2580" t="str">
        <f>IF(ISNA(VLOOKUP(AA$3369&amp;$A8,Principal!$U$42:$AH$69,8,FALSE)),"",VLOOKUP(AA$3369&amp;$A8,Principal!$U$42:$AH$69,8,FALSE))</f>
        <v/>
      </c>
      <c r="AB3378" s="2586" t="str">
        <f t="shared" ref="AB3378" si="152">IF(AA3378="","",", "&amp;AA3378)</f>
        <v/>
      </c>
      <c r="AC3378" s="2550" t="str">
        <f>IF(OR(AD3378=0,ISNUMBER(MATCH(AD3378,$AD$3372:$AD3377,0))),"",MAX($AC$3371:AC3377)+1)</f>
        <v/>
      </c>
      <c r="AD3378" s="2588">
        <f>Principal!V48</f>
        <v>0</v>
      </c>
    </row>
    <row r="3379" spans="2:30" ht="12.75" customHeight="1" x14ac:dyDescent="0.2">
      <c r="B3379" s="2680" t="str">
        <f t="shared" si="102"/>
        <v/>
      </c>
      <c r="C3379" s="1906" t="str">
        <f>Combate!X27</f>
        <v/>
      </c>
      <c r="D3379" s="2573" t="str">
        <f t="shared" si="101"/>
        <v/>
      </c>
      <c r="E3379" s="4898"/>
      <c r="G3379" s="2530" t="str">
        <f>IF(ISNA(VLOOKUP(A10,Principal!$S$42:$AH$69,10,FALSE)),"",IF(VLOOKUP(A10,Principal!$S$42:$AH$69,10,FALSE)=0,"",VLOOKUP(A10,Principal!$S$42:$AH$69,10,FALSE)))</f>
        <v/>
      </c>
      <c r="H3379" s="555" t="str">
        <f t="shared" si="103"/>
        <v/>
      </c>
      <c r="I3379" s="2580" t="str">
        <f>IF(ISNA(VLOOKUP(I$3369&amp;$A9,Principal!$U$42:$AH$69,8,FALSE)),"",VLOOKUP(I$3369&amp;$A9,Principal!$U$42:$AH$69,8,FALSE))</f>
        <v/>
      </c>
      <c r="J3379" s="555" t="str">
        <f t="shared" si="104"/>
        <v/>
      </c>
      <c r="K3379" s="2580" t="str">
        <f>IF(ISNA(VLOOKUP(K$3369&amp;$A9,Principal!$U$42:$AH$69,8,FALSE)),"",VLOOKUP(K$3369&amp;$A9,Principal!$U$42:$AH$69,8,FALSE))</f>
        <v/>
      </c>
      <c r="L3379" s="555" t="str">
        <f t="shared" si="104"/>
        <v/>
      </c>
      <c r="M3379" s="2580" t="str">
        <f>IF(ISNA(VLOOKUP(M$3369&amp;$A9,Principal!$U$42:$AH$69,8,FALSE)),"",VLOOKUP(M$3369&amp;$A9,Principal!$U$42:$AH$69,8,FALSE))</f>
        <v/>
      </c>
      <c r="N3379" s="555" t="str">
        <f t="shared" ref="N3379" si="153">IF(M3379="","",", "&amp;M3379)</f>
        <v/>
      </c>
      <c r="O3379" s="2580" t="str">
        <f>IF(ISNA(VLOOKUP(O$3369&amp;$A9,Principal!$U$42:$AH$69,8,FALSE)),"",VLOOKUP(O$3369&amp;$A9,Principal!$U$42:$AH$69,8,FALSE))</f>
        <v/>
      </c>
      <c r="P3379" s="555" t="str">
        <f t="shared" ref="P3379" si="154">IF(O3379="","",", "&amp;O3379)</f>
        <v/>
      </c>
      <c r="Q3379" s="2580" t="str">
        <f>IF(ISNA(VLOOKUP(Q$3369&amp;$A9,Principal!$U$42:$AH$69,8,FALSE)),"",VLOOKUP(Q$3369&amp;$A9,Principal!$U$42:$AH$69,8,FALSE))</f>
        <v/>
      </c>
      <c r="R3379" s="555" t="str">
        <f t="shared" ref="R3379" si="155">IF(Q3379="","",", "&amp;Q3379)</f>
        <v/>
      </c>
      <c r="S3379" s="2580" t="str">
        <f>IF(ISNA(VLOOKUP(S$3369&amp;$A9,Principal!$U$42:$AH$69,8,FALSE)),"",VLOOKUP(S$3369&amp;$A9,Principal!$U$42:$AH$69,8,FALSE))</f>
        <v/>
      </c>
      <c r="T3379" s="555" t="str">
        <f t="shared" ref="T3379" si="156">IF(S3379="","",", "&amp;S3379)</f>
        <v/>
      </c>
      <c r="U3379" s="2580" t="str">
        <f>IF(ISNA(VLOOKUP(U$3369&amp;$A9,Principal!$U$42:$AH$69,8,FALSE)),"",VLOOKUP(U$3369&amp;$A9,Principal!$U$42:$AH$69,8,FALSE))</f>
        <v/>
      </c>
      <c r="V3379" s="555" t="str">
        <f t="shared" ref="V3379" si="157">IF(U3379="","",", "&amp;U3379)</f>
        <v/>
      </c>
      <c r="W3379" s="2580" t="str">
        <f>IF(ISNA(VLOOKUP(W$3369&amp;$A9,Principal!$U$42:$AH$69,8,FALSE)),"",VLOOKUP(W$3369&amp;$A9,Principal!$U$42:$AH$69,8,FALSE))</f>
        <v/>
      </c>
      <c r="X3379" s="555" t="str">
        <f t="shared" ref="X3379" si="158">IF(W3379="","",", "&amp;W3379)</f>
        <v/>
      </c>
      <c r="Y3379" s="2580" t="str">
        <f>IF(ISNA(VLOOKUP(Y$3369&amp;$A9,Principal!$U$42:$AH$69,8,FALSE)),"",VLOOKUP(Y$3369&amp;$A9,Principal!$U$42:$AH$69,8,FALSE))</f>
        <v/>
      </c>
      <c r="Z3379" s="555" t="str">
        <f t="shared" ref="Z3379" si="159">IF(Y3379="","",", "&amp;Y3379)</f>
        <v/>
      </c>
      <c r="AA3379" s="2580" t="str">
        <f>IF(ISNA(VLOOKUP(AA$3369&amp;$A9,Principal!$U$42:$AH$69,8,FALSE)),"",VLOOKUP(AA$3369&amp;$A9,Principal!$U$42:$AH$69,8,FALSE))</f>
        <v/>
      </c>
      <c r="AB3379" s="2586" t="str">
        <f t="shared" ref="AB3379" si="160">IF(AA3379="","",", "&amp;AA3379)</f>
        <v/>
      </c>
      <c r="AC3379" s="2550" t="str">
        <f>IF(OR(AD3379=0,ISNUMBER(MATCH(AD3379,$AD$3372:$AD3378,0))),"",MAX($AC$3371:AC3378)+1)</f>
        <v/>
      </c>
      <c r="AD3379" s="2588">
        <f>Principal!V49</f>
        <v>0</v>
      </c>
    </row>
    <row r="3380" spans="2:30" ht="12.75" customHeight="1" x14ac:dyDescent="0.2">
      <c r="B3380" s="2680" t="str">
        <f t="shared" si="102"/>
        <v/>
      </c>
      <c r="C3380" s="2554" t="str">
        <f>Combate!X28</f>
        <v/>
      </c>
      <c r="D3380" s="2573" t="str">
        <f t="shared" si="101"/>
        <v/>
      </c>
      <c r="E3380" s="4898"/>
      <c r="G3380" s="2530" t="str">
        <f>IF(ISNA(VLOOKUP(A11,Principal!$S$42:$AH$69,10,FALSE)),"",IF(VLOOKUP(A11,Principal!$S$42:$AH$69,10,FALSE)=0,"",VLOOKUP(A11,Principal!$S$42:$AH$69,10,FALSE)))</f>
        <v/>
      </c>
      <c r="H3380" s="555" t="str">
        <f t="shared" si="103"/>
        <v/>
      </c>
      <c r="I3380" s="2580" t="str">
        <f>IF(ISNA(VLOOKUP(I$3369&amp;$A10,Principal!$U$42:$AH$69,8,FALSE)),"",VLOOKUP(I$3369&amp;$A10,Principal!$U$42:$AH$69,8,FALSE))</f>
        <v/>
      </c>
      <c r="J3380" s="555" t="str">
        <f t="shared" si="104"/>
        <v/>
      </c>
      <c r="K3380" s="2580" t="str">
        <f>IF(ISNA(VLOOKUP(K$3369&amp;$A10,Principal!$U$42:$AH$69,8,FALSE)),"",VLOOKUP(K$3369&amp;$A10,Principal!$U$42:$AH$69,8,FALSE))</f>
        <v/>
      </c>
      <c r="L3380" s="555" t="str">
        <f t="shared" si="104"/>
        <v/>
      </c>
      <c r="M3380" s="2580" t="str">
        <f>IF(ISNA(VLOOKUP(M$3369&amp;$A10,Principal!$U$42:$AH$69,8,FALSE)),"",VLOOKUP(M$3369&amp;$A10,Principal!$U$42:$AH$69,8,FALSE))</f>
        <v/>
      </c>
      <c r="N3380" s="555" t="str">
        <f t="shared" ref="N3380" si="161">IF(M3380="","",", "&amp;M3380)</f>
        <v/>
      </c>
      <c r="O3380" s="2580" t="str">
        <f>IF(ISNA(VLOOKUP(O$3369&amp;$A10,Principal!$U$42:$AH$69,8,FALSE)),"",VLOOKUP(O$3369&amp;$A10,Principal!$U$42:$AH$69,8,FALSE))</f>
        <v/>
      </c>
      <c r="P3380" s="555" t="str">
        <f t="shared" ref="P3380" si="162">IF(O3380="","",", "&amp;O3380)</f>
        <v/>
      </c>
      <c r="Q3380" s="2580" t="str">
        <f>IF(ISNA(VLOOKUP(Q$3369&amp;$A10,Principal!$U$42:$AH$69,8,FALSE)),"",VLOOKUP(Q$3369&amp;$A10,Principal!$U$42:$AH$69,8,FALSE))</f>
        <v/>
      </c>
      <c r="R3380" s="555" t="str">
        <f t="shared" ref="R3380" si="163">IF(Q3380="","",", "&amp;Q3380)</f>
        <v/>
      </c>
      <c r="S3380" s="2580" t="str">
        <f>IF(ISNA(VLOOKUP(S$3369&amp;$A10,Principal!$U$42:$AH$69,8,FALSE)),"",VLOOKUP(S$3369&amp;$A10,Principal!$U$42:$AH$69,8,FALSE))</f>
        <v/>
      </c>
      <c r="T3380" s="555" t="str">
        <f t="shared" ref="T3380" si="164">IF(S3380="","",", "&amp;S3380)</f>
        <v/>
      </c>
      <c r="U3380" s="2580" t="str">
        <f>IF(ISNA(VLOOKUP(U$3369&amp;$A10,Principal!$U$42:$AH$69,8,FALSE)),"",VLOOKUP(U$3369&amp;$A10,Principal!$U$42:$AH$69,8,FALSE))</f>
        <v/>
      </c>
      <c r="V3380" s="555" t="str">
        <f t="shared" ref="V3380" si="165">IF(U3380="","",", "&amp;U3380)</f>
        <v/>
      </c>
      <c r="W3380" s="2580" t="str">
        <f>IF(ISNA(VLOOKUP(W$3369&amp;$A10,Principal!$U$42:$AH$69,8,FALSE)),"",VLOOKUP(W$3369&amp;$A10,Principal!$U$42:$AH$69,8,FALSE))</f>
        <v/>
      </c>
      <c r="X3380" s="555" t="str">
        <f t="shared" ref="X3380" si="166">IF(W3380="","",", "&amp;W3380)</f>
        <v/>
      </c>
      <c r="Y3380" s="2580" t="str">
        <f>IF(ISNA(VLOOKUP(Y$3369&amp;$A10,Principal!$U$42:$AH$69,8,FALSE)),"",VLOOKUP(Y$3369&amp;$A10,Principal!$U$42:$AH$69,8,FALSE))</f>
        <v/>
      </c>
      <c r="Z3380" s="555" t="str">
        <f t="shared" ref="Z3380" si="167">IF(Y3380="","",", "&amp;Y3380)</f>
        <v/>
      </c>
      <c r="AA3380" s="2580" t="str">
        <f>IF(ISNA(VLOOKUP(AA$3369&amp;$A10,Principal!$U$42:$AH$69,8,FALSE)),"",VLOOKUP(AA$3369&amp;$A10,Principal!$U$42:$AH$69,8,FALSE))</f>
        <v/>
      </c>
      <c r="AB3380" s="2586" t="str">
        <f t="shared" ref="AB3380" si="168">IF(AA3380="","",", "&amp;AA3380)</f>
        <v/>
      </c>
      <c r="AC3380" s="2550" t="str">
        <f>IF(OR(AD3380=0,ISNUMBER(MATCH(AD3380,$AD$3372:$AD3379,0))),"",MAX($AC$3371:AC3379)+1)</f>
        <v/>
      </c>
      <c r="AD3380" s="2588">
        <f>Principal!V50</f>
        <v>0</v>
      </c>
    </row>
    <row r="3381" spans="2:30" ht="12.75" customHeight="1" x14ac:dyDescent="0.2">
      <c r="B3381" s="2684"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06" t="str">
        <f>Combate!X31</f>
        <v/>
      </c>
      <c r="D3381" s="2573" t="str">
        <f t="shared" si="101"/>
        <v/>
      </c>
      <c r="E3381" s="4898"/>
      <c r="G3381" s="2530" t="str">
        <f>IF(ISNA(VLOOKUP(A12,Principal!$S$42:$AH$69,10,FALSE)),"",IF(VLOOKUP(A12,Principal!$S$42:$AH$69,10,FALSE)=0,"",VLOOKUP(A12,Principal!$S$42:$AH$69,10,FALSE)))</f>
        <v/>
      </c>
      <c r="H3381" s="555" t="str">
        <f t="shared" si="103"/>
        <v/>
      </c>
      <c r="I3381" s="2580" t="str">
        <f>IF(ISNA(VLOOKUP(I$3369&amp;$A11,Principal!$U$42:$AH$69,8,FALSE)),"",VLOOKUP(I$3369&amp;$A11,Principal!$U$42:$AH$69,8,FALSE))</f>
        <v/>
      </c>
      <c r="J3381" s="555" t="str">
        <f t="shared" si="104"/>
        <v/>
      </c>
      <c r="K3381" s="2580" t="str">
        <f>IF(ISNA(VLOOKUP(K$3369&amp;$A11,Principal!$U$42:$AH$69,8,FALSE)),"",VLOOKUP(K$3369&amp;$A11,Principal!$U$42:$AH$69,8,FALSE))</f>
        <v/>
      </c>
      <c r="L3381" s="555" t="str">
        <f t="shared" si="104"/>
        <v/>
      </c>
      <c r="M3381" s="2580" t="str">
        <f>IF(ISNA(VLOOKUP(M$3369&amp;$A11,Principal!$U$42:$AH$69,8,FALSE)),"",VLOOKUP(M$3369&amp;$A11,Principal!$U$42:$AH$69,8,FALSE))</f>
        <v/>
      </c>
      <c r="N3381" s="555" t="str">
        <f t="shared" ref="N3381" si="169">IF(M3381="","",", "&amp;M3381)</f>
        <v/>
      </c>
      <c r="O3381" s="2580" t="str">
        <f>IF(ISNA(VLOOKUP(O$3369&amp;$A11,Principal!$U$42:$AH$69,8,FALSE)),"",VLOOKUP(O$3369&amp;$A11,Principal!$U$42:$AH$69,8,FALSE))</f>
        <v/>
      </c>
      <c r="P3381" s="555" t="str">
        <f t="shared" ref="P3381" si="170">IF(O3381="","",", "&amp;O3381)</f>
        <v/>
      </c>
      <c r="Q3381" s="2580" t="str">
        <f>IF(ISNA(VLOOKUP(Q$3369&amp;$A11,Principal!$U$42:$AH$69,8,FALSE)),"",VLOOKUP(Q$3369&amp;$A11,Principal!$U$42:$AH$69,8,FALSE))</f>
        <v/>
      </c>
      <c r="R3381" s="555" t="str">
        <f t="shared" ref="R3381" si="171">IF(Q3381="","",", "&amp;Q3381)</f>
        <v/>
      </c>
      <c r="S3381" s="2580" t="str">
        <f>IF(ISNA(VLOOKUP(S$3369&amp;$A11,Principal!$U$42:$AH$69,8,FALSE)),"",VLOOKUP(S$3369&amp;$A11,Principal!$U$42:$AH$69,8,FALSE))</f>
        <v/>
      </c>
      <c r="T3381" s="555" t="str">
        <f t="shared" ref="T3381" si="172">IF(S3381="","",", "&amp;S3381)</f>
        <v/>
      </c>
      <c r="U3381" s="2580" t="str">
        <f>IF(ISNA(VLOOKUP(U$3369&amp;$A11,Principal!$U$42:$AH$69,8,FALSE)),"",VLOOKUP(U$3369&amp;$A11,Principal!$U$42:$AH$69,8,FALSE))</f>
        <v/>
      </c>
      <c r="V3381" s="555" t="str">
        <f t="shared" ref="V3381" si="173">IF(U3381="","",", "&amp;U3381)</f>
        <v/>
      </c>
      <c r="W3381" s="2580" t="str">
        <f>IF(ISNA(VLOOKUP(W$3369&amp;$A11,Principal!$U$42:$AH$69,8,FALSE)),"",VLOOKUP(W$3369&amp;$A11,Principal!$U$42:$AH$69,8,FALSE))</f>
        <v/>
      </c>
      <c r="X3381" s="555" t="str">
        <f t="shared" ref="X3381" si="174">IF(W3381="","",", "&amp;W3381)</f>
        <v/>
      </c>
      <c r="Y3381" s="2580" t="str">
        <f>IF(ISNA(VLOOKUP(Y$3369&amp;$A11,Principal!$U$42:$AH$69,8,FALSE)),"",VLOOKUP(Y$3369&amp;$A11,Principal!$U$42:$AH$69,8,FALSE))</f>
        <v/>
      </c>
      <c r="Z3381" s="555" t="str">
        <f t="shared" ref="Z3381" si="175">IF(Y3381="","",", "&amp;Y3381)</f>
        <v/>
      </c>
      <c r="AA3381" s="2580" t="str">
        <f>IF(ISNA(VLOOKUP(AA$3369&amp;$A11,Principal!$U$42:$AH$69,8,FALSE)),"",VLOOKUP(AA$3369&amp;$A11,Principal!$U$42:$AH$69,8,FALSE))</f>
        <v/>
      </c>
      <c r="AB3381" s="2586" t="str">
        <f t="shared" ref="AB3381" si="176">IF(AA3381="","",", "&amp;AA3381)</f>
        <v/>
      </c>
      <c r="AC3381" s="2550" t="str">
        <f>IF(OR(AD3381=0,ISNUMBER(MATCH(AD3381,$AD$3372:$AD3380,0))),"",MAX($AC$3371:AC3380)+1)</f>
        <v/>
      </c>
      <c r="AD3381" s="2588">
        <f>Principal!V51</f>
        <v>0</v>
      </c>
    </row>
    <row r="3382" spans="2:30" ht="12.75" customHeight="1" x14ac:dyDescent="0.2">
      <c r="B3382" s="2684" t="str">
        <f t="shared" ref="B3382:B3389" si="177">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06" t="str">
        <f>Combate!X32</f>
        <v/>
      </c>
      <c r="D3382" s="2573" t="str">
        <f t="shared" si="101"/>
        <v/>
      </c>
      <c r="E3382" s="4898"/>
      <c r="G3382" s="2530" t="str">
        <f>IF(ISNA(VLOOKUP(A13,Principal!$S$42:$AH$69,10,FALSE)),"",IF(VLOOKUP(A13,Principal!$S$42:$AH$69,10,FALSE)=0,"",VLOOKUP(A13,Principal!$S$42:$AH$69,10,FALSE)))</f>
        <v/>
      </c>
      <c r="H3382" s="555" t="str">
        <f t="shared" si="103"/>
        <v/>
      </c>
      <c r="I3382" s="2580" t="str">
        <f>IF(ISNA(VLOOKUP(I$3369&amp;$A12,Principal!$U$42:$AH$69,8,FALSE)),"",VLOOKUP(I$3369&amp;$A12,Principal!$U$42:$AH$69,8,FALSE))</f>
        <v/>
      </c>
      <c r="J3382" s="555" t="str">
        <f t="shared" si="104"/>
        <v/>
      </c>
      <c r="K3382" s="2580" t="str">
        <f>IF(ISNA(VLOOKUP(K$3369&amp;$A12,Principal!$U$42:$AH$69,8,FALSE)),"",VLOOKUP(K$3369&amp;$A12,Principal!$U$42:$AH$69,8,FALSE))</f>
        <v/>
      </c>
      <c r="L3382" s="555" t="str">
        <f t="shared" si="104"/>
        <v/>
      </c>
      <c r="M3382" s="2580" t="str">
        <f>IF(ISNA(VLOOKUP(M$3369&amp;$A12,Principal!$U$42:$AH$69,8,FALSE)),"",VLOOKUP(M$3369&amp;$A12,Principal!$U$42:$AH$69,8,FALSE))</f>
        <v/>
      </c>
      <c r="N3382" s="555" t="str">
        <f t="shared" ref="N3382" si="178">IF(M3382="","",", "&amp;M3382)</f>
        <v/>
      </c>
      <c r="O3382" s="2580" t="str">
        <f>IF(ISNA(VLOOKUP(O$3369&amp;$A12,Principal!$U$42:$AH$69,8,FALSE)),"",VLOOKUP(O$3369&amp;$A12,Principal!$U$42:$AH$69,8,FALSE))</f>
        <v/>
      </c>
      <c r="P3382" s="555" t="str">
        <f t="shared" ref="P3382" si="179">IF(O3382="","",", "&amp;O3382)</f>
        <v/>
      </c>
      <c r="Q3382" s="2580" t="str">
        <f>IF(ISNA(VLOOKUP(Q$3369&amp;$A12,Principal!$U$42:$AH$69,8,FALSE)),"",VLOOKUP(Q$3369&amp;$A12,Principal!$U$42:$AH$69,8,FALSE))</f>
        <v/>
      </c>
      <c r="R3382" s="555" t="str">
        <f t="shared" ref="R3382" si="180">IF(Q3382="","",", "&amp;Q3382)</f>
        <v/>
      </c>
      <c r="S3382" s="2580" t="str">
        <f>IF(ISNA(VLOOKUP(S$3369&amp;$A12,Principal!$U$42:$AH$69,8,FALSE)),"",VLOOKUP(S$3369&amp;$A12,Principal!$U$42:$AH$69,8,FALSE))</f>
        <v/>
      </c>
      <c r="T3382" s="555" t="str">
        <f t="shared" ref="T3382" si="181">IF(S3382="","",", "&amp;S3382)</f>
        <v/>
      </c>
      <c r="U3382" s="2580" t="str">
        <f>IF(ISNA(VLOOKUP(U$3369&amp;$A12,Principal!$U$42:$AH$69,8,FALSE)),"",VLOOKUP(U$3369&amp;$A12,Principal!$U$42:$AH$69,8,FALSE))</f>
        <v/>
      </c>
      <c r="V3382" s="555" t="str">
        <f t="shared" ref="V3382" si="182">IF(U3382="","",", "&amp;U3382)</f>
        <v/>
      </c>
      <c r="W3382" s="2580" t="str">
        <f>IF(ISNA(VLOOKUP(W$3369&amp;$A12,Principal!$U$42:$AH$69,8,FALSE)),"",VLOOKUP(W$3369&amp;$A12,Principal!$U$42:$AH$69,8,FALSE))</f>
        <v/>
      </c>
      <c r="X3382" s="555" t="str">
        <f t="shared" ref="X3382" si="183">IF(W3382="","",", "&amp;W3382)</f>
        <v/>
      </c>
      <c r="Y3382" s="2580" t="str">
        <f>IF(ISNA(VLOOKUP(Y$3369&amp;$A12,Principal!$U$42:$AH$69,8,FALSE)),"",VLOOKUP(Y$3369&amp;$A12,Principal!$U$42:$AH$69,8,FALSE))</f>
        <v/>
      </c>
      <c r="Z3382" s="555" t="str">
        <f t="shared" ref="Z3382" si="184">IF(Y3382="","",", "&amp;Y3382)</f>
        <v/>
      </c>
      <c r="AA3382" s="2580" t="str">
        <f>IF(ISNA(VLOOKUP(AA$3369&amp;$A12,Principal!$U$42:$AH$69,8,FALSE)),"",VLOOKUP(AA$3369&amp;$A12,Principal!$U$42:$AH$69,8,FALSE))</f>
        <v/>
      </c>
      <c r="AB3382" s="2586" t="str">
        <f t="shared" ref="AB3382" si="185">IF(AA3382="","",", "&amp;AA3382)</f>
        <v/>
      </c>
      <c r="AC3382" s="2550" t="str">
        <f>IF(OR(AD3382=0,ISNUMBER(MATCH(AD3382,$AD$3372:$AD3381,0))),"",MAX($AC$3371:AC3381)+1)</f>
        <v/>
      </c>
      <c r="AD3382" s="2588">
        <f>Principal!V52</f>
        <v>0</v>
      </c>
    </row>
    <row r="3383" spans="2:30" ht="12.75" customHeight="1" x14ac:dyDescent="0.2">
      <c r="B3383" s="2684" t="str">
        <f t="shared" si="177"/>
        <v/>
      </c>
      <c r="C3383" s="1906" t="str">
        <f>Combate!X33</f>
        <v/>
      </c>
      <c r="D3383" s="2573" t="str">
        <f t="shared" si="101"/>
        <v/>
      </c>
      <c r="E3383" s="4898"/>
      <c r="G3383" s="2530" t="str">
        <f>IF(ISNA(VLOOKUP(A14,Principal!$S$42:$AH$69,10,FALSE)),"",IF(VLOOKUP(A14,Principal!$S$42:$AH$69,10,FALSE)=0,"",VLOOKUP(A14,Principal!$S$42:$AH$69,10,FALSE)))</f>
        <v/>
      </c>
      <c r="H3383" s="555" t="str">
        <f t="shared" si="103"/>
        <v/>
      </c>
      <c r="I3383" s="2580" t="str">
        <f>IF(ISNA(VLOOKUP(I$3369&amp;$A13,Principal!$U$42:$AH$69,8,FALSE)),"",VLOOKUP(I$3369&amp;$A13,Principal!$U$42:$AH$69,8,FALSE))</f>
        <v/>
      </c>
      <c r="J3383" s="555" t="str">
        <f t="shared" si="104"/>
        <v/>
      </c>
      <c r="K3383" s="2580" t="str">
        <f>IF(ISNA(VLOOKUP(K$3369&amp;$A13,Principal!$U$42:$AH$69,8,FALSE)),"",VLOOKUP(K$3369&amp;$A13,Principal!$U$42:$AH$69,8,FALSE))</f>
        <v/>
      </c>
      <c r="L3383" s="555" t="str">
        <f t="shared" si="104"/>
        <v/>
      </c>
      <c r="M3383" s="2580" t="str">
        <f>IF(ISNA(VLOOKUP(M$3369&amp;$A13,Principal!$U$42:$AH$69,8,FALSE)),"",VLOOKUP(M$3369&amp;$A13,Principal!$U$42:$AH$69,8,FALSE))</f>
        <v/>
      </c>
      <c r="N3383" s="555" t="str">
        <f t="shared" ref="N3383" si="186">IF(M3383="","",", "&amp;M3383)</f>
        <v/>
      </c>
      <c r="O3383" s="2580" t="str">
        <f>IF(ISNA(VLOOKUP(O$3369&amp;$A13,Principal!$U$42:$AH$69,8,FALSE)),"",VLOOKUP(O$3369&amp;$A13,Principal!$U$42:$AH$69,8,FALSE))</f>
        <v/>
      </c>
      <c r="P3383" s="555" t="str">
        <f t="shared" ref="P3383" si="187">IF(O3383="","",", "&amp;O3383)</f>
        <v/>
      </c>
      <c r="Q3383" s="2580" t="str">
        <f>IF(ISNA(VLOOKUP(Q$3369&amp;$A13,Principal!$U$42:$AH$69,8,FALSE)),"",VLOOKUP(Q$3369&amp;$A13,Principal!$U$42:$AH$69,8,FALSE))</f>
        <v/>
      </c>
      <c r="R3383" s="555" t="str">
        <f t="shared" ref="R3383" si="188">IF(Q3383="","",", "&amp;Q3383)</f>
        <v/>
      </c>
      <c r="S3383" s="2580" t="str">
        <f>IF(ISNA(VLOOKUP(S$3369&amp;$A13,Principal!$U$42:$AH$69,8,FALSE)),"",VLOOKUP(S$3369&amp;$A13,Principal!$U$42:$AH$69,8,FALSE))</f>
        <v/>
      </c>
      <c r="T3383" s="555" t="str">
        <f t="shared" ref="T3383" si="189">IF(S3383="","",", "&amp;S3383)</f>
        <v/>
      </c>
      <c r="U3383" s="2580" t="str">
        <f>IF(ISNA(VLOOKUP(U$3369&amp;$A13,Principal!$U$42:$AH$69,8,FALSE)),"",VLOOKUP(U$3369&amp;$A13,Principal!$U$42:$AH$69,8,FALSE))</f>
        <v/>
      </c>
      <c r="V3383" s="555" t="str">
        <f t="shared" ref="V3383" si="190">IF(U3383="","",", "&amp;U3383)</f>
        <v/>
      </c>
      <c r="W3383" s="2580" t="str">
        <f>IF(ISNA(VLOOKUP(W$3369&amp;$A13,Principal!$U$42:$AH$69,8,FALSE)),"",VLOOKUP(W$3369&amp;$A13,Principal!$U$42:$AH$69,8,FALSE))</f>
        <v/>
      </c>
      <c r="X3383" s="555" t="str">
        <f t="shared" ref="X3383" si="191">IF(W3383="","",", "&amp;W3383)</f>
        <v/>
      </c>
      <c r="Y3383" s="2580" t="str">
        <f>IF(ISNA(VLOOKUP(Y$3369&amp;$A13,Principal!$U$42:$AH$69,8,FALSE)),"",VLOOKUP(Y$3369&amp;$A13,Principal!$U$42:$AH$69,8,FALSE))</f>
        <v/>
      </c>
      <c r="Z3383" s="555" t="str">
        <f t="shared" ref="Z3383" si="192">IF(Y3383="","",", "&amp;Y3383)</f>
        <v/>
      </c>
      <c r="AA3383" s="2580" t="str">
        <f>IF(ISNA(VLOOKUP(AA$3369&amp;$A13,Principal!$U$42:$AH$69,8,FALSE)),"",VLOOKUP(AA$3369&amp;$A13,Principal!$U$42:$AH$69,8,FALSE))</f>
        <v/>
      </c>
      <c r="AB3383" s="2586" t="str">
        <f t="shared" ref="AB3383" si="193">IF(AA3383="","",", "&amp;AA3383)</f>
        <v/>
      </c>
      <c r="AC3383" s="2550" t="str">
        <f>IF(OR(AD3383=0,ISNUMBER(MATCH(AD3383,$AD$3372:$AD3382,0))),"",MAX($AC$3371:AC3382)+1)</f>
        <v/>
      </c>
      <c r="AD3383" s="2588">
        <f>Principal!V53</f>
        <v>0</v>
      </c>
    </row>
    <row r="3384" spans="2:30" ht="12.75" customHeight="1" x14ac:dyDescent="0.2">
      <c r="B3384" s="2684" t="str">
        <f t="shared" si="177"/>
        <v/>
      </c>
      <c r="C3384" s="1906" t="str">
        <f>Combate!X34</f>
        <v/>
      </c>
      <c r="D3384" s="2573" t="str">
        <f t="shared" si="101"/>
        <v/>
      </c>
      <c r="E3384" s="4898"/>
      <c r="G3384" s="2530" t="str">
        <f>IF(ISNA(VLOOKUP(A15,Principal!$S$42:$AH$69,10,FALSE)),"",IF(VLOOKUP(A15,Principal!$S$42:$AH$69,10,FALSE)=0,"",VLOOKUP(A15,Principal!$S$42:$AH$69,10,FALSE)))</f>
        <v/>
      </c>
      <c r="H3384" s="555" t="str">
        <f t="shared" si="103"/>
        <v/>
      </c>
      <c r="I3384" s="2580" t="str">
        <f>IF(ISNA(VLOOKUP(I$3369&amp;$A14,Principal!$U$42:$AH$69,8,FALSE)),"",VLOOKUP(I$3369&amp;$A14,Principal!$U$42:$AH$69,8,FALSE))</f>
        <v/>
      </c>
      <c r="J3384" s="555" t="str">
        <f t="shared" si="104"/>
        <v/>
      </c>
      <c r="K3384" s="2580" t="str">
        <f>IF(ISNA(VLOOKUP(K$3369&amp;$A14,Principal!$U$42:$AH$69,8,FALSE)),"",VLOOKUP(K$3369&amp;$A14,Principal!$U$42:$AH$69,8,FALSE))</f>
        <v/>
      </c>
      <c r="L3384" s="555" t="str">
        <f t="shared" si="104"/>
        <v/>
      </c>
      <c r="M3384" s="2580" t="str">
        <f>IF(ISNA(VLOOKUP(M$3369&amp;$A14,Principal!$U$42:$AH$69,8,FALSE)),"",VLOOKUP(M$3369&amp;$A14,Principal!$U$42:$AH$69,8,FALSE))</f>
        <v/>
      </c>
      <c r="N3384" s="555" t="str">
        <f t="shared" ref="N3384" si="194">IF(M3384="","",", "&amp;M3384)</f>
        <v/>
      </c>
      <c r="O3384" s="2580" t="str">
        <f>IF(ISNA(VLOOKUP(O$3369&amp;$A14,Principal!$U$42:$AH$69,8,FALSE)),"",VLOOKUP(O$3369&amp;$A14,Principal!$U$42:$AH$69,8,FALSE))</f>
        <v/>
      </c>
      <c r="P3384" s="555" t="str">
        <f t="shared" ref="P3384" si="195">IF(O3384="","",", "&amp;O3384)</f>
        <v/>
      </c>
      <c r="Q3384" s="2580" t="str">
        <f>IF(ISNA(VLOOKUP(Q$3369&amp;$A14,Principal!$U$42:$AH$69,8,FALSE)),"",VLOOKUP(Q$3369&amp;$A14,Principal!$U$42:$AH$69,8,FALSE))</f>
        <v/>
      </c>
      <c r="R3384" s="555" t="str">
        <f t="shared" ref="R3384" si="196">IF(Q3384="","",", "&amp;Q3384)</f>
        <v/>
      </c>
      <c r="S3384" s="2580" t="str">
        <f>IF(ISNA(VLOOKUP(S$3369&amp;$A14,Principal!$U$42:$AH$69,8,FALSE)),"",VLOOKUP(S$3369&amp;$A14,Principal!$U$42:$AH$69,8,FALSE))</f>
        <v/>
      </c>
      <c r="T3384" s="555" t="str">
        <f t="shared" ref="T3384" si="197">IF(S3384="","",", "&amp;S3384)</f>
        <v/>
      </c>
      <c r="U3384" s="2580" t="str">
        <f>IF(ISNA(VLOOKUP(U$3369&amp;$A14,Principal!$U$42:$AH$69,8,FALSE)),"",VLOOKUP(U$3369&amp;$A14,Principal!$U$42:$AH$69,8,FALSE))</f>
        <v/>
      </c>
      <c r="V3384" s="555" t="str">
        <f t="shared" ref="V3384" si="198">IF(U3384="","",", "&amp;U3384)</f>
        <v/>
      </c>
      <c r="W3384" s="2580" t="str">
        <f>IF(ISNA(VLOOKUP(W$3369&amp;$A14,Principal!$U$42:$AH$69,8,FALSE)),"",VLOOKUP(W$3369&amp;$A14,Principal!$U$42:$AH$69,8,FALSE))</f>
        <v/>
      </c>
      <c r="X3384" s="555" t="str">
        <f t="shared" ref="X3384" si="199">IF(W3384="","",", "&amp;W3384)</f>
        <v/>
      </c>
      <c r="Y3384" s="2580" t="str">
        <f>IF(ISNA(VLOOKUP(Y$3369&amp;$A14,Principal!$U$42:$AH$69,8,FALSE)),"",VLOOKUP(Y$3369&amp;$A14,Principal!$U$42:$AH$69,8,FALSE))</f>
        <v/>
      </c>
      <c r="Z3384" s="555" t="str">
        <f t="shared" ref="Z3384" si="200">IF(Y3384="","",", "&amp;Y3384)</f>
        <v/>
      </c>
      <c r="AA3384" s="2580" t="str">
        <f>IF(ISNA(VLOOKUP(AA$3369&amp;$A14,Principal!$U$42:$AH$69,8,FALSE)),"",VLOOKUP(AA$3369&amp;$A14,Principal!$U$42:$AH$69,8,FALSE))</f>
        <v/>
      </c>
      <c r="AB3384" s="2586" t="str">
        <f t="shared" ref="AB3384" si="201">IF(AA3384="","",", "&amp;AA3384)</f>
        <v/>
      </c>
      <c r="AC3384" s="2550" t="str">
        <f>IF(OR(AD3384=0,ISNUMBER(MATCH(AD3384,$AD$3372:$AD3383,0))),"",MAX($AC$3371:AC3383)+1)</f>
        <v/>
      </c>
      <c r="AD3384" s="2588">
        <f>Principal!V54</f>
        <v>0</v>
      </c>
    </row>
    <row r="3385" spans="2:30" ht="12.75" customHeight="1" x14ac:dyDescent="0.2">
      <c r="B3385" s="2684" t="str">
        <f t="shared" si="177"/>
        <v/>
      </c>
      <c r="C3385" s="1906" t="str">
        <f>Combate!X35</f>
        <v/>
      </c>
      <c r="D3385" s="2573" t="str">
        <f t="shared" si="101"/>
        <v/>
      </c>
      <c r="E3385" s="4898"/>
      <c r="G3385" s="2530" t="str">
        <f>IF(ISNA(VLOOKUP(A16,Principal!$S$42:$AH$69,10,FALSE)),"",IF(VLOOKUP(A16,Principal!$S$42:$AH$69,10,FALSE)=0,"",VLOOKUP(A16,Principal!$S$42:$AH$69,10,FALSE)))</f>
        <v/>
      </c>
      <c r="H3385" s="555" t="str">
        <f t="shared" si="103"/>
        <v/>
      </c>
      <c r="I3385" s="2580" t="str">
        <f>IF(ISNA(VLOOKUP(I$3369&amp;$A15,Principal!$U$42:$AH$69,8,FALSE)),"",VLOOKUP(I$3369&amp;$A15,Principal!$U$42:$AH$69,8,FALSE))</f>
        <v/>
      </c>
      <c r="J3385" s="555" t="str">
        <f t="shared" si="104"/>
        <v/>
      </c>
      <c r="K3385" s="2580" t="str">
        <f>IF(ISNA(VLOOKUP(K$3369&amp;$A15,Principal!$U$42:$AH$69,8,FALSE)),"",VLOOKUP(K$3369&amp;$A15,Principal!$U$42:$AH$69,8,FALSE))</f>
        <v/>
      </c>
      <c r="L3385" s="555" t="str">
        <f t="shared" si="104"/>
        <v/>
      </c>
      <c r="M3385" s="2580" t="str">
        <f>IF(ISNA(VLOOKUP(M$3369&amp;$A15,Principal!$U$42:$AH$69,8,FALSE)),"",VLOOKUP(M$3369&amp;$A15,Principal!$U$42:$AH$69,8,FALSE))</f>
        <v/>
      </c>
      <c r="N3385" s="555" t="str">
        <f t="shared" ref="N3385" si="202">IF(M3385="","",", "&amp;M3385)</f>
        <v/>
      </c>
      <c r="O3385" s="2580" t="str">
        <f>IF(ISNA(VLOOKUP(O$3369&amp;$A15,Principal!$U$42:$AH$69,8,FALSE)),"",VLOOKUP(O$3369&amp;$A15,Principal!$U$42:$AH$69,8,FALSE))</f>
        <v/>
      </c>
      <c r="P3385" s="555" t="str">
        <f t="shared" ref="P3385" si="203">IF(O3385="","",", "&amp;O3385)</f>
        <v/>
      </c>
      <c r="Q3385" s="2580" t="str">
        <f>IF(ISNA(VLOOKUP(Q$3369&amp;$A15,Principal!$U$42:$AH$69,8,FALSE)),"",VLOOKUP(Q$3369&amp;$A15,Principal!$U$42:$AH$69,8,FALSE))</f>
        <v/>
      </c>
      <c r="R3385" s="555" t="str">
        <f t="shared" ref="R3385" si="204">IF(Q3385="","",", "&amp;Q3385)</f>
        <v/>
      </c>
      <c r="S3385" s="2580" t="str">
        <f>IF(ISNA(VLOOKUP(S$3369&amp;$A15,Principal!$U$42:$AH$69,8,FALSE)),"",VLOOKUP(S$3369&amp;$A15,Principal!$U$42:$AH$69,8,FALSE))</f>
        <v/>
      </c>
      <c r="T3385" s="555" t="str">
        <f t="shared" ref="T3385" si="205">IF(S3385="","",", "&amp;S3385)</f>
        <v/>
      </c>
      <c r="U3385" s="2580" t="str">
        <f>IF(ISNA(VLOOKUP(U$3369&amp;$A15,Principal!$U$42:$AH$69,8,FALSE)),"",VLOOKUP(U$3369&amp;$A15,Principal!$U$42:$AH$69,8,FALSE))</f>
        <v/>
      </c>
      <c r="V3385" s="555" t="str">
        <f t="shared" ref="V3385" si="206">IF(U3385="","",", "&amp;U3385)</f>
        <v/>
      </c>
      <c r="W3385" s="2580" t="str">
        <f>IF(ISNA(VLOOKUP(W$3369&amp;$A15,Principal!$U$42:$AH$69,8,FALSE)),"",VLOOKUP(W$3369&amp;$A15,Principal!$U$42:$AH$69,8,FALSE))</f>
        <v/>
      </c>
      <c r="X3385" s="555" t="str">
        <f t="shared" ref="X3385" si="207">IF(W3385="","",", "&amp;W3385)</f>
        <v/>
      </c>
      <c r="Y3385" s="2580" t="str">
        <f>IF(ISNA(VLOOKUP(Y$3369&amp;$A15,Principal!$U$42:$AH$69,8,FALSE)),"",VLOOKUP(Y$3369&amp;$A15,Principal!$U$42:$AH$69,8,FALSE))</f>
        <v/>
      </c>
      <c r="Z3385" s="555" t="str">
        <f t="shared" ref="Z3385" si="208">IF(Y3385="","",", "&amp;Y3385)</f>
        <v/>
      </c>
      <c r="AA3385" s="2580" t="str">
        <f>IF(ISNA(VLOOKUP(AA$3369&amp;$A15,Principal!$U$42:$AH$69,8,FALSE)),"",VLOOKUP(AA$3369&amp;$A15,Principal!$U$42:$AH$69,8,FALSE))</f>
        <v/>
      </c>
      <c r="AB3385" s="2586" t="str">
        <f t="shared" ref="AB3385" si="209">IF(AA3385="","",", "&amp;AA3385)</f>
        <v/>
      </c>
      <c r="AC3385" s="2550" t="str">
        <f>IF(OR(AD3385=0,ISNUMBER(MATCH(AD3385,$AD$3372:$AD3384,0))),"",MAX($AC$3371:AC3384)+1)</f>
        <v/>
      </c>
      <c r="AD3385" s="2588">
        <f>Principal!V55</f>
        <v>0</v>
      </c>
    </row>
    <row r="3386" spans="2:30" ht="12.75" customHeight="1" x14ac:dyDescent="0.2">
      <c r="B3386" s="2684" t="str">
        <f t="shared" si="177"/>
        <v/>
      </c>
      <c r="C3386" s="1906" t="str">
        <f>Combate!X36</f>
        <v/>
      </c>
      <c r="D3386" s="2573" t="str">
        <f t="shared" si="101"/>
        <v/>
      </c>
      <c r="E3386" s="4898"/>
      <c r="G3386" s="2530" t="str">
        <f>IF(ISNA(VLOOKUP(A17,Principal!$S$42:$AH$69,10,FALSE)),"",IF(VLOOKUP(A17,Principal!$S$42:$AH$69,10,FALSE)=0,"",VLOOKUP(A17,Principal!$S$42:$AH$69,10,FALSE)))</f>
        <v/>
      </c>
      <c r="H3386" s="555" t="str">
        <f t="shared" si="103"/>
        <v/>
      </c>
      <c r="I3386" s="2580" t="str">
        <f>IF(ISNA(VLOOKUP(I$3369&amp;$A16,Principal!$U$42:$AH$69,8,FALSE)),"",VLOOKUP(I$3369&amp;$A16,Principal!$U$42:$AH$69,8,FALSE))</f>
        <v/>
      </c>
      <c r="J3386" s="555" t="str">
        <f t="shared" si="104"/>
        <v/>
      </c>
      <c r="K3386" s="2580" t="str">
        <f>IF(ISNA(VLOOKUP(K$3369&amp;$A16,Principal!$U$42:$AH$69,8,FALSE)),"",VLOOKUP(K$3369&amp;$A16,Principal!$U$42:$AH$69,8,FALSE))</f>
        <v/>
      </c>
      <c r="L3386" s="555" t="str">
        <f t="shared" si="104"/>
        <v/>
      </c>
      <c r="M3386" s="2580" t="str">
        <f>IF(ISNA(VLOOKUP(M$3369&amp;$A16,Principal!$U$42:$AH$69,8,FALSE)),"",VLOOKUP(M$3369&amp;$A16,Principal!$U$42:$AH$69,8,FALSE))</f>
        <v/>
      </c>
      <c r="N3386" s="555" t="str">
        <f t="shared" ref="N3386" si="210">IF(M3386="","",", "&amp;M3386)</f>
        <v/>
      </c>
      <c r="O3386" s="2580" t="str">
        <f>IF(ISNA(VLOOKUP(O$3369&amp;$A16,Principal!$U$42:$AH$69,8,FALSE)),"",VLOOKUP(O$3369&amp;$A16,Principal!$U$42:$AH$69,8,FALSE))</f>
        <v/>
      </c>
      <c r="P3386" s="555" t="str">
        <f t="shared" ref="P3386" si="211">IF(O3386="","",", "&amp;O3386)</f>
        <v/>
      </c>
      <c r="Q3386" s="2580" t="str">
        <f>IF(ISNA(VLOOKUP(Q$3369&amp;$A16,Principal!$U$42:$AH$69,8,FALSE)),"",VLOOKUP(Q$3369&amp;$A16,Principal!$U$42:$AH$69,8,FALSE))</f>
        <v/>
      </c>
      <c r="R3386" s="555" t="str">
        <f t="shared" ref="R3386" si="212">IF(Q3386="","",", "&amp;Q3386)</f>
        <v/>
      </c>
      <c r="S3386" s="2580" t="str">
        <f>IF(ISNA(VLOOKUP(S$3369&amp;$A16,Principal!$U$42:$AH$69,8,FALSE)),"",VLOOKUP(S$3369&amp;$A16,Principal!$U$42:$AH$69,8,FALSE))</f>
        <v/>
      </c>
      <c r="T3386" s="555" t="str">
        <f t="shared" ref="T3386" si="213">IF(S3386="","",", "&amp;S3386)</f>
        <v/>
      </c>
      <c r="U3386" s="2580" t="str">
        <f>IF(ISNA(VLOOKUP(U$3369&amp;$A16,Principal!$U$42:$AH$69,8,FALSE)),"",VLOOKUP(U$3369&amp;$A16,Principal!$U$42:$AH$69,8,FALSE))</f>
        <v/>
      </c>
      <c r="V3386" s="555" t="str">
        <f t="shared" ref="V3386" si="214">IF(U3386="","",", "&amp;U3386)</f>
        <v/>
      </c>
      <c r="W3386" s="2580" t="str">
        <f>IF(ISNA(VLOOKUP(W$3369&amp;$A16,Principal!$U$42:$AH$69,8,FALSE)),"",VLOOKUP(W$3369&amp;$A16,Principal!$U$42:$AH$69,8,FALSE))</f>
        <v/>
      </c>
      <c r="X3386" s="555" t="str">
        <f t="shared" ref="X3386" si="215">IF(W3386="","",", "&amp;W3386)</f>
        <v/>
      </c>
      <c r="Y3386" s="2580" t="str">
        <f>IF(ISNA(VLOOKUP(Y$3369&amp;$A16,Principal!$U$42:$AH$69,8,FALSE)),"",VLOOKUP(Y$3369&amp;$A16,Principal!$U$42:$AH$69,8,FALSE))</f>
        <v/>
      </c>
      <c r="Z3386" s="555" t="str">
        <f t="shared" ref="Z3386" si="216">IF(Y3386="","",", "&amp;Y3386)</f>
        <v/>
      </c>
      <c r="AA3386" s="2580" t="str">
        <f>IF(ISNA(VLOOKUP(AA$3369&amp;$A16,Principal!$U$42:$AH$69,8,FALSE)),"",VLOOKUP(AA$3369&amp;$A16,Principal!$U$42:$AH$69,8,FALSE))</f>
        <v/>
      </c>
      <c r="AB3386" s="2586" t="str">
        <f t="shared" ref="AB3386" si="217">IF(AA3386="","",", "&amp;AA3386)</f>
        <v/>
      </c>
      <c r="AC3386" s="2550" t="str">
        <f>IF(OR(AD3386=0,ISNUMBER(MATCH(AD3386,$AD$3372:$AD3385,0))),"",MAX($AC$3371:AC3385)+1)</f>
        <v/>
      </c>
      <c r="AD3386" s="2588">
        <f>Principal!V56</f>
        <v>0</v>
      </c>
    </row>
    <row r="3387" spans="2:30" ht="12.75" customHeight="1" x14ac:dyDescent="0.2">
      <c r="B3387" s="2684" t="str">
        <f t="shared" si="177"/>
        <v/>
      </c>
      <c r="C3387" s="1906" t="str">
        <f>Combate!X37</f>
        <v/>
      </c>
      <c r="D3387" s="2573" t="str">
        <f t="shared" si="101"/>
        <v/>
      </c>
      <c r="E3387" s="4898"/>
      <c r="G3387" s="2530" t="str">
        <f>IF(ISNA(VLOOKUP(A18,Principal!$S$42:$AH$69,10,FALSE)),"",IF(VLOOKUP(A18,Principal!$S$42:$AH$69,10,FALSE)=0,"",VLOOKUP(A18,Principal!$S$42:$AH$69,10,FALSE)))</f>
        <v/>
      </c>
      <c r="H3387" s="555" t="str">
        <f t="shared" si="103"/>
        <v/>
      </c>
      <c r="I3387" s="2580" t="str">
        <f>IF(ISNA(VLOOKUP(I$3369&amp;$A17,Principal!$U$42:$AH$69,8,FALSE)),"",VLOOKUP(I$3369&amp;$A17,Principal!$U$42:$AH$69,8,FALSE))</f>
        <v/>
      </c>
      <c r="J3387" s="555" t="str">
        <f t="shared" si="104"/>
        <v/>
      </c>
      <c r="K3387" s="2580" t="str">
        <f>IF(ISNA(VLOOKUP(K$3369&amp;$A17,Principal!$U$42:$AH$69,8,FALSE)),"",VLOOKUP(K$3369&amp;$A17,Principal!$U$42:$AH$69,8,FALSE))</f>
        <v/>
      </c>
      <c r="L3387" s="555" t="str">
        <f t="shared" si="104"/>
        <v/>
      </c>
      <c r="M3387" s="2580" t="str">
        <f>IF(ISNA(VLOOKUP(M$3369&amp;$A17,Principal!$U$42:$AH$69,8,FALSE)),"",VLOOKUP(M$3369&amp;$A17,Principal!$U$42:$AH$69,8,FALSE))</f>
        <v/>
      </c>
      <c r="N3387" s="555" t="str">
        <f t="shared" ref="N3387" si="218">IF(M3387="","",", "&amp;M3387)</f>
        <v/>
      </c>
      <c r="O3387" s="2580" t="str">
        <f>IF(ISNA(VLOOKUP(O$3369&amp;$A17,Principal!$U$42:$AH$69,8,FALSE)),"",VLOOKUP(O$3369&amp;$A17,Principal!$U$42:$AH$69,8,FALSE))</f>
        <v/>
      </c>
      <c r="P3387" s="555" t="str">
        <f t="shared" ref="P3387" si="219">IF(O3387="","",", "&amp;O3387)</f>
        <v/>
      </c>
      <c r="Q3387" s="2580" t="str">
        <f>IF(ISNA(VLOOKUP(Q$3369&amp;$A17,Principal!$U$42:$AH$69,8,FALSE)),"",VLOOKUP(Q$3369&amp;$A17,Principal!$U$42:$AH$69,8,FALSE))</f>
        <v/>
      </c>
      <c r="R3387" s="555" t="str">
        <f t="shared" ref="R3387" si="220">IF(Q3387="","",", "&amp;Q3387)</f>
        <v/>
      </c>
      <c r="S3387" s="2580" t="str">
        <f>IF(ISNA(VLOOKUP(S$3369&amp;$A17,Principal!$U$42:$AH$69,8,FALSE)),"",VLOOKUP(S$3369&amp;$A17,Principal!$U$42:$AH$69,8,FALSE))</f>
        <v/>
      </c>
      <c r="T3387" s="555" t="str">
        <f t="shared" ref="T3387" si="221">IF(S3387="","",", "&amp;S3387)</f>
        <v/>
      </c>
      <c r="U3387" s="2580" t="str">
        <f>IF(ISNA(VLOOKUP(U$3369&amp;$A17,Principal!$U$42:$AH$69,8,FALSE)),"",VLOOKUP(U$3369&amp;$A17,Principal!$U$42:$AH$69,8,FALSE))</f>
        <v/>
      </c>
      <c r="V3387" s="555" t="str">
        <f t="shared" ref="V3387" si="222">IF(U3387="","",", "&amp;U3387)</f>
        <v/>
      </c>
      <c r="W3387" s="2580" t="str">
        <f>IF(ISNA(VLOOKUP(W$3369&amp;$A17,Principal!$U$42:$AH$69,8,FALSE)),"",VLOOKUP(W$3369&amp;$A17,Principal!$U$42:$AH$69,8,FALSE))</f>
        <v/>
      </c>
      <c r="X3387" s="555" t="str">
        <f t="shared" ref="X3387" si="223">IF(W3387="","",", "&amp;W3387)</f>
        <v/>
      </c>
      <c r="Y3387" s="2580" t="str">
        <f>IF(ISNA(VLOOKUP(Y$3369&amp;$A17,Principal!$U$42:$AH$69,8,FALSE)),"",VLOOKUP(Y$3369&amp;$A17,Principal!$U$42:$AH$69,8,FALSE))</f>
        <v/>
      </c>
      <c r="Z3387" s="555" t="str">
        <f t="shared" ref="Z3387" si="224">IF(Y3387="","",", "&amp;Y3387)</f>
        <v/>
      </c>
      <c r="AA3387" s="2580" t="str">
        <f>IF(ISNA(VLOOKUP(AA$3369&amp;$A17,Principal!$U$42:$AH$69,8,FALSE)),"",VLOOKUP(AA$3369&amp;$A17,Principal!$U$42:$AH$69,8,FALSE))</f>
        <v/>
      </c>
      <c r="AB3387" s="2586" t="str">
        <f t="shared" ref="AB3387" si="225">IF(AA3387="","",", "&amp;AA3387)</f>
        <v/>
      </c>
      <c r="AC3387" s="2550" t="str">
        <f>IF(OR(AD3387=0,ISNUMBER(MATCH(AD3387,$AD$3372:$AD3386,0))),"",MAX($AC$3371:AC3386)+1)</f>
        <v/>
      </c>
      <c r="AD3387" s="2588">
        <f>Principal!V57</f>
        <v>0</v>
      </c>
    </row>
    <row r="3388" spans="2:30" ht="12.75" customHeight="1" x14ac:dyDescent="0.2">
      <c r="B3388" s="2684" t="str">
        <f t="shared" si="177"/>
        <v/>
      </c>
      <c r="C3388" s="1906" t="str">
        <f>Combate!X38</f>
        <v/>
      </c>
      <c r="D3388" s="2573" t="str">
        <f t="shared" si="101"/>
        <v/>
      </c>
      <c r="E3388" s="4898"/>
      <c r="G3388" s="2530" t="str">
        <f>IF(ISNA(VLOOKUP(A19,Principal!$S$42:$AH$69,10,FALSE)),"",IF(VLOOKUP(A19,Principal!$S$42:$AH$69,10,FALSE)=0,"",VLOOKUP(A19,Principal!$S$42:$AH$69,10,FALSE)))</f>
        <v/>
      </c>
      <c r="H3388" s="555" t="str">
        <f t="shared" si="103"/>
        <v/>
      </c>
      <c r="I3388" s="2580" t="str">
        <f>IF(ISNA(VLOOKUP(I$3369&amp;$A18,Principal!$U$42:$AH$69,8,FALSE)),"",VLOOKUP(I$3369&amp;$A18,Principal!$U$42:$AH$69,8,FALSE))</f>
        <v/>
      </c>
      <c r="J3388" s="555" t="str">
        <f t="shared" si="104"/>
        <v/>
      </c>
      <c r="K3388" s="2580" t="str">
        <f>IF(ISNA(VLOOKUP(K$3369&amp;$A18,Principal!$U$42:$AH$69,8,FALSE)),"",VLOOKUP(K$3369&amp;$A18,Principal!$U$42:$AH$69,8,FALSE))</f>
        <v/>
      </c>
      <c r="L3388" s="555" t="str">
        <f t="shared" si="104"/>
        <v/>
      </c>
      <c r="M3388" s="2580" t="str">
        <f>IF(ISNA(VLOOKUP(M$3369&amp;$A18,Principal!$U$42:$AH$69,8,FALSE)),"",VLOOKUP(M$3369&amp;$A18,Principal!$U$42:$AH$69,8,FALSE))</f>
        <v/>
      </c>
      <c r="N3388" s="555" t="str">
        <f t="shared" ref="N3388" si="226">IF(M3388="","",", "&amp;M3388)</f>
        <v/>
      </c>
      <c r="O3388" s="2580" t="str">
        <f>IF(ISNA(VLOOKUP(O$3369&amp;$A18,Principal!$U$42:$AH$69,8,FALSE)),"",VLOOKUP(O$3369&amp;$A18,Principal!$U$42:$AH$69,8,FALSE))</f>
        <v/>
      </c>
      <c r="P3388" s="555" t="str">
        <f t="shared" ref="P3388" si="227">IF(O3388="","",", "&amp;O3388)</f>
        <v/>
      </c>
      <c r="Q3388" s="2580" t="str">
        <f>IF(ISNA(VLOOKUP(Q$3369&amp;$A18,Principal!$U$42:$AH$69,8,FALSE)),"",VLOOKUP(Q$3369&amp;$A18,Principal!$U$42:$AH$69,8,FALSE))</f>
        <v/>
      </c>
      <c r="R3388" s="555" t="str">
        <f t="shared" ref="R3388" si="228">IF(Q3388="","",", "&amp;Q3388)</f>
        <v/>
      </c>
      <c r="S3388" s="2580" t="str">
        <f>IF(ISNA(VLOOKUP(S$3369&amp;$A18,Principal!$U$42:$AH$69,8,FALSE)),"",VLOOKUP(S$3369&amp;$A18,Principal!$U$42:$AH$69,8,FALSE))</f>
        <v/>
      </c>
      <c r="T3388" s="555" t="str">
        <f t="shared" ref="T3388" si="229">IF(S3388="","",", "&amp;S3388)</f>
        <v/>
      </c>
      <c r="U3388" s="2580" t="str">
        <f>IF(ISNA(VLOOKUP(U$3369&amp;$A18,Principal!$U$42:$AH$69,8,FALSE)),"",VLOOKUP(U$3369&amp;$A18,Principal!$U$42:$AH$69,8,FALSE))</f>
        <v/>
      </c>
      <c r="V3388" s="555" t="str">
        <f t="shared" ref="V3388" si="230">IF(U3388="","",", "&amp;U3388)</f>
        <v/>
      </c>
      <c r="W3388" s="2580" t="str">
        <f>IF(ISNA(VLOOKUP(W$3369&amp;$A18,Principal!$U$42:$AH$69,8,FALSE)),"",VLOOKUP(W$3369&amp;$A18,Principal!$U$42:$AH$69,8,FALSE))</f>
        <v/>
      </c>
      <c r="X3388" s="555" t="str">
        <f t="shared" ref="X3388" si="231">IF(W3388="","",", "&amp;W3388)</f>
        <v/>
      </c>
      <c r="Y3388" s="2580" t="str">
        <f>IF(ISNA(VLOOKUP(Y$3369&amp;$A18,Principal!$U$42:$AH$69,8,FALSE)),"",VLOOKUP(Y$3369&amp;$A18,Principal!$U$42:$AH$69,8,FALSE))</f>
        <v/>
      </c>
      <c r="Z3388" s="555" t="str">
        <f t="shared" ref="Z3388" si="232">IF(Y3388="","",", "&amp;Y3388)</f>
        <v/>
      </c>
      <c r="AA3388" s="2580" t="str">
        <f>IF(ISNA(VLOOKUP(AA$3369&amp;$A18,Principal!$U$42:$AH$69,8,FALSE)),"",VLOOKUP(AA$3369&amp;$A18,Principal!$U$42:$AH$69,8,FALSE))</f>
        <v/>
      </c>
      <c r="AB3388" s="2586" t="str">
        <f t="shared" ref="AB3388" si="233">IF(AA3388="","",", "&amp;AA3388)</f>
        <v/>
      </c>
      <c r="AC3388" s="2550" t="str">
        <f>IF(OR(AD3388=0,ISNUMBER(MATCH(AD3388,$AD$3372:$AD3387,0))),"",MAX($AC$3371:AC3387)+1)</f>
        <v/>
      </c>
      <c r="AD3388" s="2588">
        <f>Principal!V58</f>
        <v>0</v>
      </c>
    </row>
    <row r="3389" spans="2:30" ht="12.75" customHeight="1" x14ac:dyDescent="0.2">
      <c r="B3389" s="2684" t="str">
        <f t="shared" si="177"/>
        <v/>
      </c>
      <c r="C3389" s="1906" t="str">
        <f>Combate!X39</f>
        <v/>
      </c>
      <c r="D3389" s="2573" t="str">
        <f t="shared" si="101"/>
        <v/>
      </c>
      <c r="E3389" s="4898"/>
      <c r="G3389" s="2530" t="str">
        <f>IF(ISNA(VLOOKUP(A20,Principal!$S$42:$AH$69,10,FALSE)),"",IF(VLOOKUP(A20,Principal!$S$42:$AH$69,10,FALSE)=0,"",VLOOKUP(A20,Principal!$S$42:$AH$69,10,FALSE)))</f>
        <v/>
      </c>
      <c r="H3389" s="555" t="str">
        <f t="shared" si="103"/>
        <v/>
      </c>
      <c r="I3389" s="2580" t="str">
        <f>IF(ISNA(VLOOKUP(I$3369&amp;$A19,Principal!$U$42:$AH$69,8,FALSE)),"",VLOOKUP(I$3369&amp;$A19,Principal!$U$42:$AH$69,8,FALSE))</f>
        <v/>
      </c>
      <c r="J3389" s="555" t="str">
        <f t="shared" si="104"/>
        <v/>
      </c>
      <c r="K3389" s="2580" t="str">
        <f>IF(ISNA(VLOOKUP(K$3369&amp;$A19,Principal!$U$42:$AH$69,8,FALSE)),"",VLOOKUP(K$3369&amp;$A19,Principal!$U$42:$AH$69,8,FALSE))</f>
        <v/>
      </c>
      <c r="L3389" s="555" t="str">
        <f t="shared" si="104"/>
        <v/>
      </c>
      <c r="M3389" s="2580" t="str">
        <f>IF(ISNA(VLOOKUP(M$3369&amp;$A19,Principal!$U$42:$AH$69,8,FALSE)),"",VLOOKUP(M$3369&amp;$A19,Principal!$U$42:$AH$69,8,FALSE))</f>
        <v/>
      </c>
      <c r="N3389" s="555" t="str">
        <f t="shared" ref="N3389" si="234">IF(M3389="","",", "&amp;M3389)</f>
        <v/>
      </c>
      <c r="O3389" s="2580" t="str">
        <f>IF(ISNA(VLOOKUP(O$3369&amp;$A19,Principal!$U$42:$AH$69,8,FALSE)),"",VLOOKUP(O$3369&amp;$A19,Principal!$U$42:$AH$69,8,FALSE))</f>
        <v/>
      </c>
      <c r="P3389" s="555" t="str">
        <f t="shared" ref="P3389" si="235">IF(O3389="","",", "&amp;O3389)</f>
        <v/>
      </c>
      <c r="Q3389" s="2580" t="str">
        <f>IF(ISNA(VLOOKUP(Q$3369&amp;$A19,Principal!$U$42:$AH$69,8,FALSE)),"",VLOOKUP(Q$3369&amp;$A19,Principal!$U$42:$AH$69,8,FALSE))</f>
        <v/>
      </c>
      <c r="R3389" s="555" t="str">
        <f t="shared" ref="R3389" si="236">IF(Q3389="","",", "&amp;Q3389)</f>
        <v/>
      </c>
      <c r="S3389" s="2580" t="str">
        <f>IF(ISNA(VLOOKUP(S$3369&amp;$A19,Principal!$U$42:$AH$69,8,FALSE)),"",VLOOKUP(S$3369&amp;$A19,Principal!$U$42:$AH$69,8,FALSE))</f>
        <v/>
      </c>
      <c r="T3389" s="555" t="str">
        <f t="shared" ref="T3389" si="237">IF(S3389="","",", "&amp;S3389)</f>
        <v/>
      </c>
      <c r="U3389" s="2580" t="str">
        <f>IF(ISNA(VLOOKUP(U$3369&amp;$A19,Principal!$U$42:$AH$69,8,FALSE)),"",VLOOKUP(U$3369&amp;$A19,Principal!$U$42:$AH$69,8,FALSE))</f>
        <v/>
      </c>
      <c r="V3389" s="555" t="str">
        <f t="shared" ref="V3389" si="238">IF(U3389="","",", "&amp;U3389)</f>
        <v/>
      </c>
      <c r="W3389" s="2580" t="str">
        <f>IF(ISNA(VLOOKUP(W$3369&amp;$A19,Principal!$U$42:$AH$69,8,FALSE)),"",VLOOKUP(W$3369&amp;$A19,Principal!$U$42:$AH$69,8,FALSE))</f>
        <v/>
      </c>
      <c r="X3389" s="555" t="str">
        <f t="shared" ref="X3389" si="239">IF(W3389="","",", "&amp;W3389)</f>
        <v/>
      </c>
      <c r="Y3389" s="2580" t="str">
        <f>IF(ISNA(VLOOKUP(Y$3369&amp;$A19,Principal!$U$42:$AH$69,8,FALSE)),"",VLOOKUP(Y$3369&amp;$A19,Principal!$U$42:$AH$69,8,FALSE))</f>
        <v/>
      </c>
      <c r="Z3389" s="555" t="str">
        <f t="shared" ref="Z3389" si="240">IF(Y3389="","",", "&amp;Y3389)</f>
        <v/>
      </c>
      <c r="AA3389" s="2580" t="str">
        <f>IF(ISNA(VLOOKUP(AA$3369&amp;$A19,Principal!$U$42:$AH$69,8,FALSE)),"",VLOOKUP(AA$3369&amp;$A19,Principal!$U$42:$AH$69,8,FALSE))</f>
        <v/>
      </c>
      <c r="AB3389" s="2586" t="str">
        <f t="shared" ref="AB3389" si="241">IF(AA3389="","",", "&amp;AA3389)</f>
        <v/>
      </c>
      <c r="AC3389" s="2550" t="str">
        <f>IF(OR(AD3389=0,ISNUMBER(MATCH(AD3389,$AD$3372:$AD3388,0))),"",MAX($AC$3371:AC3388)+1)</f>
        <v/>
      </c>
      <c r="AD3389" s="2588">
        <f>Principal!V59</f>
        <v>0</v>
      </c>
    </row>
    <row r="3390" spans="2:30" ht="12.75" customHeight="1" x14ac:dyDescent="0.2">
      <c r="B3390" s="2684"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06" t="str">
        <f>Combate!X40</f>
        <v/>
      </c>
      <c r="D3390" s="2573" t="str">
        <f t="shared" si="101"/>
        <v/>
      </c>
      <c r="E3390" s="4898"/>
      <c r="G3390" s="2530" t="str">
        <f>IF(ISNA(VLOOKUP(A21,Principal!$S$42:$AH$69,10,FALSE)),"",IF(VLOOKUP(A21,Principal!$S$42:$AH$69,10,FALSE)=0,"",VLOOKUP(A21,Principal!$S$42:$AH$69,10,FALSE)))</f>
        <v/>
      </c>
      <c r="H3390" s="555" t="str">
        <f t="shared" si="103"/>
        <v/>
      </c>
      <c r="I3390" s="2580" t="str">
        <f>IF(ISNA(VLOOKUP(I$3369&amp;$A20,Principal!$U$42:$AH$69,8,FALSE)),"",VLOOKUP(I$3369&amp;$A20,Principal!$U$42:$AH$69,8,FALSE))</f>
        <v/>
      </c>
      <c r="J3390" s="555" t="str">
        <f t="shared" si="104"/>
        <v/>
      </c>
      <c r="K3390" s="2580" t="str">
        <f>IF(ISNA(VLOOKUP(K$3369&amp;$A20,Principal!$U$42:$AH$69,8,FALSE)),"",VLOOKUP(K$3369&amp;$A20,Principal!$U$42:$AH$69,8,FALSE))</f>
        <v/>
      </c>
      <c r="L3390" s="555" t="str">
        <f t="shared" si="104"/>
        <v/>
      </c>
      <c r="M3390" s="2580" t="str">
        <f>IF(ISNA(VLOOKUP(M$3369&amp;$A20,Principal!$U$42:$AH$69,8,FALSE)),"",VLOOKUP(M$3369&amp;$A20,Principal!$U$42:$AH$69,8,FALSE))</f>
        <v/>
      </c>
      <c r="N3390" s="555" t="str">
        <f t="shared" ref="N3390" si="242">IF(M3390="","",", "&amp;M3390)</f>
        <v/>
      </c>
      <c r="O3390" s="2580" t="str">
        <f>IF(ISNA(VLOOKUP(O$3369&amp;$A20,Principal!$U$42:$AH$69,8,FALSE)),"",VLOOKUP(O$3369&amp;$A20,Principal!$U$42:$AH$69,8,FALSE))</f>
        <v/>
      </c>
      <c r="P3390" s="555" t="str">
        <f t="shared" ref="P3390" si="243">IF(O3390="","",", "&amp;O3390)</f>
        <v/>
      </c>
      <c r="Q3390" s="2580" t="str">
        <f>IF(ISNA(VLOOKUP(Q$3369&amp;$A20,Principal!$U$42:$AH$69,8,FALSE)),"",VLOOKUP(Q$3369&amp;$A20,Principal!$U$42:$AH$69,8,FALSE))</f>
        <v/>
      </c>
      <c r="R3390" s="555" t="str">
        <f t="shared" ref="R3390" si="244">IF(Q3390="","",", "&amp;Q3390)</f>
        <v/>
      </c>
      <c r="S3390" s="2580" t="str">
        <f>IF(ISNA(VLOOKUP(S$3369&amp;$A20,Principal!$U$42:$AH$69,8,FALSE)),"",VLOOKUP(S$3369&amp;$A20,Principal!$U$42:$AH$69,8,FALSE))</f>
        <v/>
      </c>
      <c r="T3390" s="555" t="str">
        <f t="shared" ref="T3390" si="245">IF(S3390="","",", "&amp;S3390)</f>
        <v/>
      </c>
      <c r="U3390" s="2580" t="str">
        <f>IF(ISNA(VLOOKUP(U$3369&amp;$A20,Principal!$U$42:$AH$69,8,FALSE)),"",VLOOKUP(U$3369&amp;$A20,Principal!$U$42:$AH$69,8,FALSE))</f>
        <v/>
      </c>
      <c r="V3390" s="555" t="str">
        <f t="shared" ref="V3390" si="246">IF(U3390="","",", "&amp;U3390)</f>
        <v/>
      </c>
      <c r="W3390" s="2580" t="str">
        <f>IF(ISNA(VLOOKUP(W$3369&amp;$A20,Principal!$U$42:$AH$69,8,FALSE)),"",VLOOKUP(W$3369&amp;$A20,Principal!$U$42:$AH$69,8,FALSE))</f>
        <v/>
      </c>
      <c r="X3390" s="555" t="str">
        <f t="shared" ref="X3390" si="247">IF(W3390="","",", "&amp;W3390)</f>
        <v/>
      </c>
      <c r="Y3390" s="2580" t="str">
        <f>IF(ISNA(VLOOKUP(Y$3369&amp;$A20,Principal!$U$42:$AH$69,8,FALSE)),"",VLOOKUP(Y$3369&amp;$A20,Principal!$U$42:$AH$69,8,FALSE))</f>
        <v/>
      </c>
      <c r="Z3390" s="555" t="str">
        <f t="shared" ref="Z3390" si="248">IF(Y3390="","",", "&amp;Y3390)</f>
        <v/>
      </c>
      <c r="AA3390" s="2580" t="str">
        <f>IF(ISNA(VLOOKUP(AA$3369&amp;$A20,Principal!$U$42:$AH$69,8,FALSE)),"",VLOOKUP(AA$3369&amp;$A20,Principal!$U$42:$AH$69,8,FALSE))</f>
        <v/>
      </c>
      <c r="AB3390" s="2586" t="str">
        <f t="shared" ref="AB3390" si="249">IF(AA3390="","",", "&amp;AA3390)</f>
        <v/>
      </c>
      <c r="AC3390" s="2550" t="str">
        <f>IF(OR(AD3390=0,ISNUMBER(MATCH(AD3390,$AD$3372:$AD3389,0))),"",MAX($AC$3371:AC3389)+1)</f>
        <v/>
      </c>
      <c r="AD3390" s="2588">
        <f>Principal!V60</f>
        <v>0</v>
      </c>
    </row>
    <row r="3391" spans="2:30" ht="12.75" customHeight="1" x14ac:dyDescent="0.2">
      <c r="B3391" s="2684" t="str">
        <f t="shared" ref="B3391:B3399" si="250">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06" t="str">
        <f>Combate!X41</f>
        <v/>
      </c>
      <c r="D3391" s="2573" t="str">
        <f t="shared" si="101"/>
        <v/>
      </c>
      <c r="E3391" s="4898"/>
      <c r="G3391" s="2530" t="str">
        <f>IF(ISNA(VLOOKUP(A22,Principal!$S$42:$AH$69,10,FALSE)),"",IF(VLOOKUP(A22,Principal!$S$42:$AH$69,10,FALSE)=0,"",VLOOKUP(A22,Principal!$S$42:$AH$69,10,FALSE)))</f>
        <v/>
      </c>
      <c r="H3391" s="555" t="str">
        <f t="shared" si="103"/>
        <v/>
      </c>
      <c r="I3391" s="2580" t="str">
        <f>IF(ISNA(VLOOKUP(I$3369&amp;$A21,Principal!$U$42:$AH$69,8,FALSE)),"",VLOOKUP(I$3369&amp;$A21,Principal!$U$42:$AH$69,8,FALSE))</f>
        <v/>
      </c>
      <c r="J3391" s="555" t="str">
        <f t="shared" si="104"/>
        <v/>
      </c>
      <c r="K3391" s="2580" t="str">
        <f>IF(ISNA(VLOOKUP(K$3369&amp;$A21,Principal!$U$42:$AH$69,8,FALSE)),"",VLOOKUP(K$3369&amp;$A21,Principal!$U$42:$AH$69,8,FALSE))</f>
        <v/>
      </c>
      <c r="L3391" s="555" t="str">
        <f t="shared" si="104"/>
        <v/>
      </c>
      <c r="M3391" s="2580" t="str">
        <f>IF(ISNA(VLOOKUP(M$3369&amp;$A21,Principal!$U$42:$AH$69,8,FALSE)),"",VLOOKUP(M$3369&amp;$A21,Principal!$U$42:$AH$69,8,FALSE))</f>
        <v/>
      </c>
      <c r="N3391" s="555" t="str">
        <f t="shared" ref="N3391" si="251">IF(M3391="","",", "&amp;M3391)</f>
        <v/>
      </c>
      <c r="O3391" s="2580" t="str">
        <f>IF(ISNA(VLOOKUP(O$3369&amp;$A21,Principal!$U$42:$AH$69,8,FALSE)),"",VLOOKUP(O$3369&amp;$A21,Principal!$U$42:$AH$69,8,FALSE))</f>
        <v/>
      </c>
      <c r="P3391" s="555" t="str">
        <f t="shared" ref="P3391" si="252">IF(O3391="","",", "&amp;O3391)</f>
        <v/>
      </c>
      <c r="Q3391" s="2580" t="str">
        <f>IF(ISNA(VLOOKUP(Q$3369&amp;$A21,Principal!$U$42:$AH$69,8,FALSE)),"",VLOOKUP(Q$3369&amp;$A21,Principal!$U$42:$AH$69,8,FALSE))</f>
        <v/>
      </c>
      <c r="R3391" s="555" t="str">
        <f t="shared" ref="R3391" si="253">IF(Q3391="","",", "&amp;Q3391)</f>
        <v/>
      </c>
      <c r="S3391" s="2580" t="str">
        <f>IF(ISNA(VLOOKUP(S$3369&amp;$A21,Principal!$U$42:$AH$69,8,FALSE)),"",VLOOKUP(S$3369&amp;$A21,Principal!$U$42:$AH$69,8,FALSE))</f>
        <v/>
      </c>
      <c r="T3391" s="555" t="str">
        <f t="shared" ref="T3391" si="254">IF(S3391="","",", "&amp;S3391)</f>
        <v/>
      </c>
      <c r="U3391" s="2580" t="str">
        <f>IF(ISNA(VLOOKUP(U$3369&amp;$A21,Principal!$U$42:$AH$69,8,FALSE)),"",VLOOKUP(U$3369&amp;$A21,Principal!$U$42:$AH$69,8,FALSE))</f>
        <v/>
      </c>
      <c r="V3391" s="555" t="str">
        <f t="shared" ref="V3391" si="255">IF(U3391="","",", "&amp;U3391)</f>
        <v/>
      </c>
      <c r="W3391" s="2580" t="str">
        <f>IF(ISNA(VLOOKUP(W$3369&amp;$A21,Principal!$U$42:$AH$69,8,FALSE)),"",VLOOKUP(W$3369&amp;$A21,Principal!$U$42:$AH$69,8,FALSE))</f>
        <v/>
      </c>
      <c r="X3391" s="555" t="str">
        <f t="shared" ref="X3391" si="256">IF(W3391="","",", "&amp;W3391)</f>
        <v/>
      </c>
      <c r="Y3391" s="2580" t="str">
        <f>IF(ISNA(VLOOKUP(Y$3369&amp;$A21,Principal!$U$42:$AH$69,8,FALSE)),"",VLOOKUP(Y$3369&amp;$A21,Principal!$U$42:$AH$69,8,FALSE))</f>
        <v/>
      </c>
      <c r="Z3391" s="555" t="str">
        <f t="shared" ref="Z3391" si="257">IF(Y3391="","",", "&amp;Y3391)</f>
        <v/>
      </c>
      <c r="AA3391" s="2580" t="str">
        <f>IF(ISNA(VLOOKUP(AA$3369&amp;$A21,Principal!$U$42:$AH$69,8,FALSE)),"",VLOOKUP(AA$3369&amp;$A21,Principal!$U$42:$AH$69,8,FALSE))</f>
        <v/>
      </c>
      <c r="AB3391" s="2586" t="str">
        <f t="shared" ref="AB3391" si="258">IF(AA3391="","",", "&amp;AA3391)</f>
        <v/>
      </c>
      <c r="AC3391" s="2550" t="str">
        <f>IF(OR(AD3391=0,ISNUMBER(MATCH(AD3391,$AD$3372:$AD3390,0))),"",MAX($AC$3371:AC3390)+1)</f>
        <v/>
      </c>
      <c r="AD3391" s="2588">
        <f>Principal!V61</f>
        <v>0</v>
      </c>
    </row>
    <row r="3392" spans="2:30" ht="12.75" customHeight="1" x14ac:dyDescent="0.2">
      <c r="B3392" s="2684" t="str">
        <f t="shared" si="250"/>
        <v/>
      </c>
      <c r="C3392" s="1906" t="str">
        <f>Combate!X42</f>
        <v/>
      </c>
      <c r="D3392" s="2573" t="str">
        <f t="shared" si="101"/>
        <v/>
      </c>
      <c r="E3392" s="4898"/>
      <c r="G3392" s="2530" t="str">
        <f>IF(ISNA(VLOOKUP(A23,Principal!$S$42:$AH$69,10,FALSE)),"",IF(VLOOKUP(A23,Principal!$S$42:$AH$69,10,FALSE)=0,"",VLOOKUP(A23,Principal!$S$42:$AH$69,10,FALSE)))</f>
        <v/>
      </c>
      <c r="H3392" s="555" t="str">
        <f t="shared" si="103"/>
        <v/>
      </c>
      <c r="I3392" s="2580" t="str">
        <f>IF(ISNA(VLOOKUP(I$3369&amp;$A22,Principal!$U$42:$AH$69,8,FALSE)),"",VLOOKUP(I$3369&amp;$A22,Principal!$U$42:$AH$69,8,FALSE))</f>
        <v/>
      </c>
      <c r="J3392" s="555" t="str">
        <f t="shared" si="104"/>
        <v/>
      </c>
      <c r="K3392" s="2580" t="str">
        <f>IF(ISNA(VLOOKUP(K$3369&amp;$A22,Principal!$U$42:$AH$69,8,FALSE)),"",VLOOKUP(K$3369&amp;$A22,Principal!$U$42:$AH$69,8,FALSE))</f>
        <v/>
      </c>
      <c r="L3392" s="555" t="str">
        <f t="shared" si="104"/>
        <v/>
      </c>
      <c r="M3392" s="2580" t="str">
        <f>IF(ISNA(VLOOKUP(M$3369&amp;$A22,Principal!$U$42:$AH$69,8,FALSE)),"",VLOOKUP(M$3369&amp;$A22,Principal!$U$42:$AH$69,8,FALSE))</f>
        <v/>
      </c>
      <c r="N3392" s="555" t="str">
        <f t="shared" ref="N3392" si="259">IF(M3392="","",", "&amp;M3392)</f>
        <v/>
      </c>
      <c r="O3392" s="2580" t="str">
        <f>IF(ISNA(VLOOKUP(O$3369&amp;$A22,Principal!$U$42:$AH$69,8,FALSE)),"",VLOOKUP(O$3369&amp;$A22,Principal!$U$42:$AH$69,8,FALSE))</f>
        <v/>
      </c>
      <c r="P3392" s="555" t="str">
        <f t="shared" ref="P3392" si="260">IF(O3392="","",", "&amp;O3392)</f>
        <v/>
      </c>
      <c r="Q3392" s="2580" t="str">
        <f>IF(ISNA(VLOOKUP(Q$3369&amp;$A22,Principal!$U$42:$AH$69,8,FALSE)),"",VLOOKUP(Q$3369&amp;$A22,Principal!$U$42:$AH$69,8,FALSE))</f>
        <v/>
      </c>
      <c r="R3392" s="555" t="str">
        <f t="shared" ref="R3392" si="261">IF(Q3392="","",", "&amp;Q3392)</f>
        <v/>
      </c>
      <c r="S3392" s="2580" t="str">
        <f>IF(ISNA(VLOOKUP(S$3369&amp;$A22,Principal!$U$42:$AH$69,8,FALSE)),"",VLOOKUP(S$3369&amp;$A22,Principal!$U$42:$AH$69,8,FALSE))</f>
        <v/>
      </c>
      <c r="T3392" s="555" t="str">
        <f t="shared" ref="T3392" si="262">IF(S3392="","",", "&amp;S3392)</f>
        <v/>
      </c>
      <c r="U3392" s="2580" t="str">
        <f>IF(ISNA(VLOOKUP(U$3369&amp;$A22,Principal!$U$42:$AH$69,8,FALSE)),"",VLOOKUP(U$3369&amp;$A22,Principal!$U$42:$AH$69,8,FALSE))</f>
        <v/>
      </c>
      <c r="V3392" s="555" t="str">
        <f t="shared" ref="V3392" si="263">IF(U3392="","",", "&amp;U3392)</f>
        <v/>
      </c>
      <c r="W3392" s="2580" t="str">
        <f>IF(ISNA(VLOOKUP(W$3369&amp;$A22,Principal!$U$42:$AH$69,8,FALSE)),"",VLOOKUP(W$3369&amp;$A22,Principal!$U$42:$AH$69,8,FALSE))</f>
        <v/>
      </c>
      <c r="X3392" s="555" t="str">
        <f t="shared" ref="X3392" si="264">IF(W3392="","",", "&amp;W3392)</f>
        <v/>
      </c>
      <c r="Y3392" s="2580" t="str">
        <f>IF(ISNA(VLOOKUP(Y$3369&amp;$A22,Principal!$U$42:$AH$69,8,FALSE)),"",VLOOKUP(Y$3369&amp;$A22,Principal!$U$42:$AH$69,8,FALSE))</f>
        <v/>
      </c>
      <c r="Z3392" s="555" t="str">
        <f t="shared" ref="Z3392" si="265">IF(Y3392="","",", "&amp;Y3392)</f>
        <v/>
      </c>
      <c r="AA3392" s="2580" t="str">
        <f>IF(ISNA(VLOOKUP(AA$3369&amp;$A22,Principal!$U$42:$AH$69,8,FALSE)),"",VLOOKUP(AA$3369&amp;$A22,Principal!$U$42:$AH$69,8,FALSE))</f>
        <v/>
      </c>
      <c r="AB3392" s="2586" t="str">
        <f t="shared" ref="AB3392" si="266">IF(AA3392="","",", "&amp;AA3392)</f>
        <v/>
      </c>
      <c r="AC3392" s="2550" t="str">
        <f>IF(OR(AD3392=0,ISNUMBER(MATCH(AD3392,$AD$3372:$AD3391,0))),"",MAX($AC$3371:AC3391)+1)</f>
        <v/>
      </c>
      <c r="AD3392" s="2588">
        <f>Principal!V62</f>
        <v>0</v>
      </c>
    </row>
    <row r="3393" spans="2:30" ht="12.75" customHeight="1" x14ac:dyDescent="0.2">
      <c r="B3393" s="2684" t="str">
        <f t="shared" si="250"/>
        <v/>
      </c>
      <c r="C3393" s="1906" t="str">
        <f>Combate!X43</f>
        <v/>
      </c>
      <c r="D3393" s="2573" t="str">
        <f t="shared" si="101"/>
        <v/>
      </c>
      <c r="E3393" s="4898"/>
      <c r="G3393" s="2530" t="str">
        <f>IF(ISNA(VLOOKUP(A24,Principal!$S$42:$AH$69,10,FALSE)),"",IF(VLOOKUP(A24,Principal!$S$42:$AH$69,10,FALSE)=0,"",VLOOKUP(A24,Principal!$S$42:$AH$69,10,FALSE)))</f>
        <v/>
      </c>
      <c r="H3393" s="555" t="str">
        <f t="shared" si="103"/>
        <v/>
      </c>
      <c r="I3393" s="2580" t="str">
        <f>IF(ISNA(VLOOKUP(I$3369&amp;$A23,Principal!$U$42:$AH$69,8,FALSE)),"",VLOOKUP(I$3369&amp;$A23,Principal!$U$42:$AH$69,8,FALSE))</f>
        <v/>
      </c>
      <c r="J3393" s="555" t="str">
        <f t="shared" si="104"/>
        <v/>
      </c>
      <c r="K3393" s="2580" t="str">
        <f>IF(ISNA(VLOOKUP(K$3369&amp;$A23,Principal!$U$42:$AH$69,8,FALSE)),"",VLOOKUP(K$3369&amp;$A23,Principal!$U$42:$AH$69,8,FALSE))</f>
        <v/>
      </c>
      <c r="L3393" s="555" t="str">
        <f t="shared" si="104"/>
        <v/>
      </c>
      <c r="M3393" s="2580" t="str">
        <f>IF(ISNA(VLOOKUP(M$3369&amp;$A23,Principal!$U$42:$AH$69,8,FALSE)),"",VLOOKUP(M$3369&amp;$A23,Principal!$U$42:$AH$69,8,FALSE))</f>
        <v/>
      </c>
      <c r="N3393" s="555" t="str">
        <f t="shared" ref="N3393" si="267">IF(M3393="","",", "&amp;M3393)</f>
        <v/>
      </c>
      <c r="O3393" s="2580" t="str">
        <f>IF(ISNA(VLOOKUP(O$3369&amp;$A23,Principal!$U$42:$AH$69,8,FALSE)),"",VLOOKUP(O$3369&amp;$A23,Principal!$U$42:$AH$69,8,FALSE))</f>
        <v/>
      </c>
      <c r="P3393" s="555" t="str">
        <f t="shared" ref="P3393" si="268">IF(O3393="","",", "&amp;O3393)</f>
        <v/>
      </c>
      <c r="Q3393" s="2580" t="str">
        <f>IF(ISNA(VLOOKUP(Q$3369&amp;$A23,Principal!$U$42:$AH$69,8,FALSE)),"",VLOOKUP(Q$3369&amp;$A23,Principal!$U$42:$AH$69,8,FALSE))</f>
        <v/>
      </c>
      <c r="R3393" s="555" t="str">
        <f t="shared" ref="R3393" si="269">IF(Q3393="","",", "&amp;Q3393)</f>
        <v/>
      </c>
      <c r="S3393" s="2580" t="str">
        <f>IF(ISNA(VLOOKUP(S$3369&amp;$A23,Principal!$U$42:$AH$69,8,FALSE)),"",VLOOKUP(S$3369&amp;$A23,Principal!$U$42:$AH$69,8,FALSE))</f>
        <v/>
      </c>
      <c r="T3393" s="555" t="str">
        <f t="shared" ref="T3393" si="270">IF(S3393="","",", "&amp;S3393)</f>
        <v/>
      </c>
      <c r="U3393" s="2580" t="str">
        <f>IF(ISNA(VLOOKUP(U$3369&amp;$A23,Principal!$U$42:$AH$69,8,FALSE)),"",VLOOKUP(U$3369&amp;$A23,Principal!$U$42:$AH$69,8,FALSE))</f>
        <v/>
      </c>
      <c r="V3393" s="555" t="str">
        <f t="shared" ref="V3393" si="271">IF(U3393="","",", "&amp;U3393)</f>
        <v/>
      </c>
      <c r="W3393" s="2580" t="str">
        <f>IF(ISNA(VLOOKUP(W$3369&amp;$A23,Principal!$U$42:$AH$69,8,FALSE)),"",VLOOKUP(W$3369&amp;$A23,Principal!$U$42:$AH$69,8,FALSE))</f>
        <v/>
      </c>
      <c r="X3393" s="555" t="str">
        <f t="shared" ref="X3393" si="272">IF(W3393="","",", "&amp;W3393)</f>
        <v/>
      </c>
      <c r="Y3393" s="2580" t="str">
        <f>IF(ISNA(VLOOKUP(Y$3369&amp;$A23,Principal!$U$42:$AH$69,8,FALSE)),"",VLOOKUP(Y$3369&amp;$A23,Principal!$U$42:$AH$69,8,FALSE))</f>
        <v/>
      </c>
      <c r="Z3393" s="555" t="str">
        <f t="shared" ref="Z3393" si="273">IF(Y3393="","",", "&amp;Y3393)</f>
        <v/>
      </c>
      <c r="AA3393" s="2580" t="str">
        <f>IF(ISNA(VLOOKUP(AA$3369&amp;$A23,Principal!$U$42:$AH$69,8,FALSE)),"",VLOOKUP(AA$3369&amp;$A23,Principal!$U$42:$AH$69,8,FALSE))</f>
        <v/>
      </c>
      <c r="AB3393" s="2586" t="str">
        <f t="shared" ref="AB3393" si="274">IF(AA3393="","",", "&amp;AA3393)</f>
        <v/>
      </c>
      <c r="AC3393" s="2550" t="str">
        <f>IF(OR(AD3393=0,ISNUMBER(MATCH(AD3393,$AD$3372:$AD3392,0))),"",MAX($AC$3371:AC3392)+1)</f>
        <v/>
      </c>
      <c r="AD3393" s="2588">
        <f>Principal!V63</f>
        <v>0</v>
      </c>
    </row>
    <row r="3394" spans="2:30" ht="12.75" customHeight="1" x14ac:dyDescent="0.2">
      <c r="B3394" s="2684" t="str">
        <f t="shared" si="250"/>
        <v/>
      </c>
      <c r="C3394" s="1906" t="str">
        <f>Combate!X44</f>
        <v/>
      </c>
      <c r="D3394" s="2573" t="str">
        <f t="shared" si="101"/>
        <v/>
      </c>
      <c r="E3394" s="4898"/>
      <c r="G3394" s="2530" t="str">
        <f>IF(ISNA(VLOOKUP(A25,Principal!$S$42:$AH$69,10,FALSE)),"",IF(VLOOKUP(A25,Principal!$S$42:$AH$69,10,FALSE)=0,"",VLOOKUP(A25,Principal!$S$42:$AH$69,10,FALSE)))</f>
        <v/>
      </c>
      <c r="H3394" s="555" t="str">
        <f t="shared" si="103"/>
        <v/>
      </c>
      <c r="I3394" s="2580" t="str">
        <f>IF(ISNA(VLOOKUP(I$3369&amp;$A24,Principal!$U$42:$AH$69,8,FALSE)),"",VLOOKUP(I$3369&amp;$A24,Principal!$U$42:$AH$69,8,FALSE))</f>
        <v/>
      </c>
      <c r="J3394" s="555" t="str">
        <f t="shared" si="104"/>
        <v/>
      </c>
      <c r="K3394" s="2580" t="str">
        <f>IF(ISNA(VLOOKUP(K$3369&amp;$A24,Principal!$U$42:$AH$69,8,FALSE)),"",VLOOKUP(K$3369&amp;$A24,Principal!$U$42:$AH$69,8,FALSE))</f>
        <v/>
      </c>
      <c r="L3394" s="555" t="str">
        <f t="shared" si="104"/>
        <v/>
      </c>
      <c r="M3394" s="2580" t="str">
        <f>IF(ISNA(VLOOKUP(M$3369&amp;$A24,Principal!$U$42:$AH$69,8,FALSE)),"",VLOOKUP(M$3369&amp;$A24,Principal!$U$42:$AH$69,8,FALSE))</f>
        <v/>
      </c>
      <c r="N3394" s="555" t="str">
        <f t="shared" ref="N3394" si="275">IF(M3394="","",", "&amp;M3394)</f>
        <v/>
      </c>
      <c r="O3394" s="2580" t="str">
        <f>IF(ISNA(VLOOKUP(O$3369&amp;$A24,Principal!$U$42:$AH$69,8,FALSE)),"",VLOOKUP(O$3369&amp;$A24,Principal!$U$42:$AH$69,8,FALSE))</f>
        <v/>
      </c>
      <c r="P3394" s="555" t="str">
        <f t="shared" ref="P3394" si="276">IF(O3394="","",", "&amp;O3394)</f>
        <v/>
      </c>
      <c r="Q3394" s="2580" t="str">
        <f>IF(ISNA(VLOOKUP(Q$3369&amp;$A24,Principal!$U$42:$AH$69,8,FALSE)),"",VLOOKUP(Q$3369&amp;$A24,Principal!$U$42:$AH$69,8,FALSE))</f>
        <v/>
      </c>
      <c r="R3394" s="555" t="str">
        <f t="shared" ref="R3394" si="277">IF(Q3394="","",", "&amp;Q3394)</f>
        <v/>
      </c>
      <c r="S3394" s="2580" t="str">
        <f>IF(ISNA(VLOOKUP(S$3369&amp;$A24,Principal!$U$42:$AH$69,8,FALSE)),"",VLOOKUP(S$3369&amp;$A24,Principal!$U$42:$AH$69,8,FALSE))</f>
        <v/>
      </c>
      <c r="T3394" s="555" t="str">
        <f t="shared" ref="T3394" si="278">IF(S3394="","",", "&amp;S3394)</f>
        <v/>
      </c>
      <c r="U3394" s="2580" t="str">
        <f>IF(ISNA(VLOOKUP(U$3369&amp;$A24,Principal!$U$42:$AH$69,8,FALSE)),"",VLOOKUP(U$3369&amp;$A24,Principal!$U$42:$AH$69,8,FALSE))</f>
        <v/>
      </c>
      <c r="V3394" s="555" t="str">
        <f t="shared" ref="V3394" si="279">IF(U3394="","",", "&amp;U3394)</f>
        <v/>
      </c>
      <c r="W3394" s="2580" t="str">
        <f>IF(ISNA(VLOOKUP(W$3369&amp;$A24,Principal!$U$42:$AH$69,8,FALSE)),"",VLOOKUP(W$3369&amp;$A24,Principal!$U$42:$AH$69,8,FALSE))</f>
        <v/>
      </c>
      <c r="X3394" s="555" t="str">
        <f t="shared" ref="X3394" si="280">IF(W3394="","",", "&amp;W3394)</f>
        <v/>
      </c>
      <c r="Y3394" s="2580" t="str">
        <f>IF(ISNA(VLOOKUP(Y$3369&amp;$A24,Principal!$U$42:$AH$69,8,FALSE)),"",VLOOKUP(Y$3369&amp;$A24,Principal!$U$42:$AH$69,8,FALSE))</f>
        <v/>
      </c>
      <c r="Z3394" s="555" t="str">
        <f t="shared" ref="Z3394" si="281">IF(Y3394="","",", "&amp;Y3394)</f>
        <v/>
      </c>
      <c r="AA3394" s="2580" t="str">
        <f>IF(ISNA(VLOOKUP(AA$3369&amp;$A24,Principal!$U$42:$AH$69,8,FALSE)),"",VLOOKUP(AA$3369&amp;$A24,Principal!$U$42:$AH$69,8,FALSE))</f>
        <v/>
      </c>
      <c r="AB3394" s="2586" t="str">
        <f t="shared" ref="AB3394" si="282">IF(AA3394="","",", "&amp;AA3394)</f>
        <v/>
      </c>
      <c r="AC3394" s="2550" t="str">
        <f>IF(OR(AD3394=0,ISNUMBER(MATCH(AD3394,$AD$3372:$AD3393,0))),"",MAX($AC$3371:AC3393)+1)</f>
        <v/>
      </c>
      <c r="AD3394" s="2588">
        <f>Principal!V64</f>
        <v>0</v>
      </c>
    </row>
    <row r="3395" spans="2:30" ht="12.75" customHeight="1" x14ac:dyDescent="0.2">
      <c r="B3395" s="2684" t="str">
        <f t="shared" si="250"/>
        <v/>
      </c>
      <c r="C3395" s="1906" t="str">
        <f>Combate!X45</f>
        <v/>
      </c>
      <c r="D3395" s="2573" t="str">
        <f t="shared" si="101"/>
        <v/>
      </c>
      <c r="E3395" s="4898"/>
      <c r="G3395" s="2530" t="str">
        <f>IF(ISNA(VLOOKUP(A26,Principal!$S$42:$AH$69,10,FALSE)),"",IF(VLOOKUP(A26,Principal!$S$42:$AH$69,10,FALSE)=0,"",VLOOKUP(A26,Principal!$S$42:$AH$69,10,FALSE)))</f>
        <v/>
      </c>
      <c r="H3395" s="555" t="str">
        <f t="shared" si="103"/>
        <v/>
      </c>
      <c r="I3395" s="2580" t="str">
        <f>IF(ISNA(VLOOKUP(I$3369&amp;$A25,Principal!$U$42:$AH$69,8,FALSE)),"",VLOOKUP(I$3369&amp;$A25,Principal!$U$42:$AH$69,8,FALSE))</f>
        <v/>
      </c>
      <c r="J3395" s="555" t="str">
        <f t="shared" si="104"/>
        <v/>
      </c>
      <c r="K3395" s="2580" t="str">
        <f>IF(ISNA(VLOOKUP(K$3369&amp;$A25,Principal!$U$42:$AH$69,8,FALSE)),"",VLOOKUP(K$3369&amp;$A25,Principal!$U$42:$AH$69,8,FALSE))</f>
        <v/>
      </c>
      <c r="L3395" s="555" t="str">
        <f t="shared" si="104"/>
        <v/>
      </c>
      <c r="M3395" s="2580" t="str">
        <f>IF(ISNA(VLOOKUP(M$3369&amp;$A25,Principal!$U$42:$AH$69,8,FALSE)),"",VLOOKUP(M$3369&amp;$A25,Principal!$U$42:$AH$69,8,FALSE))</f>
        <v/>
      </c>
      <c r="N3395" s="555" t="str">
        <f t="shared" ref="N3395" si="283">IF(M3395="","",", "&amp;M3395)</f>
        <v/>
      </c>
      <c r="O3395" s="2580" t="str">
        <f>IF(ISNA(VLOOKUP(O$3369&amp;$A25,Principal!$U$42:$AH$69,8,FALSE)),"",VLOOKUP(O$3369&amp;$A25,Principal!$U$42:$AH$69,8,FALSE))</f>
        <v/>
      </c>
      <c r="P3395" s="555" t="str">
        <f t="shared" ref="P3395" si="284">IF(O3395="","",", "&amp;O3395)</f>
        <v/>
      </c>
      <c r="Q3395" s="2580" t="str">
        <f>IF(ISNA(VLOOKUP(Q$3369&amp;$A25,Principal!$U$42:$AH$69,8,FALSE)),"",VLOOKUP(Q$3369&amp;$A25,Principal!$U$42:$AH$69,8,FALSE))</f>
        <v/>
      </c>
      <c r="R3395" s="555" t="str">
        <f t="shared" ref="R3395" si="285">IF(Q3395="","",", "&amp;Q3395)</f>
        <v/>
      </c>
      <c r="S3395" s="2580" t="str">
        <f>IF(ISNA(VLOOKUP(S$3369&amp;$A25,Principal!$U$42:$AH$69,8,FALSE)),"",VLOOKUP(S$3369&amp;$A25,Principal!$U$42:$AH$69,8,FALSE))</f>
        <v/>
      </c>
      <c r="T3395" s="555" t="str">
        <f t="shared" ref="T3395" si="286">IF(S3395="","",", "&amp;S3395)</f>
        <v/>
      </c>
      <c r="U3395" s="2580" t="str">
        <f>IF(ISNA(VLOOKUP(U$3369&amp;$A25,Principal!$U$42:$AH$69,8,FALSE)),"",VLOOKUP(U$3369&amp;$A25,Principal!$U$42:$AH$69,8,FALSE))</f>
        <v/>
      </c>
      <c r="V3395" s="555" t="str">
        <f t="shared" ref="V3395" si="287">IF(U3395="","",", "&amp;U3395)</f>
        <v/>
      </c>
      <c r="W3395" s="2580" t="str">
        <f>IF(ISNA(VLOOKUP(W$3369&amp;$A25,Principal!$U$42:$AH$69,8,FALSE)),"",VLOOKUP(W$3369&amp;$A25,Principal!$U$42:$AH$69,8,FALSE))</f>
        <v/>
      </c>
      <c r="X3395" s="555" t="str">
        <f t="shared" ref="X3395" si="288">IF(W3395="","",", "&amp;W3395)</f>
        <v/>
      </c>
      <c r="Y3395" s="2580" t="str">
        <f>IF(ISNA(VLOOKUP(Y$3369&amp;$A25,Principal!$U$42:$AH$69,8,FALSE)),"",VLOOKUP(Y$3369&amp;$A25,Principal!$U$42:$AH$69,8,FALSE))</f>
        <v/>
      </c>
      <c r="Z3395" s="555" t="str">
        <f t="shared" ref="Z3395" si="289">IF(Y3395="","",", "&amp;Y3395)</f>
        <v/>
      </c>
      <c r="AA3395" s="2580" t="str">
        <f>IF(ISNA(VLOOKUP(AA$3369&amp;$A25,Principal!$U$42:$AH$69,8,FALSE)),"",VLOOKUP(AA$3369&amp;$A25,Principal!$U$42:$AH$69,8,FALSE))</f>
        <v/>
      </c>
      <c r="AB3395" s="2586" t="str">
        <f t="shared" ref="AB3395" si="290">IF(AA3395="","",", "&amp;AA3395)</f>
        <v/>
      </c>
      <c r="AC3395" s="2550" t="str">
        <f>IF(OR(AD3395=0,ISNUMBER(MATCH(AD3395,$AD$3372:$AD3394,0))),"",MAX($AC$3371:AC3394)+1)</f>
        <v/>
      </c>
      <c r="AD3395" s="2588">
        <f>Principal!V65</f>
        <v>0</v>
      </c>
    </row>
    <row r="3396" spans="2:30" ht="12.75" customHeight="1" x14ac:dyDescent="0.2">
      <c r="B3396" s="2684" t="str">
        <f t="shared" si="250"/>
        <v/>
      </c>
      <c r="C3396" s="1906" t="str">
        <f>Combate!X46</f>
        <v/>
      </c>
      <c r="D3396" s="2573" t="str">
        <f t="shared" si="101"/>
        <v/>
      </c>
      <c r="E3396" s="4898"/>
      <c r="G3396" s="2530" t="str">
        <f>IF(ISNA(VLOOKUP(A27,Principal!$S$42:$AH$69,10,FALSE)),"",IF(VLOOKUP(A27,Principal!$S$42:$AH$69,10,FALSE)=0,"",VLOOKUP(A27,Principal!$S$42:$AH$69,10,FALSE)))</f>
        <v/>
      </c>
      <c r="H3396" s="555" t="str">
        <f t="shared" si="103"/>
        <v/>
      </c>
      <c r="I3396" s="2580" t="str">
        <f>IF(ISNA(VLOOKUP(I$3369&amp;$A26,Principal!$U$42:$AH$69,8,FALSE)),"",VLOOKUP(I$3369&amp;$A26,Principal!$U$42:$AH$69,8,FALSE))</f>
        <v/>
      </c>
      <c r="J3396" s="555" t="str">
        <f t="shared" si="104"/>
        <v/>
      </c>
      <c r="K3396" s="2580" t="str">
        <f>IF(ISNA(VLOOKUP(K$3369&amp;$A26,Principal!$U$42:$AH$69,8,FALSE)),"",VLOOKUP(K$3369&amp;$A26,Principal!$U$42:$AH$69,8,FALSE))</f>
        <v/>
      </c>
      <c r="L3396" s="555" t="str">
        <f t="shared" si="104"/>
        <v/>
      </c>
      <c r="M3396" s="2580" t="str">
        <f>IF(ISNA(VLOOKUP(M$3369&amp;$A26,Principal!$U$42:$AH$69,8,FALSE)),"",VLOOKUP(M$3369&amp;$A26,Principal!$U$42:$AH$69,8,FALSE))</f>
        <v/>
      </c>
      <c r="N3396" s="555" t="str">
        <f t="shared" ref="N3396" si="291">IF(M3396="","",", "&amp;M3396)</f>
        <v/>
      </c>
      <c r="O3396" s="2580" t="str">
        <f>IF(ISNA(VLOOKUP(O$3369&amp;$A26,Principal!$U$42:$AH$69,8,FALSE)),"",VLOOKUP(O$3369&amp;$A26,Principal!$U$42:$AH$69,8,FALSE))</f>
        <v/>
      </c>
      <c r="P3396" s="555" t="str">
        <f t="shared" ref="P3396" si="292">IF(O3396="","",", "&amp;O3396)</f>
        <v/>
      </c>
      <c r="Q3396" s="2580" t="str">
        <f>IF(ISNA(VLOOKUP(Q$3369&amp;$A26,Principal!$U$42:$AH$69,8,FALSE)),"",VLOOKUP(Q$3369&amp;$A26,Principal!$U$42:$AH$69,8,FALSE))</f>
        <v/>
      </c>
      <c r="R3396" s="555" t="str">
        <f t="shared" ref="R3396" si="293">IF(Q3396="","",", "&amp;Q3396)</f>
        <v/>
      </c>
      <c r="S3396" s="2580" t="str">
        <f>IF(ISNA(VLOOKUP(S$3369&amp;$A26,Principal!$U$42:$AH$69,8,FALSE)),"",VLOOKUP(S$3369&amp;$A26,Principal!$U$42:$AH$69,8,FALSE))</f>
        <v/>
      </c>
      <c r="T3396" s="555" t="str">
        <f t="shared" ref="T3396" si="294">IF(S3396="","",", "&amp;S3396)</f>
        <v/>
      </c>
      <c r="U3396" s="2580" t="str">
        <f>IF(ISNA(VLOOKUP(U$3369&amp;$A26,Principal!$U$42:$AH$69,8,FALSE)),"",VLOOKUP(U$3369&amp;$A26,Principal!$U$42:$AH$69,8,FALSE))</f>
        <v/>
      </c>
      <c r="V3396" s="555" t="str">
        <f t="shared" ref="V3396" si="295">IF(U3396="","",", "&amp;U3396)</f>
        <v/>
      </c>
      <c r="W3396" s="2580" t="str">
        <f>IF(ISNA(VLOOKUP(W$3369&amp;$A26,Principal!$U$42:$AH$69,8,FALSE)),"",VLOOKUP(W$3369&amp;$A26,Principal!$U$42:$AH$69,8,FALSE))</f>
        <v/>
      </c>
      <c r="X3396" s="555" t="str">
        <f t="shared" ref="X3396" si="296">IF(W3396="","",", "&amp;W3396)</f>
        <v/>
      </c>
      <c r="Y3396" s="2580" t="str">
        <f>IF(ISNA(VLOOKUP(Y$3369&amp;$A26,Principal!$U$42:$AH$69,8,FALSE)),"",VLOOKUP(Y$3369&amp;$A26,Principal!$U$42:$AH$69,8,FALSE))</f>
        <v/>
      </c>
      <c r="Z3396" s="555" t="str">
        <f t="shared" ref="Z3396" si="297">IF(Y3396="","",", "&amp;Y3396)</f>
        <v/>
      </c>
      <c r="AA3396" s="2580" t="str">
        <f>IF(ISNA(VLOOKUP(AA$3369&amp;$A26,Principal!$U$42:$AH$69,8,FALSE)),"",VLOOKUP(AA$3369&amp;$A26,Principal!$U$42:$AH$69,8,FALSE))</f>
        <v/>
      </c>
      <c r="AB3396" s="2586" t="str">
        <f t="shared" ref="AB3396" si="298">IF(AA3396="","",", "&amp;AA3396)</f>
        <v/>
      </c>
      <c r="AC3396" s="2550" t="str">
        <f>IF(OR(AD3396=0,ISNUMBER(MATCH(AD3396,$AD$3372:$AD3395,0))),"",MAX($AC$3371:AC3395)+1)</f>
        <v/>
      </c>
      <c r="AD3396" s="2588">
        <f>Principal!V66</f>
        <v>0</v>
      </c>
    </row>
    <row r="3397" spans="2:30" ht="12.75" customHeight="1" x14ac:dyDescent="0.2">
      <c r="B3397" s="2684" t="str">
        <f t="shared" si="250"/>
        <v/>
      </c>
      <c r="C3397" s="1906" t="str">
        <f>Combate!X47</f>
        <v/>
      </c>
      <c r="D3397" s="2573" t="str">
        <f t="shared" si="101"/>
        <v/>
      </c>
      <c r="E3397" s="4898"/>
      <c r="G3397" s="2530" t="str">
        <f>IF(ISNA(VLOOKUP(A28,Principal!$S$42:$AH$69,10,FALSE)),"",IF(VLOOKUP(A28,Principal!$S$42:$AH$69,10,FALSE)=0,"",VLOOKUP(A28,Principal!$S$42:$AH$69,10,FALSE)))</f>
        <v/>
      </c>
      <c r="H3397" s="555" t="str">
        <f t="shared" si="103"/>
        <v/>
      </c>
      <c r="I3397" s="2580" t="str">
        <f>IF(ISNA(VLOOKUP(I$3369&amp;$A27,Principal!$U$42:$AH$69,8,FALSE)),"",VLOOKUP(I$3369&amp;$A27,Principal!$U$42:$AH$69,8,FALSE))</f>
        <v/>
      </c>
      <c r="J3397" s="555" t="str">
        <f t="shared" si="104"/>
        <v/>
      </c>
      <c r="K3397" s="2580" t="str">
        <f>IF(ISNA(VLOOKUP(K$3369&amp;$A27,Principal!$U$42:$AH$69,8,FALSE)),"",VLOOKUP(K$3369&amp;$A27,Principal!$U$42:$AH$69,8,FALSE))</f>
        <v/>
      </c>
      <c r="L3397" s="555" t="str">
        <f t="shared" si="104"/>
        <v/>
      </c>
      <c r="M3397" s="2580" t="str">
        <f>IF(ISNA(VLOOKUP(M$3369&amp;$A27,Principal!$U$42:$AH$69,8,FALSE)),"",VLOOKUP(M$3369&amp;$A27,Principal!$U$42:$AH$69,8,FALSE))</f>
        <v/>
      </c>
      <c r="N3397" s="555" t="str">
        <f t="shared" ref="N3397" si="299">IF(M3397="","",", "&amp;M3397)</f>
        <v/>
      </c>
      <c r="O3397" s="2580" t="str">
        <f>IF(ISNA(VLOOKUP(O$3369&amp;$A27,Principal!$U$42:$AH$69,8,FALSE)),"",VLOOKUP(O$3369&amp;$A27,Principal!$U$42:$AH$69,8,FALSE))</f>
        <v/>
      </c>
      <c r="P3397" s="555" t="str">
        <f t="shared" ref="P3397" si="300">IF(O3397="","",", "&amp;O3397)</f>
        <v/>
      </c>
      <c r="Q3397" s="2580" t="str">
        <f>IF(ISNA(VLOOKUP(Q$3369&amp;$A27,Principal!$U$42:$AH$69,8,FALSE)),"",VLOOKUP(Q$3369&amp;$A27,Principal!$U$42:$AH$69,8,FALSE))</f>
        <v/>
      </c>
      <c r="R3397" s="555" t="str">
        <f t="shared" ref="R3397" si="301">IF(Q3397="","",", "&amp;Q3397)</f>
        <v/>
      </c>
      <c r="S3397" s="2580" t="str">
        <f>IF(ISNA(VLOOKUP(S$3369&amp;$A27,Principal!$U$42:$AH$69,8,FALSE)),"",VLOOKUP(S$3369&amp;$A27,Principal!$U$42:$AH$69,8,FALSE))</f>
        <v/>
      </c>
      <c r="T3397" s="555" t="str">
        <f t="shared" ref="T3397" si="302">IF(S3397="","",", "&amp;S3397)</f>
        <v/>
      </c>
      <c r="U3397" s="2580" t="str">
        <f>IF(ISNA(VLOOKUP(U$3369&amp;$A27,Principal!$U$42:$AH$69,8,FALSE)),"",VLOOKUP(U$3369&amp;$A27,Principal!$U$42:$AH$69,8,FALSE))</f>
        <v/>
      </c>
      <c r="V3397" s="555" t="str">
        <f t="shared" ref="V3397" si="303">IF(U3397="","",", "&amp;U3397)</f>
        <v/>
      </c>
      <c r="W3397" s="2580" t="str">
        <f>IF(ISNA(VLOOKUP(W$3369&amp;$A27,Principal!$U$42:$AH$69,8,FALSE)),"",VLOOKUP(W$3369&amp;$A27,Principal!$U$42:$AH$69,8,FALSE))</f>
        <v/>
      </c>
      <c r="X3397" s="555" t="str">
        <f t="shared" ref="X3397" si="304">IF(W3397="","",", "&amp;W3397)</f>
        <v/>
      </c>
      <c r="Y3397" s="2580" t="str">
        <f>IF(ISNA(VLOOKUP(Y$3369&amp;$A27,Principal!$U$42:$AH$69,8,FALSE)),"",VLOOKUP(Y$3369&amp;$A27,Principal!$U$42:$AH$69,8,FALSE))</f>
        <v/>
      </c>
      <c r="Z3397" s="555" t="str">
        <f t="shared" ref="Z3397" si="305">IF(Y3397="","",", "&amp;Y3397)</f>
        <v/>
      </c>
      <c r="AA3397" s="2580" t="str">
        <f>IF(ISNA(VLOOKUP(AA$3369&amp;$A27,Principal!$U$42:$AH$69,8,FALSE)),"",VLOOKUP(AA$3369&amp;$A27,Principal!$U$42:$AH$69,8,FALSE))</f>
        <v/>
      </c>
      <c r="AB3397" s="2586" t="str">
        <f t="shared" ref="AB3397" si="306">IF(AA3397="","",", "&amp;AA3397)</f>
        <v/>
      </c>
      <c r="AC3397" s="2550" t="str">
        <f>IF(OR(AD3397=0,ISNUMBER(MATCH(AD3397,$AD$3372:$AD3396,0))),"",MAX($AC$3371:AC3396)+1)</f>
        <v/>
      </c>
      <c r="AD3397" s="2588">
        <f>Principal!V67</f>
        <v>0</v>
      </c>
    </row>
    <row r="3398" spans="2:30" ht="12.75" customHeight="1" x14ac:dyDescent="0.2">
      <c r="B3398" s="2684" t="str">
        <f t="shared" si="250"/>
        <v/>
      </c>
      <c r="C3398" s="1906" t="str">
        <f>Combate!X48</f>
        <v/>
      </c>
      <c r="D3398" s="2573" t="str">
        <f t="shared" si="101"/>
        <v/>
      </c>
      <c r="E3398" s="4898"/>
      <c r="G3398" s="2530" t="str">
        <f>IF(ISNA(VLOOKUP(A29,Principal!$S$42:$AH$69,10,FALSE)),"",IF(VLOOKUP(A29,Principal!$S$42:$AH$69,10,FALSE)=0,"",VLOOKUP(A29,Principal!$S$42:$AH$69,10,FALSE)))</f>
        <v/>
      </c>
      <c r="H3398" s="555" t="str">
        <f t="shared" si="103"/>
        <v/>
      </c>
      <c r="I3398" s="2580" t="str">
        <f>IF(ISNA(VLOOKUP(I$3369&amp;$A28,Principal!$U$42:$AH$69,8,FALSE)),"",VLOOKUP(I$3369&amp;$A28,Principal!$U$42:$AH$69,8,FALSE))</f>
        <v/>
      </c>
      <c r="J3398" s="555" t="str">
        <f t="shared" si="104"/>
        <v/>
      </c>
      <c r="K3398" s="2580" t="str">
        <f>IF(ISNA(VLOOKUP(K$3369&amp;$A28,Principal!$U$42:$AH$69,8,FALSE)),"",VLOOKUP(K$3369&amp;$A28,Principal!$U$42:$AH$69,8,FALSE))</f>
        <v/>
      </c>
      <c r="L3398" s="555" t="str">
        <f t="shared" si="104"/>
        <v/>
      </c>
      <c r="M3398" s="2580" t="str">
        <f>IF(ISNA(VLOOKUP(M$3369&amp;$A28,Principal!$U$42:$AH$69,8,FALSE)),"",VLOOKUP(M$3369&amp;$A28,Principal!$U$42:$AH$69,8,FALSE))</f>
        <v/>
      </c>
      <c r="N3398" s="555" t="str">
        <f t="shared" ref="N3398" si="307">IF(M3398="","",", "&amp;M3398)</f>
        <v/>
      </c>
      <c r="O3398" s="2580" t="str">
        <f>IF(ISNA(VLOOKUP(O$3369&amp;$A28,Principal!$U$42:$AH$69,8,FALSE)),"",VLOOKUP(O$3369&amp;$A28,Principal!$U$42:$AH$69,8,FALSE))</f>
        <v/>
      </c>
      <c r="P3398" s="555" t="str">
        <f t="shared" ref="P3398" si="308">IF(O3398="","",", "&amp;O3398)</f>
        <v/>
      </c>
      <c r="Q3398" s="2580" t="str">
        <f>IF(ISNA(VLOOKUP(Q$3369&amp;$A28,Principal!$U$42:$AH$69,8,FALSE)),"",VLOOKUP(Q$3369&amp;$A28,Principal!$U$42:$AH$69,8,FALSE))</f>
        <v/>
      </c>
      <c r="R3398" s="555" t="str">
        <f t="shared" ref="R3398" si="309">IF(Q3398="","",", "&amp;Q3398)</f>
        <v/>
      </c>
      <c r="S3398" s="2580" t="str">
        <f>IF(ISNA(VLOOKUP(S$3369&amp;$A28,Principal!$U$42:$AH$69,8,FALSE)),"",VLOOKUP(S$3369&amp;$A28,Principal!$U$42:$AH$69,8,FALSE))</f>
        <v/>
      </c>
      <c r="T3398" s="555" t="str">
        <f t="shared" ref="T3398" si="310">IF(S3398="","",", "&amp;S3398)</f>
        <v/>
      </c>
      <c r="U3398" s="2580" t="str">
        <f>IF(ISNA(VLOOKUP(U$3369&amp;$A28,Principal!$U$42:$AH$69,8,FALSE)),"",VLOOKUP(U$3369&amp;$A28,Principal!$U$42:$AH$69,8,FALSE))</f>
        <v/>
      </c>
      <c r="V3398" s="555" t="str">
        <f t="shared" ref="V3398" si="311">IF(U3398="","",", "&amp;U3398)</f>
        <v/>
      </c>
      <c r="W3398" s="2580" t="str">
        <f>IF(ISNA(VLOOKUP(W$3369&amp;$A28,Principal!$U$42:$AH$69,8,FALSE)),"",VLOOKUP(W$3369&amp;$A28,Principal!$U$42:$AH$69,8,FALSE))</f>
        <v/>
      </c>
      <c r="X3398" s="555" t="str">
        <f t="shared" ref="X3398" si="312">IF(W3398="","",", "&amp;W3398)</f>
        <v/>
      </c>
      <c r="Y3398" s="2580" t="str">
        <f>IF(ISNA(VLOOKUP(Y$3369&amp;$A28,Principal!$U$42:$AH$69,8,FALSE)),"",VLOOKUP(Y$3369&amp;$A28,Principal!$U$42:$AH$69,8,FALSE))</f>
        <v/>
      </c>
      <c r="Z3398" s="555" t="str">
        <f t="shared" ref="Z3398" si="313">IF(Y3398="","",", "&amp;Y3398)</f>
        <v/>
      </c>
      <c r="AA3398" s="2580" t="str">
        <f>IF(ISNA(VLOOKUP(AA$3369&amp;$A28,Principal!$U$42:$AH$69,8,FALSE)),"",VLOOKUP(AA$3369&amp;$A28,Principal!$U$42:$AH$69,8,FALSE))</f>
        <v/>
      </c>
      <c r="AB3398" s="2586" t="str">
        <f t="shared" ref="AB3398" si="314">IF(AA3398="","",", "&amp;AA3398)</f>
        <v/>
      </c>
      <c r="AC3398" s="2550" t="str">
        <f>IF(OR(AD3398=0,ISNUMBER(MATCH(AD3398,$AD$3372:$AD3397,0))),"",MAX($AC$3371:AC3397)+1)</f>
        <v/>
      </c>
      <c r="AD3398" s="2588">
        <f>Principal!V68</f>
        <v>0</v>
      </c>
    </row>
    <row r="3399" spans="2:30" ht="12.75" customHeight="1" x14ac:dyDescent="0.2">
      <c r="B3399" s="2684" t="str">
        <f t="shared" si="250"/>
        <v/>
      </c>
      <c r="C3399" s="1906" t="str">
        <f>Combate!X49</f>
        <v/>
      </c>
      <c r="D3399" s="2573" t="str">
        <f t="shared" si="101"/>
        <v/>
      </c>
      <c r="E3399" s="4898"/>
      <c r="G3399" s="2530" t="str">
        <f>IF(ISNA(VLOOKUP(A30,Principal!$S$42:$AH$69,10,FALSE)),"",IF(VLOOKUP(A30,Principal!$S$42:$AH$69,10,FALSE)=0,"",VLOOKUP(A30,Principal!$S$42:$AH$69,10,FALSE)))</f>
        <v/>
      </c>
      <c r="H3399" s="555" t="str">
        <f t="shared" si="103"/>
        <v/>
      </c>
      <c r="I3399" s="2580" t="str">
        <f>IF(ISNA(VLOOKUP(I$3369&amp;$A29,Principal!$U$42:$AH$69,8,FALSE)),"",VLOOKUP(I$3369&amp;$A29,Principal!$U$42:$AH$69,8,FALSE))</f>
        <v/>
      </c>
      <c r="J3399" s="555" t="str">
        <f t="shared" si="104"/>
        <v/>
      </c>
      <c r="K3399" s="2580" t="str">
        <f>IF(ISNA(VLOOKUP(K$3369&amp;$A29,Principal!$U$42:$AH$69,8,FALSE)),"",VLOOKUP(K$3369&amp;$A29,Principal!$U$42:$AH$69,8,FALSE))</f>
        <v/>
      </c>
      <c r="L3399" s="555" t="str">
        <f t="shared" si="104"/>
        <v/>
      </c>
      <c r="M3399" s="2580" t="str">
        <f>IF(ISNA(VLOOKUP(M$3369&amp;$A29,Principal!$U$42:$AH$69,8,FALSE)),"",VLOOKUP(M$3369&amp;$A29,Principal!$U$42:$AH$69,8,FALSE))</f>
        <v/>
      </c>
      <c r="N3399" s="555" t="str">
        <f t="shared" ref="N3399" si="315">IF(M3399="","",", "&amp;M3399)</f>
        <v/>
      </c>
      <c r="O3399" s="2580" t="str">
        <f>IF(ISNA(VLOOKUP(O$3369&amp;$A29,Principal!$U$42:$AH$69,8,FALSE)),"",VLOOKUP(O$3369&amp;$A29,Principal!$U$42:$AH$69,8,FALSE))</f>
        <v/>
      </c>
      <c r="P3399" s="555" t="str">
        <f t="shared" ref="P3399" si="316">IF(O3399="","",", "&amp;O3399)</f>
        <v/>
      </c>
      <c r="Q3399" s="2580" t="str">
        <f>IF(ISNA(VLOOKUP(Q$3369&amp;$A29,Principal!$U$42:$AH$69,8,FALSE)),"",VLOOKUP(Q$3369&amp;$A29,Principal!$U$42:$AH$69,8,FALSE))</f>
        <v/>
      </c>
      <c r="R3399" s="555" t="str">
        <f t="shared" ref="R3399" si="317">IF(Q3399="","",", "&amp;Q3399)</f>
        <v/>
      </c>
      <c r="S3399" s="2580" t="str">
        <f>IF(ISNA(VLOOKUP(S$3369&amp;$A29,Principal!$U$42:$AH$69,8,FALSE)),"",VLOOKUP(S$3369&amp;$A29,Principal!$U$42:$AH$69,8,FALSE))</f>
        <v/>
      </c>
      <c r="T3399" s="555" t="str">
        <f t="shared" ref="T3399" si="318">IF(S3399="","",", "&amp;S3399)</f>
        <v/>
      </c>
      <c r="U3399" s="2580" t="str">
        <f>IF(ISNA(VLOOKUP(U$3369&amp;$A29,Principal!$U$42:$AH$69,8,FALSE)),"",VLOOKUP(U$3369&amp;$A29,Principal!$U$42:$AH$69,8,FALSE))</f>
        <v/>
      </c>
      <c r="V3399" s="555" t="str">
        <f t="shared" ref="V3399" si="319">IF(U3399="","",", "&amp;U3399)</f>
        <v/>
      </c>
      <c r="W3399" s="2580" t="str">
        <f>IF(ISNA(VLOOKUP(W$3369&amp;$A29,Principal!$U$42:$AH$69,8,FALSE)),"",VLOOKUP(W$3369&amp;$A29,Principal!$U$42:$AH$69,8,FALSE))</f>
        <v/>
      </c>
      <c r="X3399" s="555" t="str">
        <f t="shared" ref="X3399" si="320">IF(W3399="","",", "&amp;W3399)</f>
        <v/>
      </c>
      <c r="Y3399" s="2580" t="str">
        <f>IF(ISNA(VLOOKUP(Y$3369&amp;$A29,Principal!$U$42:$AH$69,8,FALSE)),"",VLOOKUP(Y$3369&amp;$A29,Principal!$U$42:$AH$69,8,FALSE))</f>
        <v/>
      </c>
      <c r="Z3399" s="555" t="str">
        <f t="shared" ref="Z3399" si="321">IF(Y3399="","",", "&amp;Y3399)</f>
        <v/>
      </c>
      <c r="AA3399" s="2580" t="str">
        <f>IF(ISNA(VLOOKUP(AA$3369&amp;$A29,Principal!$U$42:$AH$69,8,FALSE)),"",VLOOKUP(AA$3369&amp;$A29,Principal!$U$42:$AH$69,8,FALSE))</f>
        <v/>
      </c>
      <c r="AB3399" s="2586" t="str">
        <f t="shared" ref="AB3399" si="322">IF(AA3399="","",", "&amp;AA3399)</f>
        <v/>
      </c>
      <c r="AC3399" s="2590" t="str">
        <f>IF(OR(AD3399=0,ISNUMBER(MATCH(AD3399,$AD$3372:$AD3398,0))),"",MAX($AC$3371:AC3398)+1)</f>
        <v/>
      </c>
      <c r="AD3399" s="2589">
        <f>Principal!V69</f>
        <v>0</v>
      </c>
    </row>
    <row r="3400" spans="2:30" ht="12.75" customHeight="1" x14ac:dyDescent="0.2">
      <c r="B3400" s="2680" t="str">
        <f t="shared" ref="B3400:B3407" si="323">IF(C3400="","",COUNTIF($C$3365:$C$3407,"&lt;="&amp;C3400)-SUMPRODUCT(--($C$3365:$C$3407="")))</f>
        <v/>
      </c>
      <c r="C3400" s="1906" t="str">
        <f>Combate!X50</f>
        <v/>
      </c>
      <c r="D3400" s="2573" t="str">
        <f t="shared" si="101"/>
        <v/>
      </c>
      <c r="E3400" s="4898"/>
      <c r="G3400" s="4900"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901"/>
      <c r="I3400" s="4869" t="str">
        <f>IF(I3369="","",I3369&amp;" ("&amp;J3371&amp;J3372&amp;J3373&amp;J3374&amp;J3375&amp;J3376&amp;J3377&amp;J3378&amp;J3379&amp;J3380&amp;J3381&amp;J3382&amp;J3383&amp;J3384&amp;J3385&amp;J3386&amp;J3387&amp;J3388&amp;J3389&amp;J3390&amp;J3391&amp;J3392&amp;J3393&amp;J3394&amp;J3395&amp;J3396&amp;J3397&amp;J3398&amp;J3399&amp;")")</f>
        <v/>
      </c>
      <c r="J3400" s="4869"/>
      <c r="K3400" s="4869" t="str">
        <f>IF(K3369="","",K3369&amp;" ("&amp;L3371&amp;L3372&amp;L3373&amp;L3374&amp;L3375&amp;L3376&amp;L3377&amp;L3378&amp;L3379&amp;L3380&amp;L3381&amp;L3382&amp;L3383&amp;L3384&amp;L3385&amp;L3386&amp;L3387&amp;L3388&amp;L3389&amp;L3390&amp;L3391&amp;L3392&amp;L3393&amp;L3394&amp;L3395&amp;L3396&amp;L3397&amp;L3398&amp;L3399&amp;")")</f>
        <v/>
      </c>
      <c r="L3400" s="4869"/>
      <c r="M3400" s="4869" t="str">
        <f>IF(M3369="","",M3369&amp;" ("&amp;N3371&amp;N3372&amp;N3373&amp;N3374&amp;N3375&amp;N3376&amp;N3377&amp;N3378&amp;N3379&amp;N3380&amp;N3381&amp;N3382&amp;N3383&amp;N3384&amp;N3385&amp;N3386&amp;N3387&amp;N3388&amp;N3389&amp;N3390&amp;N3391&amp;N3392&amp;N3393&amp;N3394&amp;N3395&amp;N3396&amp;N3397&amp;N3398&amp;N3399&amp;")")</f>
        <v/>
      </c>
      <c r="N3400" s="4869"/>
      <c r="O3400" s="4869" t="str">
        <f>IF(O3369="","",O3369&amp;" ("&amp;P3371&amp;P3372&amp;P3373&amp;P3374&amp;P3375&amp;P3376&amp;P3377&amp;P3378&amp;P3379&amp;P3380&amp;P3381&amp;P3382&amp;P3383&amp;P3384&amp;P3385&amp;P3386&amp;P3387&amp;P3388&amp;P3389&amp;P3390&amp;P3391&amp;P3392&amp;P3393&amp;P3394&amp;P3395&amp;P3396&amp;P3397&amp;P3398&amp;P3399&amp;")")</f>
        <v/>
      </c>
      <c r="P3400" s="4869"/>
      <c r="Q3400" s="4869" t="str">
        <f>IF(Q3369="","",Q3369&amp;" ("&amp;R3371&amp;R3372&amp;R3373&amp;R3374&amp;R3375&amp;R3376&amp;R3377&amp;R3378&amp;R3379&amp;R3380&amp;R3381&amp;R3382&amp;R3383&amp;R3384&amp;R3385&amp;R3386&amp;R3387&amp;R3388&amp;R3389&amp;R3390&amp;R3391&amp;R3392&amp;R3393&amp;R3394&amp;R3395&amp;R3396&amp;R3397&amp;R3398&amp;R3399&amp;")")</f>
        <v/>
      </c>
      <c r="R3400" s="4869"/>
      <c r="S3400" s="4869" t="str">
        <f>IF(S3369="","",S3369&amp;" ("&amp;T3371&amp;T3372&amp;T3373&amp;T3374&amp;T3375&amp;T3376&amp;T3377&amp;T3378&amp;T3379&amp;T3380&amp;T3381&amp;T3382&amp;T3383&amp;T3384&amp;T3385&amp;T3386&amp;T3387&amp;T3388&amp;T3389&amp;T3390&amp;T3391&amp;T3392&amp;T3393&amp;T3394&amp;T3395&amp;T3396&amp;T3397&amp;T3398&amp;T3399&amp;")")</f>
        <v/>
      </c>
      <c r="T3400" s="4869"/>
      <c r="U3400" s="4869" t="str">
        <f>IF(U3369="","",U3369&amp;" ("&amp;V3371&amp;V3372&amp;V3373&amp;V3374&amp;V3375&amp;V3376&amp;V3377&amp;V3378&amp;V3379&amp;V3380&amp;V3381&amp;V3382&amp;V3383&amp;V3384&amp;V3385&amp;V3386&amp;V3387&amp;V3388&amp;V3389&amp;V3390&amp;V3391&amp;V3392&amp;V3393&amp;V3394&amp;V3395&amp;V3396&amp;V3397&amp;V3398&amp;V3399&amp;")")</f>
        <v/>
      </c>
      <c r="V3400" s="4869"/>
      <c r="W3400" s="4869" t="str">
        <f>IF(W3369="","",W3369&amp;" ("&amp;X3371&amp;X3372&amp;X3373&amp;X3374&amp;X3375&amp;X3376&amp;X3377&amp;X3378&amp;X3379&amp;X3380&amp;X3381&amp;X3382&amp;X3383&amp;X3384&amp;X3385&amp;X3386&amp;X3387&amp;X3388&amp;X3389&amp;X3390&amp;X3391&amp;X3392&amp;X3393&amp;X3394&amp;X3395&amp;X3396&amp;X3397&amp;X3398&amp;X3399&amp;")")</f>
        <v/>
      </c>
      <c r="X3400" s="4869"/>
      <c r="Y3400" s="4869" t="str">
        <f>IF(Y3369="","",Y3369&amp;" ("&amp;Z3371&amp;Z3372&amp;Z3373&amp;Z3374&amp;Z3375&amp;Z3376&amp;Z3377&amp;Z3378&amp;Z3379&amp;Z3380&amp;Z3381&amp;Z3382&amp;Z3383&amp;Z3384&amp;Z3385&amp;Z3386&amp;Z3387&amp;Z3388&amp;Z3389&amp;Z3390&amp;Z3391&amp;Z3392&amp;Z3393&amp;Z3394&amp;Z3395&amp;Z3396&amp;Z3397&amp;Z3398&amp;Z3399&amp;")")</f>
        <v/>
      </c>
      <c r="Z3400" s="4869"/>
      <c r="AA3400" s="4869"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69"/>
    </row>
    <row r="3401" spans="2:30" ht="12.75" customHeight="1" x14ac:dyDescent="0.2">
      <c r="B3401" s="2680" t="str">
        <f t="shared" si="323"/>
        <v/>
      </c>
      <c r="C3401" s="1906" t="str">
        <f>Combate!X51</f>
        <v/>
      </c>
      <c r="D3401" s="2573" t="str">
        <f t="shared" si="101"/>
        <v/>
      </c>
      <c r="E3401" s="4898"/>
      <c r="G3401" s="4900"/>
      <c r="H3401" s="4901"/>
      <c r="I3401" s="4870" t="str">
        <f>CONCATENATE(I3400:AB3400)</f>
        <v/>
      </c>
      <c r="J3401" s="4870"/>
      <c r="K3401" s="4870"/>
      <c r="L3401" s="4870"/>
      <c r="M3401" s="4870"/>
      <c r="N3401" s="4870"/>
      <c r="O3401" s="4870"/>
      <c r="P3401" s="4870"/>
      <c r="Q3401" s="4870"/>
      <c r="R3401" s="4870"/>
      <c r="S3401" s="4870"/>
      <c r="T3401" s="4870"/>
      <c r="U3401" s="4870"/>
      <c r="V3401" s="4870"/>
      <c r="W3401" s="4870"/>
      <c r="X3401" s="4870"/>
      <c r="Y3401" s="4870"/>
      <c r="Z3401" s="4870"/>
      <c r="AA3401" s="4870"/>
      <c r="AB3401" s="4871"/>
    </row>
    <row r="3402" spans="2:30" ht="12.75" customHeight="1" x14ac:dyDescent="0.2">
      <c r="B3402" s="2680" t="str">
        <f t="shared" si="323"/>
        <v/>
      </c>
      <c r="C3402" s="1906" t="str">
        <f>Combate!X52</f>
        <v/>
      </c>
      <c r="D3402" s="2573" t="str">
        <f t="shared" si="101"/>
        <v/>
      </c>
      <c r="E3402" s="4898"/>
      <c r="G3402" s="4892" t="str">
        <f>I3401&amp;IF(I3401="",G3400,", "&amp;G3400)</f>
        <v>Armadura física: TA 8</v>
      </c>
      <c r="H3402" s="4893"/>
      <c r="I3402" s="4893"/>
      <c r="J3402" s="4893"/>
      <c r="K3402" s="4893"/>
      <c r="L3402" s="4893"/>
      <c r="M3402" s="4893"/>
      <c r="N3402" s="4893"/>
      <c r="O3402" s="4893"/>
      <c r="P3402" s="4893"/>
      <c r="Q3402" s="4893"/>
      <c r="R3402" s="4893"/>
      <c r="S3402" s="4893"/>
      <c r="T3402" s="4893"/>
      <c r="U3402" s="4893"/>
      <c r="V3402" s="4893"/>
      <c r="W3402" s="4893"/>
      <c r="X3402" s="4893"/>
      <c r="Y3402" s="4893"/>
      <c r="Z3402" s="4893"/>
      <c r="AA3402" s="4893"/>
      <c r="AB3402" s="4894"/>
    </row>
    <row r="3403" spans="2:30" ht="12.75" customHeight="1" thickBot="1" x14ac:dyDescent="0.25">
      <c r="B3403" s="2680" t="str">
        <f t="shared" si="323"/>
        <v/>
      </c>
      <c r="C3403" s="2272" t="str">
        <f>Combate!X55</f>
        <v/>
      </c>
      <c r="D3403" s="2573" t="str">
        <f t="shared" si="101"/>
        <v/>
      </c>
      <c r="E3403" s="4898"/>
      <c r="G3403" s="4895"/>
      <c r="H3403" s="4896"/>
      <c r="I3403" s="4896"/>
      <c r="J3403" s="4896"/>
      <c r="K3403" s="4896"/>
      <c r="L3403" s="4896"/>
      <c r="M3403" s="4896"/>
      <c r="N3403" s="4896"/>
      <c r="O3403" s="4896"/>
      <c r="P3403" s="4896"/>
      <c r="Q3403" s="4896"/>
      <c r="R3403" s="4896"/>
      <c r="S3403" s="4896"/>
      <c r="T3403" s="4896"/>
      <c r="U3403" s="4896"/>
      <c r="V3403" s="4896"/>
      <c r="W3403" s="4896"/>
      <c r="X3403" s="4896"/>
      <c r="Y3403" s="4896"/>
      <c r="Z3403" s="4896"/>
      <c r="AA3403" s="4896"/>
      <c r="AB3403" s="4897"/>
    </row>
    <row r="3404" spans="2:30" ht="12.75" customHeight="1" x14ac:dyDescent="0.2">
      <c r="B3404" s="2680" t="str">
        <f t="shared" si="323"/>
        <v/>
      </c>
      <c r="C3404" s="1906" t="str">
        <f>Combate!X57</f>
        <v/>
      </c>
      <c r="D3404" s="2573" t="str">
        <f t="shared" si="101"/>
        <v/>
      </c>
      <c r="E3404" s="4898"/>
      <c r="G3404" s="2581"/>
      <c r="H3404" s="2581"/>
      <c r="I3404" s="2581"/>
      <c r="J3404" s="2581"/>
      <c r="K3404" s="2581"/>
      <c r="L3404" s="2581"/>
      <c r="M3404" s="2581"/>
      <c r="N3404" s="2581"/>
      <c r="O3404" s="2581"/>
      <c r="P3404" s="2581"/>
      <c r="Q3404" s="2581"/>
      <c r="R3404" s="2581"/>
      <c r="S3404" s="2581"/>
    </row>
    <row r="3405" spans="2:30" ht="12.75" customHeight="1" x14ac:dyDescent="0.2">
      <c r="B3405" s="2680" t="str">
        <f t="shared" si="323"/>
        <v/>
      </c>
      <c r="C3405" s="1906" t="str">
        <f>Combate!X59</f>
        <v/>
      </c>
      <c r="D3405" s="2573" t="str">
        <f t="shared" si="101"/>
        <v/>
      </c>
      <c r="E3405" s="4898"/>
      <c r="G3405" s="2581"/>
      <c r="H3405" s="2581"/>
      <c r="I3405" s="2581"/>
      <c r="J3405" s="2581"/>
      <c r="K3405" s="2581"/>
      <c r="L3405" s="2581"/>
      <c r="M3405" s="2581"/>
      <c r="N3405" s="2581"/>
      <c r="O3405" s="2581"/>
      <c r="P3405" s="2581"/>
      <c r="Q3405" s="2581"/>
      <c r="R3405" s="2581"/>
      <c r="S3405" s="2581"/>
    </row>
    <row r="3406" spans="2:30" ht="12.75" customHeight="1" x14ac:dyDescent="0.2">
      <c r="B3406" s="2680" t="str">
        <f t="shared" si="323"/>
        <v/>
      </c>
      <c r="C3406" s="1906" t="str">
        <f>Combate!X61</f>
        <v/>
      </c>
      <c r="D3406" s="2573" t="str">
        <f t="shared" si="101"/>
        <v/>
      </c>
      <c r="E3406" s="4898"/>
    </row>
    <row r="3407" spans="2:30" ht="12.75" customHeight="1" thickBot="1" x14ac:dyDescent="0.25">
      <c r="B3407" s="2682" t="str">
        <f t="shared" si="323"/>
        <v/>
      </c>
      <c r="C3407" s="1907" t="str">
        <f>Combate!X63</f>
        <v/>
      </c>
      <c r="D3407" s="2574" t="str">
        <f t="shared" si="101"/>
        <v/>
      </c>
      <c r="E3407" s="4899"/>
    </row>
    <row r="3409" spans="2:13" ht="12.75" customHeight="1" thickBot="1" x14ac:dyDescent="0.25"/>
    <row r="3410" spans="2:13" ht="12.75" customHeight="1" thickBot="1" x14ac:dyDescent="0.25">
      <c r="B3410" s="4774" t="s">
        <v>1096</v>
      </c>
      <c r="C3410" s="4774"/>
      <c r="D3410" s="4774"/>
      <c r="E3410" s="4774"/>
      <c r="F3410" s="4774"/>
      <c r="H3410" s="4874" t="s">
        <v>8913</v>
      </c>
      <c r="I3410" s="4876"/>
      <c r="K3410" s="3028" t="s">
        <v>1095</v>
      </c>
      <c r="L3410" s="3028"/>
      <c r="M3410" s="1855"/>
    </row>
    <row r="3411" spans="2:13" ht="12.75" customHeight="1" thickBot="1" x14ac:dyDescent="0.25">
      <c r="B3411" s="4774"/>
      <c r="C3411" s="4774"/>
      <c r="D3411" s="4774"/>
      <c r="E3411" s="4774"/>
      <c r="F3411" s="4774"/>
      <c r="H3411" s="4877"/>
      <c r="I3411" s="4879"/>
      <c r="J3411" s="1955"/>
      <c r="K3411" s="3028"/>
      <c r="L3411" s="3028"/>
      <c r="M3411" s="1855"/>
    </row>
    <row r="3412" spans="2:13" ht="12.75" customHeight="1" thickBot="1" x14ac:dyDescent="0.25">
      <c r="B3412" s="4873" t="s">
        <v>2295</v>
      </c>
      <c r="C3412" s="4873"/>
      <c r="D3412" s="4873"/>
      <c r="E3412" s="453" t="s">
        <v>2209</v>
      </c>
      <c r="F3412" s="454" t="s">
        <v>2365</v>
      </c>
      <c r="H3412" s="2000" t="s">
        <v>8914</v>
      </c>
      <c r="I3412" s="1956"/>
      <c r="J3412" s="1955"/>
      <c r="K3412" s="70" t="str">
        <f>IF(Combate!X55="","",IF(SUM(Ki!U23:U63)=0,"Magnus ("&amp;Combate!X55&amp;")",", Magnus ("&amp;Combate!X55&amp;")"))</f>
        <v/>
      </c>
      <c r="L3412" s="75"/>
      <c r="M3412" s="1855"/>
    </row>
    <row r="3413" spans="2:13" ht="12.75" customHeight="1" x14ac:dyDescent="0.2">
      <c r="B3413" s="1860" t="str">
        <f>VLOOKUP(A1,$C$3413:$D$3457,2,0)</f>
        <v>&gt; ARCANOS</v>
      </c>
      <c r="C3413" s="2723">
        <f>COUNTIF($D$3413:$D$3457,"&lt;="&amp;D3413)</f>
        <v>1</v>
      </c>
      <c r="D3413" s="665" t="s">
        <v>1097</v>
      </c>
      <c r="E3413" s="680"/>
      <c r="F3413" s="667"/>
      <c r="H3413" s="2000" t="s">
        <v>8915</v>
      </c>
      <c r="I3413" s="1956"/>
      <c r="J3413" s="1955"/>
      <c r="K3413" s="70" t="str">
        <f>IF(Combate!X57="","",", Magnus ("&amp;Combate!X57&amp;")")</f>
        <v/>
      </c>
      <c r="L3413" s="75"/>
      <c r="M3413" s="1855"/>
    </row>
    <row r="3414" spans="2:13" ht="12.75" customHeight="1" x14ac:dyDescent="0.2">
      <c r="B3414" s="1860" t="str">
        <f t="shared" ref="B3414:B3457" si="324">VLOOKUP(A2,$C$3413:$D$3457,2,0)</f>
        <v>El Carro</v>
      </c>
      <c r="C3414" s="2723">
        <f t="shared" ref="C3414:C3457" si="325">COUNTIF($D$3413:$D$3457,"&lt;="&amp;D3414)</f>
        <v>16</v>
      </c>
      <c r="D3414" s="668" t="s">
        <v>1098</v>
      </c>
      <c r="E3414" s="681">
        <v>120</v>
      </c>
      <c r="F3414" s="667">
        <v>100</v>
      </c>
      <c r="H3414" s="2000" t="s">
        <v>8916</v>
      </c>
      <c r="I3414" s="1956"/>
      <c r="J3414" s="1955"/>
      <c r="K3414" s="70" t="str">
        <f>IF(Combate!X59="","",", Magnus ("&amp;Combate!X59&amp;")")</f>
        <v/>
      </c>
      <c r="L3414" s="75"/>
      <c r="M3414" s="1855"/>
    </row>
    <row r="3415" spans="2:13" ht="12.75" customHeight="1" x14ac:dyDescent="0.2">
      <c r="B3415" s="1860" t="str">
        <f t="shared" si="324"/>
        <v>El Carro invertido</v>
      </c>
      <c r="C3415" s="2723">
        <f t="shared" si="325"/>
        <v>12</v>
      </c>
      <c r="D3415" s="455" t="s">
        <v>1099</v>
      </c>
      <c r="E3415" s="290">
        <v>130</v>
      </c>
      <c r="F3415" s="312">
        <v>100</v>
      </c>
      <c r="H3415" s="2000" t="s">
        <v>8917</v>
      </c>
      <c r="I3415" s="1956"/>
      <c r="J3415" s="1955"/>
      <c r="K3415" s="70" t="str">
        <f>IF(Combate!X61="","",", Magnus ("&amp;Combate!X61&amp;")")</f>
        <v/>
      </c>
      <c r="L3415" s="75"/>
      <c r="M3415" s="1855"/>
    </row>
    <row r="3416" spans="2:13" ht="12.75" customHeight="1" thickBot="1" x14ac:dyDescent="0.25">
      <c r="B3416" s="1860" t="str">
        <f t="shared" si="324"/>
        <v>El Colgado</v>
      </c>
      <c r="C3416" s="2723">
        <f t="shared" si="325"/>
        <v>38</v>
      </c>
      <c r="D3416" s="455" t="s">
        <v>1100</v>
      </c>
      <c r="E3416" s="290">
        <v>140</v>
      </c>
      <c r="F3416" s="312">
        <v>150</v>
      </c>
      <c r="H3416" s="2000" t="s">
        <v>8822</v>
      </c>
      <c r="I3416" s="1956"/>
      <c r="J3416" s="1955"/>
      <c r="K3416" s="221" t="str">
        <f>IF(Combate!X63="","",", Magnus ("&amp;Combate!X63&amp;")")</f>
        <v/>
      </c>
      <c r="L3416" s="223"/>
      <c r="M3416" s="1855"/>
    </row>
    <row r="3417" spans="2:13" ht="12.75" customHeight="1" x14ac:dyDescent="0.2">
      <c r="B3417" s="1860" t="str">
        <f t="shared" si="324"/>
        <v>El Colgado invertido</v>
      </c>
      <c r="C3417" s="2723">
        <f t="shared" si="325"/>
        <v>24</v>
      </c>
      <c r="D3417" s="455" t="s">
        <v>1101</v>
      </c>
      <c r="E3417" s="290">
        <v>150</v>
      </c>
      <c r="F3417" s="312">
        <v>200</v>
      </c>
      <c r="H3417" s="2000" t="s">
        <v>8918</v>
      </c>
      <c r="I3417" s="1956"/>
      <c r="J3417" s="1955"/>
      <c r="M3417" s="1855"/>
    </row>
    <row r="3418" spans="2:13" ht="12.75" customHeight="1" x14ac:dyDescent="0.2">
      <c r="B3418" s="1860" t="str">
        <f t="shared" si="324"/>
        <v>El Diablo</v>
      </c>
      <c r="C3418" s="2723">
        <f t="shared" si="325"/>
        <v>8</v>
      </c>
      <c r="D3418" s="455" t="s">
        <v>1102</v>
      </c>
      <c r="E3418" s="290">
        <v>160</v>
      </c>
      <c r="F3418" s="312">
        <v>200</v>
      </c>
      <c r="H3418" s="2000" t="s">
        <v>8919</v>
      </c>
      <c r="I3418" s="1956"/>
      <c r="J3418" s="1955"/>
      <c r="K3418"/>
      <c r="L3418"/>
    </row>
    <row r="3419" spans="2:13" ht="12.75" customHeight="1" x14ac:dyDescent="0.2">
      <c r="B3419" s="1860" t="str">
        <f t="shared" si="324"/>
        <v>El Diablo invertido</v>
      </c>
      <c r="C3419" s="2723">
        <f t="shared" si="325"/>
        <v>22</v>
      </c>
      <c r="D3419" s="455" t="s">
        <v>1103</v>
      </c>
      <c r="E3419" s="290">
        <v>170</v>
      </c>
      <c r="F3419" s="312">
        <v>250</v>
      </c>
      <c r="H3419" s="2000" t="s">
        <v>8920</v>
      </c>
      <c r="I3419" s="1956"/>
      <c r="J3419" s="1955"/>
    </row>
    <row r="3420" spans="2:13" ht="12.75" customHeight="1" x14ac:dyDescent="0.2">
      <c r="B3420" s="1860" t="str">
        <f t="shared" si="324"/>
        <v>El Emperador</v>
      </c>
      <c r="C3420" s="2723">
        <f t="shared" si="325"/>
        <v>44</v>
      </c>
      <c r="D3420" s="455" t="s">
        <v>1104</v>
      </c>
      <c r="E3420" s="290">
        <v>180</v>
      </c>
      <c r="F3420" s="312">
        <v>250</v>
      </c>
      <c r="H3420" s="2000" t="s">
        <v>8921</v>
      </c>
      <c r="I3420" s="1956"/>
      <c r="J3420" s="1955"/>
    </row>
    <row r="3421" spans="2:13" ht="12.75" customHeight="1" x14ac:dyDescent="0.2">
      <c r="B3421" s="1860" t="str">
        <f t="shared" si="324"/>
        <v>El Emperador invertido</v>
      </c>
      <c r="C3421" s="2723">
        <f t="shared" si="325"/>
        <v>2</v>
      </c>
      <c r="D3421" s="455" t="s">
        <v>1105</v>
      </c>
      <c r="E3421" s="290">
        <v>190</v>
      </c>
      <c r="F3421" s="312">
        <v>300</v>
      </c>
      <c r="H3421" s="2000" t="s">
        <v>8922</v>
      </c>
      <c r="I3421" s="1956"/>
      <c r="J3421" s="1955"/>
      <c r="K3421" s="756"/>
      <c r="L3421" s="756"/>
    </row>
    <row r="3422" spans="2:13" ht="12.75" customHeight="1" x14ac:dyDescent="0.2">
      <c r="B3422" s="1860" t="str">
        <f t="shared" si="324"/>
        <v>El Ermitaño</v>
      </c>
      <c r="C3422" s="2723">
        <f t="shared" si="325"/>
        <v>28</v>
      </c>
      <c r="D3422" s="455" t="s">
        <v>1106</v>
      </c>
      <c r="E3422" s="290">
        <v>200</v>
      </c>
      <c r="F3422" s="312">
        <v>350</v>
      </c>
      <c r="H3422" s="2000" t="s">
        <v>8923</v>
      </c>
      <c r="I3422" s="1956"/>
      <c r="J3422" s="1955"/>
      <c r="K3422" s="756"/>
      <c r="L3422" s="756"/>
    </row>
    <row r="3423" spans="2:13" ht="12.75" customHeight="1" x14ac:dyDescent="0.2">
      <c r="B3423" s="1860" t="str">
        <f t="shared" si="324"/>
        <v>El Ermitaño invertido</v>
      </c>
      <c r="C3423" s="2723">
        <f t="shared" si="325"/>
        <v>10</v>
      </c>
      <c r="D3423" s="455" t="s">
        <v>1107</v>
      </c>
      <c r="E3423" s="290">
        <v>220</v>
      </c>
      <c r="F3423" s="312">
        <v>400</v>
      </c>
      <c r="H3423" s="2000" t="s">
        <v>8924</v>
      </c>
      <c r="I3423" s="1956"/>
      <c r="J3423" s="1955"/>
      <c r="K3423" s="756"/>
      <c r="L3423" s="756"/>
    </row>
    <row r="3424" spans="2:13" ht="12.75" customHeight="1" x14ac:dyDescent="0.2">
      <c r="B3424" s="1860" t="str">
        <f t="shared" si="324"/>
        <v>El Hierofante</v>
      </c>
      <c r="C3424" s="2723">
        <f t="shared" si="325"/>
        <v>36</v>
      </c>
      <c r="D3424" s="455" t="s">
        <v>1108</v>
      </c>
      <c r="E3424" s="290">
        <v>240</v>
      </c>
      <c r="F3424" s="312">
        <v>450</v>
      </c>
      <c r="H3424" s="2000" t="s">
        <v>8925</v>
      </c>
      <c r="I3424" s="1956"/>
      <c r="J3424" s="1955"/>
      <c r="K3424" s="756"/>
      <c r="L3424" s="756"/>
    </row>
    <row r="3425" spans="2:22" ht="12.75" customHeight="1" thickBot="1" x14ac:dyDescent="0.25">
      <c r="B3425" s="1860" t="str">
        <f t="shared" si="324"/>
        <v>El Hierofante invertido</v>
      </c>
      <c r="C3425" s="2723">
        <f t="shared" si="325"/>
        <v>30</v>
      </c>
      <c r="D3425" s="455" t="s">
        <v>1109</v>
      </c>
      <c r="E3425" s="290">
        <v>260</v>
      </c>
      <c r="F3425" s="312">
        <v>500</v>
      </c>
      <c r="H3425" s="2001" t="s">
        <v>8926</v>
      </c>
      <c r="I3425" s="1957"/>
      <c r="J3425" s="1955"/>
      <c r="K3425" s="756"/>
      <c r="L3425" s="756"/>
    </row>
    <row r="3426" spans="2:22" ht="12.75" customHeight="1" thickBot="1" x14ac:dyDescent="0.25">
      <c r="B3426" s="1860" t="str">
        <f t="shared" si="324"/>
        <v>El Juicio</v>
      </c>
      <c r="C3426" s="2723">
        <f t="shared" si="325"/>
        <v>4</v>
      </c>
      <c r="D3426" s="455" t="s">
        <v>1110</v>
      </c>
      <c r="E3426" s="290">
        <v>280</v>
      </c>
      <c r="F3426" s="312">
        <v>550</v>
      </c>
      <c r="H3426" s="1962"/>
      <c r="I3426" s="1955"/>
      <c r="J3426" s="1955"/>
      <c r="K3426" s="756"/>
      <c r="L3426" s="756"/>
    </row>
    <row r="3427" spans="2:22" ht="12.75" customHeight="1" thickBot="1" x14ac:dyDescent="0.25">
      <c r="B3427" s="1860" t="str">
        <f t="shared" si="324"/>
        <v>El Juicio invertido</v>
      </c>
      <c r="C3427" s="2723">
        <f t="shared" si="325"/>
        <v>34</v>
      </c>
      <c r="D3427" s="455" t="s">
        <v>1111</v>
      </c>
      <c r="E3427" s="290">
        <v>300</v>
      </c>
      <c r="F3427" s="312">
        <v>600</v>
      </c>
      <c r="I3427" s="4874" t="s">
        <v>2700</v>
      </c>
      <c r="J3427" s="4875"/>
      <c r="K3427" s="4875"/>
      <c r="L3427" s="4875"/>
      <c r="M3427" s="4876"/>
      <c r="N3427" s="2309" t="s">
        <v>9449</v>
      </c>
      <c r="O3427" s="2194"/>
      <c r="P3427" s="2195">
        <f>COUNTIF(M3431:M3612,"&gt;0")</f>
        <v>0</v>
      </c>
    </row>
    <row r="3428" spans="2:22" ht="12.75" customHeight="1" x14ac:dyDescent="0.2">
      <c r="B3428" s="1860" t="str">
        <f t="shared" si="324"/>
        <v>El Loco</v>
      </c>
      <c r="C3428" s="2723">
        <f t="shared" si="325"/>
        <v>40</v>
      </c>
      <c r="D3428" s="455" t="s">
        <v>1112</v>
      </c>
      <c r="E3428" s="290">
        <v>320</v>
      </c>
      <c r="F3428" s="312">
        <v>650</v>
      </c>
      <c r="I3428" s="4877"/>
      <c r="J3428" s="4878"/>
      <c r="K3428" s="4878"/>
      <c r="L3428" s="4878"/>
      <c r="M3428" s="4879"/>
      <c r="N3428" s="2310" t="s">
        <v>9119</v>
      </c>
      <c r="O3428" s="4880" t="s">
        <v>2251</v>
      </c>
      <c r="P3428" s="4881"/>
      <c r="Q3428" s="4881"/>
      <c r="R3428" s="4881"/>
      <c r="S3428" s="4881"/>
      <c r="T3428" s="4882"/>
    </row>
    <row r="3429" spans="2:22" ht="12.75" customHeight="1" x14ac:dyDescent="0.2">
      <c r="B3429" s="1860" t="str">
        <f t="shared" si="324"/>
        <v>El Loco invertido</v>
      </c>
      <c r="C3429" s="2723">
        <f t="shared" si="325"/>
        <v>6</v>
      </c>
      <c r="D3429" s="455" t="s">
        <v>1113</v>
      </c>
      <c r="E3429" s="290">
        <v>340</v>
      </c>
      <c r="F3429" s="312">
        <v>700</v>
      </c>
      <c r="H3429" s="4883" t="s">
        <v>9450</v>
      </c>
      <c r="I3429" s="2002" t="s">
        <v>2295</v>
      </c>
      <c r="J3429" s="1960" t="s">
        <v>2700</v>
      </c>
      <c r="K3429" s="1960" t="s">
        <v>1327</v>
      </c>
      <c r="L3429" s="1960" t="s">
        <v>2345</v>
      </c>
      <c r="M3429" s="1963" t="s">
        <v>8927</v>
      </c>
      <c r="N3429" s="2311"/>
      <c r="O3429" s="4922" t="s">
        <v>9120</v>
      </c>
      <c r="P3429" s="4866"/>
      <c r="Q3429" s="4866" t="s">
        <v>9121</v>
      </c>
      <c r="R3429" s="4866"/>
      <c r="S3429" s="4866" t="s">
        <v>9122</v>
      </c>
      <c r="T3429" s="4872"/>
    </row>
    <row r="3430" spans="2:22" ht="12.75" customHeight="1" x14ac:dyDescent="0.2">
      <c r="B3430" s="1860" t="str">
        <f t="shared" si="324"/>
        <v>El Mundo</v>
      </c>
      <c r="C3430" s="2723">
        <f t="shared" si="325"/>
        <v>42</v>
      </c>
      <c r="D3430" s="455" t="s">
        <v>1114</v>
      </c>
      <c r="E3430" s="290">
        <v>360</v>
      </c>
      <c r="F3430" s="312">
        <v>750</v>
      </c>
      <c r="H3430" s="4883"/>
      <c r="I3430" s="2004" t="s">
        <v>8914</v>
      </c>
      <c r="J3430" s="1961"/>
      <c r="K3430" s="1961"/>
      <c r="L3430" s="1961"/>
      <c r="M3430" s="2003"/>
      <c r="N3430" s="2004" t="str">
        <f>I3430</f>
        <v>Mikael</v>
      </c>
      <c r="O3430" s="2208" t="str">
        <f>I3430</f>
        <v>Mikael</v>
      </c>
      <c r="P3430" s="2201" t="str">
        <f t="array" ref="P3430:V3430">TRANSPOSE(O3431:O3442)</f>
        <v>Devolver la esperanza a un individuo</v>
      </c>
      <c r="Q3430" s="2201" t="str">
        <v>Devolver la esperanza a un gran número de personas</v>
      </c>
      <c r="R3430" s="2201" t="str">
        <v>Salvar la vida a alguien</v>
      </c>
      <c r="S3430" s="2201" t="str">
        <v>Ayudar realmente a alguien necesitado</v>
      </c>
      <c r="T3430" s="2201" t="str">
        <v>Deshacer un mal menor</v>
      </c>
      <c r="U3430" s="2200" t="str">
        <v>Deshacer un mal mayor</v>
      </c>
      <c r="V3430" s="2200">
        <v>0</v>
      </c>
    </row>
    <row r="3431" spans="2:22" ht="12.75" customHeight="1" x14ac:dyDescent="0.2">
      <c r="B3431" s="1860" t="str">
        <f t="shared" si="324"/>
        <v>El Mundo invertido</v>
      </c>
      <c r="C3431" s="2723">
        <f t="shared" si="325"/>
        <v>26</v>
      </c>
      <c r="D3431" s="455" t="s">
        <v>1115</v>
      </c>
      <c r="E3431" s="290">
        <v>380</v>
      </c>
      <c r="F3431" s="312">
        <v>800</v>
      </c>
      <c r="H3431" s="1958">
        <f>IF(OR(M3431=0),0,SUM($M$3430:M3430)+1)</f>
        <v>0</v>
      </c>
      <c r="I3431" s="2000" t="s">
        <v>8928</v>
      </c>
      <c r="J3431" s="1958">
        <v>10</v>
      </c>
      <c r="K3431" s="1959">
        <v>1</v>
      </c>
      <c r="L3431" s="1959">
        <v>5</v>
      </c>
      <c r="M3431" s="2005">
        <f>COUNTIF('Elan y Personalización'!$C$13:$F$25,Tablas!I3431)+COUNTIF('Elan y Personalización'!$C$45:$F$57,Tablas!I3431)</f>
        <v>0</v>
      </c>
      <c r="N3431" s="2178" t="s">
        <v>9123</v>
      </c>
      <c r="O3431" s="2209" t="s">
        <v>9124</v>
      </c>
      <c r="P3431" s="1958">
        <v>1</v>
      </c>
      <c r="Q3431" s="2178" t="s">
        <v>9125</v>
      </c>
      <c r="R3431" s="1958">
        <v>1</v>
      </c>
      <c r="S3431" s="1958" t="s">
        <v>9126</v>
      </c>
      <c r="T3431" s="2196">
        <v>-5</v>
      </c>
    </row>
    <row r="3432" spans="2:22" ht="12.75" customHeight="1" x14ac:dyDescent="0.2">
      <c r="B3432" s="1860" t="str">
        <f t="shared" si="324"/>
        <v>El Sol</v>
      </c>
      <c r="C3432" s="2723">
        <f t="shared" si="325"/>
        <v>32</v>
      </c>
      <c r="D3432" s="455" t="s">
        <v>1116</v>
      </c>
      <c r="E3432" s="290">
        <v>400</v>
      </c>
      <c r="F3432" s="312">
        <v>850</v>
      </c>
      <c r="H3432" s="1958">
        <f>IF(OR(M3432=0),0,SUM($M$3430:M3431)+1)</f>
        <v>0</v>
      </c>
      <c r="I3432" s="2000" t="s">
        <v>8929</v>
      </c>
      <c r="J3432" s="1958">
        <v>20</v>
      </c>
      <c r="K3432" s="1959">
        <v>1</v>
      </c>
      <c r="L3432" s="1959">
        <v>10</v>
      </c>
      <c r="M3432" s="2005">
        <f>COUNTIF('Elan y Personalización'!$C$13:$F$25,Tablas!I3432)+COUNTIF('Elan y Personalización'!$C$45:$F$57,Tablas!I3432)</f>
        <v>0</v>
      </c>
      <c r="N3432" s="2178" t="s">
        <v>9127</v>
      </c>
      <c r="O3432" s="2209" t="s">
        <v>9128</v>
      </c>
      <c r="P3432" s="1958">
        <v>5</v>
      </c>
      <c r="Q3432" s="2178" t="s">
        <v>9129</v>
      </c>
      <c r="R3432" s="1958">
        <v>3</v>
      </c>
      <c r="S3432" s="1958" t="s">
        <v>9130</v>
      </c>
      <c r="T3432" s="2196">
        <v>-3</v>
      </c>
    </row>
    <row r="3433" spans="2:22" ht="12.75" customHeight="1" x14ac:dyDescent="0.2">
      <c r="B3433" s="1860" t="str">
        <f t="shared" si="324"/>
        <v>El Sol invertido</v>
      </c>
      <c r="C3433" s="2723">
        <f t="shared" si="325"/>
        <v>20</v>
      </c>
      <c r="D3433" s="455" t="s">
        <v>1117</v>
      </c>
      <c r="E3433" s="290">
        <v>420</v>
      </c>
      <c r="F3433" s="312">
        <v>900</v>
      </c>
      <c r="H3433" s="1958">
        <f>IF(OR(M3433=0),0,SUM($M$3430:M3432)+1)</f>
        <v>0</v>
      </c>
      <c r="I3433" s="2000" t="s">
        <v>8930</v>
      </c>
      <c r="J3433" s="1958">
        <v>30</v>
      </c>
      <c r="K3433" s="1959">
        <v>1</v>
      </c>
      <c r="L3433" s="1959">
        <v>5</v>
      </c>
      <c r="M3433" s="2005">
        <f>COUNTIF('Elan y Personalización'!$C$13:$F$25,Tablas!I3433)+COUNTIF('Elan y Personalización'!$C$45:$F$57,Tablas!I3433)</f>
        <v>0</v>
      </c>
      <c r="N3433" s="2178" t="s">
        <v>9131</v>
      </c>
      <c r="O3433" s="2209" t="s">
        <v>9132</v>
      </c>
      <c r="P3433" s="1958">
        <v>3</v>
      </c>
      <c r="Q3433" s="2178" t="s">
        <v>9133</v>
      </c>
      <c r="R3433" s="1958">
        <v>1</v>
      </c>
      <c r="S3433" s="1958" t="s">
        <v>9134</v>
      </c>
      <c r="T3433" s="2196">
        <v>-10</v>
      </c>
    </row>
    <row r="3434" spans="2:22" ht="12.75" customHeight="1" x14ac:dyDescent="0.2">
      <c r="B3434" s="1860" t="str">
        <f t="shared" si="324"/>
        <v>El Sumo Sacerdote</v>
      </c>
      <c r="C3434" s="2723">
        <f t="shared" si="325"/>
        <v>14</v>
      </c>
      <c r="D3434" s="455" t="s">
        <v>1118</v>
      </c>
      <c r="E3434" s="290">
        <v>440</v>
      </c>
      <c r="F3434" s="312">
        <v>950</v>
      </c>
      <c r="H3434" s="1958">
        <f>IF(OR(M3434=0),0,SUM($M$3430:M3433)+1)</f>
        <v>0</v>
      </c>
      <c r="I3434" s="2000" t="s">
        <v>8931</v>
      </c>
      <c r="J3434" s="1958">
        <v>40</v>
      </c>
      <c r="K3434" s="1959">
        <v>1</v>
      </c>
      <c r="L3434" s="1959">
        <v>20</v>
      </c>
      <c r="M3434" s="2005">
        <f>COUNTIF('Elan y Personalización'!$C$13:$F$25,Tablas!I3434)+COUNTIF('Elan y Personalización'!$C$45:$F$57,Tablas!I3434)</f>
        <v>0</v>
      </c>
      <c r="N3434" s="2178" t="s">
        <v>9135</v>
      </c>
      <c r="O3434" s="2209" t="s">
        <v>9136</v>
      </c>
      <c r="P3434" s="1958">
        <v>3</v>
      </c>
      <c r="Q3434" s="2178" t="s">
        <v>9137</v>
      </c>
      <c r="R3434" s="1958">
        <v>1</v>
      </c>
      <c r="S3434" s="1958"/>
      <c r="T3434" s="2196"/>
    </row>
    <row r="3435" spans="2:22" ht="12.75" customHeight="1" x14ac:dyDescent="0.2">
      <c r="B3435" s="1860" t="str">
        <f t="shared" si="324"/>
        <v>El Sumo Sacerdote invertido</v>
      </c>
      <c r="C3435" s="2723">
        <f t="shared" si="325"/>
        <v>18</v>
      </c>
      <c r="D3435" s="455" t="s">
        <v>1119</v>
      </c>
      <c r="E3435" s="290">
        <v>460</v>
      </c>
      <c r="F3435" s="312">
        <v>1000</v>
      </c>
      <c r="H3435" s="1958">
        <f>IF(OR(M3435=0),0,SUM($M$3430:M3434)+1)</f>
        <v>0</v>
      </c>
      <c r="I3435" s="2000" t="s">
        <v>8932</v>
      </c>
      <c r="J3435" s="1958">
        <v>50</v>
      </c>
      <c r="K3435" s="1959">
        <v>1</v>
      </c>
      <c r="L3435" s="1959">
        <v>15</v>
      </c>
      <c r="M3435" s="2005">
        <f>COUNTIF('Elan y Personalización'!$C$13:$F$25,Tablas!I3435)+COUNTIF('Elan y Personalización'!$C$45:$F$57,Tablas!I3435)</f>
        <v>0</v>
      </c>
      <c r="N3435" s="2178" t="s">
        <v>9138</v>
      </c>
      <c r="O3435" s="2209" t="s">
        <v>9139</v>
      </c>
      <c r="P3435" s="1958">
        <v>1</v>
      </c>
      <c r="Q3435" s="2178"/>
      <c r="R3435" s="1958"/>
      <c r="S3435" s="1958"/>
      <c r="T3435" s="2196"/>
    </row>
    <row r="3436" spans="2:22" ht="12.75" customHeight="1" x14ac:dyDescent="0.2">
      <c r="B3436" s="1860" t="str">
        <f t="shared" si="324"/>
        <v>La Emperatriz</v>
      </c>
      <c r="C3436" s="2723">
        <f t="shared" si="325"/>
        <v>17</v>
      </c>
      <c r="D3436" s="668" t="s">
        <v>1120</v>
      </c>
      <c r="E3436" s="290">
        <v>120</v>
      </c>
      <c r="F3436" s="312">
        <v>100</v>
      </c>
      <c r="H3436" s="1958">
        <f>IF(OR(M3436=0),0,SUM($M$3430:M3435)+1)</f>
        <v>0</v>
      </c>
      <c r="I3436" s="2000" t="s">
        <v>3858</v>
      </c>
      <c r="J3436" s="1958">
        <v>50</v>
      </c>
      <c r="K3436" s="1959">
        <f>IF(M3434=1,1,0)</f>
        <v>0</v>
      </c>
      <c r="L3436" s="1959">
        <v>10</v>
      </c>
      <c r="M3436" s="2005">
        <f>COUNTIF('Elan y Personalización'!$C$13:$F$25,Tablas!I3436)+COUNTIF('Elan y Personalización'!$C$45:$F$57,Tablas!I3436)</f>
        <v>0</v>
      </c>
      <c r="N3436" s="2178" t="s">
        <v>9140</v>
      </c>
      <c r="O3436" s="2209" t="s">
        <v>9129</v>
      </c>
      <c r="P3436" s="1958">
        <v>5</v>
      </c>
      <c r="Q3436" s="2178"/>
      <c r="R3436" s="1958"/>
      <c r="S3436" s="1958"/>
      <c r="T3436" s="2196"/>
    </row>
    <row r="3437" spans="2:22" ht="12.75" customHeight="1" x14ac:dyDescent="0.2">
      <c r="B3437" s="1860" t="str">
        <f t="shared" si="324"/>
        <v>La Emperatriz invertida</v>
      </c>
      <c r="C3437" s="2723">
        <f t="shared" si="325"/>
        <v>13</v>
      </c>
      <c r="D3437" s="455" t="s">
        <v>1121</v>
      </c>
      <c r="E3437" s="290">
        <v>130</v>
      </c>
      <c r="F3437" s="312">
        <v>100</v>
      </c>
      <c r="H3437" s="1958">
        <f>IF(OR(M3437=0),0,SUM($M$3430:M3436)+1)</f>
        <v>0</v>
      </c>
      <c r="I3437" s="2000" t="s">
        <v>8933</v>
      </c>
      <c r="J3437" s="1958">
        <v>60</v>
      </c>
      <c r="K3437" s="1959">
        <v>1</v>
      </c>
      <c r="L3437" s="1959">
        <v>10</v>
      </c>
      <c r="M3437" s="2005">
        <f>COUNTIF('Elan y Personalización'!$C$13:$F$25,Tablas!I3437)+COUNTIF('Elan y Personalización'!$C$45:$F$57,Tablas!I3437)</f>
        <v>0</v>
      </c>
      <c r="N3437" s="2178" t="s">
        <v>9141</v>
      </c>
      <c r="O3437" s="2209"/>
      <c r="P3437" s="1958"/>
      <c r="Q3437" s="2178"/>
      <c r="R3437" s="1958"/>
      <c r="S3437" s="1958"/>
      <c r="T3437" s="2196"/>
    </row>
    <row r="3438" spans="2:22" ht="12.75" customHeight="1" x14ac:dyDescent="0.2">
      <c r="B3438" s="1860" t="str">
        <f t="shared" si="324"/>
        <v>La Estrella</v>
      </c>
      <c r="C3438" s="2723">
        <f t="shared" si="325"/>
        <v>39</v>
      </c>
      <c r="D3438" s="455" t="s">
        <v>1122</v>
      </c>
      <c r="E3438" s="290">
        <v>140</v>
      </c>
      <c r="F3438" s="312">
        <v>150</v>
      </c>
      <c r="H3438" s="1958">
        <f>IF(OR(M3438=0),0,SUM($M$3430:M3437)+1)</f>
        <v>0</v>
      </c>
      <c r="I3438" s="2000" t="s">
        <v>8934</v>
      </c>
      <c r="J3438" s="1958">
        <v>70</v>
      </c>
      <c r="K3438" s="1959">
        <v>1</v>
      </c>
      <c r="L3438" s="1959">
        <v>10</v>
      </c>
      <c r="M3438" s="2005">
        <f>COUNTIF('Elan y Personalización'!$C$13:$F$25,Tablas!I3438)+COUNTIF('Elan y Personalización'!$C$45:$F$57,Tablas!I3438)</f>
        <v>0</v>
      </c>
      <c r="N3438" s="2178" t="s">
        <v>9142</v>
      </c>
      <c r="O3438" s="2209"/>
      <c r="P3438" s="1958"/>
      <c r="Q3438" s="2178"/>
      <c r="R3438" s="1958"/>
      <c r="S3438" s="1958"/>
      <c r="T3438" s="2196"/>
    </row>
    <row r="3439" spans="2:22" ht="12.75" customHeight="1" x14ac:dyDescent="0.2">
      <c r="B3439" s="1860" t="str">
        <f t="shared" si="324"/>
        <v>La Estrella invertida</v>
      </c>
      <c r="C3439" s="2723">
        <f t="shared" si="325"/>
        <v>25</v>
      </c>
      <c r="D3439" s="455" t="s">
        <v>1123</v>
      </c>
      <c r="E3439" s="290">
        <v>150</v>
      </c>
      <c r="F3439" s="312">
        <v>200</v>
      </c>
      <c r="H3439" s="1958">
        <f>IF(OR(M3439=0),0,SUM($M$3430:M3438)+1)</f>
        <v>0</v>
      </c>
      <c r="I3439" s="2000" t="s">
        <v>8935</v>
      </c>
      <c r="J3439" s="1958">
        <v>70</v>
      </c>
      <c r="K3439" s="1959">
        <v>1</v>
      </c>
      <c r="L3439" s="1959">
        <v>10</v>
      </c>
      <c r="M3439" s="2005">
        <f>COUNTIF('Elan y Personalización'!$C$13:$F$25,Tablas!I3439)+COUNTIF('Elan y Personalización'!$C$45:$F$57,Tablas!I3439)</f>
        <v>0</v>
      </c>
      <c r="N3439" s="2178" t="s">
        <v>9143</v>
      </c>
      <c r="O3439" s="2209"/>
      <c r="P3439" s="1958"/>
      <c r="Q3439" s="2178"/>
      <c r="R3439" s="1958"/>
      <c r="S3439" s="1958"/>
      <c r="T3439" s="2196"/>
    </row>
    <row r="3440" spans="2:22" ht="12.75" customHeight="1" x14ac:dyDescent="0.2">
      <c r="B3440" s="1860" t="str">
        <f t="shared" si="324"/>
        <v>La Fuerza</v>
      </c>
      <c r="C3440" s="2723">
        <f t="shared" si="325"/>
        <v>9</v>
      </c>
      <c r="D3440" s="455" t="s">
        <v>1124</v>
      </c>
      <c r="E3440" s="290">
        <v>160</v>
      </c>
      <c r="F3440" s="312">
        <v>200</v>
      </c>
      <c r="H3440" s="1958">
        <f>IF(OR(M3440=0),0,SUM($M$3430:M3439)+1)</f>
        <v>0</v>
      </c>
      <c r="I3440" s="2000" t="s">
        <v>8936</v>
      </c>
      <c r="J3440" s="1958">
        <v>80</v>
      </c>
      <c r="K3440" s="1959">
        <v>1</v>
      </c>
      <c r="L3440" s="1959">
        <v>15</v>
      </c>
      <c r="M3440" s="2005">
        <f>COUNTIF('Elan y Personalización'!$C$13:$F$25,Tablas!I3440)+COUNTIF('Elan y Personalización'!$C$45:$F$57,Tablas!I3440)</f>
        <v>0</v>
      </c>
      <c r="N3440" s="2178" t="s">
        <v>9144</v>
      </c>
      <c r="O3440" s="2209"/>
      <c r="P3440" s="1958"/>
      <c r="Q3440" s="2178"/>
      <c r="R3440" s="1958"/>
      <c r="S3440" s="1958"/>
      <c r="T3440" s="2196"/>
    </row>
    <row r="3441" spans="2:22" ht="12.75" customHeight="1" x14ac:dyDescent="0.2">
      <c r="B3441" s="1860" t="str">
        <f t="shared" si="324"/>
        <v>La Fuerza invertida</v>
      </c>
      <c r="C3441" s="2723">
        <f t="shared" si="325"/>
        <v>23</v>
      </c>
      <c r="D3441" s="455" t="s">
        <v>1125</v>
      </c>
      <c r="E3441" s="290">
        <v>170</v>
      </c>
      <c r="F3441" s="312">
        <v>250</v>
      </c>
      <c r="H3441" s="1958">
        <f>IF(OR(M3441=0),0,SUM($M$3430:M3440)+1)</f>
        <v>0</v>
      </c>
      <c r="I3441" s="2000" t="s">
        <v>8937</v>
      </c>
      <c r="J3441" s="1958">
        <v>90</v>
      </c>
      <c r="K3441" s="1959">
        <v>1</v>
      </c>
      <c r="L3441" s="1959">
        <v>20</v>
      </c>
      <c r="M3441" s="2005">
        <f>COUNTIF('Elan y Personalización'!$C$13:$F$25,Tablas!I3441)+COUNTIF('Elan y Personalización'!$C$45:$F$57,Tablas!I3441)</f>
        <v>0</v>
      </c>
      <c r="N3441" s="2178" t="s">
        <v>9145</v>
      </c>
      <c r="O3441" s="2209"/>
      <c r="P3441" s="1958"/>
      <c r="Q3441" s="2178"/>
      <c r="R3441" s="1958"/>
      <c r="S3441" s="1958"/>
      <c r="T3441" s="2196"/>
    </row>
    <row r="3442" spans="2:22" ht="12.75" customHeight="1" x14ac:dyDescent="0.2">
      <c r="B3442" s="1860" t="str">
        <f t="shared" si="324"/>
        <v>La Justicia</v>
      </c>
      <c r="C3442" s="2723">
        <f t="shared" si="325"/>
        <v>45</v>
      </c>
      <c r="D3442" s="455" t="s">
        <v>1126</v>
      </c>
      <c r="E3442" s="290">
        <v>180</v>
      </c>
      <c r="F3442" s="312">
        <v>250</v>
      </c>
      <c r="H3442" s="1958">
        <f>IF(OR(M3442=0),0,SUM($M$3430:M3441)+1)</f>
        <v>0</v>
      </c>
      <c r="I3442" s="2000" t="s">
        <v>8938</v>
      </c>
      <c r="J3442" s="1958">
        <v>100</v>
      </c>
      <c r="K3442" s="1959">
        <v>1</v>
      </c>
      <c r="L3442" s="1959">
        <v>10</v>
      </c>
      <c r="M3442" s="2005">
        <f>COUNTIF('Elan y Personalización'!$C$13:$F$25,Tablas!I3442)+COUNTIF('Elan y Personalización'!$C$45:$F$57,Tablas!I3442)</f>
        <v>0</v>
      </c>
      <c r="N3442" s="2178" t="s">
        <v>9146</v>
      </c>
      <c r="O3442" s="2209"/>
      <c r="P3442" s="1958"/>
      <c r="Q3442" s="2178"/>
      <c r="R3442" s="1958"/>
      <c r="S3442" s="1958"/>
      <c r="T3442" s="2196"/>
    </row>
    <row r="3443" spans="2:22" ht="12.75" customHeight="1" x14ac:dyDescent="0.2">
      <c r="B3443" s="1860" t="str">
        <f t="shared" si="324"/>
        <v>La Justicia invertida</v>
      </c>
      <c r="C3443" s="2723">
        <f t="shared" si="325"/>
        <v>3</v>
      </c>
      <c r="D3443" s="455" t="s">
        <v>1127</v>
      </c>
      <c r="E3443" s="290">
        <v>190</v>
      </c>
      <c r="F3443" s="312">
        <v>300</v>
      </c>
      <c r="H3443" s="1958">
        <f>IF(OR(M3443=0),0,SUM($M$3430:M3442)+1)</f>
        <v>0</v>
      </c>
      <c r="I3443" s="2004" t="s">
        <v>8915</v>
      </c>
      <c r="J3443" s="1961"/>
      <c r="K3443" s="1961"/>
      <c r="L3443" s="1961"/>
      <c r="M3443" s="2006">
        <f>COUNTIF('Elan y Personalización'!$C$13:$F$25,Tablas!I3443)+COUNTIF('Elan y Personalización'!$C$45:$F$57,Tablas!I3443)</f>
        <v>0</v>
      </c>
      <c r="N3443" s="2004" t="str">
        <f>I3443</f>
        <v>Zemial</v>
      </c>
      <c r="O3443" s="2208" t="str">
        <f>I3443</f>
        <v>Zemial</v>
      </c>
      <c r="P3443" s="2201" t="str">
        <f t="array" ref="P3443:V3443">TRANSPOSE(O3444:O3455)</f>
        <v>Matar a una persona sin razón alguna</v>
      </c>
      <c r="Q3443" s="2210" t="str">
        <v xml:space="preserve">Matar a una gran multitud sin razón </v>
      </c>
      <c r="R3443" s="2201" t="str">
        <v>Incitar a la gente a matar sin motivo</v>
      </c>
      <c r="S3443" s="2201" t="str">
        <v>Perder la cordura (si Elan &gt; 10)</v>
      </c>
      <c r="T3443" s="2201" t="str">
        <v>Volver a alguien loco</v>
      </c>
      <c r="U3443" s="2200" t="str">
        <v>Actuar de un modo autodestructivo</v>
      </c>
      <c r="V3443" s="2200">
        <v>0</v>
      </c>
    </row>
    <row r="3444" spans="2:22" ht="12.75" customHeight="1" x14ac:dyDescent="0.2">
      <c r="B3444" s="1860" t="str">
        <f t="shared" si="324"/>
        <v>La Luna</v>
      </c>
      <c r="C3444" s="2723">
        <f t="shared" si="325"/>
        <v>29</v>
      </c>
      <c r="D3444" s="455" t="s">
        <v>1128</v>
      </c>
      <c r="E3444" s="290">
        <v>200</v>
      </c>
      <c r="F3444" s="312">
        <v>350</v>
      </c>
      <c r="H3444" s="1958">
        <f>IF(OR(M3444=0),0,SUM($M$3430:M3443)+1)</f>
        <v>0</v>
      </c>
      <c r="I3444" s="2000" t="s">
        <v>8939</v>
      </c>
      <c r="J3444" s="1958">
        <v>10</v>
      </c>
      <c r="K3444" s="1959">
        <v>1</v>
      </c>
      <c r="L3444" s="1959">
        <v>5</v>
      </c>
      <c r="M3444" s="2005">
        <f>COUNTIF('Elan y Personalización'!$C$13:$F$25,Tablas!I3444)+COUNTIF('Elan y Personalización'!$C$45:$F$57,Tablas!I3444)</f>
        <v>0</v>
      </c>
      <c r="N3444" s="2178" t="s">
        <v>9147</v>
      </c>
      <c r="O3444" s="2209" t="s">
        <v>9148</v>
      </c>
      <c r="P3444" s="1958">
        <v>1</v>
      </c>
      <c r="Q3444" s="2178" t="s">
        <v>9149</v>
      </c>
      <c r="R3444" s="1958">
        <v>5</v>
      </c>
      <c r="S3444" s="1958" t="s">
        <v>9150</v>
      </c>
      <c r="T3444" s="2196">
        <v>-3</v>
      </c>
    </row>
    <row r="3445" spans="2:22" ht="12.75" customHeight="1" x14ac:dyDescent="0.2">
      <c r="B3445" s="1860" t="str">
        <f t="shared" si="324"/>
        <v>La Luna invertida</v>
      </c>
      <c r="C3445" s="2723">
        <f t="shared" si="325"/>
        <v>11</v>
      </c>
      <c r="D3445" s="455" t="s">
        <v>1129</v>
      </c>
      <c r="E3445" s="290">
        <v>240</v>
      </c>
      <c r="F3445" s="312">
        <v>400</v>
      </c>
      <c r="H3445" s="1958">
        <f>IF(OR(M3445=0),0,SUM($M$3430:M3444)+1)</f>
        <v>0</v>
      </c>
      <c r="I3445" s="2000" t="s">
        <v>8940</v>
      </c>
      <c r="J3445" s="1958">
        <v>20</v>
      </c>
      <c r="K3445" s="1959">
        <v>1</v>
      </c>
      <c r="L3445" s="1959">
        <v>5</v>
      </c>
      <c r="M3445" s="2005">
        <f>COUNTIF('Elan y Personalización'!$C$13:$F$25,Tablas!I3445)+COUNTIF('Elan y Personalización'!$C$45:$F$57,Tablas!I3445)</f>
        <v>0</v>
      </c>
      <c r="N3445" s="2178" t="s">
        <v>9151</v>
      </c>
      <c r="O3445" s="2209" t="s">
        <v>9455</v>
      </c>
      <c r="P3445" s="1958">
        <v>5</v>
      </c>
      <c r="Q3445" s="2178" t="s">
        <v>9152</v>
      </c>
      <c r="R3445" s="1958">
        <v>2</v>
      </c>
      <c r="S3445" s="1958" t="s">
        <v>9153</v>
      </c>
      <c r="T3445" s="2196">
        <v>-5</v>
      </c>
    </row>
    <row r="3446" spans="2:22" ht="12.75" customHeight="1" x14ac:dyDescent="0.2">
      <c r="B3446" s="1860" t="str">
        <f t="shared" si="324"/>
        <v>La Muerte</v>
      </c>
      <c r="C3446" s="2723">
        <f t="shared" si="325"/>
        <v>37</v>
      </c>
      <c r="D3446" s="455" t="s">
        <v>1130</v>
      </c>
      <c r="E3446" s="290">
        <v>240</v>
      </c>
      <c r="F3446" s="312">
        <v>450</v>
      </c>
      <c r="H3446" s="1958">
        <f>IF(OR(M3446=0),0,SUM($M$3430:M3445)+1)</f>
        <v>0</v>
      </c>
      <c r="I3446" s="2000" t="s">
        <v>2507</v>
      </c>
      <c r="J3446" s="1958">
        <v>30</v>
      </c>
      <c r="K3446" s="1959">
        <v>1</v>
      </c>
      <c r="L3446" s="1959">
        <v>20</v>
      </c>
      <c r="M3446" s="2005">
        <f>COUNTIF('Elan y Personalización'!$C$13:$F$25,Tablas!I3446)+COUNTIF('Elan y Personalización'!$C$45:$F$57,Tablas!I3446)</f>
        <v>0</v>
      </c>
      <c r="N3446" s="2178" t="s">
        <v>9154</v>
      </c>
      <c r="O3446" s="2209" t="s">
        <v>9453</v>
      </c>
      <c r="P3446" s="1958">
        <v>2</v>
      </c>
      <c r="Q3446" s="2178" t="s">
        <v>9155</v>
      </c>
      <c r="R3446" s="1958">
        <v>3</v>
      </c>
      <c r="S3446" s="1958" t="s">
        <v>9156</v>
      </c>
      <c r="T3446" s="2196">
        <v>-2</v>
      </c>
    </row>
    <row r="3447" spans="2:22" ht="12.75" customHeight="1" x14ac:dyDescent="0.2">
      <c r="B3447" s="1860" t="str">
        <f t="shared" si="324"/>
        <v>La Muerte invertida</v>
      </c>
      <c r="C3447" s="2723">
        <f t="shared" si="325"/>
        <v>31</v>
      </c>
      <c r="D3447" s="455" t="s">
        <v>1131</v>
      </c>
      <c r="E3447" s="290">
        <v>260</v>
      </c>
      <c r="F3447" s="312">
        <v>500</v>
      </c>
      <c r="H3447" s="1958">
        <f>IF(OR(M3447=0),0,SUM($M$3430:M3446)+1)</f>
        <v>0</v>
      </c>
      <c r="I3447" s="2000" t="s">
        <v>8941</v>
      </c>
      <c r="J3447" s="1958">
        <v>40</v>
      </c>
      <c r="K3447" s="1959">
        <f>IF(M3444,1,0)</f>
        <v>0</v>
      </c>
      <c r="L3447" s="1959">
        <v>10</v>
      </c>
      <c r="M3447" s="2005">
        <f>COUNTIF('Elan y Personalización'!$C$13:$F$25,Tablas!I3447)+COUNTIF('Elan y Personalización'!$C$45:$F$57,Tablas!I3447)</f>
        <v>0</v>
      </c>
      <c r="N3447" s="2178" t="s">
        <v>9157</v>
      </c>
      <c r="O3447" s="2209" t="s">
        <v>9454</v>
      </c>
      <c r="P3447" s="1958">
        <v>5</v>
      </c>
      <c r="Q3447" s="2178" t="s">
        <v>9158</v>
      </c>
      <c r="R3447" s="1958">
        <v>1</v>
      </c>
      <c r="S3447" s="1958"/>
      <c r="T3447" s="2196"/>
    </row>
    <row r="3448" spans="2:22" ht="12.75" customHeight="1" x14ac:dyDescent="0.2">
      <c r="B3448" s="1860" t="str">
        <f t="shared" si="324"/>
        <v>La Rueda</v>
      </c>
      <c r="C3448" s="2723">
        <f t="shared" si="325"/>
        <v>5</v>
      </c>
      <c r="D3448" s="455" t="s">
        <v>1132</v>
      </c>
      <c r="E3448" s="290">
        <v>280</v>
      </c>
      <c r="F3448" s="312">
        <v>550</v>
      </c>
      <c r="H3448" s="1958">
        <f>IF(OR(M3448=0),0,SUM($M$3430:M3447)+1)</f>
        <v>0</v>
      </c>
      <c r="I3448" s="2000" t="s">
        <v>8942</v>
      </c>
      <c r="J3448" s="1958">
        <v>50</v>
      </c>
      <c r="K3448" s="1959">
        <v>1</v>
      </c>
      <c r="L3448" s="1959">
        <v>15</v>
      </c>
      <c r="M3448" s="2005">
        <f>COUNTIF('Elan y Personalización'!$C$13:$F$25,Tablas!I3448)+COUNTIF('Elan y Personalización'!$C$45:$F$57,Tablas!I3448)</f>
        <v>0</v>
      </c>
      <c r="N3448" s="2178" t="s">
        <v>9159</v>
      </c>
      <c r="O3448" s="2209" t="s">
        <v>9160</v>
      </c>
      <c r="P3448" s="1958">
        <v>1</v>
      </c>
      <c r="Q3448" s="2178"/>
      <c r="R3448" s="1958"/>
      <c r="S3448" s="1958"/>
      <c r="T3448" s="2196"/>
    </row>
    <row r="3449" spans="2:22" ht="12.75" customHeight="1" x14ac:dyDescent="0.2">
      <c r="B3449" s="1860" t="str">
        <f t="shared" si="324"/>
        <v>La Rueda invertida</v>
      </c>
      <c r="C3449" s="2723">
        <f t="shared" si="325"/>
        <v>35</v>
      </c>
      <c r="D3449" s="455" t="s">
        <v>1133</v>
      </c>
      <c r="E3449" s="290">
        <v>300</v>
      </c>
      <c r="F3449" s="312">
        <v>600</v>
      </c>
      <c r="H3449" s="1958">
        <f>IF(OR(M3449=0),0,SUM($M$3430:M3448)+1)</f>
        <v>0</v>
      </c>
      <c r="I3449" s="2000" t="s">
        <v>8943</v>
      </c>
      <c r="J3449" s="1958">
        <v>50</v>
      </c>
      <c r="K3449" s="1959">
        <v>1</v>
      </c>
      <c r="L3449" s="1959">
        <v>10</v>
      </c>
      <c r="M3449" s="2005">
        <f>COUNTIF('Elan y Personalización'!$C$13:$F$25,Tablas!I3449)+COUNTIF('Elan y Personalización'!$C$45:$F$57,Tablas!I3449)</f>
        <v>0</v>
      </c>
      <c r="N3449" s="2178" t="s">
        <v>9161</v>
      </c>
      <c r="O3449" s="2209" t="s">
        <v>9162</v>
      </c>
      <c r="P3449" s="1958">
        <v>2</v>
      </c>
      <c r="Q3449" s="2178"/>
      <c r="R3449" s="1958"/>
      <c r="S3449" s="1958"/>
      <c r="T3449" s="2196"/>
    </row>
    <row r="3450" spans="2:22" ht="12.75" customHeight="1" x14ac:dyDescent="0.2">
      <c r="B3450" s="1860" t="str">
        <f t="shared" si="324"/>
        <v>La Suma Sacerdotisa</v>
      </c>
      <c r="C3450" s="2723">
        <f t="shared" si="325"/>
        <v>41</v>
      </c>
      <c r="D3450" s="455" t="s">
        <v>1134</v>
      </c>
      <c r="E3450" s="290">
        <v>320</v>
      </c>
      <c r="F3450" s="312">
        <v>650</v>
      </c>
      <c r="H3450" s="1958">
        <f>IF(OR(M3450=0),0,SUM($M$3430:M3449)+1)</f>
        <v>0</v>
      </c>
      <c r="I3450" s="2000" t="s">
        <v>8944</v>
      </c>
      <c r="J3450" s="1958">
        <v>60</v>
      </c>
      <c r="K3450" s="1959">
        <v>1</v>
      </c>
      <c r="L3450" s="1959">
        <v>10</v>
      </c>
      <c r="M3450" s="2005">
        <f>COUNTIF('Elan y Personalización'!$C$13:$F$25,Tablas!I3450)+COUNTIF('Elan y Personalización'!$C$45:$F$57,Tablas!I3450)</f>
        <v>0</v>
      </c>
      <c r="N3450" s="2178" t="s">
        <v>9163</v>
      </c>
      <c r="O3450" s="2209"/>
      <c r="P3450" s="1958"/>
      <c r="Q3450" s="2178"/>
      <c r="R3450" s="1958"/>
      <c r="S3450" s="1958"/>
      <c r="T3450" s="2196"/>
    </row>
    <row r="3451" spans="2:22" ht="12.75" customHeight="1" x14ac:dyDescent="0.2">
      <c r="B3451" s="1860" t="str">
        <f t="shared" si="324"/>
        <v>La Suma Sacerdotisa invertida</v>
      </c>
      <c r="C3451" s="2723">
        <f t="shared" si="325"/>
        <v>7</v>
      </c>
      <c r="D3451" s="455" t="s">
        <v>1135</v>
      </c>
      <c r="E3451" s="290">
        <v>340</v>
      </c>
      <c r="F3451" s="312">
        <v>700</v>
      </c>
      <c r="H3451" s="1958">
        <f>IF(OR(M3451=0),0,SUM($M$3430:M3450)+1)</f>
        <v>0</v>
      </c>
      <c r="I3451" s="2000" t="s">
        <v>8945</v>
      </c>
      <c r="J3451" s="1958">
        <v>60</v>
      </c>
      <c r="K3451" s="1959">
        <f>IF(M3449,1,0)</f>
        <v>0</v>
      </c>
      <c r="L3451" s="1959">
        <v>10</v>
      </c>
      <c r="M3451" s="2005">
        <f>COUNTIF('Elan y Personalización'!$C$13:$F$25,Tablas!I3451)+COUNTIF('Elan y Personalización'!$C$45:$F$57,Tablas!I3451)</f>
        <v>0</v>
      </c>
      <c r="N3451" s="2178" t="s">
        <v>9164</v>
      </c>
      <c r="O3451" s="2209"/>
      <c r="P3451" s="1958"/>
      <c r="Q3451" s="2178"/>
      <c r="R3451" s="1958"/>
      <c r="S3451" s="1958"/>
      <c r="T3451" s="2196"/>
    </row>
    <row r="3452" spans="2:22" ht="12.75" customHeight="1" x14ac:dyDescent="0.2">
      <c r="B3452" s="1860" t="str">
        <f t="shared" si="324"/>
        <v>La Templanza</v>
      </c>
      <c r="C3452" s="2723">
        <f t="shared" si="325"/>
        <v>43</v>
      </c>
      <c r="D3452" s="455" t="s">
        <v>1136</v>
      </c>
      <c r="E3452" s="290">
        <v>340</v>
      </c>
      <c r="F3452" s="312">
        <v>750</v>
      </c>
      <c r="H3452" s="1958">
        <f>IF(OR(M3452=0),0,SUM($M$3430:M3451)+1)</f>
        <v>0</v>
      </c>
      <c r="I3452" s="2000" t="s">
        <v>8946</v>
      </c>
      <c r="J3452" s="1958">
        <v>70</v>
      </c>
      <c r="K3452" s="1959">
        <f>IF(M3451,1,0)</f>
        <v>0</v>
      </c>
      <c r="L3452" s="1959">
        <v>10</v>
      </c>
      <c r="M3452" s="2005">
        <f>COUNTIF('Elan y Personalización'!$C$13:$F$25,Tablas!I3452)+COUNTIF('Elan y Personalización'!$C$45:$F$57,Tablas!I3452)</f>
        <v>0</v>
      </c>
      <c r="N3452" s="2178" t="s">
        <v>9165</v>
      </c>
      <c r="O3452" s="2209"/>
      <c r="P3452" s="1958"/>
      <c r="Q3452" s="2178"/>
      <c r="R3452" s="1958"/>
      <c r="S3452" s="1958"/>
      <c r="T3452" s="2196"/>
    </row>
    <row r="3453" spans="2:22" ht="12.75" customHeight="1" x14ac:dyDescent="0.2">
      <c r="B3453" s="1860" t="str">
        <f t="shared" si="324"/>
        <v>La Templanza invertida</v>
      </c>
      <c r="C3453" s="2723">
        <f t="shared" si="325"/>
        <v>27</v>
      </c>
      <c r="D3453" s="455" t="s">
        <v>1137</v>
      </c>
      <c r="E3453" s="290">
        <v>380</v>
      </c>
      <c r="F3453" s="312">
        <v>800</v>
      </c>
      <c r="H3453" s="1958">
        <f>IF(OR(M3453=0),0,SUM($M$3430:M3452)+1)</f>
        <v>0</v>
      </c>
      <c r="I3453" s="2000" t="s">
        <v>8947</v>
      </c>
      <c r="J3453" s="1958">
        <v>80</v>
      </c>
      <c r="K3453" s="1959">
        <v>1</v>
      </c>
      <c r="L3453" s="1959">
        <v>15</v>
      </c>
      <c r="M3453" s="2005">
        <f>COUNTIF('Elan y Personalización'!$C$13:$F$25,Tablas!I3453)+COUNTIF('Elan y Personalización'!$C$45:$F$57,Tablas!I3453)</f>
        <v>0</v>
      </c>
      <c r="N3453" s="2178" t="s">
        <v>9166</v>
      </c>
      <c r="O3453" s="2209"/>
      <c r="P3453" s="1958"/>
      <c r="Q3453" s="2178"/>
      <c r="R3453" s="1958"/>
      <c r="S3453" s="1958"/>
      <c r="T3453" s="2196"/>
    </row>
    <row r="3454" spans="2:22" ht="12.75" customHeight="1" x14ac:dyDescent="0.2">
      <c r="B3454" s="1860" t="str">
        <f t="shared" si="324"/>
        <v>La Torre</v>
      </c>
      <c r="C3454" s="2723">
        <f t="shared" si="325"/>
        <v>33</v>
      </c>
      <c r="D3454" s="455" t="s">
        <v>1138</v>
      </c>
      <c r="E3454" s="290">
        <v>400</v>
      </c>
      <c r="F3454" s="312">
        <v>850</v>
      </c>
      <c r="H3454" s="1958">
        <f>IF(OR(M3454=0),0,SUM($M$3430:M3453)+1)</f>
        <v>0</v>
      </c>
      <c r="I3454" s="2000" t="s">
        <v>8948</v>
      </c>
      <c r="J3454" s="1958">
        <v>90</v>
      </c>
      <c r="K3454" s="1959">
        <v>1</v>
      </c>
      <c r="L3454" s="1959">
        <v>20</v>
      </c>
      <c r="M3454" s="2005">
        <f>COUNTIF('Elan y Personalización'!$C$13:$F$25,Tablas!I3454)+COUNTIF('Elan y Personalización'!$C$45:$F$57,Tablas!I3454)</f>
        <v>0</v>
      </c>
      <c r="N3454" s="2178" t="s">
        <v>9167</v>
      </c>
      <c r="O3454" s="2209"/>
      <c r="P3454" s="1958"/>
      <c r="Q3454" s="2178"/>
      <c r="R3454" s="1958"/>
      <c r="S3454" s="1958"/>
      <c r="T3454" s="2196"/>
    </row>
    <row r="3455" spans="2:22" ht="12.75" customHeight="1" x14ac:dyDescent="0.2">
      <c r="B3455" s="1860" t="str">
        <f t="shared" si="324"/>
        <v>La Torre invertida</v>
      </c>
      <c r="C3455" s="2723">
        <f t="shared" si="325"/>
        <v>21</v>
      </c>
      <c r="D3455" s="455" t="s">
        <v>1139</v>
      </c>
      <c r="E3455" s="290">
        <v>420</v>
      </c>
      <c r="F3455" s="312">
        <v>900</v>
      </c>
      <c r="H3455" s="1958">
        <f>IF(OR(M3455=0),0,SUM($M$3430:M3454)+1)</f>
        <v>0</v>
      </c>
      <c r="I3455" s="2000" t="s">
        <v>8949</v>
      </c>
      <c r="J3455" s="1958">
        <v>100</v>
      </c>
      <c r="K3455" s="1959">
        <v>1</v>
      </c>
      <c r="L3455" s="1959">
        <v>10</v>
      </c>
      <c r="M3455" s="2005">
        <f>COUNTIF('Elan y Personalización'!$C$13:$F$25,Tablas!I3455)+COUNTIF('Elan y Personalización'!$C$45:$F$57,Tablas!I3455)</f>
        <v>0</v>
      </c>
      <c r="N3455" s="2178" t="s">
        <v>9168</v>
      </c>
      <c r="O3455" s="2209"/>
      <c r="P3455" s="1958"/>
      <c r="Q3455" s="2178"/>
      <c r="R3455" s="1958"/>
      <c r="S3455" s="1958"/>
      <c r="T3455" s="2196"/>
    </row>
    <row r="3456" spans="2:22" ht="12.75" customHeight="1" x14ac:dyDescent="0.2">
      <c r="B3456" s="1860" t="str">
        <f t="shared" si="324"/>
        <v>Los Enamorados</v>
      </c>
      <c r="C3456" s="2723">
        <f t="shared" si="325"/>
        <v>15</v>
      </c>
      <c r="D3456" s="455" t="s">
        <v>1140</v>
      </c>
      <c r="E3456" s="290">
        <v>440</v>
      </c>
      <c r="F3456" s="312">
        <v>950</v>
      </c>
      <c r="H3456" s="1958">
        <f>IF(OR(M3456=0),0,SUM($M$3430:M3455)+1)</f>
        <v>0</v>
      </c>
      <c r="I3456" s="2004" t="s">
        <v>8916</v>
      </c>
      <c r="J3456" s="1961"/>
      <c r="K3456" s="1961"/>
      <c r="L3456" s="1961"/>
      <c r="M3456" s="2006">
        <f>COUNTIF('Elan y Personalización'!$C$13:$F$25,Tablas!I3456)+COUNTIF('Elan y Personalización'!$C$45:$F$57,Tablas!I3456)</f>
        <v>0</v>
      </c>
      <c r="N3456" s="2004" t="str">
        <f>I3456</f>
        <v>Uriel</v>
      </c>
      <c r="O3456" s="2208" t="str">
        <f>I3456</f>
        <v>Uriel</v>
      </c>
      <c r="P3456" s="2201" t="str">
        <f t="array" ref="P3456:V3456">TRANSPOSE(O3457:O3468)</f>
        <v>Liberar a una persona subyugada</v>
      </c>
      <c r="Q3456" s="2210" t="str">
        <v>Liberar a un grupo de personas subyugadas</v>
      </c>
      <c r="R3456" s="2201" t="str">
        <v>Actuar libremente y sin ataduras</v>
      </c>
      <c r="S3456" s="2201" t="str">
        <v>Acabar con leyes tiranas</v>
      </c>
      <c r="T3456" s="2201" t="str">
        <v>Rebelarse contra la opresión</v>
      </c>
      <c r="U3456" s="2200" t="str">
        <v>Mostrar a la gente el valor de la libertad</v>
      </c>
      <c r="V3456" s="2200">
        <v>0</v>
      </c>
    </row>
    <row r="3457" spans="2:22" ht="12.75" customHeight="1" x14ac:dyDescent="0.2">
      <c r="B3457" s="1860" t="str">
        <f t="shared" si="324"/>
        <v>Los Enamorados invertidos</v>
      </c>
      <c r="C3457" s="2723">
        <f t="shared" si="325"/>
        <v>19</v>
      </c>
      <c r="D3457" s="455" t="s">
        <v>1141</v>
      </c>
      <c r="E3457" s="290">
        <v>460</v>
      </c>
      <c r="F3457" s="312">
        <v>1000</v>
      </c>
      <c r="H3457" s="1958">
        <f>IF(OR(M3457=0),0,SUM($M$3430:M3456)+1)</f>
        <v>0</v>
      </c>
      <c r="I3457" s="2000" t="s">
        <v>8950</v>
      </c>
      <c r="J3457" s="1958">
        <v>10</v>
      </c>
      <c r="K3457" s="1959">
        <v>1</v>
      </c>
      <c r="L3457" s="1959">
        <v>5</v>
      </c>
      <c r="M3457" s="2005">
        <f>COUNTIF('Elan y Personalización'!$C$13:$F$25,Tablas!I3457)+COUNTIF('Elan y Personalización'!$C$45:$F$57,Tablas!I3457)</f>
        <v>0</v>
      </c>
      <c r="N3457" s="2178" t="s">
        <v>9169</v>
      </c>
      <c r="O3457" s="2209" t="s">
        <v>9170</v>
      </c>
      <c r="P3457" s="1958">
        <v>2</v>
      </c>
      <c r="Q3457" s="2178" t="s">
        <v>9171</v>
      </c>
      <c r="R3457" s="1958">
        <v>3</v>
      </c>
      <c r="S3457" s="1958" t="s">
        <v>9172</v>
      </c>
      <c r="T3457" s="2196">
        <v>-1</v>
      </c>
    </row>
    <row r="3458" spans="2:22" ht="12.75" customHeight="1" x14ac:dyDescent="0.2">
      <c r="B3458" s="1860" t="str">
        <f>VLOOKUP(A1,$C$3458:$D$3528,2,0)</f>
        <v>&gt; GRANDES BESTIAS</v>
      </c>
      <c r="C3458" s="2723">
        <f>COUNTIF($D$3458:$D$3528,"&lt;="&amp;D3458)</f>
        <v>1</v>
      </c>
      <c r="D3458" s="455" t="s">
        <v>1142</v>
      </c>
      <c r="E3458" s="73"/>
      <c r="F3458" s="75"/>
      <c r="H3458" s="1958">
        <f>IF(OR(M3458=0),0,SUM($M$3430:M3457)+1)</f>
        <v>0</v>
      </c>
      <c r="I3458" s="2000" t="s">
        <v>8951</v>
      </c>
      <c r="J3458" s="1958">
        <v>20</v>
      </c>
      <c r="K3458" s="1959">
        <v>1</v>
      </c>
      <c r="L3458" s="1959">
        <v>5</v>
      </c>
      <c r="M3458" s="2005">
        <f>COUNTIF('Elan y Personalización'!$C$13:$F$25,Tablas!I3458)+COUNTIF('Elan y Personalización'!$C$45:$F$57,Tablas!I3458)</f>
        <v>0</v>
      </c>
      <c r="N3458" s="2178" t="s">
        <v>9173</v>
      </c>
      <c r="O3458" s="2209" t="s">
        <v>9174</v>
      </c>
      <c r="P3458" s="1958">
        <v>5</v>
      </c>
      <c r="Q3458" s="2178" t="s">
        <v>9175</v>
      </c>
      <c r="R3458" s="1958">
        <v>2</v>
      </c>
      <c r="S3458" s="1958" t="s">
        <v>9176</v>
      </c>
      <c r="T3458" s="2196">
        <v>-2</v>
      </c>
    </row>
    <row r="3459" spans="2:22" ht="12.75" customHeight="1" x14ac:dyDescent="0.2">
      <c r="B3459" s="1860" t="str">
        <f t="shared" ref="B3459:B3522" si="326">VLOOKUP(A2,$C$3458:$D$3528,2,0)</f>
        <v>Behemoth, Señor de la Tierra</v>
      </c>
      <c r="C3459" s="2723">
        <f t="shared" ref="C3459:C3522" si="327">COUNTIF($D$3458:$D$3528,"&lt;="&amp;D3459)</f>
        <v>52</v>
      </c>
      <c r="D3459" s="455" t="s">
        <v>1143</v>
      </c>
      <c r="E3459" s="290">
        <v>280</v>
      </c>
      <c r="F3459" s="312">
        <v>450</v>
      </c>
      <c r="H3459" s="1958">
        <f>IF(OR(M3459=0),0,SUM($M$3430:M3458)+1)</f>
        <v>0</v>
      </c>
      <c r="I3459" s="2000" t="s">
        <v>8952</v>
      </c>
      <c r="J3459" s="1958">
        <v>20</v>
      </c>
      <c r="K3459" s="1959">
        <v>1</v>
      </c>
      <c r="L3459" s="1959">
        <v>10</v>
      </c>
      <c r="M3459" s="2005">
        <f>COUNTIF('Elan y Personalización'!$C$13:$F$25,Tablas!I3459)+COUNTIF('Elan y Personalización'!$C$45:$F$57,Tablas!I3459)</f>
        <v>0</v>
      </c>
      <c r="N3459" s="2178" t="s">
        <v>9177</v>
      </c>
      <c r="O3459" s="2209" t="s">
        <v>9178</v>
      </c>
      <c r="P3459" s="1958">
        <v>2</v>
      </c>
      <c r="Q3459" s="2178" t="s">
        <v>9179</v>
      </c>
      <c r="R3459" s="1958">
        <v>1</v>
      </c>
      <c r="S3459" s="1958" t="s">
        <v>9180</v>
      </c>
      <c r="T3459" s="2196">
        <v>-1</v>
      </c>
    </row>
    <row r="3460" spans="2:22" ht="12.75" customHeight="1" x14ac:dyDescent="0.2">
      <c r="B3460" s="1860" t="str">
        <f t="shared" si="326"/>
        <v>Behemoth: Comunión con la tierra</v>
      </c>
      <c r="C3460" s="2723">
        <f t="shared" si="327"/>
        <v>51</v>
      </c>
      <c r="D3460" s="455" t="s">
        <v>1144</v>
      </c>
      <c r="E3460" s="290">
        <v>380</v>
      </c>
      <c r="F3460" s="312">
        <v>800</v>
      </c>
      <c r="H3460" s="1958">
        <f>IF(OR(M3460=0),0,SUM($M$3430:M3459)+1)</f>
        <v>0</v>
      </c>
      <c r="I3460" s="2000" t="s">
        <v>8953</v>
      </c>
      <c r="J3460" s="1958">
        <v>30</v>
      </c>
      <c r="K3460" s="1959">
        <v>1</v>
      </c>
      <c r="L3460" s="1959">
        <v>5</v>
      </c>
      <c r="M3460" s="2005">
        <f>COUNTIF('Elan y Personalización'!$C$13:$F$25,Tablas!I3460)+COUNTIF('Elan y Personalización'!$C$45:$F$57,Tablas!I3460)</f>
        <v>0</v>
      </c>
      <c r="N3460" s="2178" t="s">
        <v>9181</v>
      </c>
      <c r="O3460" s="2209" t="s">
        <v>9182</v>
      </c>
      <c r="P3460" s="1958">
        <v>2</v>
      </c>
      <c r="Q3460" s="2178"/>
      <c r="R3460" s="1958"/>
      <c r="S3460" s="1958" t="s">
        <v>9183</v>
      </c>
      <c r="T3460" s="2196">
        <v>-2</v>
      </c>
    </row>
    <row r="3461" spans="2:22" ht="12.75" customHeight="1" x14ac:dyDescent="0.2">
      <c r="B3461" s="1860" t="str">
        <f t="shared" si="326"/>
        <v>Behemoth: Señor de la tierra</v>
      </c>
      <c r="C3461" s="2723">
        <f t="shared" si="327"/>
        <v>32</v>
      </c>
      <c r="D3461" s="455" t="s">
        <v>1145</v>
      </c>
      <c r="E3461" s="290">
        <v>150</v>
      </c>
      <c r="F3461" s="312">
        <v>200</v>
      </c>
      <c r="H3461" s="1958">
        <f>IF(OR(M3461=0),0,SUM($M$3430:M3460)+1)</f>
        <v>0</v>
      </c>
      <c r="I3461" s="2000" t="s">
        <v>8954</v>
      </c>
      <c r="J3461" s="1958">
        <v>40</v>
      </c>
      <c r="K3461" s="1959">
        <v>1</v>
      </c>
      <c r="L3461" s="1959">
        <v>10</v>
      </c>
      <c r="M3461" s="2005">
        <f>COUNTIF('Elan y Personalización'!$C$13:$F$25,Tablas!I3461)+COUNTIF('Elan y Personalización'!$C$45:$F$57,Tablas!I3461)</f>
        <v>0</v>
      </c>
      <c r="N3461" s="2178" t="s">
        <v>9184</v>
      </c>
      <c r="O3461" s="2209" t="s">
        <v>9185</v>
      </c>
      <c r="P3461" s="1958">
        <v>1</v>
      </c>
      <c r="Q3461" s="2178"/>
      <c r="R3461" s="1958"/>
      <c r="S3461" s="1958" t="s">
        <v>9186</v>
      </c>
      <c r="T3461" s="2196">
        <v>-10</v>
      </c>
    </row>
    <row r="3462" spans="2:22" ht="12.75" customHeight="1" x14ac:dyDescent="0.2">
      <c r="B3462" s="1860" t="str">
        <f t="shared" si="326"/>
        <v>Byakko, el Tigre Blanco</v>
      </c>
      <c r="C3462" s="2723">
        <f t="shared" si="327"/>
        <v>18</v>
      </c>
      <c r="D3462" s="455" t="s">
        <v>1146</v>
      </c>
      <c r="E3462" s="290">
        <v>220</v>
      </c>
      <c r="F3462" s="312">
        <v>500</v>
      </c>
      <c r="H3462" s="1958">
        <f>IF(OR(M3462=0),0,SUM($M$3430:M3461)+1)</f>
        <v>0</v>
      </c>
      <c r="I3462" s="2000" t="s">
        <v>8955</v>
      </c>
      <c r="J3462" s="1958">
        <v>40</v>
      </c>
      <c r="K3462" s="1959">
        <v>1</v>
      </c>
      <c r="L3462" s="1959">
        <v>5</v>
      </c>
      <c r="M3462" s="2005">
        <f>COUNTIF('Elan y Personalización'!$C$13:$F$25,Tablas!I3462)+COUNTIF('Elan y Personalización'!$C$45:$F$57,Tablas!I3462)</f>
        <v>0</v>
      </c>
      <c r="N3462" s="2178" t="s">
        <v>9187</v>
      </c>
      <c r="O3462" s="2209" t="s">
        <v>9188</v>
      </c>
      <c r="P3462" s="1958">
        <v>2</v>
      </c>
      <c r="Q3462" s="2178"/>
      <c r="R3462" s="1958"/>
      <c r="S3462" s="1958"/>
      <c r="T3462" s="2196"/>
    </row>
    <row r="3463" spans="2:22" ht="12.75" customHeight="1" x14ac:dyDescent="0.2">
      <c r="B3463" s="1860" t="str">
        <f t="shared" si="326"/>
        <v>Byakko: La bestia definitiva</v>
      </c>
      <c r="C3463" s="2723">
        <f t="shared" si="327"/>
        <v>48</v>
      </c>
      <c r="D3463" s="455" t="s">
        <v>1147</v>
      </c>
      <c r="E3463" s="290">
        <v>140</v>
      </c>
      <c r="F3463" s="312">
        <v>200</v>
      </c>
      <c r="H3463" s="1958">
        <f>IF(OR(M3463=0),0,SUM($M$3430:M3462)+1)</f>
        <v>0</v>
      </c>
      <c r="I3463" s="2000" t="s">
        <v>8956</v>
      </c>
      <c r="J3463" s="1958">
        <v>50</v>
      </c>
      <c r="K3463" s="1959">
        <v>1</v>
      </c>
      <c r="L3463" s="1959">
        <v>10</v>
      </c>
      <c r="M3463" s="2005">
        <f>COUNTIF('Elan y Personalización'!$C$13:$F$25,Tablas!I3463)+COUNTIF('Elan y Personalización'!$C$45:$F$57,Tablas!I3463)</f>
        <v>0</v>
      </c>
      <c r="N3463" s="2178" t="s">
        <v>9189</v>
      </c>
      <c r="O3463" s="2209"/>
      <c r="P3463" s="1958"/>
      <c r="Q3463" s="2178"/>
      <c r="R3463" s="1958"/>
      <c r="S3463" s="1958"/>
      <c r="T3463" s="2196"/>
    </row>
    <row r="3464" spans="2:22" ht="12.75" customHeight="1" x14ac:dyDescent="0.2">
      <c r="B3464" s="1860" t="str">
        <f t="shared" si="326"/>
        <v>Byakko: La garra del rey de las bestias</v>
      </c>
      <c r="C3464" s="2723">
        <f t="shared" si="327"/>
        <v>33</v>
      </c>
      <c r="D3464" s="455" t="s">
        <v>1148</v>
      </c>
      <c r="E3464" s="290">
        <v>180</v>
      </c>
      <c r="F3464" s="312">
        <v>200</v>
      </c>
      <c r="H3464" s="1958">
        <f>IF(OR(M3464=0),0,SUM($M$3430:M3463)+1)</f>
        <v>0</v>
      </c>
      <c r="I3464" s="2000" t="s">
        <v>8957</v>
      </c>
      <c r="J3464" s="1958">
        <v>60</v>
      </c>
      <c r="K3464" s="1959">
        <f>IF(M3461,1,0)</f>
        <v>0</v>
      </c>
      <c r="L3464" s="1959">
        <v>20</v>
      </c>
      <c r="M3464" s="2005">
        <f>COUNTIF('Elan y Personalización'!$C$13:$F$25,Tablas!I3464)+COUNTIF('Elan y Personalización'!$C$45:$F$57,Tablas!I3464)</f>
        <v>0</v>
      </c>
      <c r="N3464" s="2178" t="s">
        <v>9190</v>
      </c>
      <c r="O3464" s="2209"/>
      <c r="P3464" s="1958"/>
      <c r="Q3464" s="2178"/>
      <c r="R3464" s="1958"/>
      <c r="S3464" s="1958"/>
      <c r="T3464" s="2196"/>
    </row>
    <row r="3465" spans="2:22" ht="12.75" customHeight="1" x14ac:dyDescent="0.2">
      <c r="B3465" s="1860" t="str">
        <f t="shared" si="326"/>
        <v>Byakko: Protección</v>
      </c>
      <c r="C3465" s="2723">
        <f t="shared" si="327"/>
        <v>35</v>
      </c>
      <c r="D3465" s="455" t="s">
        <v>1149</v>
      </c>
      <c r="E3465" s="290">
        <v>140</v>
      </c>
      <c r="F3465" s="312">
        <v>120</v>
      </c>
      <c r="H3465" s="1958">
        <f>IF(OR(M3465=0),0,SUM($M$3430:M3464)+1)</f>
        <v>0</v>
      </c>
      <c r="I3465" s="2000" t="s">
        <v>8958</v>
      </c>
      <c r="J3465" s="1958">
        <v>60</v>
      </c>
      <c r="K3465" s="1959">
        <v>1</v>
      </c>
      <c r="L3465" s="1959">
        <v>15</v>
      </c>
      <c r="M3465" s="2005">
        <f>COUNTIF('Elan y Personalización'!$C$13:$F$25,Tablas!I3465)+COUNTIF('Elan y Personalización'!$C$45:$F$57,Tablas!I3465)</f>
        <v>0</v>
      </c>
      <c r="N3465" s="2178" t="s">
        <v>9191</v>
      </c>
      <c r="O3465" s="2209"/>
      <c r="P3465" s="1958"/>
      <c r="Q3465" s="2178"/>
      <c r="R3465" s="1958"/>
      <c r="S3465" s="1958"/>
      <c r="T3465" s="2196"/>
    </row>
    <row r="3466" spans="2:22" ht="12.75" customHeight="1" x14ac:dyDescent="0.2">
      <c r="B3466" s="1860" t="str">
        <f t="shared" si="326"/>
        <v>Byakko: Señor del oeste</v>
      </c>
      <c r="C3466" s="2723">
        <f t="shared" si="327"/>
        <v>34</v>
      </c>
      <c r="D3466" s="455" t="s">
        <v>1150</v>
      </c>
      <c r="E3466" s="290">
        <v>200</v>
      </c>
      <c r="F3466" s="312">
        <v>240</v>
      </c>
      <c r="H3466" s="1958">
        <f>IF(OR(M3466=0),0,SUM($M$3430:M3465)+1)</f>
        <v>0</v>
      </c>
      <c r="I3466" s="2000" t="s">
        <v>8959</v>
      </c>
      <c r="J3466" s="1958">
        <v>70</v>
      </c>
      <c r="K3466" s="1959">
        <v>1</v>
      </c>
      <c r="L3466" s="1959">
        <v>10</v>
      </c>
      <c r="M3466" s="2005">
        <f>COUNTIF('Elan y Personalización'!$C$13:$F$25,Tablas!I3466)+COUNTIF('Elan y Personalización'!$C$45:$F$57,Tablas!I3466)</f>
        <v>0</v>
      </c>
      <c r="N3466" s="2178" t="s">
        <v>9192</v>
      </c>
      <c r="O3466" s="2209"/>
      <c r="P3466" s="1958"/>
      <c r="Q3466" s="2178"/>
      <c r="R3466" s="1958"/>
      <c r="S3466" s="1958"/>
      <c r="T3466" s="2196"/>
    </row>
    <row r="3467" spans="2:22" ht="12.75" customHeight="1" x14ac:dyDescent="0.2">
      <c r="B3467" s="1860" t="str">
        <f t="shared" si="326"/>
        <v>Caronte, Titiritero de Almas</v>
      </c>
      <c r="C3467" s="2723">
        <f t="shared" si="327"/>
        <v>36</v>
      </c>
      <c r="D3467" s="455" t="s">
        <v>1151</v>
      </c>
      <c r="E3467" s="290">
        <v>240</v>
      </c>
      <c r="F3467" s="312">
        <v>400</v>
      </c>
      <c r="H3467" s="1958">
        <f>IF(OR(M3467=0),0,SUM($M$3430:M3466)+1)</f>
        <v>0</v>
      </c>
      <c r="I3467" s="2000" t="s">
        <v>8960</v>
      </c>
      <c r="J3467" s="1958">
        <v>80</v>
      </c>
      <c r="K3467" s="1959">
        <v>1</v>
      </c>
      <c r="L3467" s="1959">
        <v>10</v>
      </c>
      <c r="M3467" s="2005">
        <f>COUNTIF('Elan y Personalización'!$C$13:$F$25,Tablas!I3467)+COUNTIF('Elan y Personalización'!$C$45:$F$57,Tablas!I3467)</f>
        <v>0</v>
      </c>
      <c r="N3467" s="2178" t="s">
        <v>9193</v>
      </c>
      <c r="O3467" s="2209"/>
      <c r="P3467" s="1958"/>
      <c r="Q3467" s="2178"/>
      <c r="R3467" s="1958"/>
      <c r="S3467" s="1958"/>
      <c r="T3467" s="2196"/>
    </row>
    <row r="3468" spans="2:22" ht="12.75" customHeight="1" x14ac:dyDescent="0.2">
      <c r="B3468" s="1860" t="str">
        <f t="shared" si="326"/>
        <v>Druaga</v>
      </c>
      <c r="C3468" s="2723">
        <f t="shared" si="327"/>
        <v>25</v>
      </c>
      <c r="D3468" s="455" t="s">
        <v>1152</v>
      </c>
      <c r="E3468" s="290">
        <v>260</v>
      </c>
      <c r="F3468" s="312">
        <v>400</v>
      </c>
      <c r="H3468" s="1958">
        <f>IF(OR(M3468=0),0,SUM($M$3430:M3467)+1)</f>
        <v>0</v>
      </c>
      <c r="I3468" s="2000" t="s">
        <v>8961</v>
      </c>
      <c r="J3468" s="1958">
        <v>90</v>
      </c>
      <c r="K3468" s="1959">
        <v>1</v>
      </c>
      <c r="L3468" s="1959">
        <v>20</v>
      </c>
      <c r="M3468" s="2005">
        <f>COUNTIF('Elan y Personalización'!$C$13:$F$25,Tablas!I3468)+COUNTIF('Elan y Personalización'!$C$45:$F$57,Tablas!I3468)</f>
        <v>0</v>
      </c>
      <c r="N3468" s="2178" t="s">
        <v>9194</v>
      </c>
      <c r="O3468" s="2209"/>
      <c r="P3468" s="1958"/>
      <c r="Q3468" s="2178"/>
      <c r="R3468" s="1958"/>
      <c r="S3468" s="1958"/>
      <c r="T3468" s="2196"/>
    </row>
    <row r="3469" spans="2:22" ht="12.75" customHeight="1" x14ac:dyDescent="0.2">
      <c r="B3469" s="1860" t="str">
        <f t="shared" si="326"/>
        <v>Druaga: Destructora de demonios</v>
      </c>
      <c r="C3469" s="2723">
        <f t="shared" si="327"/>
        <v>47</v>
      </c>
      <c r="D3469" s="455" t="s">
        <v>1153</v>
      </c>
      <c r="E3469" s="290">
        <v>180</v>
      </c>
      <c r="F3469" s="312">
        <v>200</v>
      </c>
      <c r="H3469" s="1958">
        <f>IF(OR(M3469=0),0,SUM($M$3430:M3468)+1)</f>
        <v>0</v>
      </c>
      <c r="I3469" s="2000" t="s">
        <v>8962</v>
      </c>
      <c r="J3469" s="1958">
        <v>100</v>
      </c>
      <c r="K3469" s="1959">
        <v>1</v>
      </c>
      <c r="L3469" s="1959">
        <v>10</v>
      </c>
      <c r="M3469" s="2005">
        <f>COUNTIF('Elan y Personalización'!$C$13:$F$25,Tablas!I3469)+COUNTIF('Elan y Personalización'!$C$45:$F$57,Tablas!I3469)</f>
        <v>0</v>
      </c>
      <c r="N3469" s="2178" t="s">
        <v>9195</v>
      </c>
      <c r="O3469" s="2209"/>
      <c r="P3469" s="1958"/>
      <c r="Q3469" s="2178"/>
      <c r="R3469" s="1958"/>
      <c r="S3469" s="1958"/>
      <c r="T3469" s="2196"/>
    </row>
    <row r="3470" spans="2:22" ht="12.75" customHeight="1" x14ac:dyDescent="0.2">
      <c r="B3470" s="1860" t="str">
        <f t="shared" si="326"/>
        <v>Druaga: Kali</v>
      </c>
      <c r="C3470" s="2723">
        <f t="shared" si="327"/>
        <v>26</v>
      </c>
      <c r="D3470" s="455" t="s">
        <v>1154</v>
      </c>
      <c r="E3470" s="290">
        <v>220</v>
      </c>
      <c r="F3470" s="312">
        <v>350</v>
      </c>
      <c r="H3470" s="1958">
        <f>IF(OR(M3470=0),0,SUM($M$3430:M3469)+1)</f>
        <v>0</v>
      </c>
      <c r="I3470" s="2004" t="s">
        <v>8917</v>
      </c>
      <c r="J3470" s="1961"/>
      <c r="K3470" s="1961"/>
      <c r="L3470" s="1961"/>
      <c r="M3470" s="2006">
        <f>COUNTIF('Elan y Personalización'!$C$13:$F$25,Tablas!I3470)+COUNTIF('Elan y Personalización'!$C$45:$F$57,Tablas!I3470)</f>
        <v>0</v>
      </c>
      <c r="N3470" s="2004" t="str">
        <f>I3470</f>
        <v>Jedah</v>
      </c>
      <c r="O3470" s="2208" t="str">
        <f>I3470</f>
        <v>Jedah</v>
      </c>
      <c r="P3470" s="2201" t="str">
        <f t="array" ref="P3470:V3470">TRANSPOSE(O3471:O3482)</f>
        <v>Manipular a los demás para lograr algo</v>
      </c>
      <c r="Q3470" s="2210" t="str">
        <v>Obtener un importante puesto político</v>
      </c>
      <c r="R3470" s="2201" t="str">
        <v>Acatar equilibradamente las órdenes de su señor</v>
      </c>
      <c r="S3470" s="2201" t="str">
        <v>Imponer orden y estabilidad en la sociedad</v>
      </c>
      <c r="T3470" s="2201" t="str">
        <v>Superar una situación imposible</v>
      </c>
      <c r="U3470" s="2200" t="str">
        <v>Promover el estudio y el conocimiento</v>
      </c>
      <c r="V3470" s="2200">
        <v>0</v>
      </c>
    </row>
    <row r="3471" spans="2:22" ht="12.75" customHeight="1" x14ac:dyDescent="0.2">
      <c r="B3471" s="1860" t="str">
        <f t="shared" si="326"/>
        <v>Eir, la Primera Valkyria</v>
      </c>
      <c r="C3471" s="2723">
        <f t="shared" si="327"/>
        <v>50</v>
      </c>
      <c r="D3471" s="455" t="s">
        <v>1155</v>
      </c>
      <c r="E3471" s="290">
        <v>220</v>
      </c>
      <c r="F3471" s="312">
        <v>400</v>
      </c>
      <c r="H3471" s="1958">
        <f>IF(OR(M3471=0),0,SUM($M$3430:M3470)+1)</f>
        <v>0</v>
      </c>
      <c r="I3471" s="2000" t="s">
        <v>8963</v>
      </c>
      <c r="J3471" s="1958">
        <v>10</v>
      </c>
      <c r="K3471" s="1959">
        <v>1</v>
      </c>
      <c r="L3471" s="1959">
        <v>5</v>
      </c>
      <c r="M3471" s="2005">
        <f>COUNTIF('Elan y Personalización'!$C$13:$F$25,Tablas!I3471)+COUNTIF('Elan y Personalización'!$C$45:$F$57,Tablas!I3471)</f>
        <v>0</v>
      </c>
      <c r="N3471" s="2178" t="s">
        <v>9196</v>
      </c>
      <c r="O3471" s="2209" t="s">
        <v>9456</v>
      </c>
      <c r="P3471" s="1958">
        <v>1</v>
      </c>
      <c r="Q3471" s="2178" t="s">
        <v>9197</v>
      </c>
      <c r="R3471" s="1958">
        <v>1</v>
      </c>
      <c r="S3471" s="1958" t="s">
        <v>9198</v>
      </c>
      <c r="T3471" s="2196">
        <v>-2</v>
      </c>
    </row>
    <row r="3472" spans="2:22" ht="12.75" customHeight="1" x14ac:dyDescent="0.2">
      <c r="B3472" s="1860" t="str">
        <f t="shared" si="326"/>
        <v>Eir: Einjear</v>
      </c>
      <c r="C3472" s="2723">
        <f t="shared" si="327"/>
        <v>37</v>
      </c>
      <c r="D3472" s="455" t="s">
        <v>1156</v>
      </c>
      <c r="E3472" s="290">
        <v>280</v>
      </c>
      <c r="F3472" s="312">
        <v>500</v>
      </c>
      <c r="H3472" s="1958">
        <f>IF(OR(M3472=0),0,SUM($M$3430:M3471)+1)</f>
        <v>0</v>
      </c>
      <c r="I3472" s="2000" t="s">
        <v>8964</v>
      </c>
      <c r="J3472" s="1958">
        <v>20</v>
      </c>
      <c r="K3472" s="1959">
        <v>1</v>
      </c>
      <c r="L3472" s="1959">
        <v>10</v>
      </c>
      <c r="M3472" s="2005">
        <f>COUNTIF('Elan y Personalización'!$C$13:$F$25,Tablas!I3472)+COUNTIF('Elan y Personalización'!$C$45:$F$57,Tablas!I3472)</f>
        <v>0</v>
      </c>
      <c r="N3472" s="2178" t="s">
        <v>9199</v>
      </c>
      <c r="O3472" s="2209" t="s">
        <v>9200</v>
      </c>
      <c r="P3472" s="1958">
        <v>3</v>
      </c>
      <c r="Q3472" s="2178" t="s">
        <v>9201</v>
      </c>
      <c r="R3472" s="1958">
        <v>3</v>
      </c>
      <c r="S3472" s="1958" t="s">
        <v>9202</v>
      </c>
      <c r="T3472" s="2196">
        <v>-3</v>
      </c>
    </row>
    <row r="3473" spans="2:22" ht="12.75" customHeight="1" x14ac:dyDescent="0.2">
      <c r="B3473" s="1860" t="str">
        <f t="shared" si="326"/>
        <v>Eir: El ojo de la muerte</v>
      </c>
      <c r="C3473" s="2723">
        <f t="shared" si="327"/>
        <v>39</v>
      </c>
      <c r="D3473" s="455" t="s">
        <v>1157</v>
      </c>
      <c r="E3473" s="290">
        <v>240</v>
      </c>
      <c r="F3473" s="312">
        <v>400</v>
      </c>
      <c r="H3473" s="1958">
        <f>IF(OR(M3473=0),0,SUM($M$3430:M3472)+1)</f>
        <v>0</v>
      </c>
      <c r="I3473" s="2000" t="s">
        <v>3062</v>
      </c>
      <c r="J3473" s="1958">
        <v>30</v>
      </c>
      <c r="K3473" s="1959">
        <v>1</v>
      </c>
      <c r="L3473" s="1959">
        <v>5</v>
      </c>
      <c r="M3473" s="2005">
        <f>COUNTIF('Elan y Personalización'!$C$13:$F$25,Tablas!I3473)+COUNTIF('Elan y Personalización'!$C$45:$F$57,Tablas!I3473)</f>
        <v>0</v>
      </c>
      <c r="N3473" s="2178" t="s">
        <v>9203</v>
      </c>
      <c r="O3473" s="2209" t="s">
        <v>9204</v>
      </c>
      <c r="P3473" s="1958">
        <v>2</v>
      </c>
      <c r="Q3473" s="2178" t="s">
        <v>9205</v>
      </c>
      <c r="R3473" s="1958">
        <v>3</v>
      </c>
      <c r="S3473" s="1958" t="s">
        <v>9206</v>
      </c>
      <c r="T3473" s="2196">
        <v>-2</v>
      </c>
    </row>
    <row r="3474" spans="2:22" ht="12.75" customHeight="1" x14ac:dyDescent="0.2">
      <c r="B3474" s="1860" t="str">
        <f t="shared" si="326"/>
        <v>El Vendedor</v>
      </c>
      <c r="C3474" s="2723">
        <f t="shared" si="327"/>
        <v>38</v>
      </c>
      <c r="D3474" s="455" t="s">
        <v>1158</v>
      </c>
      <c r="E3474" s="290">
        <v>280</v>
      </c>
      <c r="F3474" s="312">
        <v>500</v>
      </c>
      <c r="H3474" s="1958">
        <f>IF(OR(M3474=0),0,SUM($M$3430:M3473)+1)</f>
        <v>0</v>
      </c>
      <c r="I3474" s="2000" t="s">
        <v>8965</v>
      </c>
      <c r="J3474" s="1958">
        <v>40</v>
      </c>
      <c r="K3474" s="1959">
        <v>1</v>
      </c>
      <c r="L3474" s="1959">
        <v>5</v>
      </c>
      <c r="M3474" s="2005">
        <f>COUNTIF('Elan y Personalización'!$C$13:$F$25,Tablas!I3474)+COUNTIF('Elan y Personalización'!$C$45:$F$57,Tablas!I3474)</f>
        <v>0</v>
      </c>
      <c r="N3474" s="2178" t="s">
        <v>9207</v>
      </c>
      <c r="O3474" s="2209" t="s">
        <v>9208</v>
      </c>
      <c r="P3474" s="1958">
        <v>3</v>
      </c>
      <c r="Q3474" s="2178"/>
      <c r="R3474" s="1958"/>
      <c r="S3474" s="1958" t="s">
        <v>9209</v>
      </c>
      <c r="T3474" s="2196">
        <v>-4</v>
      </c>
    </row>
    <row r="3475" spans="2:22" ht="12.75" customHeight="1" x14ac:dyDescent="0.2">
      <c r="B3475" s="1860" t="str">
        <f t="shared" si="326"/>
        <v>Enamon</v>
      </c>
      <c r="C3475" s="2723">
        <f t="shared" si="327"/>
        <v>19</v>
      </c>
      <c r="D3475" s="455" t="s">
        <v>1159</v>
      </c>
      <c r="E3475" s="290">
        <v>280</v>
      </c>
      <c r="F3475" s="312">
        <v>400</v>
      </c>
      <c r="H3475" s="1958">
        <f>IF(OR(M3475=0),0,SUM($M$3430:M3474)+1)</f>
        <v>0</v>
      </c>
      <c r="I3475" s="2000" t="s">
        <v>8966</v>
      </c>
      <c r="J3475" s="1958">
        <v>50</v>
      </c>
      <c r="K3475" s="1959">
        <v>1</v>
      </c>
      <c r="L3475" s="1959">
        <v>10</v>
      </c>
      <c r="M3475" s="2005">
        <f>COUNTIF('Elan y Personalización'!$C$13:$F$25,Tablas!I3475)+COUNTIF('Elan y Personalización'!$C$45:$F$57,Tablas!I3475)</f>
        <v>0</v>
      </c>
      <c r="N3475" s="2178" t="s">
        <v>9210</v>
      </c>
      <c r="O3475" s="2209" t="s">
        <v>9211</v>
      </c>
      <c r="P3475" s="1958">
        <v>3</v>
      </c>
      <c r="Q3475" s="2178"/>
      <c r="R3475" s="1958"/>
      <c r="S3475" s="1958"/>
      <c r="T3475" s="2196"/>
    </row>
    <row r="3476" spans="2:22" ht="12.75" customHeight="1" x14ac:dyDescent="0.2">
      <c r="B3476" s="1860" t="str">
        <f t="shared" si="326"/>
        <v>Ethelthryth, Señora de los Nombres</v>
      </c>
      <c r="C3476" s="2723">
        <f t="shared" si="327"/>
        <v>20</v>
      </c>
      <c r="D3476" s="455" t="s">
        <v>1160</v>
      </c>
      <c r="E3476" s="290">
        <v>240</v>
      </c>
      <c r="F3476" s="312">
        <v>350</v>
      </c>
      <c r="H3476" s="1958">
        <f>IF(OR(M3476=0),0,SUM($M$3430:M3475)+1)</f>
        <v>0</v>
      </c>
      <c r="I3476" s="2000" t="s">
        <v>8967</v>
      </c>
      <c r="J3476" s="1958">
        <v>50</v>
      </c>
      <c r="K3476" s="1959">
        <v>1</v>
      </c>
      <c r="L3476" s="1959">
        <v>10</v>
      </c>
      <c r="M3476" s="2005">
        <f>COUNTIF('Elan y Personalización'!$C$13:$F$25,Tablas!I3476)+COUNTIF('Elan y Personalización'!$C$45:$F$57,Tablas!I3476)</f>
        <v>0</v>
      </c>
      <c r="N3476" s="2178" t="s">
        <v>9212</v>
      </c>
      <c r="O3476" s="2209" t="s">
        <v>9213</v>
      </c>
      <c r="P3476" s="1958">
        <v>2</v>
      </c>
      <c r="Q3476" s="2178"/>
      <c r="R3476" s="1958"/>
      <c r="S3476" s="1958"/>
      <c r="T3476" s="2196"/>
    </row>
    <row r="3477" spans="2:22" ht="12.75" customHeight="1" x14ac:dyDescent="0.2">
      <c r="B3477" s="1860" t="str">
        <f t="shared" si="326"/>
        <v>Ethelthryth: In Nomine</v>
      </c>
      <c r="C3477" s="2723">
        <f t="shared" si="327"/>
        <v>21</v>
      </c>
      <c r="D3477" s="455" t="s">
        <v>1161</v>
      </c>
      <c r="E3477" s="290">
        <v>320</v>
      </c>
      <c r="F3477" s="312">
        <v>450</v>
      </c>
      <c r="H3477" s="1958">
        <f>IF(OR(M3477=0),0,SUM($M$3430:M3476)+1)</f>
        <v>0</v>
      </c>
      <c r="I3477" s="2000" t="s">
        <v>8968</v>
      </c>
      <c r="J3477" s="1958">
        <v>60</v>
      </c>
      <c r="K3477" s="1959">
        <v>1</v>
      </c>
      <c r="L3477" s="1959">
        <v>10</v>
      </c>
      <c r="M3477" s="2005">
        <f>COUNTIF('Elan y Personalización'!$C$13:$F$25,Tablas!I3477)+COUNTIF('Elan y Personalización'!$C$45:$F$57,Tablas!I3477)</f>
        <v>0</v>
      </c>
      <c r="N3477" s="2178" t="s">
        <v>9214</v>
      </c>
      <c r="O3477" s="2209"/>
      <c r="P3477" s="1958"/>
      <c r="Q3477" s="2178"/>
      <c r="R3477" s="1958"/>
      <c r="S3477" s="1958"/>
      <c r="T3477" s="2196"/>
    </row>
    <row r="3478" spans="2:22" ht="12.75" customHeight="1" x14ac:dyDescent="0.2">
      <c r="B3478" s="1860" t="str">
        <f t="shared" si="326"/>
        <v>Ethelthryth: Ordinare</v>
      </c>
      <c r="C3478" s="2723">
        <f t="shared" si="327"/>
        <v>14</v>
      </c>
      <c r="D3478" s="455" t="s">
        <v>1162</v>
      </c>
      <c r="E3478" s="290">
        <v>280</v>
      </c>
      <c r="F3478" s="312">
        <v>400</v>
      </c>
      <c r="H3478" s="1958">
        <f>IF(OR(M3478=0),0,SUM($M$3430:M3477)+1)</f>
        <v>0</v>
      </c>
      <c r="I3478" s="2000" t="s">
        <v>8969</v>
      </c>
      <c r="J3478" s="1958">
        <v>65</v>
      </c>
      <c r="K3478" s="1959">
        <v>1</v>
      </c>
      <c r="L3478" s="1959">
        <v>15</v>
      </c>
      <c r="M3478" s="2005">
        <f>COUNTIF('Elan y Personalización'!$C$13:$F$25,Tablas!I3478)+COUNTIF('Elan y Personalización'!$C$45:$F$57,Tablas!I3478)</f>
        <v>0</v>
      </c>
      <c r="N3478" s="2178" t="s">
        <v>9215</v>
      </c>
      <c r="O3478" s="2209"/>
      <c r="P3478" s="1958"/>
      <c r="Q3478" s="2178"/>
      <c r="R3478" s="1958"/>
      <c r="S3478" s="1958"/>
      <c r="T3478" s="2196"/>
    </row>
    <row r="3479" spans="2:22" ht="12.75" customHeight="1" x14ac:dyDescent="0.2">
      <c r="B3479" s="1860" t="str">
        <f t="shared" si="326"/>
        <v>Forseti, Señor del Equilibrio</v>
      </c>
      <c r="C3479" s="2723">
        <f t="shared" si="327"/>
        <v>16</v>
      </c>
      <c r="D3479" s="455" t="s">
        <v>1163</v>
      </c>
      <c r="E3479" s="290">
        <v>200</v>
      </c>
      <c r="F3479" s="312">
        <v>240</v>
      </c>
      <c r="H3479" s="1958">
        <f>IF(OR(M3479=0),0,SUM($M$3430:M3478)+1)</f>
        <v>0</v>
      </c>
      <c r="I3479" s="2000" t="s">
        <v>8970</v>
      </c>
      <c r="J3479" s="1958">
        <v>70</v>
      </c>
      <c r="K3479" s="1959">
        <v>1</v>
      </c>
      <c r="L3479" s="1959">
        <v>15</v>
      </c>
      <c r="M3479" s="2005">
        <f>COUNTIF('Elan y Personalización'!$C$13:$F$25,Tablas!I3479)+COUNTIF('Elan y Personalización'!$C$45:$F$57,Tablas!I3479)</f>
        <v>0</v>
      </c>
      <c r="N3479" s="2178" t="s">
        <v>9216</v>
      </c>
      <c r="O3479" s="2209"/>
      <c r="P3479" s="1958"/>
      <c r="Q3479" s="2178"/>
      <c r="R3479" s="1958"/>
      <c r="S3479" s="1958"/>
      <c r="T3479" s="2196"/>
    </row>
    <row r="3480" spans="2:22" ht="12.75" customHeight="1" x14ac:dyDescent="0.2">
      <c r="B3480" s="1860" t="str">
        <f t="shared" si="326"/>
        <v>Forseti: Equilibirum</v>
      </c>
      <c r="C3480" s="2723">
        <f t="shared" si="327"/>
        <v>15</v>
      </c>
      <c r="D3480" s="455" t="s">
        <v>1164</v>
      </c>
      <c r="E3480" s="290">
        <v>380</v>
      </c>
      <c r="F3480" s="312">
        <v>800</v>
      </c>
      <c r="H3480" s="1958">
        <f>IF(OR(M3480=0),0,SUM($M$3430:M3479)+1)</f>
        <v>0</v>
      </c>
      <c r="I3480" s="2000" t="s">
        <v>8971</v>
      </c>
      <c r="J3480" s="1958">
        <v>70</v>
      </c>
      <c r="K3480" s="1959">
        <f>IF(M3476,1,0)</f>
        <v>0</v>
      </c>
      <c r="L3480" s="1959">
        <v>10</v>
      </c>
      <c r="M3480" s="2005">
        <f>COUNTIF('Elan y Personalización'!$C$13:$F$25,Tablas!I3480)+COUNTIF('Elan y Personalización'!$C$45:$F$57,Tablas!I3480)</f>
        <v>0</v>
      </c>
      <c r="N3480" s="2178" t="s">
        <v>9217</v>
      </c>
      <c r="O3480" s="2209"/>
      <c r="P3480" s="1958"/>
      <c r="Q3480" s="2178"/>
      <c r="R3480" s="1958"/>
      <c r="S3480" s="1958"/>
      <c r="T3480" s="2196"/>
    </row>
    <row r="3481" spans="2:22" ht="12.75" customHeight="1" x14ac:dyDescent="0.2">
      <c r="B3481" s="1860" t="str">
        <f t="shared" si="326"/>
        <v>Forseti: Equilibirum mundi</v>
      </c>
      <c r="C3481" s="2723">
        <f t="shared" si="327"/>
        <v>68</v>
      </c>
      <c r="D3481" s="455" t="s">
        <v>1165</v>
      </c>
      <c r="E3481" s="290">
        <v>240</v>
      </c>
      <c r="F3481" s="312">
        <v>350</v>
      </c>
      <c r="H3481" s="1958">
        <f>IF(OR(M3481=0),0,SUM($M$3430:M3480)+1)</f>
        <v>0</v>
      </c>
      <c r="I3481" s="2000" t="s">
        <v>8960</v>
      </c>
      <c r="J3481" s="1958">
        <v>80</v>
      </c>
      <c r="K3481" s="1959">
        <v>1</v>
      </c>
      <c r="L3481" s="1959">
        <v>15</v>
      </c>
      <c r="M3481" s="2005">
        <f>COUNTIF('Elan y Personalización'!$C$13:$F$25,Tablas!I3481)+COUNTIF('Elan y Personalización'!$C$45:$F$57,Tablas!I3481)</f>
        <v>0</v>
      </c>
      <c r="N3481" s="2178" t="s">
        <v>9193</v>
      </c>
      <c r="O3481" s="2209"/>
      <c r="P3481" s="1958"/>
      <c r="Q3481" s="2178"/>
      <c r="R3481" s="1958"/>
      <c r="S3481" s="1958"/>
      <c r="T3481" s="2196"/>
    </row>
    <row r="3482" spans="2:22" ht="12.75" customHeight="1" x14ac:dyDescent="0.2">
      <c r="B3482" s="1860" t="str">
        <f t="shared" si="326"/>
        <v>Galgaliel, Ángel de los Dones</v>
      </c>
      <c r="C3482" s="2723">
        <f t="shared" si="327"/>
        <v>67</v>
      </c>
      <c r="D3482" s="455" t="s">
        <v>1166</v>
      </c>
      <c r="E3482" s="290">
        <v>240</v>
      </c>
      <c r="F3482" s="312">
        <v>400</v>
      </c>
      <c r="H3482" s="1958">
        <f>IF(OR(M3482=0),0,SUM($M$3430:M3481)+1)</f>
        <v>0</v>
      </c>
      <c r="I3482" s="2000" t="s">
        <v>8972</v>
      </c>
      <c r="J3482" s="1958">
        <v>90</v>
      </c>
      <c r="K3482" s="1959">
        <f>IF(M3480,1,0)</f>
        <v>0</v>
      </c>
      <c r="L3482" s="1959">
        <v>10</v>
      </c>
      <c r="M3482" s="2005">
        <f>COUNTIF('Elan y Personalización'!$C$13:$F$25,Tablas!I3482)+COUNTIF('Elan y Personalización'!$C$45:$F$57,Tablas!I3482)</f>
        <v>0</v>
      </c>
      <c r="N3482" s="2178" t="s">
        <v>9218</v>
      </c>
      <c r="O3482" s="2209"/>
      <c r="P3482" s="1958"/>
      <c r="Q3482" s="2178"/>
      <c r="R3482" s="1958"/>
      <c r="S3482" s="1958"/>
      <c r="T3482" s="2196"/>
    </row>
    <row r="3483" spans="2:22" ht="12.75" customHeight="1" x14ac:dyDescent="0.2">
      <c r="B3483" s="1860" t="str">
        <f t="shared" si="326"/>
        <v>Garuda, Alas de Fuego</v>
      </c>
      <c r="C3483" s="2723">
        <f t="shared" si="327"/>
        <v>10</v>
      </c>
      <c r="D3483" s="455" t="s">
        <v>1167</v>
      </c>
      <c r="E3483" s="290">
        <v>340</v>
      </c>
      <c r="F3483" s="312">
        <v>700</v>
      </c>
      <c r="H3483" s="1958">
        <f>IF(OR(M3483=0),0,SUM($M$3430:M3482)+1)</f>
        <v>0</v>
      </c>
      <c r="I3483" s="2000" t="s">
        <v>8973</v>
      </c>
      <c r="J3483" s="1958">
        <v>100</v>
      </c>
      <c r="K3483" s="1959">
        <v>1</v>
      </c>
      <c r="L3483" s="1959">
        <v>10</v>
      </c>
      <c r="M3483" s="2005">
        <f>COUNTIF('Elan y Personalización'!$C$13:$F$25,Tablas!I3483)+COUNTIF('Elan y Personalización'!$C$45:$F$57,Tablas!I3483)</f>
        <v>0</v>
      </c>
      <c r="N3483" s="2178" t="s">
        <v>9219</v>
      </c>
      <c r="O3483" s="2209"/>
      <c r="P3483" s="1958"/>
      <c r="Q3483" s="2178"/>
      <c r="R3483" s="1958"/>
      <c r="S3483" s="1958"/>
      <c r="T3483" s="2196"/>
    </row>
    <row r="3484" spans="2:22" ht="12.75" customHeight="1" x14ac:dyDescent="0.2">
      <c r="B3484" s="1860" t="str">
        <f t="shared" si="326"/>
        <v>Genbu, la Tortuga Negra</v>
      </c>
      <c r="C3484" s="2723">
        <f t="shared" si="327"/>
        <v>49</v>
      </c>
      <c r="D3484" s="455" t="s">
        <v>1168</v>
      </c>
      <c r="E3484" s="290">
        <v>280</v>
      </c>
      <c r="F3484" s="312">
        <v>500</v>
      </c>
      <c r="H3484" s="1958">
        <f>IF(OR(M3484=0),0,SUM($M$3430:M3483)+1)</f>
        <v>0</v>
      </c>
      <c r="I3484" s="2004" t="s">
        <v>8822</v>
      </c>
      <c r="J3484" s="1961"/>
      <c r="K3484" s="1961"/>
      <c r="L3484" s="1961"/>
      <c r="M3484" s="2006">
        <f>COUNTIF('Elan y Personalización'!$C$13:$F$25,Tablas!I3484)+COUNTIF('Elan y Personalización'!$C$45:$F$57,Tablas!I3484)</f>
        <v>0</v>
      </c>
      <c r="N3484" s="2004" t="str">
        <f>I3484</f>
        <v>Gabriel</v>
      </c>
      <c r="O3484" s="2208" t="str">
        <f>I3484</f>
        <v>Gabriel</v>
      </c>
      <c r="P3484" s="2201" t="str">
        <f t="array" ref="P3484:V3484">TRANSPOSE(O3485:O3496)</f>
        <v>Amar a los demás y preocuparse por ellos</v>
      </c>
      <c r="Q3484" s="2210" t="str">
        <v>Detener un conflicto</v>
      </c>
      <c r="R3484" s="2201" t="str">
        <v>Salvar la vida a alguien</v>
      </c>
      <c r="S3484" s="2201" t="str">
        <v>Promover los sentimientos positivos de las personas</v>
      </c>
      <c r="T3484" s="2201" t="str">
        <v>Crear arte</v>
      </c>
      <c r="U3484" s="2200">
        <v>0</v>
      </c>
      <c r="V3484" s="2200">
        <v>0</v>
      </c>
    </row>
    <row r="3485" spans="2:22" ht="12.75" customHeight="1" x14ac:dyDescent="0.2">
      <c r="B3485" s="1860" t="str">
        <f t="shared" si="326"/>
        <v>Genbu: Amo de las entrañas de la tierra</v>
      </c>
      <c r="C3485" s="2723">
        <f t="shared" si="327"/>
        <v>40</v>
      </c>
      <c r="D3485" s="455" t="s">
        <v>1169</v>
      </c>
      <c r="E3485" s="290">
        <v>200</v>
      </c>
      <c r="F3485" s="312">
        <v>350</v>
      </c>
      <c r="H3485" s="1958">
        <f>IF(OR(M3485=0),0,SUM($M$3430:M3484)+1)</f>
        <v>0</v>
      </c>
      <c r="I3485" s="2000" t="s">
        <v>8974</v>
      </c>
      <c r="J3485" s="1958">
        <v>10</v>
      </c>
      <c r="K3485" s="1959">
        <v>1</v>
      </c>
      <c r="L3485" s="1959">
        <v>10</v>
      </c>
      <c r="M3485" s="2005">
        <f>COUNTIF('Elan y Personalización'!$C$13:$F$25,Tablas!I3485)+COUNTIF('Elan y Personalización'!$C$45:$F$57,Tablas!I3485)</f>
        <v>0</v>
      </c>
      <c r="N3485" s="2178" t="s">
        <v>9220</v>
      </c>
      <c r="O3485" s="2209" t="s">
        <v>9221</v>
      </c>
      <c r="P3485" s="1958">
        <v>3</v>
      </c>
      <c r="Q3485" s="2178" t="s">
        <v>9222</v>
      </c>
      <c r="R3485" s="1958">
        <v>3</v>
      </c>
      <c r="S3485" s="1958" t="s">
        <v>9223</v>
      </c>
      <c r="T3485" s="2196">
        <v>-2</v>
      </c>
    </row>
    <row r="3486" spans="2:22" ht="12.75" customHeight="1" x14ac:dyDescent="0.2">
      <c r="B3486" s="1860" t="str">
        <f t="shared" si="326"/>
        <v>Genbu: Clarividencia</v>
      </c>
      <c r="C3486" s="2723">
        <f t="shared" si="327"/>
        <v>41</v>
      </c>
      <c r="D3486" s="455" t="s">
        <v>1170</v>
      </c>
      <c r="E3486" s="290">
        <v>360</v>
      </c>
      <c r="F3486" s="312">
        <v>650</v>
      </c>
      <c r="H3486" s="1958">
        <f>IF(OR(M3486=0),0,SUM($M$3430:M3485)+1)</f>
        <v>0</v>
      </c>
      <c r="I3486" s="2000" t="s">
        <v>8975</v>
      </c>
      <c r="J3486" s="1958">
        <v>20</v>
      </c>
      <c r="K3486" s="1959">
        <v>1</v>
      </c>
      <c r="L3486" s="1959">
        <v>5</v>
      </c>
      <c r="M3486" s="2005">
        <f>COUNTIF('Elan y Personalización'!$C$13:$F$25,Tablas!I3486)+COUNTIF('Elan y Personalización'!$C$45:$F$57,Tablas!I3486)</f>
        <v>0</v>
      </c>
      <c r="N3486" s="2178" t="s">
        <v>9224</v>
      </c>
      <c r="O3486" s="2209" t="s">
        <v>9225</v>
      </c>
      <c r="P3486" s="1958">
        <v>1</v>
      </c>
      <c r="Q3486" s="2178" t="s">
        <v>9226</v>
      </c>
      <c r="R3486" s="1958">
        <v>2</v>
      </c>
      <c r="S3486" s="1958" t="s">
        <v>9227</v>
      </c>
      <c r="T3486" s="2196">
        <v>-3</v>
      </c>
    </row>
    <row r="3487" spans="2:22" ht="12.75" customHeight="1" x14ac:dyDescent="0.2">
      <c r="B3487" s="1860" t="str">
        <f t="shared" si="326"/>
        <v>Genbu: El escudo definitivo</v>
      </c>
      <c r="C3487" s="2723">
        <f t="shared" si="327"/>
        <v>22</v>
      </c>
      <c r="D3487" s="455" t="s">
        <v>1171</v>
      </c>
      <c r="E3487" s="290">
        <v>320</v>
      </c>
      <c r="F3487" s="312">
        <v>600</v>
      </c>
      <c r="H3487" s="1958">
        <f>IF(OR(M3487=0),0,SUM($M$3430:M3486)+1)</f>
        <v>0</v>
      </c>
      <c r="I3487" s="2000" t="s">
        <v>8976</v>
      </c>
      <c r="J3487" s="1958">
        <v>30</v>
      </c>
      <c r="K3487" s="1959">
        <v>1</v>
      </c>
      <c r="L3487" s="1959">
        <v>10</v>
      </c>
      <c r="M3487" s="2005">
        <f>COUNTIF('Elan y Personalización'!$C$13:$F$25,Tablas!I3487)+COUNTIF('Elan y Personalización'!$C$45:$F$57,Tablas!I3487)</f>
        <v>0</v>
      </c>
      <c r="N3487" s="2178" t="s">
        <v>9228</v>
      </c>
      <c r="O3487" s="2209" t="s">
        <v>9132</v>
      </c>
      <c r="P3487" s="1958">
        <v>2</v>
      </c>
      <c r="Q3487" s="2178" t="s">
        <v>9229</v>
      </c>
      <c r="R3487" s="1958">
        <v>1</v>
      </c>
      <c r="S3487" s="1958" t="s">
        <v>9230</v>
      </c>
      <c r="T3487" s="2196">
        <v>-2</v>
      </c>
    </row>
    <row r="3488" spans="2:22" ht="12.75" customHeight="1" x14ac:dyDescent="0.2">
      <c r="B3488" s="1860" t="str">
        <f t="shared" si="326"/>
        <v>Genbu: Señor del norte</v>
      </c>
      <c r="C3488" s="2723">
        <f t="shared" si="327"/>
        <v>23</v>
      </c>
      <c r="D3488" s="455" t="s">
        <v>1172</v>
      </c>
      <c r="E3488" s="290">
        <v>280</v>
      </c>
      <c r="F3488" s="312">
        <v>500</v>
      </c>
      <c r="H3488" s="1958">
        <f>IF(OR(M3488=0),0,SUM($M$3430:M3487)+1)</f>
        <v>0</v>
      </c>
      <c r="I3488" s="2000" t="s">
        <v>8977</v>
      </c>
      <c r="J3488" s="1958">
        <v>40</v>
      </c>
      <c r="K3488" s="1959">
        <v>1</v>
      </c>
      <c r="L3488" s="1959">
        <v>10</v>
      </c>
      <c r="M3488" s="2005">
        <f>COUNTIF('Elan y Personalización'!$C$13:$F$25,Tablas!I3488)+COUNTIF('Elan y Personalización'!$C$45:$F$57,Tablas!I3488)</f>
        <v>0</v>
      </c>
      <c r="N3488" s="2178" t="s">
        <v>9231</v>
      </c>
      <c r="O3488" s="2209" t="s">
        <v>9232</v>
      </c>
      <c r="P3488" s="1958">
        <v>3</v>
      </c>
      <c r="Q3488" s="2178" t="s">
        <v>9233</v>
      </c>
      <c r="R3488" s="1958">
        <v>2</v>
      </c>
      <c r="S3488" s="1958" t="s">
        <v>9234</v>
      </c>
      <c r="T3488" s="2196">
        <v>-1</v>
      </c>
    </row>
    <row r="3489" spans="2:22" ht="12.75" customHeight="1" x14ac:dyDescent="0.2">
      <c r="B3489" s="1860" t="str">
        <f t="shared" si="326"/>
        <v>Hermod, el Mensajero de los Dioses</v>
      </c>
      <c r="C3489" s="2723">
        <f t="shared" si="327"/>
        <v>24</v>
      </c>
      <c r="D3489" s="455" t="s">
        <v>1173</v>
      </c>
      <c r="E3489" s="290">
        <v>340</v>
      </c>
      <c r="F3489" s="312">
        <v>700</v>
      </c>
      <c r="H3489" s="1958">
        <f>IF(OR(M3489=0),0,SUM($M$3430:M3488)+1)</f>
        <v>0</v>
      </c>
      <c r="I3489" s="2000" t="s">
        <v>1828</v>
      </c>
      <c r="J3489" s="1958">
        <v>40</v>
      </c>
      <c r="K3489" s="1959">
        <v>1</v>
      </c>
      <c r="L3489" s="1959">
        <v>10</v>
      </c>
      <c r="M3489" s="2005">
        <f>COUNTIF('Elan y Personalización'!$C$13:$F$25,Tablas!I3489)+COUNTIF('Elan y Personalización'!$C$45:$F$57,Tablas!I3489)</f>
        <v>0</v>
      </c>
      <c r="N3489" s="2178" t="s">
        <v>9235</v>
      </c>
      <c r="O3489" s="2209" t="s">
        <v>9236</v>
      </c>
      <c r="P3489" s="1958">
        <v>1</v>
      </c>
      <c r="Q3489" s="2178"/>
      <c r="R3489" s="1958"/>
      <c r="S3489" s="1958" t="s">
        <v>9237</v>
      </c>
      <c r="T3489" s="2196">
        <v>-5</v>
      </c>
    </row>
    <row r="3490" spans="2:22" ht="12.75" customHeight="1" x14ac:dyDescent="0.2">
      <c r="B3490" s="1860" t="str">
        <f t="shared" si="326"/>
        <v>Huginn y Muninn, Ojos de Cuervo</v>
      </c>
      <c r="C3490" s="2723">
        <f t="shared" si="327"/>
        <v>11</v>
      </c>
      <c r="D3490" s="455" t="s">
        <v>1174</v>
      </c>
      <c r="E3490" s="290">
        <v>320</v>
      </c>
      <c r="F3490" s="312">
        <v>550</v>
      </c>
      <c r="H3490" s="1958">
        <f>IF(OR(M3490=0),0,SUM($M$3430:M3489)+1)</f>
        <v>0</v>
      </c>
      <c r="I3490" s="2000" t="s">
        <v>8978</v>
      </c>
      <c r="J3490" s="1958">
        <v>50</v>
      </c>
      <c r="K3490" s="1959">
        <v>1</v>
      </c>
      <c r="L3490" s="1959">
        <v>10</v>
      </c>
      <c r="M3490" s="2005">
        <f>COUNTIF('Elan y Personalización'!$C$13:$F$25,Tablas!I3490)+COUNTIF('Elan y Personalización'!$C$45:$F$57,Tablas!I3490)</f>
        <v>0</v>
      </c>
      <c r="N3490" s="2178" t="s">
        <v>9238</v>
      </c>
      <c r="O3490" s="2209"/>
      <c r="P3490" s="1958"/>
      <c r="Q3490" s="2178"/>
      <c r="R3490" s="1958"/>
      <c r="S3490" s="1958"/>
      <c r="T3490" s="2196"/>
    </row>
    <row r="3491" spans="2:22" ht="12.75" customHeight="1" x14ac:dyDescent="0.2">
      <c r="B3491" s="1860" t="str">
        <f t="shared" si="326"/>
        <v>Huginn y Muninn: Ojo del mundo</v>
      </c>
      <c r="C3491" s="2723">
        <f t="shared" si="327"/>
        <v>12</v>
      </c>
      <c r="D3491" s="455" t="s">
        <v>1175</v>
      </c>
      <c r="E3491" s="290">
        <v>280</v>
      </c>
      <c r="F3491" s="312">
        <v>400</v>
      </c>
      <c r="H3491" s="1958">
        <f>IF(OR(M3491=0),0,SUM($M$3430:M3490)+1)</f>
        <v>0</v>
      </c>
      <c r="I3491" s="2000" t="s">
        <v>8979</v>
      </c>
      <c r="J3491" s="1958">
        <v>50</v>
      </c>
      <c r="K3491" s="1959">
        <v>1</v>
      </c>
      <c r="L3491" s="1959">
        <v>15</v>
      </c>
      <c r="M3491" s="2005">
        <f>COUNTIF('Elan y Personalización'!$C$13:$F$25,Tablas!I3491)+COUNTIF('Elan y Personalización'!$C$45:$F$57,Tablas!I3491)</f>
        <v>0</v>
      </c>
      <c r="N3491" s="2178" t="s">
        <v>9239</v>
      </c>
      <c r="O3491" s="2209"/>
      <c r="P3491" s="1958"/>
      <c r="Q3491" s="2178"/>
      <c r="R3491" s="1958"/>
      <c r="S3491" s="1958"/>
      <c r="T3491" s="2196"/>
    </row>
    <row r="3492" spans="2:22" ht="12.75" customHeight="1" x14ac:dyDescent="0.2">
      <c r="B3492" s="1860" t="str">
        <f t="shared" si="326"/>
        <v>Huginn y Muninn: Visión verdadera</v>
      </c>
      <c r="C3492" s="2723">
        <f t="shared" si="327"/>
        <v>13</v>
      </c>
      <c r="D3492" s="455" t="s">
        <v>1176</v>
      </c>
      <c r="E3492" s="290">
        <v>340</v>
      </c>
      <c r="F3492" s="312">
        <v>700</v>
      </c>
      <c r="H3492" s="1958">
        <f>IF(OR(M3492=0),0,SUM($M$3430:M3491)+1)</f>
        <v>0</v>
      </c>
      <c r="I3492" s="2000" t="s">
        <v>3169</v>
      </c>
      <c r="J3492" s="1958">
        <v>60</v>
      </c>
      <c r="K3492" s="1959">
        <v>1</v>
      </c>
      <c r="L3492" s="1959">
        <v>15</v>
      </c>
      <c r="M3492" s="2005">
        <f>COUNTIF('Elan y Personalización'!$C$13:$F$25,Tablas!I3492)+COUNTIF('Elan y Personalización'!$C$45:$F$57,Tablas!I3492)</f>
        <v>0</v>
      </c>
      <c r="N3492" s="2178" t="s">
        <v>9240</v>
      </c>
      <c r="O3492" s="2209"/>
      <c r="P3492" s="1958"/>
      <c r="Q3492" s="2178"/>
      <c r="R3492" s="1958"/>
      <c r="S3492" s="1958"/>
      <c r="T3492" s="2196"/>
    </row>
    <row r="3493" spans="2:22" ht="12.75" customHeight="1" x14ac:dyDescent="0.2">
      <c r="B3493" s="1860" t="str">
        <f t="shared" si="326"/>
        <v>Idea, Musa de la Locura</v>
      </c>
      <c r="C3493" s="2723">
        <f t="shared" si="327"/>
        <v>2</v>
      </c>
      <c r="D3493" s="455" t="s">
        <v>1177</v>
      </c>
      <c r="E3493" s="290">
        <v>280</v>
      </c>
      <c r="F3493" s="312">
        <v>500</v>
      </c>
      <c r="H3493" s="1958">
        <f>IF(OR(M3493=0),0,SUM($M$3430:M3492)+1)</f>
        <v>0</v>
      </c>
      <c r="I3493" s="2000" t="s">
        <v>8980</v>
      </c>
      <c r="J3493" s="1958">
        <v>70</v>
      </c>
      <c r="K3493" s="1959">
        <v>1</v>
      </c>
      <c r="L3493" s="1959">
        <v>10</v>
      </c>
      <c r="M3493" s="2005">
        <f>COUNTIF('Elan y Personalización'!$C$13:$F$25,Tablas!I3493)+COUNTIF('Elan y Personalización'!$C$45:$F$57,Tablas!I3493)</f>
        <v>0</v>
      </c>
      <c r="N3493" s="2178" t="s">
        <v>9241</v>
      </c>
      <c r="O3493" s="2209"/>
      <c r="P3493" s="1958"/>
      <c r="Q3493" s="2178"/>
      <c r="R3493" s="1958"/>
      <c r="S3493" s="1958"/>
      <c r="T3493" s="2196"/>
    </row>
    <row r="3494" spans="2:22" ht="12.75" customHeight="1" x14ac:dyDescent="0.2">
      <c r="B3494" s="1860" t="str">
        <f t="shared" si="326"/>
        <v>Idún, Señora de la Juventud Eterna</v>
      </c>
      <c r="C3494" s="2723">
        <f t="shared" si="327"/>
        <v>3</v>
      </c>
      <c r="D3494" s="455" t="s">
        <v>1178</v>
      </c>
      <c r="E3494" s="290">
        <v>240</v>
      </c>
      <c r="F3494" s="312">
        <v>350</v>
      </c>
      <c r="H3494" s="1958">
        <f>IF(OR(M3494=0),0,SUM($M$3430:M3493)+1)</f>
        <v>0</v>
      </c>
      <c r="I3494" s="2000" t="s">
        <v>8981</v>
      </c>
      <c r="J3494" s="1958">
        <v>80</v>
      </c>
      <c r="K3494" s="1959">
        <v>1</v>
      </c>
      <c r="L3494" s="1959">
        <v>15</v>
      </c>
      <c r="M3494" s="2005">
        <f>COUNTIF('Elan y Personalización'!$C$13:$F$25,Tablas!I3494)+COUNTIF('Elan y Personalización'!$C$45:$F$57,Tablas!I3494)</f>
        <v>0</v>
      </c>
      <c r="N3494" s="2178" t="s">
        <v>9242</v>
      </c>
      <c r="O3494" s="2209"/>
      <c r="P3494" s="1958"/>
      <c r="Q3494" s="2178"/>
      <c r="R3494" s="1958"/>
      <c r="S3494" s="1958"/>
      <c r="T3494" s="2196"/>
    </row>
    <row r="3495" spans="2:22" ht="12.75" customHeight="1" x14ac:dyDescent="0.2">
      <c r="B3495" s="1860" t="str">
        <f t="shared" si="326"/>
        <v>Idún: Envejecer</v>
      </c>
      <c r="C3495" s="2723">
        <f t="shared" si="327"/>
        <v>4</v>
      </c>
      <c r="D3495" s="455" t="s">
        <v>1179</v>
      </c>
      <c r="E3495" s="290">
        <v>380</v>
      </c>
      <c r="F3495" s="312">
        <v>800</v>
      </c>
      <c r="H3495" s="1958">
        <f>IF(OR(M3495=0),0,SUM($M$3430:M3494)+1)</f>
        <v>0</v>
      </c>
      <c r="I3495" s="2000" t="s">
        <v>8982</v>
      </c>
      <c r="J3495" s="1958">
        <v>90</v>
      </c>
      <c r="K3495" s="1959">
        <v>1</v>
      </c>
      <c r="L3495" s="1959">
        <v>20</v>
      </c>
      <c r="M3495" s="2005">
        <f>COUNTIF('Elan y Personalización'!$C$13:$F$25,Tablas!I3495)+COUNTIF('Elan y Personalización'!$C$45:$F$57,Tablas!I3495)</f>
        <v>0</v>
      </c>
      <c r="N3495" s="2178" t="s">
        <v>9243</v>
      </c>
      <c r="O3495" s="2209"/>
      <c r="P3495" s="1958"/>
      <c r="Q3495" s="2178"/>
      <c r="R3495" s="1958"/>
      <c r="S3495" s="1958"/>
      <c r="T3495" s="2196"/>
    </row>
    <row r="3496" spans="2:22" ht="12.75" customHeight="1" x14ac:dyDescent="0.2">
      <c r="B3496" s="1860" t="str">
        <f t="shared" si="326"/>
        <v>Idún: Rejuvenecer</v>
      </c>
      <c r="C3496" s="2723">
        <f t="shared" si="327"/>
        <v>44</v>
      </c>
      <c r="D3496" s="455" t="s">
        <v>1180</v>
      </c>
      <c r="E3496" s="290">
        <v>280</v>
      </c>
      <c r="F3496" s="312">
        <v>500</v>
      </c>
      <c r="H3496" s="1958">
        <f>IF(OR(M3496=0),0,SUM($M$3430:M3495)+1)</f>
        <v>0</v>
      </c>
      <c r="I3496" s="2000" t="s">
        <v>8983</v>
      </c>
      <c r="J3496" s="1958">
        <v>100</v>
      </c>
      <c r="K3496" s="1959">
        <v>1</v>
      </c>
      <c r="L3496" s="1959">
        <v>10</v>
      </c>
      <c r="M3496" s="2005">
        <f>COUNTIF('Elan y Personalización'!$C$13:$F$25,Tablas!I3496)+COUNTIF('Elan y Personalización'!$C$45:$F$57,Tablas!I3496)</f>
        <v>0</v>
      </c>
      <c r="N3496" s="2178" t="s">
        <v>9244</v>
      </c>
      <c r="O3496" s="2209"/>
      <c r="P3496" s="1958"/>
      <c r="Q3496" s="2178"/>
      <c r="R3496" s="1958"/>
      <c r="S3496" s="1958"/>
      <c r="T3496" s="2196"/>
    </row>
    <row r="3497" spans="2:22" ht="12.75" customHeight="1" x14ac:dyDescent="0.2">
      <c r="B3497" s="1860" t="str">
        <f t="shared" si="326"/>
        <v>Kagutsuchi: Hi no kodomo</v>
      </c>
      <c r="C3497" s="2723">
        <f t="shared" si="327"/>
        <v>45</v>
      </c>
      <c r="D3497" s="455" t="s">
        <v>1181</v>
      </c>
      <c r="E3497" s="290">
        <v>240</v>
      </c>
      <c r="F3497" s="312">
        <v>350</v>
      </c>
      <c r="H3497" s="1958">
        <f>IF(OR(M3497=0),0,SUM($M$3430:M3496)+1)</f>
        <v>0</v>
      </c>
      <c r="I3497" s="2004" t="s">
        <v>8918</v>
      </c>
      <c r="J3497" s="1961"/>
      <c r="K3497" s="1961"/>
      <c r="L3497" s="1961"/>
      <c r="M3497" s="2006">
        <f>COUNTIF('Elan y Personalización'!$C$13:$F$25,Tablas!I3497)+COUNTIF('Elan y Personalización'!$C$45:$F$57,Tablas!I3497)</f>
        <v>0</v>
      </c>
      <c r="N3497" s="2004" t="str">
        <f>I3497</f>
        <v>Noah</v>
      </c>
      <c r="O3497" s="2208" t="str">
        <f>I3497</f>
        <v>Noah</v>
      </c>
      <c r="P3497" s="2201" t="str">
        <f t="array" ref="P3497:V3497">TRANSPOSE(O3498:O3509)</f>
        <v>Actuar de un modo muy competitivo</v>
      </c>
      <c r="Q3497" s="2210" t="str">
        <v>Superar un reto muy complejo</v>
      </c>
      <c r="R3497" s="2201" t="str">
        <v>Dedicar la vida al combate</v>
      </c>
      <c r="S3497" s="2201" t="str">
        <v>Imbuir a otros el instinto de superación</v>
      </c>
      <c r="T3497" s="2201" t="str">
        <v>Lograr superarse a uno mismo</v>
      </c>
      <c r="U3497" s="2200">
        <v>0</v>
      </c>
      <c r="V3497" s="2200">
        <v>0</v>
      </c>
    </row>
    <row r="3498" spans="2:22" ht="12.75" customHeight="1" x14ac:dyDescent="0.2">
      <c r="B3498" s="1860" t="str">
        <f t="shared" si="326"/>
        <v>Kagutsuchi: Hi no tsubasa</v>
      </c>
      <c r="C3498" s="2723">
        <f t="shared" si="327"/>
        <v>46</v>
      </c>
      <c r="D3498" s="455" t="s">
        <v>1182</v>
      </c>
      <c r="E3498" s="290">
        <v>380</v>
      </c>
      <c r="F3498" s="312">
        <v>800</v>
      </c>
      <c r="H3498" s="1958">
        <f>IF(OR(M3498=0),0,SUM($M$3430:M3497)+1)</f>
        <v>0</v>
      </c>
      <c r="I3498" s="2000" t="s">
        <v>8984</v>
      </c>
      <c r="J3498" s="1958">
        <v>10</v>
      </c>
      <c r="K3498" s="1959">
        <v>1</v>
      </c>
      <c r="L3498" s="1959">
        <v>5</v>
      </c>
      <c r="M3498" s="2005">
        <f>COUNTIF('Elan y Personalización'!$C$13:$F$25,Tablas!I3498)+COUNTIF('Elan y Personalización'!$C$45:$F$57,Tablas!I3498)</f>
        <v>0</v>
      </c>
      <c r="N3498" s="2178" t="s">
        <v>9245</v>
      </c>
      <c r="O3498" s="2209" t="s">
        <v>9246</v>
      </c>
      <c r="P3498" s="1958">
        <v>2</v>
      </c>
      <c r="Q3498" s="2178" t="s">
        <v>9247</v>
      </c>
      <c r="R3498" s="1958">
        <v>1</v>
      </c>
      <c r="S3498" s="1958" t="s">
        <v>9248</v>
      </c>
      <c r="T3498" s="2196">
        <v>-2</v>
      </c>
    </row>
    <row r="3499" spans="2:22" ht="12.75" customHeight="1" x14ac:dyDescent="0.2">
      <c r="B3499" s="1860" t="str">
        <f t="shared" si="326"/>
        <v>Kirin, el Centro</v>
      </c>
      <c r="C3499" s="2723">
        <f t="shared" si="327"/>
        <v>69</v>
      </c>
      <c r="D3499" s="455" t="s">
        <v>1183</v>
      </c>
      <c r="E3499" s="290">
        <v>280</v>
      </c>
      <c r="F3499" s="312">
        <v>500</v>
      </c>
      <c r="H3499" s="1958">
        <f>IF(OR(M3499=0),0,SUM($M$3430:M3498)+1)</f>
        <v>0</v>
      </c>
      <c r="I3499" s="2000" t="s">
        <v>8985</v>
      </c>
      <c r="J3499" s="1958">
        <v>20</v>
      </c>
      <c r="K3499" s="1959">
        <v>1</v>
      </c>
      <c r="L3499" s="1959">
        <v>10</v>
      </c>
      <c r="M3499" s="2005">
        <f>COUNTIF('Elan y Personalización'!$C$13:$F$25,Tablas!I3499)+COUNTIF('Elan y Personalización'!$C$45:$F$57,Tablas!I3499)</f>
        <v>0</v>
      </c>
      <c r="N3499" s="2178" t="s">
        <v>9249</v>
      </c>
      <c r="O3499" s="2209" t="s">
        <v>9250</v>
      </c>
      <c r="P3499" s="1958">
        <v>3</v>
      </c>
      <c r="Q3499" s="2178" t="s">
        <v>9251</v>
      </c>
      <c r="R3499" s="1958">
        <v>2</v>
      </c>
      <c r="S3499" s="1958" t="s">
        <v>9252</v>
      </c>
      <c r="T3499" s="2196">
        <v>-5</v>
      </c>
    </row>
    <row r="3500" spans="2:22" ht="12.75" customHeight="1" x14ac:dyDescent="0.2">
      <c r="B3500" s="1860" t="str">
        <f t="shared" si="326"/>
        <v>Kirin: Feng Shui</v>
      </c>
      <c r="C3500" s="2723">
        <f t="shared" si="327"/>
        <v>70</v>
      </c>
      <c r="D3500" s="455" t="s">
        <v>1184</v>
      </c>
      <c r="E3500" s="290">
        <v>240</v>
      </c>
      <c r="F3500" s="312">
        <v>350</v>
      </c>
      <c r="H3500" s="1958">
        <f>IF(OR(M3500=0),0,SUM($M$3430:M3499)+1)</f>
        <v>0</v>
      </c>
      <c r="I3500" s="2000" t="s">
        <v>8986</v>
      </c>
      <c r="J3500" s="1958">
        <v>20</v>
      </c>
      <c r="K3500" s="1959">
        <v>1</v>
      </c>
      <c r="L3500" s="1959">
        <v>5</v>
      </c>
      <c r="M3500" s="2005">
        <f>COUNTIF('Elan y Personalización'!$C$13:$F$25,Tablas!I3500)+COUNTIF('Elan y Personalización'!$C$45:$F$57,Tablas!I3500)</f>
        <v>0</v>
      </c>
      <c r="N3500" s="2178" t="s">
        <v>9253</v>
      </c>
      <c r="O3500" s="2209" t="s">
        <v>9254</v>
      </c>
      <c r="P3500" s="1958">
        <v>3</v>
      </c>
      <c r="Q3500" s="2178" t="s">
        <v>9255</v>
      </c>
      <c r="R3500" s="1958">
        <v>4</v>
      </c>
      <c r="S3500" s="1958" t="s">
        <v>9256</v>
      </c>
      <c r="T3500" s="2196">
        <v>-10</v>
      </c>
    </row>
    <row r="3501" spans="2:22" ht="12.75" customHeight="1" x14ac:dyDescent="0.2">
      <c r="B3501" s="1860" t="str">
        <f t="shared" si="326"/>
        <v>Leviathan, Señor de los Océanos</v>
      </c>
      <c r="C3501" s="2723">
        <f t="shared" si="327"/>
        <v>71</v>
      </c>
      <c r="D3501" s="455" t="s">
        <v>1185</v>
      </c>
      <c r="E3501" s="290">
        <v>380</v>
      </c>
      <c r="F3501" s="312">
        <v>800</v>
      </c>
      <c r="H3501" s="1958">
        <f>IF(OR(M3501=0),0,SUM($M$3430:M3500)+1)</f>
        <v>0</v>
      </c>
      <c r="I3501" s="2000" t="s">
        <v>2619</v>
      </c>
      <c r="J3501" s="1958">
        <v>30</v>
      </c>
      <c r="K3501" s="1959">
        <v>1</v>
      </c>
      <c r="L3501" s="1959">
        <v>5</v>
      </c>
      <c r="M3501" s="2005">
        <f>COUNTIF('Elan y Personalización'!$C$13:$F$25,Tablas!I3501)+COUNTIF('Elan y Personalización'!$C$45:$F$57,Tablas!I3501)</f>
        <v>0</v>
      </c>
      <c r="N3501" s="2178" t="s">
        <v>9257</v>
      </c>
      <c r="O3501" s="2209" t="s">
        <v>9258</v>
      </c>
      <c r="P3501" s="1958">
        <v>3</v>
      </c>
      <c r="Q3501" s="2178"/>
      <c r="R3501" s="1958"/>
      <c r="S3501" s="1958" t="s">
        <v>9259</v>
      </c>
      <c r="T3501" s="2196">
        <v>-2</v>
      </c>
    </row>
    <row r="3502" spans="2:22" ht="12.75" customHeight="1" x14ac:dyDescent="0.2">
      <c r="B3502" s="1860" t="str">
        <f t="shared" si="326"/>
        <v>Leviathan: Comunión con el agua</v>
      </c>
      <c r="C3502" s="2723">
        <f t="shared" si="327"/>
        <v>53</v>
      </c>
      <c r="D3502" s="455" t="s">
        <v>1186</v>
      </c>
      <c r="E3502" s="290">
        <v>400</v>
      </c>
      <c r="F3502" s="312">
        <v>800</v>
      </c>
      <c r="H3502" s="1958">
        <f>IF(OR(M3502=0),0,SUM($M$3430:M3501)+1)</f>
        <v>0</v>
      </c>
      <c r="I3502" s="2000" t="s">
        <v>8987</v>
      </c>
      <c r="J3502" s="1958">
        <v>40</v>
      </c>
      <c r="K3502" s="1959">
        <v>1</v>
      </c>
      <c r="L3502" s="1959">
        <v>10</v>
      </c>
      <c r="M3502" s="2005">
        <f>COUNTIF('Elan y Personalización'!$C$13:$F$25,Tablas!I3502)+COUNTIF('Elan y Personalización'!$C$45:$F$57,Tablas!I3502)</f>
        <v>0</v>
      </c>
      <c r="N3502" s="2178" t="s">
        <v>9260</v>
      </c>
      <c r="O3502" s="2209" t="s">
        <v>9261</v>
      </c>
      <c r="P3502" s="1958">
        <v>2</v>
      </c>
      <c r="Q3502" s="2178"/>
      <c r="R3502" s="1958"/>
      <c r="S3502" s="1958"/>
      <c r="T3502" s="2196"/>
    </row>
    <row r="3503" spans="2:22" ht="12.75" customHeight="1" x14ac:dyDescent="0.2">
      <c r="B3503" s="1860" t="str">
        <f t="shared" si="326"/>
        <v>Leviathan: Señor de las aguas</v>
      </c>
      <c r="C3503" s="2723">
        <f t="shared" si="327"/>
        <v>57</v>
      </c>
      <c r="D3503" s="455" t="s">
        <v>1187</v>
      </c>
      <c r="E3503" s="290">
        <v>220</v>
      </c>
      <c r="F3503" s="312">
        <v>300</v>
      </c>
      <c r="H3503" s="1958">
        <f>IF(OR(M3503=0),0,SUM($M$3430:M3502)+1)</f>
        <v>0</v>
      </c>
      <c r="I3503" s="2000" t="s">
        <v>8988</v>
      </c>
      <c r="J3503" s="1958">
        <v>50</v>
      </c>
      <c r="K3503" s="1959">
        <v>1</v>
      </c>
      <c r="L3503" s="1959">
        <v>15</v>
      </c>
      <c r="M3503" s="2005">
        <f>COUNTIF('Elan y Personalización'!$C$13:$F$25,Tablas!I3503)+COUNTIF('Elan y Personalización'!$C$45:$F$57,Tablas!I3503)</f>
        <v>0</v>
      </c>
      <c r="N3503" s="2178" t="s">
        <v>9262</v>
      </c>
      <c r="O3503" s="2209"/>
      <c r="P3503" s="1958"/>
      <c r="Q3503" s="2178"/>
      <c r="R3503" s="1958"/>
      <c r="S3503" s="1958"/>
      <c r="T3503" s="2196"/>
    </row>
    <row r="3504" spans="2:22" ht="12.75" customHeight="1" x14ac:dyDescent="0.2">
      <c r="B3504" s="1860" t="str">
        <f t="shared" si="326"/>
        <v>Lix Tetrax</v>
      </c>
      <c r="C3504" s="2723">
        <f t="shared" si="327"/>
        <v>55</v>
      </c>
      <c r="D3504" s="455" t="s">
        <v>1188</v>
      </c>
      <c r="E3504" s="290">
        <v>280</v>
      </c>
      <c r="F3504" s="312">
        <v>500</v>
      </c>
      <c r="H3504" s="1958">
        <f>IF(OR(M3504=0),0,SUM($M$3430:M3503)+1)</f>
        <v>0</v>
      </c>
      <c r="I3504" s="2000" t="s">
        <v>8989</v>
      </c>
      <c r="J3504" s="1958">
        <v>60</v>
      </c>
      <c r="K3504" s="1959">
        <v>1</v>
      </c>
      <c r="L3504" s="1959">
        <v>10</v>
      </c>
      <c r="M3504" s="2005">
        <f>COUNTIF('Elan y Personalización'!$C$13:$F$25,Tablas!I3504)+COUNTIF('Elan y Personalización'!$C$45:$F$57,Tablas!I3504)</f>
        <v>0</v>
      </c>
      <c r="N3504" s="2178" t="s">
        <v>9263</v>
      </c>
      <c r="O3504" s="2209"/>
      <c r="P3504" s="1958"/>
      <c r="Q3504" s="2178"/>
      <c r="R3504" s="1958"/>
      <c r="S3504" s="1958"/>
      <c r="T3504" s="2196"/>
    </row>
    <row r="3505" spans="2:22" ht="12.75" customHeight="1" x14ac:dyDescent="0.2">
      <c r="B3505" s="1860" t="str">
        <f t="shared" si="326"/>
        <v>Naaga, Madre de los Venenos</v>
      </c>
      <c r="C3505" s="2723">
        <f t="shared" si="327"/>
        <v>56</v>
      </c>
      <c r="D3505" s="455" t="s">
        <v>1189</v>
      </c>
      <c r="E3505" s="290">
        <v>340</v>
      </c>
      <c r="F3505" s="312">
        <v>660</v>
      </c>
      <c r="H3505" s="1958">
        <f>IF(OR(M3505=0),0,SUM($M$3430:M3504)+1)</f>
        <v>0</v>
      </c>
      <c r="I3505" s="2000" t="s">
        <v>8990</v>
      </c>
      <c r="J3505" s="1958">
        <v>70</v>
      </c>
      <c r="K3505" s="1959">
        <v>1</v>
      </c>
      <c r="L3505" s="1959">
        <v>15</v>
      </c>
      <c r="M3505" s="2005">
        <f>COUNTIF('Elan y Personalización'!$C$13:$F$25,Tablas!I3505)+COUNTIF('Elan y Personalización'!$C$45:$F$57,Tablas!I3505)</f>
        <v>0</v>
      </c>
      <c r="N3505" s="2178" t="s">
        <v>9264</v>
      </c>
      <c r="O3505" s="2209"/>
      <c r="P3505" s="1958"/>
      <c r="Q3505" s="2178"/>
      <c r="R3505" s="1958"/>
      <c r="S3505" s="1958"/>
      <c r="T3505" s="2196"/>
    </row>
    <row r="3506" spans="2:22" ht="12.75" customHeight="1" x14ac:dyDescent="0.2">
      <c r="B3506" s="1860" t="str">
        <f t="shared" si="326"/>
        <v>Pandora, el Castigo Divino</v>
      </c>
      <c r="C3506" s="2723">
        <f t="shared" si="327"/>
        <v>54</v>
      </c>
      <c r="D3506" s="455" t="s">
        <v>1190</v>
      </c>
      <c r="E3506" s="290">
        <v>400</v>
      </c>
      <c r="F3506" s="312">
        <v>880</v>
      </c>
      <c r="H3506" s="1958">
        <f>IF(OR(M3506=0),0,SUM($M$3430:M3505)+1)</f>
        <v>0</v>
      </c>
      <c r="I3506" s="2000" t="s">
        <v>8991</v>
      </c>
      <c r="J3506" s="1958">
        <v>70</v>
      </c>
      <c r="K3506" s="1959">
        <v>1</v>
      </c>
      <c r="L3506" s="1959">
        <v>10</v>
      </c>
      <c r="M3506" s="2005">
        <f>COUNTIF('Elan y Personalización'!$C$13:$F$25,Tablas!I3506)+COUNTIF('Elan y Personalización'!$C$45:$F$57,Tablas!I3506)</f>
        <v>0</v>
      </c>
      <c r="N3506" s="2178" t="s">
        <v>9265</v>
      </c>
      <c r="O3506" s="2209"/>
      <c r="P3506" s="1958"/>
      <c r="Q3506" s="2178"/>
      <c r="R3506" s="1958"/>
      <c r="S3506" s="1958"/>
      <c r="T3506" s="2196"/>
    </row>
    <row r="3507" spans="2:22" ht="12.75" customHeight="1" x14ac:dyDescent="0.2">
      <c r="B3507" s="1860" t="str">
        <f t="shared" si="326"/>
        <v>Raksasha</v>
      </c>
      <c r="C3507" s="2723">
        <f t="shared" si="327"/>
        <v>27</v>
      </c>
      <c r="D3507" s="455" t="s">
        <v>1191</v>
      </c>
      <c r="E3507" s="290">
        <v>400</v>
      </c>
      <c r="F3507" s="312">
        <v>800</v>
      </c>
      <c r="H3507" s="1958">
        <f>IF(OR(M3507=0),0,SUM($M$3430:M3506)+1)</f>
        <v>0</v>
      </c>
      <c r="I3507" s="2000" t="s">
        <v>8992</v>
      </c>
      <c r="J3507" s="1958">
        <v>80</v>
      </c>
      <c r="K3507" s="1959">
        <f>IF(M3501,1,0)</f>
        <v>0</v>
      </c>
      <c r="L3507" s="1959">
        <v>20</v>
      </c>
      <c r="M3507" s="2005">
        <f>COUNTIF('Elan y Personalización'!$C$13:$F$25,Tablas!I3507)+COUNTIF('Elan y Personalización'!$C$45:$F$57,Tablas!I3507)</f>
        <v>0</v>
      </c>
      <c r="N3507" s="2178" t="s">
        <v>9266</v>
      </c>
      <c r="O3507" s="2209"/>
      <c r="P3507" s="1958"/>
      <c r="Q3507" s="2178"/>
      <c r="R3507" s="1958"/>
      <c r="S3507" s="1958"/>
      <c r="T3507" s="2196"/>
    </row>
    <row r="3508" spans="2:22" ht="12.75" customHeight="1" x14ac:dyDescent="0.2">
      <c r="B3508" s="1860" t="str">
        <f t="shared" si="326"/>
        <v>Rudraskha: Exodus void nova</v>
      </c>
      <c r="C3508" s="2723">
        <f t="shared" si="327"/>
        <v>29</v>
      </c>
      <c r="D3508" s="455" t="s">
        <v>1192</v>
      </c>
      <c r="E3508" s="290">
        <v>220</v>
      </c>
      <c r="F3508" s="312">
        <v>300</v>
      </c>
      <c r="H3508" s="1958">
        <f>IF(OR(M3508=0),0,SUM($M$3430:M3507)+1)</f>
        <v>0</v>
      </c>
      <c r="I3508" s="2000" t="s">
        <v>8993</v>
      </c>
      <c r="J3508" s="1958">
        <v>90</v>
      </c>
      <c r="K3508" s="1959">
        <v>1</v>
      </c>
      <c r="L3508" s="1959">
        <v>15</v>
      </c>
      <c r="M3508" s="2005">
        <f>COUNTIF('Elan y Personalización'!$C$13:$F$25,Tablas!I3508)+COUNTIF('Elan y Personalización'!$C$45:$F$57,Tablas!I3508)</f>
        <v>0</v>
      </c>
      <c r="N3508" s="2178" t="s">
        <v>9267</v>
      </c>
      <c r="O3508" s="2209"/>
      <c r="P3508" s="1958"/>
      <c r="Q3508" s="2178"/>
      <c r="R3508" s="1958"/>
      <c r="S3508" s="1958"/>
      <c r="T3508" s="2196"/>
    </row>
    <row r="3509" spans="2:22" ht="12.75" customHeight="1" x14ac:dyDescent="0.2">
      <c r="B3509" s="1860" t="str">
        <f t="shared" si="326"/>
        <v>Rudraskha: Void nova</v>
      </c>
      <c r="C3509" s="2723">
        <f t="shared" si="327"/>
        <v>30</v>
      </c>
      <c r="D3509" s="455" t="s">
        <v>1193</v>
      </c>
      <c r="E3509" s="290">
        <v>280</v>
      </c>
      <c r="F3509" s="312">
        <v>500</v>
      </c>
      <c r="H3509" s="1958">
        <f>IF(OR(M3509=0),0,SUM($M$3430:M3508)+1)</f>
        <v>0</v>
      </c>
      <c r="I3509" s="2000" t="s">
        <v>8994</v>
      </c>
      <c r="J3509" s="1958">
        <v>100</v>
      </c>
      <c r="K3509" s="1959">
        <v>1</v>
      </c>
      <c r="L3509" s="1959">
        <v>10</v>
      </c>
      <c r="M3509" s="2005">
        <f>COUNTIF('Elan y Personalización'!$C$13:$F$25,Tablas!I3509)+COUNTIF('Elan y Personalización'!$C$45:$F$57,Tablas!I3509)</f>
        <v>0</v>
      </c>
      <c r="N3509" s="2178" t="s">
        <v>9268</v>
      </c>
      <c r="O3509" s="2209"/>
      <c r="P3509" s="1958"/>
      <c r="Q3509" s="2178"/>
      <c r="R3509" s="1958"/>
      <c r="S3509" s="1958"/>
      <c r="T3509" s="2196"/>
    </row>
    <row r="3510" spans="2:22" ht="12.75" customHeight="1" x14ac:dyDescent="0.2">
      <c r="B3510" s="1860" t="str">
        <f t="shared" si="326"/>
        <v>Seiryu, el Dragón Celeste</v>
      </c>
      <c r="C3510" s="2723">
        <f t="shared" si="327"/>
        <v>31</v>
      </c>
      <c r="D3510" s="455" t="s">
        <v>1194</v>
      </c>
      <c r="E3510" s="290">
        <v>340</v>
      </c>
      <c r="F3510" s="312">
        <v>660</v>
      </c>
      <c r="H3510" s="1958">
        <f>IF(OR(M3510=0),0,SUM($M$3430:M3509)+1)</f>
        <v>0</v>
      </c>
      <c r="I3510" s="2004" t="s">
        <v>8919</v>
      </c>
      <c r="J3510" s="1961"/>
      <c r="K3510" s="1961"/>
      <c r="L3510" s="1961"/>
      <c r="M3510" s="2006">
        <f>COUNTIF('Elan y Personalización'!$C$13:$F$25,Tablas!I3510)+COUNTIF('Elan y Personalización'!$C$45:$F$57,Tablas!I3510)</f>
        <v>0</v>
      </c>
      <c r="N3510" s="2004" t="str">
        <f>I3510</f>
        <v>Rafael</v>
      </c>
      <c r="O3510" s="2208" t="str">
        <f>I3510</f>
        <v>Rafael</v>
      </c>
      <c r="P3510" s="2201" t="str">
        <f t="array" ref="P3510:V3510">TRANSPOSE(O3511:O3522)</f>
        <v>Salvar la vida a una persona o animal</v>
      </c>
      <c r="Q3510" s="2210" t="str">
        <v>Salvar la vida a un gran número de personas o animales</v>
      </c>
      <c r="R3510" s="2201" t="str">
        <v>Proteger la naturaleza</v>
      </c>
      <c r="S3510" s="2201" t="str">
        <v>Destruir a una criatura no muerta</v>
      </c>
      <c r="T3510" s="2201" t="str">
        <v>Extender o plantar bosques, selvas o forestas</v>
      </c>
      <c r="U3510" s="2200">
        <v>0</v>
      </c>
      <c r="V3510" s="2200">
        <v>0</v>
      </c>
    </row>
    <row r="3511" spans="2:22" ht="12.75" customHeight="1" x14ac:dyDescent="0.2">
      <c r="B3511" s="1860" t="str">
        <f t="shared" si="326"/>
        <v>Seiryu: La furia de la última tormenta</v>
      </c>
      <c r="C3511" s="2723">
        <f t="shared" si="327"/>
        <v>28</v>
      </c>
      <c r="D3511" s="455" t="s">
        <v>1195</v>
      </c>
      <c r="E3511" s="290">
        <v>400</v>
      </c>
      <c r="F3511" s="312">
        <v>880</v>
      </c>
      <c r="H3511" s="1958">
        <f>IF(OR(M3511=0),0,SUM($M$3430:M3510)+1)</f>
        <v>0</v>
      </c>
      <c r="I3511" s="2000" t="s">
        <v>8995</v>
      </c>
      <c r="J3511" s="1958">
        <v>10</v>
      </c>
      <c r="K3511" s="1959">
        <v>1</v>
      </c>
      <c r="L3511" s="1959">
        <v>5</v>
      </c>
      <c r="M3511" s="2005">
        <f>COUNTIF('Elan y Personalización'!$C$13:$F$25,Tablas!I3511)+COUNTIF('Elan y Personalización'!$C$45:$F$57,Tablas!I3511)</f>
        <v>0</v>
      </c>
      <c r="N3511" s="2178" t="s">
        <v>9269</v>
      </c>
      <c r="O3511" s="2209" t="s">
        <v>9270</v>
      </c>
      <c r="P3511" s="1958">
        <v>1</v>
      </c>
      <c r="Q3511" s="2178" t="s">
        <v>9271</v>
      </c>
      <c r="R3511" s="1958">
        <v>2</v>
      </c>
      <c r="S3511" s="1958" t="s">
        <v>9272</v>
      </c>
      <c r="T3511" s="2196">
        <v>-5</v>
      </c>
    </row>
    <row r="3512" spans="2:22" ht="12.75" customHeight="1" x14ac:dyDescent="0.2">
      <c r="B3512" s="1860" t="str">
        <f t="shared" si="326"/>
        <v>Seiryu: Rayo</v>
      </c>
      <c r="C3512" s="2723">
        <f t="shared" si="327"/>
        <v>58</v>
      </c>
      <c r="D3512" s="455" t="s">
        <v>1196</v>
      </c>
      <c r="E3512" s="290">
        <v>400</v>
      </c>
      <c r="F3512" s="312">
        <v>800</v>
      </c>
      <c r="H3512" s="1958">
        <f>IF(OR(M3512=0),0,SUM($M$3430:M3511)+1)</f>
        <v>0</v>
      </c>
      <c r="I3512" s="2000" t="s">
        <v>8996</v>
      </c>
      <c r="J3512" s="1958">
        <v>20</v>
      </c>
      <c r="K3512" s="1959">
        <v>1</v>
      </c>
      <c r="L3512" s="1959">
        <v>5</v>
      </c>
      <c r="M3512" s="2005">
        <f>COUNTIF('Elan y Personalización'!$C$13:$F$25,Tablas!I3512)+COUNTIF('Elan y Personalización'!$C$45:$F$57,Tablas!I3512)</f>
        <v>0</v>
      </c>
      <c r="N3512" s="2178" t="s">
        <v>9273</v>
      </c>
      <c r="O3512" s="2209" t="s">
        <v>9274</v>
      </c>
      <c r="P3512" s="1958">
        <v>5</v>
      </c>
      <c r="Q3512" s="2178" t="s">
        <v>9274</v>
      </c>
      <c r="R3512" s="1958">
        <v>1</v>
      </c>
      <c r="S3512" s="1958" t="s">
        <v>9275</v>
      </c>
      <c r="T3512" s="2196">
        <v>-3</v>
      </c>
    </row>
    <row r="3513" spans="2:22" ht="12.75" customHeight="1" x14ac:dyDescent="0.2">
      <c r="B3513" s="1860" t="str">
        <f t="shared" si="326"/>
        <v>Seiryu: Señor del este</v>
      </c>
      <c r="C3513" s="2723">
        <f t="shared" si="327"/>
        <v>62</v>
      </c>
      <c r="D3513" s="455" t="s">
        <v>1197</v>
      </c>
      <c r="E3513" s="290">
        <v>220</v>
      </c>
      <c r="F3513" s="312">
        <v>300</v>
      </c>
      <c r="H3513" s="1958">
        <f>IF(OR(M3513=0),0,SUM($M$3430:M3512)+1)</f>
        <v>0</v>
      </c>
      <c r="I3513" s="2000" t="s">
        <v>8997</v>
      </c>
      <c r="J3513" s="1958">
        <v>20</v>
      </c>
      <c r="K3513" s="1959">
        <v>1</v>
      </c>
      <c r="L3513" s="1959">
        <v>10</v>
      </c>
      <c r="M3513" s="2005">
        <f>COUNTIF('Elan y Personalización'!$C$13:$F$25,Tablas!I3513)+COUNTIF('Elan y Personalización'!$C$45:$F$57,Tablas!I3513)</f>
        <v>0</v>
      </c>
      <c r="N3513" s="2178" t="s">
        <v>9276</v>
      </c>
      <c r="O3513" s="2209" t="s">
        <v>9277</v>
      </c>
      <c r="P3513" s="1958">
        <v>3</v>
      </c>
      <c r="Q3513" s="2178" t="s">
        <v>9278</v>
      </c>
      <c r="R3513" s="1958">
        <v>2</v>
      </c>
      <c r="S3513" s="1958" t="s">
        <v>9279</v>
      </c>
      <c r="T3513" s="2196">
        <v>-10</v>
      </c>
    </row>
    <row r="3514" spans="2:22" ht="12.75" customHeight="1" x14ac:dyDescent="0.2">
      <c r="B3514" s="1860" t="str">
        <f t="shared" si="326"/>
        <v>Seiryu: Tormenta</v>
      </c>
      <c r="C3514" s="2723">
        <f t="shared" si="327"/>
        <v>59</v>
      </c>
      <c r="D3514" s="455" t="s">
        <v>1198</v>
      </c>
      <c r="E3514" s="290">
        <v>280</v>
      </c>
      <c r="F3514" s="312">
        <v>500</v>
      </c>
      <c r="H3514" s="1958">
        <f>IF(OR(M3514=0),0,SUM($M$3430:M3513)+1)</f>
        <v>0</v>
      </c>
      <c r="I3514" s="2000" t="s">
        <v>8998</v>
      </c>
      <c r="J3514" s="1958">
        <v>30</v>
      </c>
      <c r="K3514" s="1959">
        <v>1</v>
      </c>
      <c r="L3514" s="1959">
        <v>5</v>
      </c>
      <c r="M3514" s="2005">
        <f>COUNTIF('Elan y Personalización'!$C$13:$F$25,Tablas!I3514)+COUNTIF('Elan y Personalización'!$C$45:$F$57,Tablas!I3514)</f>
        <v>0</v>
      </c>
      <c r="N3514" s="2178" t="s">
        <v>9280</v>
      </c>
      <c r="O3514" s="2209" t="s">
        <v>9281</v>
      </c>
      <c r="P3514" s="1958">
        <v>1</v>
      </c>
      <c r="Q3514" s="2178"/>
      <c r="R3514" s="1958"/>
      <c r="S3514" s="1958"/>
      <c r="T3514" s="2196"/>
    </row>
    <row r="3515" spans="2:22" ht="12.75" customHeight="1" x14ac:dyDescent="0.2">
      <c r="B3515" s="1860" t="str">
        <f t="shared" si="326"/>
        <v>Suzaku, el Fénix</v>
      </c>
      <c r="C3515" s="2723">
        <f t="shared" si="327"/>
        <v>61</v>
      </c>
      <c r="D3515" s="455" t="s">
        <v>1199</v>
      </c>
      <c r="E3515" s="290">
        <v>340</v>
      </c>
      <c r="F3515" s="312">
        <v>660</v>
      </c>
      <c r="H3515" s="1958">
        <f>IF(OR(M3515=0),0,SUM($M$3430:M3514)+1)</f>
        <v>0</v>
      </c>
      <c r="I3515" s="2000" t="s">
        <v>8999</v>
      </c>
      <c r="J3515" s="1958">
        <v>40</v>
      </c>
      <c r="K3515" s="1959">
        <v>1</v>
      </c>
      <c r="L3515" s="1959">
        <v>10</v>
      </c>
      <c r="M3515" s="2005">
        <f>COUNTIF('Elan y Personalización'!$C$13:$F$25,Tablas!I3515)+COUNTIF('Elan y Personalización'!$C$45:$F$57,Tablas!I3515)</f>
        <v>0</v>
      </c>
      <c r="N3515" s="2178" t="s">
        <v>9282</v>
      </c>
      <c r="O3515" s="2209" t="s">
        <v>9283</v>
      </c>
      <c r="P3515" s="1958">
        <v>5</v>
      </c>
      <c r="Q3515" s="2178"/>
      <c r="R3515" s="1958"/>
      <c r="S3515" s="1958"/>
      <c r="T3515" s="2196"/>
    </row>
    <row r="3516" spans="2:22" ht="12.75" customHeight="1" x14ac:dyDescent="0.2">
      <c r="B3516" s="1860" t="str">
        <f t="shared" si="326"/>
        <v>Suzaku: Calamidad</v>
      </c>
      <c r="C3516" s="2723">
        <f t="shared" si="327"/>
        <v>60</v>
      </c>
      <c r="D3516" s="455" t="s">
        <v>1200</v>
      </c>
      <c r="E3516" s="290">
        <v>400</v>
      </c>
      <c r="F3516" s="312">
        <v>880</v>
      </c>
      <c r="H3516" s="1958">
        <f>IF(OR(M3516=0),0,SUM($M$3430:M3515)+1)</f>
        <v>0</v>
      </c>
      <c r="I3516" s="2000" t="s">
        <v>9000</v>
      </c>
      <c r="J3516" s="1958">
        <v>50</v>
      </c>
      <c r="K3516" s="1959">
        <v>1</v>
      </c>
      <c r="L3516" s="1959">
        <v>20</v>
      </c>
      <c r="M3516" s="2005">
        <f>COUNTIF('Elan y Personalización'!$C$13:$F$25,Tablas!I3516)+COUNTIF('Elan y Personalización'!$C$45:$F$57,Tablas!I3516)</f>
        <v>0</v>
      </c>
      <c r="N3516" s="2178" t="s">
        <v>9284</v>
      </c>
      <c r="O3516" s="2209"/>
      <c r="P3516" s="1958"/>
      <c r="Q3516" s="2178"/>
      <c r="R3516" s="1958"/>
      <c r="S3516" s="1958"/>
      <c r="T3516" s="2196"/>
    </row>
    <row r="3517" spans="2:22" ht="12.75" customHeight="1" x14ac:dyDescent="0.2">
      <c r="B3517" s="1860" t="str">
        <f t="shared" si="326"/>
        <v>Suzaku: El elegido del sol</v>
      </c>
      <c r="C3517" s="2723">
        <f t="shared" si="327"/>
        <v>5</v>
      </c>
      <c r="D3517" s="455" t="s">
        <v>1201</v>
      </c>
      <c r="E3517" s="290">
        <v>400</v>
      </c>
      <c r="F3517" s="312">
        <v>800</v>
      </c>
      <c r="H3517" s="1958">
        <f>IF(OR(M3517=0),0,SUM($M$3430:M3516)+1)</f>
        <v>0</v>
      </c>
      <c r="I3517" s="2000" t="s">
        <v>9001</v>
      </c>
      <c r="J3517" s="1958">
        <v>50</v>
      </c>
      <c r="K3517" s="1959">
        <f>IF(M3513,1,0)</f>
        <v>0</v>
      </c>
      <c r="L3517" s="1959">
        <v>15</v>
      </c>
      <c r="M3517" s="2005">
        <f>COUNTIF('Elan y Personalización'!$C$13:$F$25,Tablas!I3517)+COUNTIF('Elan y Personalización'!$C$45:$F$57,Tablas!I3517)</f>
        <v>0</v>
      </c>
      <c r="N3517" s="2178" t="s">
        <v>9285</v>
      </c>
      <c r="O3517" s="2209"/>
      <c r="P3517" s="1958"/>
      <c r="Q3517" s="2178"/>
      <c r="R3517" s="1958"/>
      <c r="S3517" s="1958"/>
      <c r="T3517" s="2196"/>
    </row>
    <row r="3518" spans="2:22" ht="12.75" customHeight="1" x14ac:dyDescent="0.2">
      <c r="B3518" s="1860" t="str">
        <f t="shared" si="326"/>
        <v>Suzaku: Señor del sur</v>
      </c>
      <c r="C3518" s="2723">
        <f t="shared" si="327"/>
        <v>8</v>
      </c>
      <c r="D3518" s="455" t="s">
        <v>1202</v>
      </c>
      <c r="E3518" s="290">
        <v>220</v>
      </c>
      <c r="F3518" s="312">
        <v>300</v>
      </c>
      <c r="H3518" s="1958">
        <f>IF(OR(M3518=0),0,SUM($M$3430:M3517)+1)</f>
        <v>0</v>
      </c>
      <c r="I3518" s="2000" t="s">
        <v>9002</v>
      </c>
      <c r="J3518" s="1958">
        <v>60</v>
      </c>
      <c r="K3518" s="1959">
        <v>1</v>
      </c>
      <c r="L3518" s="1959">
        <v>10</v>
      </c>
      <c r="M3518" s="2005">
        <f>COUNTIF('Elan y Personalización'!$C$13:$F$25,Tablas!I3518)+COUNTIF('Elan y Personalización'!$C$45:$F$57,Tablas!I3518)</f>
        <v>0</v>
      </c>
      <c r="N3518" s="2178" t="s">
        <v>9286</v>
      </c>
      <c r="O3518" s="2209"/>
      <c r="P3518" s="1958"/>
      <c r="Q3518" s="2178"/>
      <c r="R3518" s="1958"/>
      <c r="S3518" s="1958"/>
      <c r="T3518" s="2196"/>
    </row>
    <row r="3519" spans="2:22" ht="12.75" customHeight="1" x14ac:dyDescent="0.2">
      <c r="B3519" s="1860" t="str">
        <f t="shared" si="326"/>
        <v>Suzaku: uena fortuna</v>
      </c>
      <c r="C3519" s="2723">
        <f t="shared" si="327"/>
        <v>7</v>
      </c>
      <c r="D3519" s="455" t="s">
        <v>1203</v>
      </c>
      <c r="E3519" s="290">
        <v>280</v>
      </c>
      <c r="F3519" s="312">
        <v>500</v>
      </c>
      <c r="H3519" s="1958">
        <f>IF(OR(M3519=0),0,SUM($M$3430:M3518)+1)</f>
        <v>0</v>
      </c>
      <c r="I3519" s="2000" t="s">
        <v>9003</v>
      </c>
      <c r="J3519" s="1958">
        <v>60</v>
      </c>
      <c r="K3519" s="1959">
        <v>1</v>
      </c>
      <c r="L3519" s="1959">
        <v>10</v>
      </c>
      <c r="M3519" s="2005">
        <f>COUNTIF('Elan y Personalización'!$C$13:$F$25,Tablas!I3519)+COUNTIF('Elan y Personalización'!$C$45:$F$57,Tablas!I3519)</f>
        <v>0</v>
      </c>
      <c r="N3519" s="2178" t="s">
        <v>9287</v>
      </c>
      <c r="O3519" s="2209"/>
      <c r="P3519" s="1958"/>
      <c r="Q3519" s="2178"/>
      <c r="R3519" s="1958"/>
      <c r="S3519" s="1958"/>
      <c r="T3519" s="2196"/>
    </row>
    <row r="3520" spans="2:22" ht="12.75" customHeight="1" x14ac:dyDescent="0.2">
      <c r="B3520" s="1860" t="str">
        <f t="shared" si="326"/>
        <v>Tawil At-U'mr, Señor de las Puertas</v>
      </c>
      <c r="C3520" s="2723">
        <f t="shared" si="327"/>
        <v>9</v>
      </c>
      <c r="D3520" s="455" t="s">
        <v>1204</v>
      </c>
      <c r="E3520" s="290">
        <v>340</v>
      </c>
      <c r="F3520" s="312">
        <v>660</v>
      </c>
      <c r="H3520" s="1958">
        <f>IF(OR(M3520=0),0,SUM($M$3430:M3519)+1)</f>
        <v>0</v>
      </c>
      <c r="I3520" s="2000" t="s">
        <v>9004</v>
      </c>
      <c r="J3520" s="1958">
        <v>70</v>
      </c>
      <c r="K3520" s="1959">
        <v>1</v>
      </c>
      <c r="L3520" s="1959">
        <v>10</v>
      </c>
      <c r="M3520" s="2005">
        <f>COUNTIF('Elan y Personalización'!$C$13:$F$25,Tablas!I3520)+COUNTIF('Elan y Personalización'!$C$45:$F$57,Tablas!I3520)</f>
        <v>0</v>
      </c>
      <c r="N3520" s="2178" t="s">
        <v>9288</v>
      </c>
      <c r="O3520" s="2209"/>
      <c r="P3520" s="1958"/>
      <c r="Q3520" s="2178"/>
      <c r="R3520" s="1958"/>
      <c r="S3520" s="1958"/>
      <c r="T3520" s="2196"/>
    </row>
    <row r="3521" spans="2:22" ht="12.75" customHeight="1" x14ac:dyDescent="0.2">
      <c r="B3521" s="1860" t="str">
        <f t="shared" si="326"/>
        <v>Tawil At-U'mr: Compresión del tiempo</v>
      </c>
      <c r="C3521" s="2723">
        <f t="shared" si="327"/>
        <v>6</v>
      </c>
      <c r="D3521" s="455" t="s">
        <v>1205</v>
      </c>
      <c r="E3521" s="290">
        <v>400</v>
      </c>
      <c r="F3521" s="312">
        <v>880</v>
      </c>
      <c r="H3521" s="1958">
        <f>IF(OR(M3521=0),0,SUM($M$3430:M3520)+1)</f>
        <v>0</v>
      </c>
      <c r="I3521" s="2000" t="s">
        <v>9005</v>
      </c>
      <c r="J3521" s="1958">
        <v>80</v>
      </c>
      <c r="K3521" s="1959">
        <f>IF(M3520,1,0)</f>
        <v>0</v>
      </c>
      <c r="L3521" s="1959">
        <v>10</v>
      </c>
      <c r="M3521" s="2005">
        <f>COUNTIF('Elan y Personalización'!$C$13:$F$25,Tablas!I3521)+COUNTIF('Elan y Personalización'!$C$45:$F$57,Tablas!I3521)</f>
        <v>0</v>
      </c>
      <c r="N3521" s="2178" t="s">
        <v>9289</v>
      </c>
      <c r="O3521" s="2209"/>
      <c r="P3521" s="1958"/>
      <c r="Q3521" s="2178"/>
      <c r="R3521" s="1958"/>
      <c r="S3521" s="1958"/>
      <c r="T3521" s="2196"/>
    </row>
    <row r="3522" spans="2:22" ht="12.75" customHeight="1" x14ac:dyDescent="0.2">
      <c r="B3522" s="1860" t="str">
        <f t="shared" si="326"/>
        <v>Tawil At-U'mr: La puerta</v>
      </c>
      <c r="C3522" s="2723">
        <f t="shared" si="327"/>
        <v>42</v>
      </c>
      <c r="D3522" s="455" t="s">
        <v>1206</v>
      </c>
      <c r="E3522" s="290">
        <v>440</v>
      </c>
      <c r="F3522" s="312">
        <v>800</v>
      </c>
      <c r="H3522" s="1958">
        <f>IF(OR(M3522=0),0,SUM($M$3430:M3521)+1)</f>
        <v>0</v>
      </c>
      <c r="I3522" s="2000" t="s">
        <v>9006</v>
      </c>
      <c r="J3522" s="1958">
        <v>90</v>
      </c>
      <c r="K3522" s="1959">
        <f>IF(M3517,1,0)</f>
        <v>0</v>
      </c>
      <c r="L3522" s="1959">
        <v>20</v>
      </c>
      <c r="M3522" s="2005">
        <f>COUNTIF('Elan y Personalización'!$C$13:$F$25,Tablas!I3522)+COUNTIF('Elan y Personalización'!$C$45:$F$57,Tablas!I3522)</f>
        <v>0</v>
      </c>
      <c r="N3522" s="2178" t="s">
        <v>9290</v>
      </c>
      <c r="O3522" s="2209"/>
      <c r="P3522" s="1958"/>
      <c r="Q3522" s="2178"/>
      <c r="R3522" s="1958"/>
      <c r="S3522" s="1958"/>
      <c r="T3522" s="2196"/>
    </row>
    <row r="3523" spans="2:22" ht="12.75" customHeight="1" x14ac:dyDescent="0.2">
      <c r="B3523" s="1860" t="str">
        <f t="shared" ref="B3523:B3528" si="328">VLOOKUP(A66,$C$3458:$D$3528,2,0)</f>
        <v>Tawil At-U'mr: Más allá del tiempo y el espacio</v>
      </c>
      <c r="C3523" s="2723">
        <f t="shared" ref="C3523:C3528" si="329">COUNTIF($D$3458:$D$3528,"&lt;="&amp;D3523)</f>
        <v>43</v>
      </c>
      <c r="D3523" s="455" t="s">
        <v>1207</v>
      </c>
      <c r="E3523" s="290">
        <v>440</v>
      </c>
      <c r="F3523" s="312">
        <v>1000</v>
      </c>
      <c r="H3523" s="1958">
        <f>IF(OR(M3523=0),0,SUM($M$3430:M3522)+1)</f>
        <v>0</v>
      </c>
      <c r="I3523" s="2000" t="s">
        <v>9007</v>
      </c>
      <c r="J3523" s="1958">
        <v>100</v>
      </c>
      <c r="K3523" s="1959">
        <v>1</v>
      </c>
      <c r="L3523" s="1959">
        <v>10</v>
      </c>
      <c r="M3523" s="2005">
        <f>COUNTIF('Elan y Personalización'!$C$13:$F$25,Tablas!I3523)+COUNTIF('Elan y Personalización'!$C$45:$F$57,Tablas!I3523)</f>
        <v>0</v>
      </c>
      <c r="N3523" s="2178" t="s">
        <v>9291</v>
      </c>
      <c r="O3523" s="2209"/>
      <c r="P3523" s="1958"/>
      <c r="Q3523" s="2178"/>
      <c r="R3523" s="1958"/>
      <c r="S3523" s="1958"/>
      <c r="T3523" s="2196"/>
    </row>
    <row r="3524" spans="2:22" ht="12.75" customHeight="1" x14ac:dyDescent="0.2">
      <c r="B3524" s="1860" t="str">
        <f t="shared" si="328"/>
        <v>Thanathos</v>
      </c>
      <c r="C3524" s="2723">
        <f t="shared" si="329"/>
        <v>17</v>
      </c>
      <c r="D3524" s="455" t="s">
        <v>1208</v>
      </c>
      <c r="E3524" s="290">
        <v>240</v>
      </c>
      <c r="F3524" s="312">
        <v>800</v>
      </c>
      <c r="H3524" s="1958">
        <f>IF(OR(M3524=0),0,SUM($M$3430:M3523)+1)</f>
        <v>0</v>
      </c>
      <c r="I3524" s="2004" t="s">
        <v>8920</v>
      </c>
      <c r="J3524" s="1961"/>
      <c r="K3524" s="1961"/>
      <c r="L3524" s="1961"/>
      <c r="M3524" s="2006">
        <f>COUNTIF('Elan y Personalización'!$C$13:$F$25,Tablas!I3524)+COUNTIF('Elan y Personalización'!$C$45:$F$57,Tablas!I3524)</f>
        <v>0</v>
      </c>
      <c r="N3524" s="2004" t="str">
        <f>I3524</f>
        <v>Erebus</v>
      </c>
      <c r="O3524" s="2208" t="str">
        <f>I3524</f>
        <v>Erebus</v>
      </c>
      <c r="P3524" s="2201" t="str">
        <f t="array" ref="P3524:V3524">TRANSPOSE(O3525:O3536)</f>
        <v>Adentrarse en el mundo de lo oculto y lo sobrenatural</v>
      </c>
      <c r="Q3524" s="2210" t="str">
        <v>Alcanzar la maestría en un campo sobrenatural</v>
      </c>
      <c r="R3524" s="2201" t="str">
        <v>Enfrentarse al terror y poder superarlo</v>
      </c>
      <c r="S3524" s="2201" t="str">
        <v>Sentir fascinación por el miedo y todo lo que representa</v>
      </c>
      <c r="T3524" s="2201" t="str">
        <v>Ser un soñador que viva en la fantasía</v>
      </c>
      <c r="U3524" s="2200" t="str">
        <v>Dominar el significado de los sueños</v>
      </c>
      <c r="V3524" s="2200">
        <v>0</v>
      </c>
    </row>
    <row r="3525" spans="2:22" ht="12.75" customHeight="1" x14ac:dyDescent="0.2">
      <c r="B3525" s="1860" t="str">
        <f t="shared" si="328"/>
        <v>Veles, el Poder de la Magia</v>
      </c>
      <c r="C3525" s="2723">
        <f t="shared" si="329"/>
        <v>63</v>
      </c>
      <c r="D3525" s="455" t="s">
        <v>1209</v>
      </c>
      <c r="E3525" s="290">
        <v>400</v>
      </c>
      <c r="F3525" s="312">
        <v>800</v>
      </c>
      <c r="H3525" s="1958">
        <f>IF(OR(M3525=0),0,SUM($M$3430:M3524)+1)</f>
        <v>0</v>
      </c>
      <c r="I3525" s="2000" t="s">
        <v>9008</v>
      </c>
      <c r="J3525" s="1958">
        <v>10</v>
      </c>
      <c r="K3525" s="1959">
        <v>1</v>
      </c>
      <c r="L3525" s="1959">
        <v>5</v>
      </c>
      <c r="M3525" s="2005">
        <f>COUNTIF('Elan y Personalización'!$C$13:$F$25,Tablas!I3525)+COUNTIF('Elan y Personalización'!$C$45:$F$57,Tablas!I3525)</f>
        <v>0</v>
      </c>
      <c r="N3525" s="2178" t="s">
        <v>9292</v>
      </c>
      <c r="O3525" s="2209" t="s">
        <v>9293</v>
      </c>
      <c r="P3525" s="1958">
        <v>2</v>
      </c>
      <c r="Q3525" s="2178" t="s">
        <v>9294</v>
      </c>
      <c r="R3525" s="1958">
        <v>2</v>
      </c>
      <c r="S3525" s="1958" t="s">
        <v>9295</v>
      </c>
      <c r="T3525" s="2196">
        <v>-3</v>
      </c>
    </row>
    <row r="3526" spans="2:22" ht="12.75" customHeight="1" x14ac:dyDescent="0.2">
      <c r="B3526" s="1860" t="str">
        <f t="shared" si="328"/>
        <v>Ziz, Señor de los Cielos</v>
      </c>
      <c r="C3526" s="2723">
        <f t="shared" si="329"/>
        <v>64</v>
      </c>
      <c r="D3526" s="455" t="s">
        <v>1210</v>
      </c>
      <c r="E3526" s="290">
        <v>280</v>
      </c>
      <c r="F3526" s="312">
        <v>500</v>
      </c>
      <c r="H3526" s="1958">
        <f>IF(OR(M3526=0),0,SUM($M$3430:M3525)+1)</f>
        <v>0</v>
      </c>
      <c r="I3526" s="2000" t="s">
        <v>9009</v>
      </c>
      <c r="J3526" s="1958">
        <v>20</v>
      </c>
      <c r="K3526" s="1959">
        <v>1</v>
      </c>
      <c r="L3526" s="1959">
        <v>5</v>
      </c>
      <c r="M3526" s="2005">
        <f>COUNTIF('Elan y Personalización'!$C$13:$F$25,Tablas!I3526)+COUNTIF('Elan y Personalización'!$C$45:$F$57,Tablas!I3526)</f>
        <v>0</v>
      </c>
      <c r="N3526" s="2178" t="s">
        <v>9296</v>
      </c>
      <c r="O3526" s="2209" t="s">
        <v>9297</v>
      </c>
      <c r="P3526" s="1958">
        <v>3</v>
      </c>
      <c r="Q3526" s="2178" t="s">
        <v>9298</v>
      </c>
      <c r="R3526" s="1958">
        <v>2</v>
      </c>
      <c r="S3526" s="1958" t="s">
        <v>9299</v>
      </c>
      <c r="T3526" s="2196">
        <v>-2</v>
      </c>
    </row>
    <row r="3527" spans="2:22" ht="12.75" customHeight="1" x14ac:dyDescent="0.2">
      <c r="B3527" s="1860" t="str">
        <f t="shared" si="328"/>
        <v>Ziz: Comunión con el viento</v>
      </c>
      <c r="C3527" s="2723">
        <f t="shared" si="329"/>
        <v>65</v>
      </c>
      <c r="D3527" s="455" t="s">
        <v>1211</v>
      </c>
      <c r="E3527" s="290">
        <v>400</v>
      </c>
      <c r="F3527" s="312">
        <v>900</v>
      </c>
      <c r="H3527" s="1958">
        <f>IF(OR(M3527=0),0,SUM($M$3430:M3526)+1)</f>
        <v>0</v>
      </c>
      <c r="I3527" s="2000" t="s">
        <v>9010</v>
      </c>
      <c r="J3527" s="1958">
        <v>30</v>
      </c>
      <c r="K3527" s="1959">
        <v>1</v>
      </c>
      <c r="L3527" s="1959">
        <v>5</v>
      </c>
      <c r="M3527" s="2005">
        <f>COUNTIF('Elan y Personalización'!$C$13:$F$25,Tablas!I3527)+COUNTIF('Elan y Personalización'!$C$45:$F$57,Tablas!I3527)</f>
        <v>0</v>
      </c>
      <c r="N3527" s="2178" t="s">
        <v>9300</v>
      </c>
      <c r="O3527" s="2209" t="s">
        <v>9301</v>
      </c>
      <c r="P3527" s="1958">
        <v>2</v>
      </c>
      <c r="Q3527" s="2178" t="s">
        <v>9302</v>
      </c>
      <c r="R3527" s="1958">
        <v>2</v>
      </c>
      <c r="S3527" s="1958"/>
      <c r="T3527" s="2196"/>
    </row>
    <row r="3528" spans="2:22" ht="12.75" customHeight="1" x14ac:dyDescent="0.2">
      <c r="B3528" s="1860" t="str">
        <f t="shared" si="328"/>
        <v>Ziz: Señor del viento</v>
      </c>
      <c r="C3528" s="2723">
        <f t="shared" si="329"/>
        <v>66</v>
      </c>
      <c r="D3528" s="455" t="s">
        <v>1212</v>
      </c>
      <c r="E3528" s="290">
        <v>500</v>
      </c>
      <c r="F3528" s="312">
        <v>1200</v>
      </c>
      <c r="H3528" s="1958">
        <f>IF(OR(M3528=0),0,SUM($M$3430:M3527)+1)</f>
        <v>0</v>
      </c>
      <c r="I3528" s="2000" t="s">
        <v>9011</v>
      </c>
      <c r="J3528" s="1958">
        <v>40</v>
      </c>
      <c r="K3528" s="1959">
        <v>1</v>
      </c>
      <c r="L3528" s="1959">
        <v>10</v>
      </c>
      <c r="M3528" s="2005">
        <f>COUNTIF('Elan y Personalización'!$C$13:$F$25,Tablas!I3528)+COUNTIF('Elan y Personalización'!$C$45:$F$57,Tablas!I3528)</f>
        <v>0</v>
      </c>
      <c r="N3528" s="2178" t="s">
        <v>9303</v>
      </c>
      <c r="O3528" s="2209" t="s">
        <v>9304</v>
      </c>
      <c r="P3528" s="1958">
        <v>3</v>
      </c>
      <c r="Q3528" s="2178"/>
      <c r="R3528" s="1958"/>
      <c r="S3528" s="1958"/>
      <c r="T3528" s="2196"/>
    </row>
    <row r="3529" spans="2:22" ht="12.75" customHeight="1" x14ac:dyDescent="0.2">
      <c r="B3529" s="1860" t="str">
        <f>VLOOKUP(A1,$C$3529:$D$3574,2,0)</f>
        <v>&gt; ENCARNACIONES</v>
      </c>
      <c r="C3529" s="2723">
        <f>COUNTIF($D$3529:$D$3574,"&lt;="&amp;D3529)</f>
        <v>1</v>
      </c>
      <c r="D3529" s="455" t="s">
        <v>1213</v>
      </c>
      <c r="E3529" s="290"/>
      <c r="F3529" s="312"/>
      <c r="H3529" s="1958">
        <f>IF(OR(M3529=0),0,SUM($M$3430:M3528)+1)</f>
        <v>0</v>
      </c>
      <c r="I3529" s="2000" t="s">
        <v>9012</v>
      </c>
      <c r="J3529" s="1958">
        <v>50</v>
      </c>
      <c r="K3529" s="1959">
        <v>1</v>
      </c>
      <c r="L3529" s="1959">
        <v>15</v>
      </c>
      <c r="M3529" s="2005">
        <f>COUNTIF('Elan y Personalización'!$C$13:$F$25,Tablas!I3529)+COUNTIF('Elan y Personalización'!$C$45:$F$57,Tablas!I3529)</f>
        <v>0</v>
      </c>
      <c r="N3529" s="2178" t="s">
        <v>9305</v>
      </c>
      <c r="O3529" s="2209" t="s">
        <v>9306</v>
      </c>
      <c r="P3529" s="1958">
        <v>2</v>
      </c>
      <c r="Q3529" s="2178"/>
      <c r="R3529" s="1958"/>
      <c r="S3529" s="1958"/>
      <c r="T3529" s="2196"/>
    </row>
    <row r="3530" spans="2:22" ht="12.75" customHeight="1" x14ac:dyDescent="0.2">
      <c r="B3530" s="1860" t="str">
        <f t="shared" ref="B3530:B3574" si="330">VLOOKUP(A2,$C$3529:$D$3574,2,0)</f>
        <v>Aeriel, el Caballero de Argenta (Nv 12)</v>
      </c>
      <c r="C3530" s="2723">
        <f t="shared" ref="C3530:C3574" si="331">COUNTIF($D$3529:$D$3574,"&lt;="&amp;D3530)</f>
        <v>30</v>
      </c>
      <c r="D3530" s="455" t="s">
        <v>1214</v>
      </c>
      <c r="E3530" s="290">
        <v>260</v>
      </c>
      <c r="F3530" s="312">
        <v>400</v>
      </c>
      <c r="H3530" s="1958">
        <f>IF(OR(M3530=0),0,SUM($M$3430:M3529)+1)</f>
        <v>0</v>
      </c>
      <c r="I3530" s="2000" t="s">
        <v>9013</v>
      </c>
      <c r="J3530" s="1958">
        <v>60</v>
      </c>
      <c r="K3530" s="1959">
        <v>1</v>
      </c>
      <c r="L3530" s="1959">
        <v>10</v>
      </c>
      <c r="M3530" s="2005">
        <f>COUNTIF('Elan y Personalización'!$C$13:$F$25,Tablas!I3530)+COUNTIF('Elan y Personalización'!$C$45:$F$57,Tablas!I3530)</f>
        <v>0</v>
      </c>
      <c r="N3530" s="2178" t="s">
        <v>9307</v>
      </c>
      <c r="O3530" s="2209" t="s">
        <v>9308</v>
      </c>
      <c r="P3530" s="1958">
        <v>2</v>
      </c>
      <c r="Q3530" s="2178"/>
      <c r="R3530" s="1958"/>
      <c r="S3530" s="1958"/>
      <c r="T3530" s="2196"/>
    </row>
    <row r="3531" spans="2:22" ht="12.75" customHeight="1" x14ac:dyDescent="0.2">
      <c r="B3531" s="1860" t="str">
        <f t="shared" si="330"/>
        <v>Aeriel, el Caballero de Argenta (Nv 6)</v>
      </c>
      <c r="C3531" s="2723">
        <f t="shared" si="331"/>
        <v>31</v>
      </c>
      <c r="D3531" s="455" t="s">
        <v>1215</v>
      </c>
      <c r="E3531" s="290">
        <v>300</v>
      </c>
      <c r="F3531" s="312">
        <v>600</v>
      </c>
      <c r="H3531" s="1958">
        <f>IF(OR(M3531=0),0,SUM($M$3430:M3530)+1)</f>
        <v>0</v>
      </c>
      <c r="I3531" s="2000" t="s">
        <v>9014</v>
      </c>
      <c r="J3531" s="1958">
        <v>60</v>
      </c>
      <c r="K3531" s="1959">
        <v>1</v>
      </c>
      <c r="L3531" s="1959">
        <v>10</v>
      </c>
      <c r="M3531" s="2005">
        <f>COUNTIF('Elan y Personalización'!$C$13:$F$25,Tablas!I3531)+COUNTIF('Elan y Personalización'!$C$45:$F$57,Tablas!I3531)</f>
        <v>0</v>
      </c>
      <c r="N3531" s="2178" t="s">
        <v>9309</v>
      </c>
      <c r="O3531" s="2209"/>
      <c r="P3531" s="1958"/>
      <c r="Q3531" s="2178"/>
      <c r="R3531" s="1958"/>
      <c r="S3531" s="1958"/>
      <c r="T3531" s="2196"/>
    </row>
    <row r="3532" spans="2:22" ht="12.75" customHeight="1" x14ac:dyDescent="0.2">
      <c r="B3532" s="1860" t="str">
        <f t="shared" si="330"/>
        <v>Aeriel, el Caballero de Argenta (Nv 9)</v>
      </c>
      <c r="C3532" s="2723">
        <f t="shared" si="331"/>
        <v>29</v>
      </c>
      <c r="D3532" s="455" t="s">
        <v>1216</v>
      </c>
      <c r="E3532" s="290">
        <v>380</v>
      </c>
      <c r="F3532" s="312">
        <v>900</v>
      </c>
      <c r="H3532" s="1958">
        <f>IF(OR(M3532=0),0,SUM($M$3430:M3531)+1)</f>
        <v>0</v>
      </c>
      <c r="I3532" s="2000" t="s">
        <v>9015</v>
      </c>
      <c r="J3532" s="1958">
        <v>70</v>
      </c>
      <c r="K3532" s="1959">
        <v>1</v>
      </c>
      <c r="L3532" s="1959">
        <v>20</v>
      </c>
      <c r="M3532" s="2005">
        <f>COUNTIF('Elan y Personalización'!$C$13:$F$25,Tablas!I3532)+COUNTIF('Elan y Personalización'!$C$45:$F$57,Tablas!I3532)</f>
        <v>0</v>
      </c>
      <c r="N3532" s="2178" t="s">
        <v>9310</v>
      </c>
      <c r="O3532" s="2209"/>
      <c r="P3532" s="1958"/>
      <c r="Q3532" s="2178"/>
      <c r="R3532" s="1958"/>
      <c r="S3532" s="1958"/>
      <c r="T3532" s="2196"/>
    </row>
    <row r="3533" spans="2:22" ht="12.75" customHeight="1" x14ac:dyDescent="0.2">
      <c r="B3533" s="1860" t="str">
        <f t="shared" si="330"/>
        <v>Ambrose Magus, el Hechicero (Nv 4)</v>
      </c>
      <c r="C3533" s="2723">
        <f t="shared" si="331"/>
        <v>36</v>
      </c>
      <c r="D3533" s="455" t="s">
        <v>1217</v>
      </c>
      <c r="E3533" s="290">
        <v>280</v>
      </c>
      <c r="F3533" s="312">
        <v>350</v>
      </c>
      <c r="H3533" s="1958">
        <f>IF(OR(M3533=0),0,SUM($M$3430:M3532)+1)</f>
        <v>0</v>
      </c>
      <c r="I3533" s="2000" t="s">
        <v>9016</v>
      </c>
      <c r="J3533" s="1958">
        <v>80</v>
      </c>
      <c r="K3533" s="1959">
        <v>1</v>
      </c>
      <c r="L3533" s="1959">
        <v>15</v>
      </c>
      <c r="M3533" s="2005">
        <f>COUNTIF('Elan y Personalización'!$C$13:$F$25,Tablas!I3533)+COUNTIF('Elan y Personalización'!$C$45:$F$57,Tablas!I3533)</f>
        <v>0</v>
      </c>
      <c r="N3533" s="2178" t="s">
        <v>9311</v>
      </c>
      <c r="O3533" s="2209"/>
      <c r="P3533" s="1958"/>
      <c r="Q3533" s="2178"/>
      <c r="R3533" s="1958"/>
      <c r="S3533" s="1958"/>
      <c r="T3533" s="2196"/>
    </row>
    <row r="3534" spans="2:22" ht="12.75" customHeight="1" x14ac:dyDescent="0.2">
      <c r="B3534" s="1860" t="str">
        <f t="shared" si="330"/>
        <v>Ambrose Magus, el Hechicero (Nv 6)</v>
      </c>
      <c r="C3534" s="2723">
        <f t="shared" si="331"/>
        <v>37</v>
      </c>
      <c r="D3534" s="455" t="s">
        <v>1218</v>
      </c>
      <c r="E3534" s="290">
        <v>340</v>
      </c>
      <c r="F3534" s="312">
        <v>700</v>
      </c>
      <c r="H3534" s="1958">
        <f>IF(OR(M3534=0),0,SUM($M$3430:M3533)+1)</f>
        <v>0</v>
      </c>
      <c r="I3534" s="2000" t="s">
        <v>9017</v>
      </c>
      <c r="J3534" s="1958">
        <v>90</v>
      </c>
      <c r="K3534" s="1959">
        <f>IF(M3532,1,0)</f>
        <v>0</v>
      </c>
      <c r="L3534" s="1959">
        <v>10</v>
      </c>
      <c r="M3534" s="2005">
        <f>COUNTIF('Elan y Personalización'!$C$13:$F$25,Tablas!I3534)+COUNTIF('Elan y Personalización'!$C$45:$F$57,Tablas!I3534)</f>
        <v>0</v>
      </c>
      <c r="N3534" s="2178" t="s">
        <v>9312</v>
      </c>
      <c r="O3534" s="2209"/>
      <c r="P3534" s="1958"/>
      <c r="Q3534" s="2178"/>
      <c r="R3534" s="1958"/>
      <c r="S3534" s="1958"/>
      <c r="T3534" s="2196"/>
    </row>
    <row r="3535" spans="2:22" ht="12.75" customHeight="1" x14ac:dyDescent="0.2">
      <c r="B3535" s="1860" t="str">
        <f t="shared" si="330"/>
        <v>Ambrose Magus, el Hechicero (Nv 8)</v>
      </c>
      <c r="C3535" s="2723">
        <f t="shared" si="331"/>
        <v>35</v>
      </c>
      <c r="D3535" s="455" t="s">
        <v>1219</v>
      </c>
      <c r="E3535" s="290">
        <v>400</v>
      </c>
      <c r="F3535" s="312">
        <v>900</v>
      </c>
      <c r="H3535" s="1958">
        <f>IF(OR(M3535=0),0,SUM($M$3430:M3534)+1)</f>
        <v>0</v>
      </c>
      <c r="I3535" s="2000" t="s">
        <v>9018</v>
      </c>
      <c r="J3535" s="1958">
        <v>100</v>
      </c>
      <c r="K3535" s="1959">
        <v>1</v>
      </c>
      <c r="L3535" s="1959">
        <v>10</v>
      </c>
      <c r="M3535" s="2005">
        <f>COUNTIF('Elan y Personalización'!$C$13:$F$25,Tablas!I3535)+COUNTIF('Elan y Personalización'!$C$45:$F$57,Tablas!I3535)</f>
        <v>0</v>
      </c>
      <c r="N3535" s="2178" t="s">
        <v>9313</v>
      </c>
      <c r="O3535" s="2209"/>
      <c r="P3535" s="1958"/>
      <c r="Q3535" s="2178"/>
      <c r="R3535" s="1958"/>
      <c r="S3535" s="1958"/>
      <c r="T3535" s="2196"/>
    </row>
    <row r="3536" spans="2:22" ht="12.75" customHeight="1" x14ac:dyDescent="0.2">
      <c r="B3536" s="1860" t="str">
        <f t="shared" si="330"/>
        <v>Anassilish, el Sin Rostro (Nv 2)</v>
      </c>
      <c r="C3536" s="2723">
        <f t="shared" si="331"/>
        <v>14</v>
      </c>
      <c r="D3536" s="455" t="s">
        <v>1220</v>
      </c>
      <c r="E3536" s="290">
        <v>220</v>
      </c>
      <c r="F3536" s="312">
        <v>200</v>
      </c>
      <c r="H3536" s="1958">
        <f>IF(OR(M3536=0),0,SUM($M$3430:M3535)+1)</f>
        <v>0</v>
      </c>
      <c r="I3536" s="2004" t="s">
        <v>8921</v>
      </c>
      <c r="J3536" s="1961"/>
      <c r="K3536" s="1961"/>
      <c r="L3536" s="1961"/>
      <c r="M3536" s="2006">
        <f>COUNTIF('Elan y Personalización'!$C$13:$F$25,Tablas!I3536)+COUNTIF('Elan y Personalización'!$C$45:$F$57,Tablas!I3536)</f>
        <v>0</v>
      </c>
      <c r="N3536" s="2004" t="str">
        <f>I3536</f>
        <v>Azrael</v>
      </c>
      <c r="O3536" s="2208" t="str">
        <f>I3536</f>
        <v>Azrael</v>
      </c>
      <c r="P3536" s="2201" t="str">
        <f t="array" ref="P3536:V3536">TRANSPOSE(O3537:O3548)</f>
        <v>Proteger a los inocentes</v>
      </c>
      <c r="Q3536" s="2210" t="str">
        <v>Acabar con una entidad maligna / oscura</v>
      </c>
      <c r="R3536" s="2201" t="str">
        <v>Acabar con un gran número de seres malignos / oscuros</v>
      </c>
      <c r="S3536" s="2201" t="str">
        <v>Detener un acto malvado</v>
      </c>
      <c r="T3536" s="2201" t="str">
        <v>Defender la justicia</v>
      </c>
      <c r="U3536" s="2200" t="str">
        <v>Detener / destruir a un agente de los Shajads</v>
      </c>
      <c r="V3536" s="2200" t="str">
        <v>Convertirse en un héroe</v>
      </c>
    </row>
    <row r="3537" spans="2:22" ht="12.75" customHeight="1" x14ac:dyDescent="0.2">
      <c r="B3537" s="1860" t="str">
        <f t="shared" si="330"/>
        <v>Anassilish, el Sin Rostro (Nv 5)</v>
      </c>
      <c r="C3537" s="2723">
        <f t="shared" si="331"/>
        <v>15</v>
      </c>
      <c r="D3537" s="455" t="s">
        <v>1221</v>
      </c>
      <c r="E3537" s="290">
        <v>300</v>
      </c>
      <c r="F3537" s="312">
        <v>480</v>
      </c>
      <c r="H3537" s="1958">
        <f>IF(OR(M3537=0),0,SUM($M$3430:M3536)+1)</f>
        <v>0</v>
      </c>
      <c r="I3537" s="2000" t="s">
        <v>9019</v>
      </c>
      <c r="J3537" s="1958">
        <v>10</v>
      </c>
      <c r="K3537" s="1959">
        <v>1</v>
      </c>
      <c r="L3537" s="1959">
        <v>5</v>
      </c>
      <c r="M3537" s="2005">
        <f>COUNTIF('Elan y Personalización'!$C$13:$F$25,Tablas!I3537)+COUNTIF('Elan y Personalización'!$C$45:$F$57,Tablas!I3537)</f>
        <v>0</v>
      </c>
      <c r="N3537" s="2178" t="s">
        <v>9314</v>
      </c>
      <c r="O3537" s="2209" t="s">
        <v>9315</v>
      </c>
      <c r="P3537" s="1958">
        <v>3</v>
      </c>
      <c r="Q3537" s="2178" t="s">
        <v>9316</v>
      </c>
      <c r="R3537" s="1958">
        <v>1</v>
      </c>
      <c r="S3537" s="1958" t="s">
        <v>9317</v>
      </c>
      <c r="T3537" s="2196">
        <v>-2</v>
      </c>
    </row>
    <row r="3538" spans="2:22" ht="12.75" customHeight="1" x14ac:dyDescent="0.2">
      <c r="B3538" s="1860" t="str">
        <f t="shared" si="330"/>
        <v>Anassilish, el Sin Rostro (Nv 8)</v>
      </c>
      <c r="C3538" s="2723">
        <f t="shared" si="331"/>
        <v>16</v>
      </c>
      <c r="D3538" s="455" t="s">
        <v>1222</v>
      </c>
      <c r="E3538" s="290">
        <v>360</v>
      </c>
      <c r="F3538" s="312">
        <v>600</v>
      </c>
      <c r="H3538" s="1958">
        <f>IF(OR(M3538=0),0,SUM($M$3430:M3537)+1)</f>
        <v>0</v>
      </c>
      <c r="I3538" s="2000" t="s">
        <v>9020</v>
      </c>
      <c r="J3538" s="1958">
        <v>20</v>
      </c>
      <c r="K3538" s="1959">
        <v>1</v>
      </c>
      <c r="L3538" s="1959">
        <v>5</v>
      </c>
      <c r="M3538" s="2005">
        <f>COUNTIF('Elan y Personalización'!$C$13:$F$25,Tablas!I3538)+COUNTIF('Elan y Personalización'!$C$45:$F$57,Tablas!I3538)</f>
        <v>0</v>
      </c>
      <c r="N3538" s="2178" t="s">
        <v>9318</v>
      </c>
      <c r="O3538" s="2209" t="s">
        <v>9319</v>
      </c>
      <c r="P3538" s="1958">
        <v>2</v>
      </c>
      <c r="Q3538" s="2178" t="s">
        <v>9320</v>
      </c>
      <c r="R3538" s="1958">
        <v>2</v>
      </c>
      <c r="S3538" s="1958" t="s">
        <v>9321</v>
      </c>
      <c r="T3538" s="2196">
        <v>-8</v>
      </c>
    </row>
    <row r="3539" spans="2:22" ht="12.75" customHeight="1" x14ac:dyDescent="0.2">
      <c r="B3539" s="1860" t="str">
        <f t="shared" si="330"/>
        <v>Arturia, el León Blanco (Nv 1)</v>
      </c>
      <c r="C3539" s="2723">
        <f t="shared" si="331"/>
        <v>38</v>
      </c>
      <c r="D3539" s="455" t="s">
        <v>1223</v>
      </c>
      <c r="E3539" s="290">
        <v>200</v>
      </c>
      <c r="F3539" s="312">
        <v>150</v>
      </c>
      <c r="H3539" s="1958">
        <f>IF(OR(M3539=0),0,SUM($M$3430:M3538)+1)</f>
        <v>0</v>
      </c>
      <c r="I3539" s="2000" t="s">
        <v>9021</v>
      </c>
      <c r="J3539" s="1958">
        <v>30</v>
      </c>
      <c r="K3539" s="1959">
        <v>1</v>
      </c>
      <c r="L3539" s="1959">
        <v>10</v>
      </c>
      <c r="M3539" s="2005">
        <f>COUNTIF('Elan y Personalización'!$C$13:$F$25,Tablas!I3539)+COUNTIF('Elan y Personalización'!$C$45:$F$57,Tablas!I3539)</f>
        <v>0</v>
      </c>
      <c r="N3539" s="2178" t="s">
        <v>9322</v>
      </c>
      <c r="O3539" s="2209" t="s">
        <v>9323</v>
      </c>
      <c r="P3539" s="1958">
        <v>5</v>
      </c>
      <c r="Q3539" s="2178" t="s">
        <v>9324</v>
      </c>
      <c r="R3539" s="1958">
        <v>2</v>
      </c>
      <c r="S3539" s="1958" t="s">
        <v>9325</v>
      </c>
      <c r="T3539" s="2196">
        <v>-2</v>
      </c>
    </row>
    <row r="3540" spans="2:22" ht="12.75" customHeight="1" x14ac:dyDescent="0.2">
      <c r="B3540" s="1860" t="str">
        <f t="shared" si="330"/>
        <v>Arturia, el León Blanco (Nv 3)</v>
      </c>
      <c r="C3540" s="2723">
        <f t="shared" si="331"/>
        <v>39</v>
      </c>
      <c r="D3540" s="455" t="s">
        <v>1224</v>
      </c>
      <c r="E3540" s="290">
        <v>240</v>
      </c>
      <c r="F3540" s="312">
        <v>300</v>
      </c>
      <c r="H3540" s="1958">
        <f>IF(OR(M3540=0),0,SUM($M$3430:M3539)+1)</f>
        <v>0</v>
      </c>
      <c r="I3540" s="2000" t="s">
        <v>9022</v>
      </c>
      <c r="J3540" s="1958">
        <v>40</v>
      </c>
      <c r="K3540" s="1959">
        <v>1</v>
      </c>
      <c r="L3540" s="1959">
        <v>10</v>
      </c>
      <c r="M3540" s="2005">
        <f>COUNTIF('Elan y Personalización'!$C$13:$F$25,Tablas!I3540)+COUNTIF('Elan y Personalización'!$C$45:$F$57,Tablas!I3540)</f>
        <v>0</v>
      </c>
      <c r="N3540" s="2178" t="s">
        <v>9326</v>
      </c>
      <c r="O3540" s="2209" t="s">
        <v>9327</v>
      </c>
      <c r="P3540" s="1958">
        <v>2</v>
      </c>
      <c r="Q3540" s="2178" t="s">
        <v>9328</v>
      </c>
      <c r="R3540" s="1958">
        <v>3</v>
      </c>
      <c r="S3540" s="1958"/>
      <c r="T3540" s="2196"/>
    </row>
    <row r="3541" spans="2:22" ht="12.75" customHeight="1" x14ac:dyDescent="0.2">
      <c r="B3541" s="1860" t="str">
        <f t="shared" si="330"/>
        <v>Arturia, el León Blanco (Nv 6)</v>
      </c>
      <c r="C3541" s="2723">
        <f t="shared" si="331"/>
        <v>40</v>
      </c>
      <c r="D3541" s="455" t="s">
        <v>1225</v>
      </c>
      <c r="E3541" s="290">
        <v>260</v>
      </c>
      <c r="F3541" s="312">
        <v>450</v>
      </c>
      <c r="H3541" s="1958">
        <f>IF(OR(M3541=0),0,SUM($M$3430:M3540)+1)</f>
        <v>0</v>
      </c>
      <c r="I3541" s="2000" t="s">
        <v>9023</v>
      </c>
      <c r="J3541" s="1958">
        <v>50</v>
      </c>
      <c r="K3541" s="1959">
        <v>1</v>
      </c>
      <c r="L3541" s="1959">
        <v>5</v>
      </c>
      <c r="M3541" s="2005">
        <f>COUNTIF('Elan y Personalización'!$C$13:$F$25,Tablas!I3541)+COUNTIF('Elan y Personalización'!$C$45:$F$57,Tablas!I3541)</f>
        <v>0</v>
      </c>
      <c r="N3541" s="2178" t="s">
        <v>9329</v>
      </c>
      <c r="O3541" s="2209" t="s">
        <v>9330</v>
      </c>
      <c r="P3541" s="1958">
        <v>2</v>
      </c>
      <c r="Q3541" s="2178"/>
      <c r="R3541" s="1958"/>
      <c r="S3541" s="1958"/>
      <c r="T3541" s="2196"/>
    </row>
    <row r="3542" spans="2:22" ht="12.75" customHeight="1" x14ac:dyDescent="0.2">
      <c r="B3542" s="1860" t="str">
        <f t="shared" si="330"/>
        <v>Eiko, la princesa Oni (Nv 3)</v>
      </c>
      <c r="C3542" s="2723">
        <f t="shared" si="331"/>
        <v>18</v>
      </c>
      <c r="D3542" s="455" t="s">
        <v>1226</v>
      </c>
      <c r="E3542" s="290">
        <v>270</v>
      </c>
      <c r="F3542" s="312">
        <v>390</v>
      </c>
      <c r="H3542" s="1958">
        <f>IF(OR(M3542=0),0,SUM($M$3430:M3541)+1)</f>
        <v>0</v>
      </c>
      <c r="I3542" s="2000" t="s">
        <v>9024</v>
      </c>
      <c r="J3542" s="1958">
        <v>60</v>
      </c>
      <c r="K3542" s="1959">
        <f>IF(M3541,1,0)</f>
        <v>0</v>
      </c>
      <c r="L3542" s="1959">
        <v>10</v>
      </c>
      <c r="M3542" s="2005">
        <f>COUNTIF('Elan y Personalización'!$C$13:$F$25,Tablas!I3542)+COUNTIF('Elan y Personalización'!$C$45:$F$57,Tablas!I3542)</f>
        <v>0</v>
      </c>
      <c r="N3542" s="2178" t="s">
        <v>9331</v>
      </c>
      <c r="O3542" s="2209" t="s">
        <v>9332</v>
      </c>
      <c r="P3542" s="1958">
        <v>3</v>
      </c>
      <c r="Q3542" s="2178"/>
      <c r="R3542" s="1958"/>
      <c r="S3542" s="1958"/>
      <c r="T3542" s="2196"/>
    </row>
    <row r="3543" spans="2:22" ht="12.75" customHeight="1" x14ac:dyDescent="0.2">
      <c r="B3543" s="1860" t="str">
        <f t="shared" si="330"/>
        <v>Eiko, la princesa Oni (Nv 6)</v>
      </c>
      <c r="C3543" s="2723">
        <f t="shared" si="331"/>
        <v>19</v>
      </c>
      <c r="D3543" s="455" t="s">
        <v>1227</v>
      </c>
      <c r="E3543" s="290">
        <v>380</v>
      </c>
      <c r="F3543" s="312">
        <v>750</v>
      </c>
      <c r="H3543" s="1958">
        <f>IF(OR(M3543=0),0,SUM($M$3430:M3542)+1)</f>
        <v>0</v>
      </c>
      <c r="I3543" s="2000" t="s">
        <v>1828</v>
      </c>
      <c r="J3543" s="1958">
        <v>60</v>
      </c>
      <c r="K3543" s="1959">
        <v>1</v>
      </c>
      <c r="L3543" s="1959">
        <v>15</v>
      </c>
      <c r="M3543" s="2005">
        <f>COUNTIF('Elan y Personalización'!$C$13:$F$25,Tablas!I3543)+COUNTIF('Elan y Personalización'!$C$45:$F$57,Tablas!I3543)</f>
        <v>0</v>
      </c>
      <c r="N3543" s="2178" t="s">
        <v>9333</v>
      </c>
      <c r="O3543" s="2209" t="s">
        <v>9334</v>
      </c>
      <c r="P3543" s="1958">
        <v>5</v>
      </c>
      <c r="Q3543" s="2178"/>
      <c r="R3543" s="1958"/>
      <c r="S3543" s="1958"/>
      <c r="T3543" s="2196"/>
    </row>
    <row r="3544" spans="2:22" ht="12.75" customHeight="1" x14ac:dyDescent="0.2">
      <c r="B3544" s="1860" t="str">
        <f t="shared" si="330"/>
        <v>Eiko, la princesa Oni (Nv 9)</v>
      </c>
      <c r="C3544" s="2723">
        <f t="shared" si="331"/>
        <v>17</v>
      </c>
      <c r="D3544" s="455" t="s">
        <v>1228</v>
      </c>
      <c r="E3544" s="290">
        <v>490</v>
      </c>
      <c r="F3544" s="312">
        <v>1400</v>
      </c>
      <c r="H3544" s="1958">
        <f>IF(OR(M3544=0),0,SUM($M$3430:M3543)+1)</f>
        <v>0</v>
      </c>
      <c r="I3544" s="2000" t="s">
        <v>9025</v>
      </c>
      <c r="J3544" s="1958">
        <v>70</v>
      </c>
      <c r="K3544" s="1959">
        <v>1</v>
      </c>
      <c r="L3544" s="1959">
        <v>15</v>
      </c>
      <c r="M3544" s="2005">
        <f>COUNTIF('Elan y Personalización'!$C$13:$F$25,Tablas!I3544)+COUNTIF('Elan y Personalización'!$C$45:$F$57,Tablas!I3544)</f>
        <v>0</v>
      </c>
      <c r="N3544" s="2178" t="s">
        <v>9335</v>
      </c>
      <c r="O3544" s="2209"/>
      <c r="P3544" s="1958"/>
      <c r="Q3544" s="2178"/>
      <c r="R3544" s="1958"/>
      <c r="S3544" s="1958"/>
      <c r="T3544" s="2196"/>
    </row>
    <row r="3545" spans="2:22" ht="12.75" customHeight="1" x14ac:dyDescent="0.2">
      <c r="B3545" s="1860" t="str">
        <f t="shared" si="330"/>
        <v>Gygjur, Asesino de Dragones (Nv 13)</v>
      </c>
      <c r="C3545" s="2723">
        <f t="shared" si="331"/>
        <v>11</v>
      </c>
      <c r="D3545" s="455" t="s">
        <v>1229</v>
      </c>
      <c r="E3545" s="290">
        <v>160</v>
      </c>
      <c r="F3545" s="312">
        <v>180</v>
      </c>
      <c r="H3545" s="1958">
        <f>IF(OR(M3545=0),0,SUM($M$3430:M3544)+1)</f>
        <v>0</v>
      </c>
      <c r="I3545" s="2000" t="s">
        <v>9026</v>
      </c>
      <c r="J3545" s="1958">
        <v>70</v>
      </c>
      <c r="K3545" s="1959">
        <v>1</v>
      </c>
      <c r="L3545" s="1959">
        <v>20</v>
      </c>
      <c r="M3545" s="2005">
        <f>COUNTIF('Elan y Personalización'!$C$13:$F$25,Tablas!I3545)+COUNTIF('Elan y Personalización'!$C$45:$F$57,Tablas!I3545)</f>
        <v>0</v>
      </c>
      <c r="N3545" s="2178" t="s">
        <v>9336</v>
      </c>
      <c r="O3545" s="2209"/>
      <c r="P3545" s="1958"/>
      <c r="Q3545" s="2178"/>
      <c r="R3545" s="1958"/>
      <c r="S3545" s="1958"/>
      <c r="T3545" s="2196"/>
    </row>
    <row r="3546" spans="2:22" ht="12.75" customHeight="1" x14ac:dyDescent="0.2">
      <c r="B3546" s="1860" t="str">
        <f t="shared" si="330"/>
        <v>Gygjur, Asesino de Dragones (Nv 5)</v>
      </c>
      <c r="C3546" s="2723">
        <f t="shared" si="331"/>
        <v>12</v>
      </c>
      <c r="D3546" s="455" t="s">
        <v>1230</v>
      </c>
      <c r="E3546" s="290">
        <v>200</v>
      </c>
      <c r="F3546" s="312">
        <v>300</v>
      </c>
      <c r="H3546" s="1958">
        <f>IF(OR(M3546=0),0,SUM($M$3430:M3545)+1)</f>
        <v>0</v>
      </c>
      <c r="I3546" s="2000" t="s">
        <v>9027</v>
      </c>
      <c r="J3546" s="1958">
        <v>80</v>
      </c>
      <c r="K3546" s="1959">
        <v>1</v>
      </c>
      <c r="L3546" s="1959">
        <v>10</v>
      </c>
      <c r="M3546" s="2005">
        <f>COUNTIF('Elan y Personalización'!$C$13:$F$25,Tablas!I3546)+COUNTIF('Elan y Personalización'!$C$45:$F$57,Tablas!I3546)</f>
        <v>0</v>
      </c>
      <c r="N3546" s="2178" t="s">
        <v>9337</v>
      </c>
      <c r="O3546" s="2209"/>
      <c r="P3546" s="1958"/>
      <c r="Q3546" s="2178"/>
      <c r="R3546" s="1958"/>
      <c r="S3546" s="1958"/>
      <c r="T3546" s="2196"/>
    </row>
    <row r="3547" spans="2:22" ht="12.75" customHeight="1" x14ac:dyDescent="0.2">
      <c r="B3547" s="1860" t="str">
        <f t="shared" si="330"/>
        <v>Gygjur, Asesino de Dragones (Nv 9)</v>
      </c>
      <c r="C3547" s="2723">
        <f t="shared" si="331"/>
        <v>13</v>
      </c>
      <c r="D3547" s="455" t="s">
        <v>1231</v>
      </c>
      <c r="E3547" s="290">
        <v>280</v>
      </c>
      <c r="F3547" s="312">
        <v>400</v>
      </c>
      <c r="H3547" s="1958">
        <f>IF(OR(M3547=0),0,SUM($M$3430:M3546)+1)</f>
        <v>0</v>
      </c>
      <c r="I3547" s="2000" t="s">
        <v>9028</v>
      </c>
      <c r="J3547" s="1958">
        <v>90</v>
      </c>
      <c r="K3547" s="1959">
        <f>IF(M3542,1,0)</f>
        <v>0</v>
      </c>
      <c r="L3547" s="1959">
        <v>15</v>
      </c>
      <c r="M3547" s="2005">
        <f>COUNTIF('Elan y Personalización'!$C$13:$F$25,Tablas!I3547)+COUNTIF('Elan y Personalización'!$C$45:$F$57,Tablas!I3547)</f>
        <v>0</v>
      </c>
      <c r="N3547" s="2178" t="s">
        <v>9338</v>
      </c>
      <c r="O3547" s="2209"/>
      <c r="P3547" s="1958"/>
      <c r="Q3547" s="2178"/>
      <c r="R3547" s="1958"/>
      <c r="S3547" s="1958"/>
      <c r="T3547" s="2196"/>
    </row>
    <row r="3548" spans="2:22" ht="12.75" customHeight="1" x14ac:dyDescent="0.2">
      <c r="B3548" s="1860" t="str">
        <f t="shared" si="330"/>
        <v>Holst, Rey de Héroes (Nv 12)</v>
      </c>
      <c r="C3548" s="2723">
        <f t="shared" si="331"/>
        <v>23</v>
      </c>
      <c r="D3548" s="455" t="s">
        <v>1232</v>
      </c>
      <c r="E3548" s="290">
        <v>230</v>
      </c>
      <c r="F3548" s="312">
        <v>200</v>
      </c>
      <c r="H3548" s="1958">
        <f>IF(OR(M3548=0),0,SUM($M$3430:M3547)+1)</f>
        <v>0</v>
      </c>
      <c r="I3548" s="2000" t="s">
        <v>9029</v>
      </c>
      <c r="J3548" s="1958">
        <v>100</v>
      </c>
      <c r="K3548" s="1959">
        <v>1</v>
      </c>
      <c r="L3548" s="1959">
        <v>10</v>
      </c>
      <c r="M3548" s="2005">
        <f>COUNTIF('Elan y Personalización'!$C$13:$F$25,Tablas!I3548)+COUNTIF('Elan y Personalización'!$C$45:$F$57,Tablas!I3548)</f>
        <v>0</v>
      </c>
      <c r="N3548" s="2178" t="s">
        <v>9339</v>
      </c>
      <c r="O3548" s="2209"/>
      <c r="P3548" s="1958"/>
      <c r="Q3548" s="2178"/>
      <c r="R3548" s="1958"/>
      <c r="S3548" s="1958"/>
      <c r="T3548" s="2196"/>
    </row>
    <row r="3549" spans="2:22" ht="12.75" customHeight="1" x14ac:dyDescent="0.2">
      <c r="B3549" s="1860" t="str">
        <f t="shared" si="330"/>
        <v>Holst, Rey de Héroes (Nv 15)</v>
      </c>
      <c r="C3549" s="2723">
        <f t="shared" si="331"/>
        <v>24</v>
      </c>
      <c r="D3549" s="455" t="s">
        <v>1233</v>
      </c>
      <c r="E3549" s="290">
        <v>280</v>
      </c>
      <c r="F3549" s="312">
        <v>450</v>
      </c>
      <c r="H3549" s="1958">
        <f>IF(OR(M3549=0),0,SUM($M$3430:M3548)+1)</f>
        <v>0</v>
      </c>
      <c r="I3549" s="2004" t="s">
        <v>8922</v>
      </c>
      <c r="J3549" s="1961"/>
      <c r="K3549" s="1961"/>
      <c r="L3549" s="1961"/>
      <c r="M3549" s="2006">
        <f>COUNTIF('Elan y Personalización'!$C$13:$F$25,Tablas!I3549)+COUNTIF('Elan y Personalización'!$C$45:$F$57,Tablas!I3549)</f>
        <v>0</v>
      </c>
      <c r="N3549" s="2004" t="str">
        <f>I3549</f>
        <v>Abbadon</v>
      </c>
      <c r="O3549" s="2208" t="str">
        <f>I3549</f>
        <v>Abbadon</v>
      </c>
      <c r="P3549" s="2201" t="str">
        <f t="array" ref="P3549:V3549">TRANSPOSE(O3550:O3561)</f>
        <v>Dejarse dominar por sentimientos oscuros</v>
      </c>
      <c r="Q3549" s="2210" t="str">
        <v>Cometer un acto realmente maligno</v>
      </c>
      <c r="R3549" s="2201" t="str">
        <v>Extender el mal entre un gran número de personas</v>
      </c>
      <c r="S3549" s="2201" t="str">
        <v>Crear cultos de adoración al diablo o a un dios del mal</v>
      </c>
      <c r="T3549" s="2201" t="str">
        <v>Inducir a otros a pecar</v>
      </c>
      <c r="U3549" s="2200">
        <v>0</v>
      </c>
      <c r="V3549" s="2200">
        <v>0</v>
      </c>
    </row>
    <row r="3550" spans="2:22" ht="12.75" customHeight="1" x14ac:dyDescent="0.2">
      <c r="B3550" s="1860" t="str">
        <f t="shared" si="330"/>
        <v>Holst, Rey de Héroes (Nv 8)</v>
      </c>
      <c r="C3550" s="2723">
        <f t="shared" si="331"/>
        <v>25</v>
      </c>
      <c r="D3550" s="455" t="s">
        <v>1234</v>
      </c>
      <c r="E3550" s="290">
        <v>320</v>
      </c>
      <c r="F3550" s="312">
        <v>550</v>
      </c>
      <c r="H3550" s="1958">
        <f>IF(OR(M3550=0),0,SUM($M$3430:M3549)+1)</f>
        <v>0</v>
      </c>
      <c r="I3550" s="2000" t="s">
        <v>9030</v>
      </c>
      <c r="J3550" s="1958">
        <v>10</v>
      </c>
      <c r="K3550" s="1959">
        <v>1</v>
      </c>
      <c r="L3550" s="1959">
        <v>10</v>
      </c>
      <c r="M3550" s="2005">
        <f>COUNTIF('Elan y Personalización'!$C$13:$F$25,Tablas!I3550)+COUNTIF('Elan y Personalización'!$C$45:$F$57,Tablas!I3550)</f>
        <v>0</v>
      </c>
      <c r="N3550" s="2178" t="s">
        <v>9340</v>
      </c>
      <c r="O3550" s="2209" t="s">
        <v>9230</v>
      </c>
      <c r="P3550" s="1958">
        <v>1</v>
      </c>
      <c r="Q3550" s="2178" t="s">
        <v>9341</v>
      </c>
      <c r="R3550" s="1958">
        <v>2</v>
      </c>
      <c r="S3550" s="1958" t="s">
        <v>9342</v>
      </c>
      <c r="T3550" s="2196">
        <v>-1</v>
      </c>
    </row>
    <row r="3551" spans="2:22" ht="12.75" customHeight="1" x14ac:dyDescent="0.2">
      <c r="B3551" s="1860" t="str">
        <f t="shared" si="330"/>
        <v>Kha-nefer, el Sacerdote Impío (Nv 3)</v>
      </c>
      <c r="C3551" s="2723">
        <f t="shared" si="331"/>
        <v>8</v>
      </c>
      <c r="D3551" s="455" t="s">
        <v>1235</v>
      </c>
      <c r="E3551" s="290">
        <v>180</v>
      </c>
      <c r="F3551" s="312">
        <v>150</v>
      </c>
      <c r="H3551" s="1958">
        <f>IF(OR(M3551=0),0,SUM($M$3430:M3550)+1)</f>
        <v>0</v>
      </c>
      <c r="I3551" s="2000" t="s">
        <v>9031</v>
      </c>
      <c r="J3551" s="1958">
        <v>20</v>
      </c>
      <c r="K3551" s="1959">
        <v>1</v>
      </c>
      <c r="L3551" s="1959">
        <v>5</v>
      </c>
      <c r="M3551" s="2005">
        <f>COUNTIF('Elan y Personalización'!$C$13:$F$25,Tablas!I3551)+COUNTIF('Elan y Personalización'!$C$45:$F$57,Tablas!I3551)</f>
        <v>0</v>
      </c>
      <c r="N3551" s="2178" t="s">
        <v>9343</v>
      </c>
      <c r="O3551" s="2209" t="s">
        <v>9344</v>
      </c>
      <c r="P3551" s="1958">
        <v>4</v>
      </c>
      <c r="Q3551" s="2178" t="s">
        <v>9345</v>
      </c>
      <c r="R3551" s="1958">
        <v>3</v>
      </c>
      <c r="S3551" s="1958" t="s">
        <v>9346</v>
      </c>
      <c r="T3551" s="2196">
        <v>-6</v>
      </c>
    </row>
    <row r="3552" spans="2:22" ht="12.75" customHeight="1" x14ac:dyDescent="0.2">
      <c r="B3552" s="1860" t="str">
        <f t="shared" si="330"/>
        <v>Kha-nefer, el Sacerdote Impío (Nv 6)</v>
      </c>
      <c r="C3552" s="2723">
        <f t="shared" si="331"/>
        <v>9</v>
      </c>
      <c r="D3552" s="455" t="s">
        <v>1236</v>
      </c>
      <c r="E3552" s="290">
        <v>280</v>
      </c>
      <c r="F3552" s="312">
        <v>400</v>
      </c>
      <c r="H3552" s="1958">
        <f>IF(OR(M3552=0),0,SUM($M$3430:M3551)+1)</f>
        <v>0</v>
      </c>
      <c r="I3552" s="2000" t="s">
        <v>9032</v>
      </c>
      <c r="J3552" s="1958">
        <v>30</v>
      </c>
      <c r="K3552" s="1959">
        <v>1</v>
      </c>
      <c r="L3552" s="1959">
        <v>10</v>
      </c>
      <c r="M3552" s="2005">
        <f>COUNTIF('Elan y Personalización'!$C$13:$F$25,Tablas!I3552)+COUNTIF('Elan y Personalización'!$C$45:$F$57,Tablas!I3552)</f>
        <v>0</v>
      </c>
      <c r="N3552" s="2178" t="s">
        <v>9347</v>
      </c>
      <c r="O3552" s="2209" t="s">
        <v>9348</v>
      </c>
      <c r="P3552" s="1958">
        <v>3</v>
      </c>
      <c r="Q3552" s="2178"/>
      <c r="R3552" s="1958"/>
      <c r="S3552" s="1958"/>
      <c r="T3552" s="2196"/>
    </row>
    <row r="3553" spans="2:22" ht="12.75" customHeight="1" x14ac:dyDescent="0.2">
      <c r="B3553" s="1860" t="str">
        <f t="shared" si="330"/>
        <v>Kha-nefer, el Sacerdote Impío (Nv 9)</v>
      </c>
      <c r="C3553" s="2723">
        <f t="shared" si="331"/>
        <v>10</v>
      </c>
      <c r="D3553" s="455" t="s">
        <v>1237</v>
      </c>
      <c r="E3553" s="290">
        <v>300</v>
      </c>
      <c r="F3553" s="312">
        <v>600</v>
      </c>
      <c r="H3553" s="1958">
        <f>IF(OR(M3553=0),0,SUM($M$3430:M3552)+1)</f>
        <v>0</v>
      </c>
      <c r="I3553" s="2000" t="s">
        <v>9033</v>
      </c>
      <c r="J3553" s="1958">
        <v>40</v>
      </c>
      <c r="K3553" s="1959">
        <v>1</v>
      </c>
      <c r="L3553" s="1959">
        <v>5</v>
      </c>
      <c r="M3553" s="2005">
        <f>COUNTIF('Elan y Personalización'!$C$13:$F$25,Tablas!I3553)+COUNTIF('Elan y Personalización'!$C$45:$F$57,Tablas!I3553)</f>
        <v>0</v>
      </c>
      <c r="N3553" s="2178" t="s">
        <v>9349</v>
      </c>
      <c r="O3553" s="2209" t="s">
        <v>9350</v>
      </c>
      <c r="P3553" s="1958">
        <v>2</v>
      </c>
      <c r="Q3553" s="2178"/>
      <c r="R3553" s="1958"/>
      <c r="S3553" s="1958"/>
      <c r="T3553" s="2196"/>
    </row>
    <row r="3554" spans="2:22" ht="12.75" customHeight="1" x14ac:dyDescent="0.2">
      <c r="B3554" s="1860" t="str">
        <f t="shared" si="330"/>
        <v>Kristoff, el Rey Pirata (Nv 11)</v>
      </c>
      <c r="C3554" s="2723">
        <f t="shared" si="331"/>
        <v>5</v>
      </c>
      <c r="D3554" s="455" t="s">
        <v>1238</v>
      </c>
      <c r="E3554" s="290">
        <v>240</v>
      </c>
      <c r="F3554" s="312">
        <v>200</v>
      </c>
      <c r="H3554" s="1958">
        <f>IF(OR(M3554=0),0,SUM($M$3430:M3553)+1)</f>
        <v>0</v>
      </c>
      <c r="I3554" s="2000" t="s">
        <v>9034</v>
      </c>
      <c r="J3554" s="1958">
        <v>50</v>
      </c>
      <c r="K3554" s="1959">
        <v>1</v>
      </c>
      <c r="L3554" s="1959">
        <v>15</v>
      </c>
      <c r="M3554" s="2005">
        <f>COUNTIF('Elan y Personalización'!$C$13:$F$25,Tablas!I3554)+COUNTIF('Elan y Personalización'!$C$45:$F$57,Tablas!I3554)</f>
        <v>0</v>
      </c>
      <c r="N3554" s="2178" t="s">
        <v>9351</v>
      </c>
      <c r="O3554" s="2209" t="s">
        <v>9352</v>
      </c>
      <c r="P3554" s="1958">
        <v>2</v>
      </c>
      <c r="Q3554" s="2178"/>
      <c r="R3554" s="1958"/>
      <c r="S3554" s="1958"/>
      <c r="T3554" s="2196"/>
    </row>
    <row r="3555" spans="2:22" ht="12.75" customHeight="1" x14ac:dyDescent="0.2">
      <c r="B3555" s="1860" t="str">
        <f t="shared" si="330"/>
        <v>Kristoff, el Rey Pirata (Nv 4)</v>
      </c>
      <c r="C3555" s="2723">
        <f t="shared" si="331"/>
        <v>6</v>
      </c>
      <c r="D3555" s="455" t="s">
        <v>1239</v>
      </c>
      <c r="E3555" s="290">
        <v>260</v>
      </c>
      <c r="F3555" s="312">
        <v>350</v>
      </c>
      <c r="H3555" s="1958">
        <f>IF(OR(M3555=0),0,SUM($M$3430:M3554)+1)</f>
        <v>0</v>
      </c>
      <c r="I3555" s="2000" t="s">
        <v>9035</v>
      </c>
      <c r="J3555" s="1958">
        <v>60</v>
      </c>
      <c r="K3555" s="1959">
        <f>IF(M3553,1,0)</f>
        <v>0</v>
      </c>
      <c r="L3555" s="1959">
        <v>10</v>
      </c>
      <c r="M3555" s="2005">
        <f>COUNTIF('Elan y Personalización'!$C$13:$F$25,Tablas!I3555)+COUNTIF('Elan y Personalización'!$C$45:$F$57,Tablas!I3555)</f>
        <v>0</v>
      </c>
      <c r="N3555" s="2178" t="s">
        <v>9353</v>
      </c>
      <c r="O3555" s="2209"/>
      <c r="P3555" s="1958"/>
      <c r="Q3555" s="2178"/>
      <c r="R3555" s="1958"/>
      <c r="S3555" s="1958"/>
      <c r="T3555" s="2196"/>
    </row>
    <row r="3556" spans="2:22" ht="12.75" customHeight="1" x14ac:dyDescent="0.2">
      <c r="B3556" s="1860" t="str">
        <f t="shared" si="330"/>
        <v>Kristoff, el Rey Pirata (Nv 8)</v>
      </c>
      <c r="C3556" s="2723">
        <f t="shared" si="331"/>
        <v>7</v>
      </c>
      <c r="D3556" s="455" t="s">
        <v>1240</v>
      </c>
      <c r="E3556" s="290">
        <v>280</v>
      </c>
      <c r="F3556" s="312">
        <v>500</v>
      </c>
      <c r="H3556" s="1958">
        <f>IF(OR(M3556=0),0,SUM($M$3430:M3555)+1)</f>
        <v>0</v>
      </c>
      <c r="I3556" s="2000" t="s">
        <v>9036</v>
      </c>
      <c r="J3556" s="1958">
        <v>70</v>
      </c>
      <c r="K3556" s="1959">
        <v>1</v>
      </c>
      <c r="L3556" s="1959">
        <v>15</v>
      </c>
      <c r="M3556" s="2005">
        <f>COUNTIF('Elan y Personalización'!$C$13:$F$25,Tablas!I3556)+COUNTIF('Elan y Personalización'!$C$45:$F$57,Tablas!I3556)</f>
        <v>0</v>
      </c>
      <c r="N3556" s="2178" t="s">
        <v>9354</v>
      </c>
      <c r="O3556" s="2209"/>
      <c r="P3556" s="1958"/>
      <c r="Q3556" s="2178"/>
      <c r="R3556" s="1958"/>
      <c r="S3556" s="1958"/>
      <c r="T3556" s="2196"/>
    </row>
    <row r="3557" spans="2:22" ht="12.75" customHeight="1" x14ac:dyDescent="0.2">
      <c r="B3557" s="1860" t="str">
        <f t="shared" si="330"/>
        <v>Linx Kazte Hex, la Sombra de la Muerte (Nv 12)</v>
      </c>
      <c r="C3557" s="2723">
        <f t="shared" si="331"/>
        <v>42</v>
      </c>
      <c r="D3557" s="455" t="s">
        <v>1241</v>
      </c>
      <c r="E3557" s="290">
        <v>280</v>
      </c>
      <c r="F3557" s="312">
        <v>450</v>
      </c>
      <c r="H3557" s="1958">
        <f>IF(OR(M3557=0),0,SUM($M$3430:M3556)+1)</f>
        <v>0</v>
      </c>
      <c r="I3557" s="2000" t="s">
        <v>9037</v>
      </c>
      <c r="J3557" s="1958">
        <v>80</v>
      </c>
      <c r="K3557" s="1959">
        <f>IF(M3553,1,0)</f>
        <v>0</v>
      </c>
      <c r="L3557" s="1959">
        <v>10</v>
      </c>
      <c r="M3557" s="2005">
        <f>COUNTIF('Elan y Personalización'!$C$13:$F$25,Tablas!I3557)+COUNTIF('Elan y Personalización'!$C$45:$F$57,Tablas!I3557)</f>
        <v>0</v>
      </c>
      <c r="N3557" s="2178" t="s">
        <v>9355</v>
      </c>
      <c r="O3557" s="2209"/>
      <c r="P3557" s="1958"/>
      <c r="Q3557" s="2178"/>
      <c r="R3557" s="1958"/>
      <c r="S3557" s="1958"/>
      <c r="T3557" s="2196"/>
    </row>
    <row r="3558" spans="2:22" ht="12.75" customHeight="1" x14ac:dyDescent="0.2">
      <c r="B3558" s="1860" t="str">
        <f t="shared" si="330"/>
        <v>Linx Kazte Hex, la Sombra de la Muerte (Nv 4)</v>
      </c>
      <c r="C3558" s="2723">
        <f t="shared" si="331"/>
        <v>43</v>
      </c>
      <c r="D3558" s="455" t="s">
        <v>1242</v>
      </c>
      <c r="E3558" s="290">
        <v>360</v>
      </c>
      <c r="F3558" s="312">
        <v>750</v>
      </c>
      <c r="H3558" s="1958">
        <f>IF(OR(M3558=0),0,SUM($M$3430:M3557)+1)</f>
        <v>0</v>
      </c>
      <c r="I3558" s="2000" t="s">
        <v>9038</v>
      </c>
      <c r="J3558" s="1958">
        <v>80</v>
      </c>
      <c r="K3558" s="1959">
        <v>1</v>
      </c>
      <c r="L3558" s="1959">
        <v>15</v>
      </c>
      <c r="M3558" s="2005">
        <f>COUNTIF('Elan y Personalización'!$C$13:$F$25,Tablas!I3558)+COUNTIF('Elan y Personalización'!$C$45:$F$57,Tablas!I3558)</f>
        <v>0</v>
      </c>
      <c r="N3558" s="2178" t="s">
        <v>9356</v>
      </c>
      <c r="O3558" s="2209"/>
      <c r="P3558" s="1958"/>
      <c r="Q3558" s="2178"/>
      <c r="R3558" s="1958"/>
      <c r="S3558" s="1958"/>
      <c r="T3558" s="2196"/>
    </row>
    <row r="3559" spans="2:22" ht="12.75" customHeight="1" x14ac:dyDescent="0.2">
      <c r="B3559" s="1860" t="str">
        <f t="shared" si="330"/>
        <v>Linx Kazte Hex, la Sombra de la Muerte (Nv 8)</v>
      </c>
      <c r="C3559" s="2723">
        <f t="shared" si="331"/>
        <v>41</v>
      </c>
      <c r="D3559" s="455" t="s">
        <v>1243</v>
      </c>
      <c r="E3559" s="290">
        <v>460</v>
      </c>
      <c r="F3559" s="312">
        <v>1000</v>
      </c>
      <c r="H3559" s="1958">
        <f>IF(OR(M3559=0),0,SUM($M$3430:M3558)+1)</f>
        <v>0</v>
      </c>
      <c r="I3559" s="2000" t="s">
        <v>9039</v>
      </c>
      <c r="J3559" s="1958">
        <v>90</v>
      </c>
      <c r="K3559" s="1959">
        <v>1</v>
      </c>
      <c r="L3559" s="1959">
        <v>15</v>
      </c>
      <c r="M3559" s="2005">
        <f>COUNTIF('Elan y Personalización'!$C$13:$F$25,Tablas!I3559)+COUNTIF('Elan y Personalización'!$C$45:$F$57,Tablas!I3559)</f>
        <v>0</v>
      </c>
      <c r="N3559" s="2178" t="s">
        <v>9357</v>
      </c>
      <c r="O3559" s="2209"/>
      <c r="P3559" s="1958"/>
      <c r="Q3559" s="2178"/>
      <c r="R3559" s="1958"/>
      <c r="S3559" s="1958"/>
      <c r="T3559" s="2196"/>
    </row>
    <row r="3560" spans="2:22" ht="12.75" customHeight="1" x14ac:dyDescent="0.2">
      <c r="B3560" s="1860" t="str">
        <f t="shared" si="330"/>
        <v>Loly Ann (Nv 1)</v>
      </c>
      <c r="C3560" s="2723">
        <f t="shared" si="331"/>
        <v>27</v>
      </c>
      <c r="D3560" s="455" t="s">
        <v>1244</v>
      </c>
      <c r="E3560" s="290">
        <v>250</v>
      </c>
      <c r="F3560" s="312">
        <v>350</v>
      </c>
      <c r="H3560" s="1958">
        <f>IF(OR(M3560=0),0,SUM($M$3430:M3559)+1)</f>
        <v>0</v>
      </c>
      <c r="I3560" s="2000" t="s">
        <v>9040</v>
      </c>
      <c r="J3560" s="1958">
        <v>100</v>
      </c>
      <c r="K3560" s="1959">
        <v>1</v>
      </c>
      <c r="L3560" s="1959">
        <v>10</v>
      </c>
      <c r="M3560" s="2005">
        <f>COUNTIF('Elan y Personalización'!$C$13:$F$25,Tablas!I3560)+COUNTIF('Elan y Personalización'!$C$45:$F$57,Tablas!I3560)</f>
        <v>0</v>
      </c>
      <c r="N3560" s="2178" t="s">
        <v>9358</v>
      </c>
      <c r="O3560" s="2209"/>
      <c r="P3560" s="1958"/>
      <c r="Q3560" s="2178"/>
      <c r="R3560" s="1958"/>
      <c r="S3560" s="1958"/>
      <c r="T3560" s="2196"/>
    </row>
    <row r="3561" spans="2:22" ht="12.75" customHeight="1" x14ac:dyDescent="0.2">
      <c r="B3561" s="1860" t="str">
        <f t="shared" si="330"/>
        <v>Loly Ann (Nv 3)</v>
      </c>
      <c r="C3561" s="2723">
        <f t="shared" si="331"/>
        <v>28</v>
      </c>
      <c r="D3561" s="455" t="s">
        <v>1245</v>
      </c>
      <c r="E3561" s="290">
        <v>300</v>
      </c>
      <c r="F3561" s="312">
        <v>500</v>
      </c>
      <c r="H3561" s="1958">
        <f>IF(OR(M3561=0),0,SUM($M$3430:M3560)+1)</f>
        <v>0</v>
      </c>
      <c r="I3561" s="2004" t="s">
        <v>8923</v>
      </c>
      <c r="J3561" s="1961"/>
      <c r="K3561" s="1961"/>
      <c r="L3561" s="1961"/>
      <c r="M3561" s="2006">
        <f>COUNTIF('Elan y Personalización'!$C$13:$F$25,Tablas!I3561)+COUNTIF('Elan y Personalización'!$C$45:$F$57,Tablas!I3561)</f>
        <v>0</v>
      </c>
      <c r="N3561" s="2004" t="str">
        <f>I3561</f>
        <v>Barakiel</v>
      </c>
      <c r="O3561" s="2208" t="str">
        <f>I3561</f>
        <v>Barakiel</v>
      </c>
      <c r="P3561" s="2201" t="str">
        <f t="array" ref="P3561:V3561">TRANSPOSE(O3562:O3573)</f>
        <v>Recibir alabanzas y admiración por sus actos</v>
      </c>
      <c r="Q3561" s="2210" t="str">
        <v>Rendir culto a una encarnación divina de Barakiel</v>
      </c>
      <c r="R3561" s="2201" t="str">
        <v>Promover la ley y el orden</v>
      </c>
      <c r="S3561" s="2201" t="str">
        <v>Deshacer una situación caótica</v>
      </c>
      <c r="T3561" s="2201" t="str">
        <v>Realizar un importante avance para la ciencia</v>
      </c>
      <c r="U3561" s="2200" t="str">
        <v>Mostar públicamente habilidades extraordinarias</v>
      </c>
      <c r="V3561" s="2200">
        <v>0</v>
      </c>
    </row>
    <row r="3562" spans="2:22" ht="12.75" customHeight="1" x14ac:dyDescent="0.2">
      <c r="B3562" s="1860" t="str">
        <f t="shared" si="330"/>
        <v>Loly Ann (Nv 5)</v>
      </c>
      <c r="C3562" s="2723">
        <f t="shared" si="331"/>
        <v>26</v>
      </c>
      <c r="D3562" s="455" t="s">
        <v>1246</v>
      </c>
      <c r="E3562" s="290">
        <v>380</v>
      </c>
      <c r="F3562" s="312">
        <v>800</v>
      </c>
      <c r="H3562" s="1958">
        <f>IF(OR(M3562=0),0,SUM($M$3430:M3561)+1)</f>
        <v>0</v>
      </c>
      <c r="I3562" s="2000" t="s">
        <v>9041</v>
      </c>
      <c r="J3562" s="1958">
        <v>10</v>
      </c>
      <c r="K3562" s="1959">
        <v>1</v>
      </c>
      <c r="L3562" s="1959">
        <v>5</v>
      </c>
      <c r="M3562" s="2005">
        <f>COUNTIF('Elan y Personalización'!$C$13:$F$25,Tablas!I3562)+COUNTIF('Elan y Personalización'!$C$45:$F$57,Tablas!I3562)</f>
        <v>0</v>
      </c>
      <c r="N3562" s="2178" t="s">
        <v>9359</v>
      </c>
      <c r="O3562" s="2209" t="s">
        <v>9360</v>
      </c>
      <c r="P3562" s="1958">
        <v>1</v>
      </c>
      <c r="Q3562" s="2178" t="s">
        <v>9361</v>
      </c>
      <c r="R3562" s="1958">
        <v>2</v>
      </c>
      <c r="S3562" s="1958" t="s">
        <v>9362</v>
      </c>
      <c r="T3562" s="2196">
        <v>-2</v>
      </c>
    </row>
    <row r="3563" spans="2:22" ht="12.75" customHeight="1" x14ac:dyDescent="0.2">
      <c r="B3563" s="1860" t="str">
        <f t="shared" si="330"/>
        <v>Nerval, Defensor de los Perdidos (Nv 11)</v>
      </c>
      <c r="C3563" s="2723">
        <f t="shared" si="331"/>
        <v>32</v>
      </c>
      <c r="D3563" s="455" t="s">
        <v>1247</v>
      </c>
      <c r="E3563" s="290">
        <v>180</v>
      </c>
      <c r="F3563" s="312">
        <v>150</v>
      </c>
      <c r="H3563" s="1958">
        <f>IF(OR(M3563=0),0,SUM($M$3430:M3562)+1)</f>
        <v>0</v>
      </c>
      <c r="I3563" s="2000" t="s">
        <v>9042</v>
      </c>
      <c r="J3563" s="1958">
        <v>20</v>
      </c>
      <c r="K3563" s="1959">
        <v>1</v>
      </c>
      <c r="L3563" s="1959">
        <v>10</v>
      </c>
      <c r="M3563" s="2005">
        <f>COUNTIF('Elan y Personalización'!$C$13:$F$25,Tablas!I3563)+COUNTIF('Elan y Personalización'!$C$45:$F$57,Tablas!I3563)</f>
        <v>0</v>
      </c>
      <c r="N3563" s="2178" t="s">
        <v>9363</v>
      </c>
      <c r="O3563" s="2209" t="s">
        <v>9364</v>
      </c>
      <c r="P3563" s="1958">
        <v>2</v>
      </c>
      <c r="Q3563" s="2178" t="s">
        <v>9365</v>
      </c>
      <c r="R3563" s="1958">
        <v>3</v>
      </c>
      <c r="S3563" s="1958" t="s">
        <v>9366</v>
      </c>
      <c r="T3563" s="2196">
        <v>-2</v>
      </c>
    </row>
    <row r="3564" spans="2:22" ht="12.75" customHeight="1" x14ac:dyDescent="0.2">
      <c r="B3564" s="1860" t="str">
        <f t="shared" si="330"/>
        <v>Nerval, Defensor de los Perdidos (Nv 4)</v>
      </c>
      <c r="C3564" s="2723">
        <f t="shared" si="331"/>
        <v>33</v>
      </c>
      <c r="D3564" s="455" t="s">
        <v>1248</v>
      </c>
      <c r="E3564" s="290">
        <v>220</v>
      </c>
      <c r="F3564" s="312">
        <v>250</v>
      </c>
      <c r="H3564" s="1958">
        <f>IF(OR(M3564=0),0,SUM($M$3430:M3563)+1)</f>
        <v>0</v>
      </c>
      <c r="I3564" s="2000" t="s">
        <v>9043</v>
      </c>
      <c r="J3564" s="1958">
        <v>30</v>
      </c>
      <c r="K3564" s="1959">
        <v>1</v>
      </c>
      <c r="L3564" s="1959">
        <v>10</v>
      </c>
      <c r="M3564" s="2005">
        <f>COUNTIF('Elan y Personalización'!$C$13:$F$25,Tablas!I3564)+COUNTIF('Elan y Personalización'!$C$45:$F$57,Tablas!I3564)</f>
        <v>0</v>
      </c>
      <c r="N3564" s="2178" t="s">
        <v>9367</v>
      </c>
      <c r="O3564" s="2209" t="s">
        <v>9368</v>
      </c>
      <c r="P3564" s="1958">
        <v>2</v>
      </c>
      <c r="Q3564" s="2178" t="s">
        <v>9369</v>
      </c>
      <c r="R3564" s="1958">
        <v>1</v>
      </c>
      <c r="S3564" s="1958" t="s">
        <v>9370</v>
      </c>
      <c r="T3564" s="2196">
        <v>-5</v>
      </c>
    </row>
    <row r="3565" spans="2:22" ht="12.75" customHeight="1" x14ac:dyDescent="0.2">
      <c r="B3565" s="1860" t="str">
        <f t="shared" si="330"/>
        <v>Nerval, Defensor de los Perdidos (Nv 7)</v>
      </c>
      <c r="C3565" s="2723">
        <f t="shared" si="331"/>
        <v>34</v>
      </c>
      <c r="D3565" s="455" t="s">
        <v>1249</v>
      </c>
      <c r="E3565" s="290">
        <v>280</v>
      </c>
      <c r="F3565" s="312">
        <v>400</v>
      </c>
      <c r="H3565" s="1958">
        <f>IF(OR(M3565=0),0,SUM($M$3430:M3564)+1)</f>
        <v>0</v>
      </c>
      <c r="I3565" s="2000" t="s">
        <v>9044</v>
      </c>
      <c r="J3565" s="1958">
        <v>40</v>
      </c>
      <c r="K3565" s="1959">
        <v>1</v>
      </c>
      <c r="L3565" s="1959">
        <v>10</v>
      </c>
      <c r="M3565" s="2005">
        <f>COUNTIF('Elan y Personalización'!$C$13:$F$25,Tablas!I3565)+COUNTIF('Elan y Personalización'!$C$45:$F$57,Tablas!I3565)</f>
        <v>0</v>
      </c>
      <c r="N3565" s="2178" t="s">
        <v>9371</v>
      </c>
      <c r="O3565" s="2209" t="s">
        <v>9372</v>
      </c>
      <c r="P3565" s="1958">
        <v>3</v>
      </c>
      <c r="Q3565" s="2178"/>
      <c r="R3565" s="1958"/>
      <c r="S3565" s="1958" t="s">
        <v>9373</v>
      </c>
      <c r="T3565" s="2196">
        <v>-10</v>
      </c>
    </row>
    <row r="3566" spans="2:22" ht="12.75" customHeight="1" x14ac:dyDescent="0.2">
      <c r="B3566" s="1860" t="str">
        <f t="shared" si="330"/>
        <v>Quezcatli, Hijo del Sol (Nv 2)</v>
      </c>
      <c r="C3566" s="2723">
        <f t="shared" si="331"/>
        <v>3</v>
      </c>
      <c r="D3566" s="455" t="s">
        <v>1250</v>
      </c>
      <c r="E3566" s="290">
        <v>290</v>
      </c>
      <c r="F3566" s="312">
        <v>450</v>
      </c>
      <c r="H3566" s="1958">
        <f>IF(OR(M3566=0),0,SUM($M$3430:M3565)+1)</f>
        <v>0</v>
      </c>
      <c r="I3566" s="2000" t="s">
        <v>9045</v>
      </c>
      <c r="J3566" s="1958">
        <v>40</v>
      </c>
      <c r="K3566" s="1959">
        <v>1</v>
      </c>
      <c r="L3566" s="1959">
        <v>5</v>
      </c>
      <c r="M3566" s="2005">
        <f>COUNTIF('Elan y Personalización'!$C$13:$F$25,Tablas!I3566)+COUNTIF('Elan y Personalización'!$C$45:$F$57,Tablas!I3566)</f>
        <v>0</v>
      </c>
      <c r="N3566" s="2178" t="s">
        <v>9374</v>
      </c>
      <c r="O3566" s="2209" t="s">
        <v>9375</v>
      </c>
      <c r="P3566" s="1958">
        <v>5</v>
      </c>
      <c r="Q3566" s="2178"/>
      <c r="R3566" s="1958"/>
      <c r="S3566" s="1958"/>
      <c r="T3566" s="2196"/>
    </row>
    <row r="3567" spans="2:22" ht="12.75" customHeight="1" x14ac:dyDescent="0.2">
      <c r="B3567" s="1860" t="str">
        <f t="shared" si="330"/>
        <v>Quezcatli, Hijo del Sol (Nv 4)</v>
      </c>
      <c r="C3567" s="2723">
        <f t="shared" si="331"/>
        <v>4</v>
      </c>
      <c r="D3567" s="455" t="s">
        <v>1251</v>
      </c>
      <c r="E3567" s="290">
        <v>380</v>
      </c>
      <c r="F3567" s="312">
        <v>750</v>
      </c>
      <c r="G3567" s="2313"/>
      <c r="H3567" s="1958">
        <f>IF(OR(M3567=0),0,SUM($M$3430:M3566)+1)</f>
        <v>0</v>
      </c>
      <c r="I3567" s="2000" t="s">
        <v>9046</v>
      </c>
      <c r="J3567" s="1958">
        <v>50</v>
      </c>
      <c r="K3567" s="1959">
        <f>IF(M3568,1,0)</f>
        <v>0</v>
      </c>
      <c r="L3567" s="1959">
        <v>15</v>
      </c>
      <c r="M3567" s="2005">
        <f>COUNTIF('Elan y Personalización'!$C$13:$F$25,Tablas!I3567)+COUNTIF('Elan y Personalización'!$C$45:$F$57,Tablas!I3567)</f>
        <v>0</v>
      </c>
      <c r="N3567" s="2178" t="s">
        <v>9376</v>
      </c>
      <c r="O3567" s="2209" t="s">
        <v>9377</v>
      </c>
      <c r="P3567" s="1958">
        <v>2</v>
      </c>
      <c r="Q3567" s="2178"/>
      <c r="R3567" s="1958"/>
      <c r="S3567" s="1958"/>
      <c r="T3567" s="2196"/>
    </row>
    <row r="3568" spans="2:22" ht="12.75" customHeight="1" x14ac:dyDescent="0.2">
      <c r="B3568" s="1860" t="str">
        <f t="shared" si="330"/>
        <v>Quezcatli, Hijo del Sol (Nv 6)</v>
      </c>
      <c r="C3568" s="2723">
        <f t="shared" si="331"/>
        <v>2</v>
      </c>
      <c r="D3568" s="455" t="s">
        <v>1252</v>
      </c>
      <c r="E3568" s="290">
        <v>460</v>
      </c>
      <c r="F3568" s="312">
        <v>1250</v>
      </c>
      <c r="H3568" s="1958">
        <f>IF(OR(M3568=0),0,SUM($M$3430:M3567)+1)</f>
        <v>0</v>
      </c>
      <c r="I3568" s="2000" t="s">
        <v>9047</v>
      </c>
      <c r="J3568" s="1958">
        <v>50</v>
      </c>
      <c r="K3568" s="1959">
        <v>1</v>
      </c>
      <c r="L3568" s="1959">
        <v>5</v>
      </c>
      <c r="M3568" s="2005">
        <f>COUNTIF('Elan y Personalización'!$C$13:$F$25,Tablas!I3568)+COUNTIF('Elan y Personalización'!$C$45:$F$57,Tablas!I3568)</f>
        <v>0</v>
      </c>
      <c r="N3568" s="2178" t="s">
        <v>9378</v>
      </c>
      <c r="O3568" s="2209"/>
      <c r="P3568" s="1958"/>
      <c r="Q3568" s="2178"/>
      <c r="R3568" s="1958"/>
      <c r="S3568" s="1958"/>
      <c r="T3568" s="2196"/>
    </row>
    <row r="3569" spans="2:22" ht="12.75" customHeight="1" x14ac:dyDescent="0.2">
      <c r="B3569" s="1860" t="str">
        <f t="shared" si="330"/>
        <v>Ruatha Synn (Nv 12)</v>
      </c>
      <c r="C3569" s="2723">
        <f t="shared" si="331"/>
        <v>45</v>
      </c>
      <c r="D3569" s="455" t="s">
        <v>1253</v>
      </c>
      <c r="E3569" s="290">
        <v>260</v>
      </c>
      <c r="F3569" s="312">
        <v>400</v>
      </c>
      <c r="H3569" s="1958">
        <f>IF(OR(M3569=0),0,SUM($M$3430:M3568)+1)</f>
        <v>0</v>
      </c>
      <c r="I3569" s="2000" t="s">
        <v>9048</v>
      </c>
      <c r="J3569" s="1958">
        <v>60</v>
      </c>
      <c r="K3569" s="1959">
        <v>1</v>
      </c>
      <c r="L3569" s="1959">
        <v>10</v>
      </c>
      <c r="M3569" s="2005">
        <f>COUNTIF('Elan y Personalización'!$C$13:$F$25,Tablas!I3569)+COUNTIF('Elan y Personalización'!$C$45:$F$57,Tablas!I3569)</f>
        <v>0</v>
      </c>
      <c r="N3569" s="2178" t="s">
        <v>9379</v>
      </c>
      <c r="O3569" s="2209"/>
      <c r="P3569" s="1958"/>
      <c r="Q3569" s="2178"/>
      <c r="R3569" s="1958"/>
      <c r="S3569" s="1958"/>
      <c r="T3569" s="2196"/>
    </row>
    <row r="3570" spans="2:22" ht="12.75" customHeight="1" x14ac:dyDescent="0.2">
      <c r="B3570" s="1860" t="str">
        <f t="shared" si="330"/>
        <v>Ruatha Synn (Nv 4)</v>
      </c>
      <c r="C3570" s="2723">
        <f t="shared" si="331"/>
        <v>46</v>
      </c>
      <c r="D3570" s="455" t="s">
        <v>1254</v>
      </c>
      <c r="E3570" s="290">
        <v>300</v>
      </c>
      <c r="F3570" s="312">
        <v>600</v>
      </c>
      <c r="H3570" s="1958">
        <f>IF(OR(M3570=0),0,SUM($M$3430:M3569)+1)</f>
        <v>0</v>
      </c>
      <c r="I3570" s="2000" t="s">
        <v>9049</v>
      </c>
      <c r="J3570" s="1958">
        <v>70</v>
      </c>
      <c r="K3570" s="1959">
        <v>1</v>
      </c>
      <c r="L3570" s="1959">
        <v>20</v>
      </c>
      <c r="M3570" s="2005">
        <f>COUNTIF('Elan y Personalización'!$C$13:$F$25,Tablas!I3570)+COUNTIF('Elan y Personalización'!$C$45:$F$57,Tablas!I3570)</f>
        <v>0</v>
      </c>
      <c r="N3570" s="2178" t="s">
        <v>9380</v>
      </c>
      <c r="O3570" s="2209"/>
      <c r="P3570" s="1958"/>
      <c r="Q3570" s="2178"/>
      <c r="R3570" s="1958"/>
      <c r="S3570" s="1958"/>
      <c r="T3570" s="2196"/>
    </row>
    <row r="3571" spans="2:22" ht="12.75" customHeight="1" x14ac:dyDescent="0.2">
      <c r="B3571" s="1860" t="str">
        <f t="shared" si="330"/>
        <v>Ruatha Synn (Nv 8)</v>
      </c>
      <c r="C3571" s="2723">
        <f t="shared" si="331"/>
        <v>44</v>
      </c>
      <c r="D3571" s="455" t="s">
        <v>1255</v>
      </c>
      <c r="E3571" s="290">
        <v>500</v>
      </c>
      <c r="F3571" s="312">
        <v>1200</v>
      </c>
      <c r="H3571" s="1958">
        <f>IF(OR(M3571=0),0,SUM($M$3430:M3570)+1)</f>
        <v>0</v>
      </c>
      <c r="I3571" s="2000" t="s">
        <v>9050</v>
      </c>
      <c r="J3571" s="1958">
        <v>70</v>
      </c>
      <c r="K3571" s="1959">
        <v>1</v>
      </c>
      <c r="L3571" s="1959">
        <v>10</v>
      </c>
      <c r="M3571" s="2005">
        <f>COUNTIF('Elan y Personalización'!$C$13:$F$25,Tablas!I3571)+COUNTIF('Elan y Personalización'!$C$45:$F$57,Tablas!I3571)</f>
        <v>0</v>
      </c>
      <c r="N3571" s="2178" t="s">
        <v>9381</v>
      </c>
      <c r="O3571" s="2209"/>
      <c r="P3571" s="1958"/>
      <c r="Q3571" s="2178"/>
      <c r="R3571" s="1958"/>
      <c r="S3571" s="1958"/>
      <c r="T3571" s="2196"/>
    </row>
    <row r="3572" spans="2:22" ht="12.75" customHeight="1" x14ac:dyDescent="0.2">
      <c r="B3572" s="1860" t="str">
        <f t="shared" si="330"/>
        <v>Wang Shou Bo (Nv 13)</v>
      </c>
      <c r="C3572" s="2723">
        <f t="shared" si="331"/>
        <v>22</v>
      </c>
      <c r="D3572" s="455" t="s">
        <v>1256</v>
      </c>
      <c r="E3572" s="290">
        <v>360</v>
      </c>
      <c r="F3572" s="312">
        <v>750</v>
      </c>
      <c r="H3572" s="1958">
        <f>IF(OR(M3572=0),0,SUM($M$3430:M3571)+1)</f>
        <v>0</v>
      </c>
      <c r="I3572" s="2000" t="s">
        <v>9051</v>
      </c>
      <c r="J3572" s="1958">
        <v>80</v>
      </c>
      <c r="K3572" s="1959">
        <f>IF(M3567,1,0)</f>
        <v>0</v>
      </c>
      <c r="L3572" s="1959">
        <v>20</v>
      </c>
      <c r="M3572" s="2005">
        <f>COUNTIF('Elan y Personalización'!$C$13:$F$25,Tablas!I3572)+COUNTIF('Elan y Personalización'!$C$45:$F$57,Tablas!I3572)</f>
        <v>0</v>
      </c>
      <c r="N3572" s="2178" t="s">
        <v>9382</v>
      </c>
      <c r="O3572" s="2209"/>
      <c r="P3572" s="1958"/>
      <c r="Q3572" s="2178"/>
      <c r="R3572" s="1958"/>
      <c r="S3572" s="1958"/>
      <c r="T3572" s="2196"/>
    </row>
    <row r="3573" spans="2:22" ht="12.75" customHeight="1" x14ac:dyDescent="0.2">
      <c r="B3573" s="1860" t="str">
        <f t="shared" si="330"/>
        <v>Wang Shou Bo (Nv 5)</v>
      </c>
      <c r="C3573" s="2723">
        <f t="shared" si="331"/>
        <v>20</v>
      </c>
      <c r="D3573" s="455" t="s">
        <v>1257</v>
      </c>
      <c r="E3573" s="290">
        <v>440</v>
      </c>
      <c r="F3573" s="312">
        <v>1200</v>
      </c>
      <c r="H3573" s="1958">
        <f>IF(OR(M3573=0),0,SUM($M$3430:M3572)+1)</f>
        <v>0</v>
      </c>
      <c r="I3573" s="2000" t="s">
        <v>917</v>
      </c>
      <c r="J3573" s="1958">
        <v>90</v>
      </c>
      <c r="K3573" s="1959">
        <f>IF(M3567,1,0)</f>
        <v>0</v>
      </c>
      <c r="L3573" s="1959">
        <v>10</v>
      </c>
      <c r="M3573" s="2005">
        <f>COUNTIF('Elan y Personalización'!$C$13:$F$25,Tablas!I3573)+COUNTIF('Elan y Personalización'!$C$45:$F$57,Tablas!I3573)</f>
        <v>0</v>
      </c>
      <c r="N3573" s="2178" t="s">
        <v>9383</v>
      </c>
      <c r="O3573" s="2209"/>
      <c r="P3573" s="1958"/>
      <c r="Q3573" s="2178"/>
      <c r="R3573" s="1958"/>
      <c r="S3573" s="1958"/>
      <c r="T3573" s="2196"/>
    </row>
    <row r="3574" spans="2:22" ht="12.75" customHeight="1" x14ac:dyDescent="0.2">
      <c r="B3574" s="1860" t="str">
        <f t="shared" si="330"/>
        <v>Wang Shou Bo (Nv 9)</v>
      </c>
      <c r="C3574" s="2723">
        <f t="shared" si="331"/>
        <v>21</v>
      </c>
      <c r="D3574" s="455" t="s">
        <v>1258</v>
      </c>
      <c r="E3574" s="290">
        <v>520</v>
      </c>
      <c r="F3574" s="312">
        <v>1500</v>
      </c>
      <c r="H3574" s="1958">
        <f>IF(OR(M3574=0),0,SUM($M$3430:M3573)+1)</f>
        <v>0</v>
      </c>
      <c r="I3574" s="2000" t="s">
        <v>9052</v>
      </c>
      <c r="J3574" s="1958">
        <v>100</v>
      </c>
      <c r="K3574" s="1959">
        <v>1</v>
      </c>
      <c r="L3574" s="1959">
        <v>10</v>
      </c>
      <c r="M3574" s="2005">
        <f>COUNTIF('Elan y Personalización'!$C$13:$F$25,Tablas!I3574)+COUNTIF('Elan y Personalización'!$C$45:$F$57,Tablas!I3574)</f>
        <v>0</v>
      </c>
      <c r="N3574" s="2178" t="s">
        <v>9384</v>
      </c>
      <c r="O3574" s="2209"/>
      <c r="P3574" s="1958"/>
      <c r="Q3574" s="2178"/>
      <c r="R3574" s="1958"/>
      <c r="S3574" s="1958"/>
      <c r="T3574" s="2196"/>
    </row>
    <row r="3575" spans="2:22" ht="12.75" customHeight="1" x14ac:dyDescent="0.2">
      <c r="B3575" s="1860" t="str">
        <f>D3575</f>
        <v>&gt; INVOCACIONES PERSONALIZADAS</v>
      </c>
      <c r="C3575" s="2723"/>
      <c r="D3575" s="455" t="s">
        <v>1259</v>
      </c>
      <c r="E3575" s="290"/>
      <c r="F3575" s="312"/>
      <c r="H3575" s="1958">
        <f>IF(OR(M3575=0),0,SUM($M$3430:M3574)+1)</f>
        <v>0</v>
      </c>
      <c r="I3575" s="2004" t="s">
        <v>8924</v>
      </c>
      <c r="J3575" s="1961"/>
      <c r="K3575" s="1961"/>
      <c r="L3575" s="1961"/>
      <c r="M3575" s="2006">
        <f>COUNTIF('Elan y Personalización'!$C$13:$F$25,Tablas!I3575)+COUNTIF('Elan y Personalización'!$C$45:$F$57,Tablas!I3575)</f>
        <v>0</v>
      </c>
      <c r="N3575" s="2004" t="str">
        <f>I3575</f>
        <v>Eriol</v>
      </c>
      <c r="O3575" s="2208" t="str">
        <f>I3575</f>
        <v>Eriol</v>
      </c>
      <c r="P3575" s="2201" t="str">
        <f t="array" ref="P3575:V3575">TRANSPOSE(O3576:O3587)</f>
        <v>Ignorar la ley y el orden</v>
      </c>
      <c r="Q3575" s="2210" t="str">
        <v>Promover las situaciones caóticas</v>
      </c>
      <c r="R3575" s="2201" t="str">
        <v>Dejar un acontecimiento importante al arbitrio del azar</v>
      </c>
      <c r="S3575" s="2201" t="str">
        <v>Mostrar a otros la importancia de la suerte</v>
      </c>
      <c r="T3575" s="2201" t="str">
        <v>Comportarse de un modo anárquico</v>
      </c>
      <c r="U3575" s="2200">
        <v>0</v>
      </c>
      <c r="V3575" s="2200">
        <v>0</v>
      </c>
    </row>
    <row r="3576" spans="2:22" ht="12.75" customHeight="1" x14ac:dyDescent="0.2">
      <c r="B3576" s="1860" t="str">
        <f t="shared" ref="B3576:B3581" si="332">D3576</f>
        <v>Invocación personalizada #1</v>
      </c>
      <c r="C3576" s="2723"/>
      <c r="D3576" s="455" t="str">
        <f>IF('Elan y Personalización'!V82=0,"Invocación personalizada #1",'Elan y Personalización'!V82)</f>
        <v>Invocación personalizada #1</v>
      </c>
      <c r="E3576" s="290">
        <f>'Elan y Personalización'!AB82</f>
        <v>0</v>
      </c>
      <c r="F3576" s="312">
        <f>'Elan y Personalización'!AC82</f>
        <v>0</v>
      </c>
      <c r="H3576" s="1958">
        <f>IF(OR(M3576=0),0,SUM($M$3430:M3575)+1)</f>
        <v>0</v>
      </c>
      <c r="I3576" s="2000" t="s">
        <v>9053</v>
      </c>
      <c r="J3576" s="1958">
        <v>10</v>
      </c>
      <c r="K3576" s="1959">
        <v>1</v>
      </c>
      <c r="L3576" s="1959">
        <v>10</v>
      </c>
      <c r="M3576" s="2005">
        <f>COUNTIF('Elan y Personalización'!$C$13:$F$25,Tablas!I3576)+COUNTIF('Elan y Personalización'!$C$45:$F$57,Tablas!I3576)</f>
        <v>0</v>
      </c>
      <c r="N3576" s="2178" t="s">
        <v>9385</v>
      </c>
      <c r="O3576" s="2209" t="s">
        <v>9386</v>
      </c>
      <c r="P3576" s="1958">
        <v>2</v>
      </c>
      <c r="Q3576" s="2178" t="s">
        <v>9387</v>
      </c>
      <c r="R3576" s="1958">
        <v>2</v>
      </c>
      <c r="S3576" s="1958" t="s">
        <v>9388</v>
      </c>
      <c r="T3576" s="2196">
        <v>-2</v>
      </c>
    </row>
    <row r="3577" spans="2:22" ht="12.75" customHeight="1" x14ac:dyDescent="0.2">
      <c r="B3577" s="1860" t="str">
        <f t="shared" si="332"/>
        <v>Invocación personalizada #2</v>
      </c>
      <c r="C3577" s="2723"/>
      <c r="D3577" s="455" t="str">
        <f>IF('Elan y Personalización'!V83=0,"Invocación personalizada #2",'Elan y Personalización'!V83)</f>
        <v>Invocación personalizada #2</v>
      </c>
      <c r="E3577" s="290">
        <f>'Elan y Personalización'!AB83</f>
        <v>0</v>
      </c>
      <c r="F3577" s="312">
        <f>'Elan y Personalización'!AC83</f>
        <v>0</v>
      </c>
      <c r="H3577" s="1958">
        <f>IF(OR(M3577=0),0,SUM($M$3430:M3576)+1)</f>
        <v>0</v>
      </c>
      <c r="I3577" s="2000" t="s">
        <v>9054</v>
      </c>
      <c r="J3577" s="1958">
        <v>20</v>
      </c>
      <c r="K3577" s="1959">
        <v>1</v>
      </c>
      <c r="L3577" s="1959">
        <v>5</v>
      </c>
      <c r="M3577" s="2005">
        <f>COUNTIF('Elan y Personalización'!$C$13:$F$25,Tablas!I3577)+COUNTIF('Elan y Personalización'!$C$45:$F$57,Tablas!I3577)</f>
        <v>0</v>
      </c>
      <c r="N3577" s="2178" t="s">
        <v>9389</v>
      </c>
      <c r="O3577" s="2209" t="s">
        <v>9390</v>
      </c>
      <c r="P3577" s="1958">
        <v>2</v>
      </c>
      <c r="Q3577" s="2178" t="s">
        <v>9391</v>
      </c>
      <c r="R3577" s="1958">
        <v>2</v>
      </c>
      <c r="S3577" s="1958" t="s">
        <v>9392</v>
      </c>
      <c r="T3577" s="2196">
        <v>-3</v>
      </c>
    </row>
    <row r="3578" spans="2:22" ht="12.75" customHeight="1" x14ac:dyDescent="0.2">
      <c r="B3578" s="1860" t="str">
        <f t="shared" si="332"/>
        <v>Invocación personalizada #3</v>
      </c>
      <c r="C3578" s="2723"/>
      <c r="D3578" s="455" t="str">
        <f>IF('Elan y Personalización'!V84=0,"Invocación personalizada #3",'Elan y Personalización'!V84)</f>
        <v>Invocación personalizada #3</v>
      </c>
      <c r="E3578" s="290">
        <f>'Elan y Personalización'!AB84</f>
        <v>0</v>
      </c>
      <c r="F3578" s="312">
        <f>'Elan y Personalización'!AC84</f>
        <v>0</v>
      </c>
      <c r="H3578" s="1958">
        <f>IF(OR(M3578=0),0,SUM($M$3430:M3577)+1)</f>
        <v>0</v>
      </c>
      <c r="I3578" s="2000" t="s">
        <v>9055</v>
      </c>
      <c r="J3578" s="1958">
        <v>30</v>
      </c>
      <c r="K3578" s="1959">
        <v>1</v>
      </c>
      <c r="L3578" s="1959">
        <v>5</v>
      </c>
      <c r="M3578" s="2005">
        <f>COUNTIF('Elan y Personalización'!$C$13:$F$25,Tablas!I3578)+COUNTIF('Elan y Personalización'!$C$45:$F$57,Tablas!I3578)</f>
        <v>0</v>
      </c>
      <c r="N3578" s="2178" t="s">
        <v>9393</v>
      </c>
      <c r="O3578" s="2209" t="s">
        <v>9394</v>
      </c>
      <c r="P3578" s="1958">
        <v>5</v>
      </c>
      <c r="Q3578" s="2178" t="s">
        <v>9395</v>
      </c>
      <c r="R3578" s="1958">
        <v>1</v>
      </c>
      <c r="S3578" s="1958" t="s">
        <v>9396</v>
      </c>
      <c r="T3578" s="2196">
        <v>-2</v>
      </c>
    </row>
    <row r="3579" spans="2:22" ht="12.75" customHeight="1" x14ac:dyDescent="0.2">
      <c r="B3579" s="1860" t="str">
        <f t="shared" si="332"/>
        <v>Invocación personalizada #4</v>
      </c>
      <c r="C3579" s="2723"/>
      <c r="D3579" s="455" t="str">
        <f>IF('Elan y Personalización'!V85=0,"Invocación personalizada #4",'Elan y Personalización'!V85)</f>
        <v>Invocación personalizada #4</v>
      </c>
      <c r="E3579" s="290">
        <f>'Elan y Personalización'!AB85</f>
        <v>0</v>
      </c>
      <c r="F3579" s="312">
        <f>'Elan y Personalización'!AC85</f>
        <v>0</v>
      </c>
      <c r="H3579" s="1958">
        <f>IF(OR(M3579=0),0,SUM($M$3430:M3578)+1)</f>
        <v>0</v>
      </c>
      <c r="I3579" s="2000" t="s">
        <v>9056</v>
      </c>
      <c r="J3579" s="1958">
        <v>40</v>
      </c>
      <c r="K3579" s="1959">
        <v>1</v>
      </c>
      <c r="L3579" s="1959">
        <v>10</v>
      </c>
      <c r="M3579" s="2005">
        <f>COUNTIF('Elan y Personalización'!$C$13:$F$25,Tablas!I3579)+COUNTIF('Elan y Personalización'!$C$45:$F$57,Tablas!I3579)</f>
        <v>0</v>
      </c>
      <c r="N3579" s="2178" t="s">
        <v>9397</v>
      </c>
      <c r="O3579" s="2209" t="s">
        <v>9398</v>
      </c>
      <c r="P3579" s="1958">
        <v>1</v>
      </c>
      <c r="Q3579" s="2178"/>
      <c r="R3579" s="1958"/>
      <c r="S3579" s="1958"/>
      <c r="T3579" s="2196"/>
    </row>
    <row r="3580" spans="2:22" ht="12.75" customHeight="1" x14ac:dyDescent="0.2">
      <c r="B3580" s="1860" t="str">
        <f t="shared" si="332"/>
        <v>Invocación personalizada #5</v>
      </c>
      <c r="C3580" s="2723"/>
      <c r="D3580" s="455" t="str">
        <f>IF('Elan y Personalización'!V86=0,"Invocación personalizada #5",'Elan y Personalización'!V86)</f>
        <v>Invocación personalizada #5</v>
      </c>
      <c r="E3580" s="290">
        <f>'Elan y Personalización'!AB86</f>
        <v>0</v>
      </c>
      <c r="F3580" s="312">
        <f>'Elan y Personalización'!AC86</f>
        <v>0</v>
      </c>
      <c r="H3580" s="1958">
        <f>IF(OR(M3580=0),0,SUM($M$3430:M3579)+1)</f>
        <v>0</v>
      </c>
      <c r="I3580" s="2000" t="s">
        <v>9057</v>
      </c>
      <c r="J3580" s="1958">
        <v>50</v>
      </c>
      <c r="K3580" s="1959">
        <v>1</v>
      </c>
      <c r="L3580" s="1959">
        <v>10</v>
      </c>
      <c r="M3580" s="2005">
        <f>COUNTIF('Elan y Personalización'!$C$13:$F$25,Tablas!I3580)+COUNTIF('Elan y Personalización'!$C$45:$F$57,Tablas!I3580)</f>
        <v>0</v>
      </c>
      <c r="N3580" s="2178" t="s">
        <v>9399</v>
      </c>
      <c r="O3580" s="2209" t="s">
        <v>9400</v>
      </c>
      <c r="P3580" s="1958">
        <v>2</v>
      </c>
      <c r="Q3580" s="2178"/>
      <c r="R3580" s="1958"/>
      <c r="S3580" s="1958"/>
      <c r="T3580" s="2196"/>
    </row>
    <row r="3581" spans="2:22" ht="12.75" customHeight="1" x14ac:dyDescent="0.2">
      <c r="B3581" s="1860" t="str">
        <f t="shared" si="332"/>
        <v>Invocación personalizada #6</v>
      </c>
      <c r="C3581" s="2723"/>
      <c r="D3581" s="455" t="str">
        <f>IF('Elan y Personalización'!V87=0,"Invocación personalizada #6",'Elan y Personalización'!V87)</f>
        <v>Invocación personalizada #6</v>
      </c>
      <c r="E3581" s="290">
        <f>'Elan y Personalización'!AB87</f>
        <v>0</v>
      </c>
      <c r="F3581" s="312">
        <f>'Elan y Personalización'!AC87</f>
        <v>0</v>
      </c>
      <c r="H3581" s="1958">
        <f>IF(OR(M3581=0),0,SUM($M$3430:M3580)+1)</f>
        <v>0</v>
      </c>
      <c r="I3581" s="2000" t="s">
        <v>9058</v>
      </c>
      <c r="J3581" s="1958">
        <v>50</v>
      </c>
      <c r="K3581" s="1959">
        <v>1</v>
      </c>
      <c r="L3581" s="1959">
        <v>15</v>
      </c>
      <c r="M3581" s="2005">
        <f>COUNTIF('Elan y Personalización'!$C$13:$F$25,Tablas!I3581)+COUNTIF('Elan y Personalización'!$C$45:$F$57,Tablas!I3581)</f>
        <v>0</v>
      </c>
      <c r="N3581" s="2178" t="s">
        <v>9401</v>
      </c>
      <c r="O3581" s="2209"/>
      <c r="P3581" s="1958"/>
      <c r="Q3581" s="2178"/>
      <c r="R3581" s="1958"/>
      <c r="S3581" s="1958"/>
      <c r="T3581" s="2196"/>
    </row>
    <row r="3582" spans="2:22" ht="12.75" customHeight="1" thickBot="1" x14ac:dyDescent="0.25">
      <c r="B3582" s="45" t="str">
        <f>D3582</f>
        <v>Invocación personalizada #7</v>
      </c>
      <c r="C3582" s="222"/>
      <c r="D3582" s="682" t="str">
        <f>IF('Elan y Personalización'!V88=0,"Invocación personalizada #7",'Elan y Personalización'!V88)</f>
        <v>Invocación personalizada #7</v>
      </c>
      <c r="E3582" s="473">
        <f>'Elan y Personalización'!AB88</f>
        <v>0</v>
      </c>
      <c r="F3582" s="465">
        <f>'Elan y Personalización'!AC88</f>
        <v>0</v>
      </c>
      <c r="H3582" s="1958">
        <f>IF(OR(M3582=0),0,SUM($M$3430:M3581)+1)</f>
        <v>0</v>
      </c>
      <c r="I3582" s="2000" t="s">
        <v>942</v>
      </c>
      <c r="J3582" s="1958">
        <v>60</v>
      </c>
      <c r="K3582" s="1959">
        <v>1</v>
      </c>
      <c r="L3582" s="1959">
        <v>10</v>
      </c>
      <c r="M3582" s="2005">
        <f>COUNTIF('Elan y Personalización'!$C$13:$F$25,Tablas!I3582)+COUNTIF('Elan y Personalización'!$C$45:$F$57,Tablas!I3582)</f>
        <v>0</v>
      </c>
      <c r="N3582" s="2178" t="s">
        <v>9402</v>
      </c>
      <c r="O3582" s="2209"/>
      <c r="P3582" s="1958"/>
      <c r="Q3582" s="2178"/>
      <c r="R3582" s="1958"/>
      <c r="S3582" s="1958"/>
      <c r="T3582" s="2196"/>
    </row>
    <row r="3583" spans="2:22" ht="12.75" customHeight="1" thickBot="1" x14ac:dyDescent="0.25">
      <c r="H3583" s="1958">
        <f>IF(OR(M3583=0),0,SUM($M$3430:M3582)+1)</f>
        <v>0</v>
      </c>
      <c r="I3583" s="2000" t="s">
        <v>9059</v>
      </c>
      <c r="J3583" s="1958">
        <v>70</v>
      </c>
      <c r="K3583" s="1959">
        <f>IF(M3580,1,0)</f>
        <v>0</v>
      </c>
      <c r="L3583" s="1959">
        <v>15</v>
      </c>
      <c r="M3583" s="2005">
        <f>COUNTIF('Elan y Personalización'!$C$13:$F$25,Tablas!I3583)+COUNTIF('Elan y Personalización'!$C$45:$F$57,Tablas!I3583)</f>
        <v>0</v>
      </c>
      <c r="N3583" s="2178" t="s">
        <v>9403</v>
      </c>
      <c r="O3583" s="2209"/>
      <c r="P3583" s="1958"/>
      <c r="Q3583" s="2178"/>
      <c r="R3583" s="1958"/>
      <c r="S3583" s="1958"/>
      <c r="T3583" s="2196"/>
    </row>
    <row r="3584" spans="2:22" ht="12.75" customHeight="1" thickBot="1" x14ac:dyDescent="0.25">
      <c r="B3584" s="3082" t="s">
        <v>1260</v>
      </c>
      <c r="C3584" s="3082"/>
      <c r="H3584" s="1958">
        <f>IF(OR(M3584=0),0,SUM($M$3430:M3583)+1)</f>
        <v>0</v>
      </c>
      <c r="I3584" s="2000" t="s">
        <v>9060</v>
      </c>
      <c r="J3584" s="1958">
        <v>80</v>
      </c>
      <c r="K3584" s="1959">
        <v>1</v>
      </c>
      <c r="L3584" s="1959">
        <v>15</v>
      </c>
      <c r="M3584" s="2005">
        <f>COUNTIF('Elan y Personalización'!$C$13:$F$25,Tablas!I3584)+COUNTIF('Elan y Personalización'!$C$45:$F$57,Tablas!I3584)</f>
        <v>0</v>
      </c>
      <c r="N3584" s="2178" t="s">
        <v>9404</v>
      </c>
      <c r="O3584" s="2209"/>
      <c r="P3584" s="1958"/>
      <c r="Q3584" s="2178"/>
      <c r="R3584" s="1958"/>
      <c r="S3584" s="1958"/>
      <c r="T3584" s="2196"/>
    </row>
    <row r="3585" spans="2:22" ht="12.75" customHeight="1" thickBot="1" x14ac:dyDescent="0.25">
      <c r="B3585" s="3082"/>
      <c r="C3585" s="3082"/>
      <c r="H3585" s="1958">
        <f>IF(OR(M3585=0),0,SUM($M$3430:M3584)+1)</f>
        <v>0</v>
      </c>
      <c r="I3585" s="2000" t="s">
        <v>9061</v>
      </c>
      <c r="J3585" s="1958">
        <v>90</v>
      </c>
      <c r="K3585" s="1959">
        <v>1</v>
      </c>
      <c r="L3585" s="1959">
        <v>15</v>
      </c>
      <c r="M3585" s="2005">
        <f>COUNTIF('Elan y Personalización'!$C$13:$F$25,Tablas!I3585)+COUNTIF('Elan y Personalización'!$C$45:$F$57,Tablas!I3585)</f>
        <v>0</v>
      </c>
      <c r="N3585" s="2178" t="s">
        <v>9405</v>
      </c>
      <c r="O3585" s="2209"/>
      <c r="P3585" s="1958"/>
      <c r="Q3585" s="2178"/>
      <c r="R3585" s="1958"/>
      <c r="S3585" s="1958"/>
      <c r="T3585" s="2196"/>
    </row>
    <row r="3586" spans="2:22" ht="12.75" customHeight="1" x14ac:dyDescent="0.2">
      <c r="B3586" s="466" t="s">
        <v>1261</v>
      </c>
      <c r="C3586" s="75"/>
      <c r="H3586" s="1958">
        <f>IF(OR(M3586=0),0,SUM($M$3430:M3585)+1)</f>
        <v>0</v>
      </c>
      <c r="I3586" s="2000" t="s">
        <v>9062</v>
      </c>
      <c r="J3586" s="1958">
        <v>100</v>
      </c>
      <c r="K3586" s="1959">
        <f>IF(M3582,1,0)</f>
        <v>0</v>
      </c>
      <c r="L3586" s="1959">
        <v>10</v>
      </c>
      <c r="M3586" s="2005">
        <f>COUNTIF('Elan y Personalización'!$C$13:$F$25,Tablas!I3586)+COUNTIF('Elan y Personalización'!$C$45:$F$57,Tablas!I3586)</f>
        <v>0</v>
      </c>
      <c r="N3586" s="2178" t="s">
        <v>9406</v>
      </c>
      <c r="O3586" s="2209"/>
      <c r="P3586" s="1958"/>
      <c r="Q3586" s="2178"/>
      <c r="R3586" s="1958"/>
      <c r="S3586" s="1958"/>
      <c r="T3586" s="2196"/>
    </row>
    <row r="3587" spans="2:22" ht="12.75" customHeight="1" thickBot="1" x14ac:dyDescent="0.25">
      <c r="B3587" s="467" t="s">
        <v>1262</v>
      </c>
      <c r="C3587" s="223"/>
      <c r="H3587" s="1958">
        <f>IF(OR(M3587=0),0,SUM($M$3430:M3586)+1)</f>
        <v>0</v>
      </c>
      <c r="I3587" s="2004" t="s">
        <v>8925</v>
      </c>
      <c r="J3587" s="1961"/>
      <c r="K3587" s="1961"/>
      <c r="L3587" s="1961"/>
      <c r="M3587" s="2006">
        <f>COUNTIF('Elan y Personalización'!$C$13:$F$25,Tablas!I3587)+COUNTIF('Elan y Personalización'!$C$45:$F$57,Tablas!I3587)</f>
        <v>0</v>
      </c>
      <c r="N3587" s="2004" t="str">
        <f>I3587</f>
        <v>Edamiel</v>
      </c>
      <c r="O3587" s="2208" t="str">
        <f>I3587</f>
        <v>Edamiel</v>
      </c>
      <c r="P3587" s="2201" t="str">
        <f t="array" ref="P3587:V3587">TRANSPOSE(O3588:O3599)</f>
        <v>Actuar de un modo apático</v>
      </c>
      <c r="Q3587" s="2210" t="str">
        <v>Dejarse llevar por los placeres de la carne</v>
      </c>
      <c r="R3587" s="2201" t="str">
        <v>Arrastrar a alguien al mundo del deseo y el placer</v>
      </c>
      <c r="S3587" s="2201" t="str">
        <v>Borrar algo completamente de la existencia</v>
      </c>
      <c r="T3587" s="2201" t="str">
        <v>Anular las emociones de un individuo mediante el placer</v>
      </c>
      <c r="U3587" s="2200">
        <v>0</v>
      </c>
      <c r="V3587" s="2200">
        <v>0</v>
      </c>
    </row>
    <row r="3588" spans="2:22" ht="12.75" customHeight="1" x14ac:dyDescent="0.2">
      <c r="H3588" s="1958">
        <f>IF(OR(M3588=0),0,SUM($M$3430:M3587)+1)</f>
        <v>0</v>
      </c>
      <c r="I3588" s="2000" t="s">
        <v>9063</v>
      </c>
      <c r="J3588" s="1958">
        <v>10</v>
      </c>
      <c r="K3588" s="1959">
        <v>1</v>
      </c>
      <c r="L3588" s="1959">
        <v>5</v>
      </c>
      <c r="M3588" s="2005">
        <f>COUNTIF('Elan y Personalización'!$C$13:$F$25,Tablas!I3588)+COUNTIF('Elan y Personalización'!$C$45:$F$57,Tablas!I3588)</f>
        <v>0</v>
      </c>
      <c r="N3588" s="2178" t="s">
        <v>9407</v>
      </c>
      <c r="O3588" s="2209" t="s">
        <v>9408</v>
      </c>
      <c r="P3588" s="1958">
        <v>3</v>
      </c>
      <c r="Q3588" s="2178" t="s">
        <v>9409</v>
      </c>
      <c r="R3588" s="1958">
        <v>2</v>
      </c>
      <c r="S3588" s="1958" t="s">
        <v>9410</v>
      </c>
      <c r="T3588" s="2196">
        <v>-2</v>
      </c>
    </row>
    <row r="3589" spans="2:22" ht="12.75" customHeight="1" x14ac:dyDescent="0.2">
      <c r="H3589" s="1958">
        <f>IF(OR(M3589=0),0,SUM($M$3430:M3588)+1)</f>
        <v>0</v>
      </c>
      <c r="I3589" s="2000" t="s">
        <v>9064</v>
      </c>
      <c r="J3589" s="1958">
        <v>20</v>
      </c>
      <c r="K3589" s="1959">
        <v>1</v>
      </c>
      <c r="L3589" s="1959">
        <v>5</v>
      </c>
      <c r="M3589" s="2005">
        <f>COUNTIF('Elan y Personalización'!$C$13:$F$25,Tablas!I3589)+COUNTIF('Elan y Personalización'!$C$45:$F$57,Tablas!I3589)</f>
        <v>0</v>
      </c>
      <c r="N3589" s="2178" t="s">
        <v>9411</v>
      </c>
      <c r="O3589" s="2209" t="s">
        <v>9412</v>
      </c>
      <c r="P3589" s="1958">
        <v>3</v>
      </c>
      <c r="Q3589" s="2178" t="s">
        <v>9413</v>
      </c>
      <c r="R3589" s="1958">
        <v>3</v>
      </c>
      <c r="S3589" s="1958" t="s">
        <v>9414</v>
      </c>
      <c r="T3589" s="2196">
        <v>-2</v>
      </c>
    </row>
    <row r="3590" spans="2:22" ht="12.75" customHeight="1" x14ac:dyDescent="0.2">
      <c r="H3590" s="1958">
        <f>IF(OR(M3590=0),0,SUM($M$3430:M3589)+1)</f>
        <v>0</v>
      </c>
      <c r="I3590" s="2000" t="s">
        <v>9065</v>
      </c>
      <c r="J3590" s="1958">
        <v>30</v>
      </c>
      <c r="K3590" s="1959">
        <v>1</v>
      </c>
      <c r="L3590" s="1959">
        <v>5</v>
      </c>
      <c r="M3590" s="2005">
        <f>COUNTIF('Elan y Personalización'!$C$13:$F$25,Tablas!I3590)+COUNTIF('Elan y Personalización'!$C$45:$F$57,Tablas!I3590)</f>
        <v>0</v>
      </c>
      <c r="N3590" s="2178" t="s">
        <v>9415</v>
      </c>
      <c r="O3590" s="2209" t="s">
        <v>9416</v>
      </c>
      <c r="P3590" s="1958">
        <v>2</v>
      </c>
      <c r="Q3590" s="2178" t="s">
        <v>9417</v>
      </c>
      <c r="R3590" s="1958">
        <v>1</v>
      </c>
      <c r="S3590" s="1958"/>
      <c r="T3590" s="2196"/>
    </row>
    <row r="3591" spans="2:22" ht="12.75" customHeight="1" x14ac:dyDescent="0.2">
      <c r="H3591" s="1958">
        <f>IF(OR(M3591=0),0,SUM($M$3430:M3590)+1)</f>
        <v>0</v>
      </c>
      <c r="I3591" s="2000" t="s">
        <v>9066</v>
      </c>
      <c r="J3591" s="1958">
        <v>40</v>
      </c>
      <c r="K3591" s="1959">
        <v>1</v>
      </c>
      <c r="L3591" s="1959">
        <v>10</v>
      </c>
      <c r="M3591" s="2005">
        <f>COUNTIF('Elan y Personalización'!$C$13:$F$25,Tablas!I3591)+COUNTIF('Elan y Personalización'!$C$45:$F$57,Tablas!I3591)</f>
        <v>0</v>
      </c>
      <c r="N3591" s="2178" t="s">
        <v>9418</v>
      </c>
      <c r="O3591" s="2209" t="s">
        <v>9419</v>
      </c>
      <c r="P3591" s="1958">
        <v>5</v>
      </c>
      <c r="Q3591" s="2178" t="s">
        <v>9420</v>
      </c>
      <c r="R3591" s="1958">
        <v>4</v>
      </c>
      <c r="S3591" s="1958"/>
      <c r="T3591" s="2196"/>
    </row>
    <row r="3592" spans="2:22" ht="12.75" customHeight="1" x14ac:dyDescent="0.2">
      <c r="H3592" s="1958">
        <f>IF(OR(M3592=0),0,SUM($M$3430:M3591)+1)</f>
        <v>0</v>
      </c>
      <c r="I3592" s="2000" t="s">
        <v>1828</v>
      </c>
      <c r="J3592" s="1958">
        <v>50</v>
      </c>
      <c r="K3592" s="1959">
        <v>1</v>
      </c>
      <c r="L3592" s="1959">
        <v>10</v>
      </c>
      <c r="M3592" s="2005">
        <f>COUNTIF('Elan y Personalización'!$C$13:$F$25,Tablas!I3592)+COUNTIF('Elan y Personalización'!$C$45:$F$57,Tablas!I3592)</f>
        <v>0</v>
      </c>
      <c r="N3592" s="2178" t="s">
        <v>9421</v>
      </c>
      <c r="O3592" s="2209" t="s">
        <v>9422</v>
      </c>
      <c r="P3592" s="1958">
        <v>4</v>
      </c>
      <c r="Q3592" s="2178"/>
      <c r="R3592" s="1958"/>
      <c r="S3592" s="1958"/>
      <c r="T3592" s="2196"/>
    </row>
    <row r="3593" spans="2:22" ht="12.75" customHeight="1" x14ac:dyDescent="0.2">
      <c r="H3593" s="1958">
        <f>IF(OR(M3593=0),0,SUM($M$3430:M3592)+1)</f>
        <v>0</v>
      </c>
      <c r="I3593" s="2000" t="s">
        <v>9067</v>
      </c>
      <c r="J3593" s="1958">
        <v>60</v>
      </c>
      <c r="K3593" s="1959">
        <v>1</v>
      </c>
      <c r="L3593" s="1959">
        <v>10</v>
      </c>
      <c r="M3593" s="2005">
        <f>COUNTIF('Elan y Personalización'!$C$13:$F$25,Tablas!I3593)+COUNTIF('Elan y Personalización'!$C$45:$F$57,Tablas!I3593)</f>
        <v>0</v>
      </c>
      <c r="N3593" s="2178" t="s">
        <v>9423</v>
      </c>
      <c r="O3593" s="2209"/>
      <c r="P3593" s="1958"/>
      <c r="Q3593" s="2178"/>
      <c r="R3593" s="1958"/>
      <c r="S3593" s="1958"/>
      <c r="T3593" s="2196"/>
    </row>
    <row r="3594" spans="2:22" ht="12.75" customHeight="1" x14ac:dyDescent="0.2">
      <c r="H3594" s="1958">
        <f>IF(OR(M3594=0),0,SUM($M$3430:M3593)+1)</f>
        <v>0</v>
      </c>
      <c r="I3594" s="2000" t="s">
        <v>9068</v>
      </c>
      <c r="J3594" s="1958">
        <v>60</v>
      </c>
      <c r="K3594" s="1959">
        <v>1</v>
      </c>
      <c r="L3594" s="1959">
        <v>15</v>
      </c>
      <c r="M3594" s="2005">
        <f>COUNTIF('Elan y Personalización'!$C$13:$F$25,Tablas!I3594)+COUNTIF('Elan y Personalización'!$C$45:$F$57,Tablas!I3594)</f>
        <v>0</v>
      </c>
      <c r="N3594" s="2178" t="s">
        <v>9424</v>
      </c>
      <c r="O3594" s="2209"/>
      <c r="P3594" s="1958"/>
      <c r="Q3594" s="2178"/>
      <c r="R3594" s="1958"/>
      <c r="S3594" s="1958"/>
      <c r="T3594" s="2196"/>
    </row>
    <row r="3595" spans="2:22" ht="12.75" customHeight="1" x14ac:dyDescent="0.2">
      <c r="H3595" s="1958">
        <f>IF(OR(M3595=0),0,SUM($M$3430:M3594)+1)</f>
        <v>0</v>
      </c>
      <c r="I3595" s="2000" t="s">
        <v>9069</v>
      </c>
      <c r="J3595" s="1958">
        <v>70</v>
      </c>
      <c r="K3595" s="1959">
        <f>IF(M3593,1,0)</f>
        <v>0</v>
      </c>
      <c r="L3595" s="1959">
        <v>15</v>
      </c>
      <c r="M3595" s="2005">
        <f>COUNTIF('Elan y Personalización'!$C$13:$F$25,Tablas!I3595)+COUNTIF('Elan y Personalización'!$C$45:$F$57,Tablas!I3595)</f>
        <v>0</v>
      </c>
      <c r="N3595" s="2178" t="s">
        <v>9425</v>
      </c>
      <c r="O3595" s="2209"/>
      <c r="P3595" s="1958"/>
      <c r="Q3595" s="2178"/>
      <c r="R3595" s="1958"/>
      <c r="S3595" s="1958"/>
      <c r="T3595" s="2196"/>
    </row>
    <row r="3596" spans="2:22" ht="12.75" customHeight="1" x14ac:dyDescent="0.2">
      <c r="H3596" s="1958">
        <f>IF(OR(M3596=0),0,SUM($M$3430:M3595)+1)</f>
        <v>0</v>
      </c>
      <c r="I3596" s="2000" t="s">
        <v>9070</v>
      </c>
      <c r="J3596" s="1958">
        <v>80</v>
      </c>
      <c r="K3596" s="1959">
        <v>1</v>
      </c>
      <c r="L3596" s="1959">
        <v>15</v>
      </c>
      <c r="M3596" s="2005">
        <f>COUNTIF('Elan y Personalización'!$C$13:$F$25,Tablas!I3596)+COUNTIF('Elan y Personalización'!$C$45:$F$57,Tablas!I3596)</f>
        <v>0</v>
      </c>
      <c r="N3596" s="2178" t="s">
        <v>9426</v>
      </c>
      <c r="O3596" s="2209"/>
      <c r="P3596" s="1958"/>
      <c r="Q3596" s="2178"/>
      <c r="R3596" s="1958"/>
      <c r="S3596" s="1958"/>
      <c r="T3596" s="2196"/>
    </row>
    <row r="3597" spans="2:22" ht="12.75" customHeight="1" x14ac:dyDescent="0.2">
      <c r="H3597" s="1958">
        <f>IF(OR(M3597=0),0,SUM($M$3430:M3596)+1)</f>
        <v>0</v>
      </c>
      <c r="I3597" s="2000" t="s">
        <v>9071</v>
      </c>
      <c r="J3597" s="1958">
        <v>90</v>
      </c>
      <c r="K3597" s="1959">
        <v>1</v>
      </c>
      <c r="L3597" s="1959">
        <v>25</v>
      </c>
      <c r="M3597" s="2005">
        <f>COUNTIF('Elan y Personalización'!$C$13:$F$25,Tablas!I3597)+COUNTIF('Elan y Personalización'!$C$45:$F$57,Tablas!I3597)</f>
        <v>0</v>
      </c>
      <c r="N3597" s="2178" t="s">
        <v>9427</v>
      </c>
      <c r="O3597" s="2209"/>
      <c r="P3597" s="1958"/>
      <c r="Q3597" s="2178"/>
      <c r="R3597" s="1958"/>
      <c r="S3597" s="1958"/>
      <c r="T3597" s="2196"/>
    </row>
    <row r="3598" spans="2:22" ht="12.75" customHeight="1" x14ac:dyDescent="0.2">
      <c r="H3598" s="1958">
        <f>IF(OR(M3598=0),0,SUM($M$3430:M3597)+1)</f>
        <v>0</v>
      </c>
      <c r="I3598" s="2000" t="s">
        <v>9072</v>
      </c>
      <c r="J3598" s="1958">
        <v>100</v>
      </c>
      <c r="K3598" s="1959">
        <v>1</v>
      </c>
      <c r="L3598" s="1959">
        <v>10</v>
      </c>
      <c r="M3598" s="2005">
        <f>COUNTIF('Elan y Personalización'!$C$13:$F$25,Tablas!I3598)+COUNTIF('Elan y Personalización'!$C$45:$F$57,Tablas!I3598)</f>
        <v>0</v>
      </c>
      <c r="N3598" s="2178" t="s">
        <v>9428</v>
      </c>
      <c r="O3598" s="2209"/>
      <c r="P3598" s="1958"/>
      <c r="Q3598" s="2178"/>
      <c r="R3598" s="1958"/>
      <c r="S3598" s="1958"/>
      <c r="T3598" s="2196"/>
    </row>
    <row r="3599" spans="2:22" ht="12.75" customHeight="1" x14ac:dyDescent="0.2">
      <c r="H3599" s="1958">
        <f>IF(OR(M3599=0),0,SUM($M$3430:M3598)+1)</f>
        <v>0</v>
      </c>
      <c r="I3599" s="2004" t="s">
        <v>8926</v>
      </c>
      <c r="J3599" s="1961"/>
      <c r="K3599" s="1961"/>
      <c r="L3599" s="1961"/>
      <c r="M3599" s="2006">
        <f>COUNTIF('Elan y Personalización'!$C$13:$F$25,Tablas!I3599)+COUNTIF('Elan y Personalización'!$C$45:$F$57,Tablas!I3599)</f>
        <v>0</v>
      </c>
      <c r="N3599" s="2004" t="str">
        <f>I3599</f>
        <v>Meseguis</v>
      </c>
      <c r="O3599" s="2208" t="str">
        <f>I3599</f>
        <v>Meseguis</v>
      </c>
      <c r="P3599" s="2201" t="str">
        <f t="array" ref="P3599:V3599">TRANSPOSE(O3600:O3611)</f>
        <v>Estar consumido por el dolor o la pena</v>
      </c>
      <c r="Q3599" s="2210" t="str">
        <v>Dedicar su vida por completo a la venganza</v>
      </c>
      <c r="R3599" s="2201">
        <v>0</v>
      </c>
      <c r="S3599" s="2201">
        <v>0</v>
      </c>
      <c r="T3599" s="2201">
        <v>0</v>
      </c>
      <c r="U3599" s="2200">
        <v>0</v>
      </c>
      <c r="V3599" s="2200">
        <v>0</v>
      </c>
    </row>
    <row r="3600" spans="2:22" ht="12.75" customHeight="1" x14ac:dyDescent="0.2">
      <c r="H3600" s="1958">
        <f>IF(OR(M3600=0),0,SUM($M$3430:M3599)+1)</f>
        <v>0</v>
      </c>
      <c r="I3600" s="2000" t="s">
        <v>9073</v>
      </c>
      <c r="J3600" s="1958">
        <v>10</v>
      </c>
      <c r="K3600" s="1959">
        <v>1</v>
      </c>
      <c r="L3600" s="1959">
        <v>5</v>
      </c>
      <c r="M3600" s="2005">
        <f>COUNTIF('Elan y Personalización'!$C$13:$F$25,Tablas!I3600)+COUNTIF('Elan y Personalización'!$C$45:$F$57,Tablas!I3600)</f>
        <v>0</v>
      </c>
      <c r="N3600" s="2178" t="s">
        <v>9429</v>
      </c>
      <c r="O3600" s="2209" t="s">
        <v>9430</v>
      </c>
      <c r="P3600" s="1958">
        <v>8</v>
      </c>
      <c r="Q3600" s="2178" t="s">
        <v>9431</v>
      </c>
      <c r="R3600" s="1958">
        <v>2</v>
      </c>
      <c r="S3600" s="1958" t="s">
        <v>9432</v>
      </c>
      <c r="T3600" s="2196">
        <v>-3</v>
      </c>
    </row>
    <row r="3601" spans="8:20" ht="12.75" customHeight="1" x14ac:dyDescent="0.2">
      <c r="H3601" s="1958">
        <f>IF(OR(M3601=0),0,SUM($M$3430:M3600)+1)</f>
        <v>0</v>
      </c>
      <c r="I3601" s="2000" t="s">
        <v>9074</v>
      </c>
      <c r="J3601" s="1958">
        <v>20</v>
      </c>
      <c r="K3601" s="1959">
        <v>1</v>
      </c>
      <c r="L3601" s="1959">
        <v>5</v>
      </c>
      <c r="M3601" s="2005">
        <f>COUNTIF('Elan y Personalización'!$C$13:$F$25,Tablas!I3601)+COUNTIF('Elan y Personalización'!$C$45:$F$57,Tablas!I3601)</f>
        <v>0</v>
      </c>
      <c r="N3601" s="2178" t="s">
        <v>9433</v>
      </c>
      <c r="O3601" s="2209" t="s">
        <v>9434</v>
      </c>
      <c r="P3601" s="1958">
        <v>8</v>
      </c>
      <c r="Q3601" s="2178" t="s">
        <v>9435</v>
      </c>
      <c r="R3601" s="1958">
        <v>1</v>
      </c>
      <c r="S3601" s="1958" t="s">
        <v>9436</v>
      </c>
      <c r="T3601" s="2196">
        <v>-4</v>
      </c>
    </row>
    <row r="3602" spans="8:20" ht="12.75" customHeight="1" x14ac:dyDescent="0.2">
      <c r="H3602" s="1958">
        <f>IF(OR(M3602=0),0,SUM($M$3430:M3601)+1)</f>
        <v>0</v>
      </c>
      <c r="I3602" s="2000" t="s">
        <v>9075</v>
      </c>
      <c r="J3602" s="1958">
        <v>30</v>
      </c>
      <c r="K3602" s="1959">
        <v>1</v>
      </c>
      <c r="L3602" s="1959">
        <v>10</v>
      </c>
      <c r="M3602" s="2005">
        <f>COUNTIF('Elan y Personalización'!$C$13:$F$25,Tablas!I3602)+COUNTIF('Elan y Personalización'!$C$45:$F$57,Tablas!I3602)</f>
        <v>0</v>
      </c>
      <c r="N3602" s="2178" t="s">
        <v>9437</v>
      </c>
      <c r="O3602" s="2209"/>
      <c r="P3602" s="1958"/>
      <c r="Q3602" s="2178" t="s">
        <v>9438</v>
      </c>
      <c r="R3602" s="1958">
        <v>4</v>
      </c>
      <c r="S3602" s="1958"/>
      <c r="T3602" s="2196"/>
    </row>
    <row r="3603" spans="8:20" ht="12.75" customHeight="1" x14ac:dyDescent="0.2">
      <c r="H3603" s="1958">
        <f>IF(OR(M3603=0),0,SUM($M$3430:M3602)+1)</f>
        <v>0</v>
      </c>
      <c r="I3603" s="2000" t="s">
        <v>9076</v>
      </c>
      <c r="J3603" s="1958">
        <v>30</v>
      </c>
      <c r="K3603" s="1959">
        <v>1</v>
      </c>
      <c r="L3603" s="1959">
        <v>5</v>
      </c>
      <c r="M3603" s="2005">
        <f>COUNTIF('Elan y Personalización'!$C$13:$F$25,Tablas!I3603)+COUNTIF('Elan y Personalización'!$C$45:$F$57,Tablas!I3603)</f>
        <v>0</v>
      </c>
      <c r="N3603" s="2178" t="s">
        <v>9439</v>
      </c>
      <c r="O3603" s="2209"/>
      <c r="P3603" s="1958"/>
      <c r="Q3603" s="2178"/>
      <c r="R3603" s="1958"/>
      <c r="S3603" s="1958"/>
      <c r="T3603" s="2196"/>
    </row>
    <row r="3604" spans="8:20" ht="12.75" customHeight="1" x14ac:dyDescent="0.2">
      <c r="H3604" s="1958">
        <f>IF(OR(M3604=0),0,SUM($M$3430:M3603)+1)</f>
        <v>0</v>
      </c>
      <c r="I3604" s="2000" t="s">
        <v>9077</v>
      </c>
      <c r="J3604" s="1958">
        <v>40</v>
      </c>
      <c r="K3604" s="1959">
        <v>1</v>
      </c>
      <c r="L3604" s="1959">
        <v>10</v>
      </c>
      <c r="M3604" s="2005">
        <f>COUNTIF('Elan y Personalización'!$C$13:$F$25,Tablas!I3604)+COUNTIF('Elan y Personalización'!$C$45:$F$57,Tablas!I3604)</f>
        <v>0</v>
      </c>
      <c r="N3604" s="2178" t="s">
        <v>9440</v>
      </c>
      <c r="O3604" s="2209"/>
      <c r="P3604" s="1958"/>
      <c r="Q3604" s="2178"/>
      <c r="R3604" s="1958"/>
      <c r="S3604" s="1958"/>
      <c r="T3604" s="2196"/>
    </row>
    <row r="3605" spans="8:20" ht="12.75" customHeight="1" x14ac:dyDescent="0.2">
      <c r="H3605" s="1958">
        <f>IF(OR(M3605=0),0,SUM($M$3430:M3604)+1)</f>
        <v>0</v>
      </c>
      <c r="I3605" s="2000" t="s">
        <v>9078</v>
      </c>
      <c r="J3605" s="1958">
        <v>40</v>
      </c>
      <c r="K3605" s="1959">
        <v>1</v>
      </c>
      <c r="L3605" s="1959">
        <v>10</v>
      </c>
      <c r="M3605" s="2005">
        <f>COUNTIF('Elan y Personalización'!$C$13:$F$25,Tablas!I3605)+COUNTIF('Elan y Personalización'!$C$45:$F$57,Tablas!I3605)</f>
        <v>0</v>
      </c>
      <c r="N3605" s="2178" t="s">
        <v>9441</v>
      </c>
      <c r="O3605" s="2209"/>
      <c r="P3605" s="1958"/>
      <c r="Q3605" s="2178"/>
      <c r="R3605" s="1958"/>
      <c r="S3605" s="1958"/>
      <c r="T3605" s="2196"/>
    </row>
    <row r="3606" spans="8:20" ht="12.75" customHeight="1" x14ac:dyDescent="0.2">
      <c r="H3606" s="1958">
        <f>IF(OR(M3606=0),0,SUM($M$3430:M3605)+1)</f>
        <v>0</v>
      </c>
      <c r="I3606" s="2000" t="s">
        <v>9079</v>
      </c>
      <c r="J3606" s="1958">
        <v>50</v>
      </c>
      <c r="K3606" s="1959">
        <v>1</v>
      </c>
      <c r="L3606" s="1959">
        <v>10</v>
      </c>
      <c r="M3606" s="2005">
        <f>COUNTIF('Elan y Personalización'!$C$13:$F$25,Tablas!I3606)+COUNTIF('Elan y Personalización'!$C$45:$F$57,Tablas!I3606)</f>
        <v>0</v>
      </c>
      <c r="N3606" s="2178" t="s">
        <v>9442</v>
      </c>
      <c r="O3606" s="2209"/>
      <c r="P3606" s="1958"/>
      <c r="Q3606" s="2178"/>
      <c r="R3606" s="1958"/>
      <c r="S3606" s="1958"/>
      <c r="T3606" s="2196"/>
    </row>
    <row r="3607" spans="8:20" ht="12.75" customHeight="1" x14ac:dyDescent="0.2">
      <c r="H3607" s="1958">
        <f>IF(OR(M3607=0),0,SUM($M$3430:M3606)+1)</f>
        <v>0</v>
      </c>
      <c r="I3607" s="2000" t="s">
        <v>9080</v>
      </c>
      <c r="J3607" s="1958">
        <v>60</v>
      </c>
      <c r="K3607" s="1959">
        <v>1</v>
      </c>
      <c r="L3607" s="1959">
        <v>10</v>
      </c>
      <c r="M3607" s="2005">
        <f>COUNTIF('Elan y Personalización'!$C$13:$F$25,Tablas!I3607)+COUNTIF('Elan y Personalización'!$C$45:$F$57,Tablas!I3607)</f>
        <v>0</v>
      </c>
      <c r="N3607" s="2178" t="s">
        <v>9443</v>
      </c>
      <c r="O3607" s="2209"/>
      <c r="P3607" s="1958"/>
      <c r="Q3607" s="2178"/>
      <c r="R3607" s="1958"/>
      <c r="S3607" s="1958"/>
      <c r="T3607" s="2196"/>
    </row>
    <row r="3608" spans="8:20" ht="12.75" customHeight="1" x14ac:dyDescent="0.2">
      <c r="H3608" s="1958">
        <f>IF(OR(M3608=0),0,SUM($M$3430:M3607)+1)</f>
        <v>0</v>
      </c>
      <c r="I3608" s="2000" t="s">
        <v>9081</v>
      </c>
      <c r="J3608" s="1958">
        <v>60</v>
      </c>
      <c r="K3608" s="1959">
        <f>IF(M3604,1,0)</f>
        <v>0</v>
      </c>
      <c r="L3608" s="1959">
        <v>15</v>
      </c>
      <c r="M3608" s="2005">
        <f>COUNTIF('Elan y Personalización'!$C$13:$F$25,Tablas!I3608)+COUNTIF('Elan y Personalización'!$C$45:$F$57,Tablas!I3608)</f>
        <v>0</v>
      </c>
      <c r="N3608" s="2178" t="s">
        <v>9444</v>
      </c>
      <c r="O3608" s="2209"/>
      <c r="P3608" s="1958"/>
      <c r="Q3608" s="2178"/>
      <c r="R3608" s="1958"/>
      <c r="S3608" s="1958"/>
      <c r="T3608" s="2196"/>
    </row>
    <row r="3609" spans="8:20" ht="12.75" customHeight="1" x14ac:dyDescent="0.2">
      <c r="H3609" s="1958">
        <f>IF(OR(M3609=0),0,SUM($M$3430:M3608)+1)</f>
        <v>0</v>
      </c>
      <c r="I3609" s="2000" t="s">
        <v>9082</v>
      </c>
      <c r="J3609" s="1958">
        <v>70</v>
      </c>
      <c r="K3609" s="1959">
        <v>1</v>
      </c>
      <c r="L3609" s="1959">
        <v>10</v>
      </c>
      <c r="M3609" s="2005">
        <f>COUNTIF('Elan y Personalización'!$C$13:$F$25,Tablas!I3609)+COUNTIF('Elan y Personalización'!$C$45:$F$57,Tablas!I3609)</f>
        <v>0</v>
      </c>
      <c r="N3609" s="2178" t="s">
        <v>9445</v>
      </c>
      <c r="O3609" s="2209"/>
      <c r="P3609" s="1958"/>
      <c r="Q3609" s="2178"/>
      <c r="R3609" s="1958"/>
      <c r="S3609" s="1958"/>
      <c r="T3609" s="2196"/>
    </row>
    <row r="3610" spans="8:20" ht="12.75" customHeight="1" x14ac:dyDescent="0.2">
      <c r="H3610" s="1958">
        <f>IF(OR(M3610=0),0,SUM($M$3430:M3609)+1)</f>
        <v>0</v>
      </c>
      <c r="I3610" s="2000" t="s">
        <v>9083</v>
      </c>
      <c r="J3610" s="1958">
        <v>80</v>
      </c>
      <c r="K3610" s="1959">
        <f>IF(M3607,1,0)</f>
        <v>0</v>
      </c>
      <c r="L3610" s="1959">
        <v>10</v>
      </c>
      <c r="M3610" s="2005">
        <f>COUNTIF('Elan y Personalización'!$C$13:$F$25,Tablas!I3610)+COUNTIF('Elan y Personalización'!$C$45:$F$57,Tablas!I3610)</f>
        <v>0</v>
      </c>
      <c r="N3610" s="2178" t="s">
        <v>9446</v>
      </c>
      <c r="O3610" s="2209"/>
      <c r="P3610" s="1958"/>
      <c r="Q3610" s="2178"/>
      <c r="R3610" s="1958"/>
      <c r="S3610" s="1958"/>
      <c r="T3610" s="2196"/>
    </row>
    <row r="3611" spans="8:20" ht="12.75" customHeight="1" x14ac:dyDescent="0.2">
      <c r="H3611" s="1958">
        <f>IF(OR(M3611=0),0,SUM($M$3430:M3610)+1)</f>
        <v>0</v>
      </c>
      <c r="I3611" s="2000" t="s">
        <v>9084</v>
      </c>
      <c r="J3611" s="1958">
        <v>90</v>
      </c>
      <c r="K3611" s="1959">
        <v>1</v>
      </c>
      <c r="L3611" s="1959">
        <v>15</v>
      </c>
      <c r="M3611" s="2005">
        <f>COUNTIF('Elan y Personalización'!$C$13:$F$25,Tablas!I3611)+COUNTIF('Elan y Personalización'!$C$45:$F$57,Tablas!I3611)</f>
        <v>0</v>
      </c>
      <c r="N3611" s="2178" t="s">
        <v>9447</v>
      </c>
      <c r="O3611" s="2209"/>
      <c r="P3611" s="1958"/>
      <c r="Q3611" s="2178"/>
      <c r="R3611" s="1958"/>
      <c r="S3611" s="1958"/>
      <c r="T3611" s="2196"/>
    </row>
    <row r="3612" spans="8:20" ht="12.75" customHeight="1" thickBot="1" x14ac:dyDescent="0.25">
      <c r="H3612" s="1958">
        <f>IF(OR(M3612=0),0,SUM($M$3430:M3611)+1)</f>
        <v>0</v>
      </c>
      <c r="I3612" s="2001" t="s">
        <v>9085</v>
      </c>
      <c r="J3612" s="1964">
        <v>100</v>
      </c>
      <c r="K3612" s="1965">
        <f>IF(M3606,1,0)</f>
        <v>0</v>
      </c>
      <c r="L3612" s="1965">
        <v>10</v>
      </c>
      <c r="M3612" s="1966">
        <f>COUNTIF('Elan y Personalización'!$C$13:$F$25,Tablas!I3612)+COUNTIF('Elan y Personalización'!$C$45:$F$57,Tablas!I3612)</f>
        <v>0</v>
      </c>
      <c r="N3612" s="2312" t="s">
        <v>9448</v>
      </c>
      <c r="O3612" s="2197"/>
      <c r="P3612" s="2198"/>
      <c r="Q3612" s="2211"/>
      <c r="R3612" s="2198"/>
      <c r="S3612" s="2198"/>
      <c r="T3612" s="2199"/>
    </row>
  </sheetData>
  <sheetProtection scenarios="1" selectLockedCells="1"/>
  <dataConsolidate/>
  <mergeCells count="465">
    <mergeCell ref="M2022:N2022"/>
    <mergeCell ref="J2022:L2022"/>
    <mergeCell ref="T99:U99"/>
    <mergeCell ref="Q108:Q109"/>
    <mergeCell ref="Q110:Q111"/>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D1218:D1219"/>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F264:G264"/>
    <mergeCell ref="F265:G265"/>
    <mergeCell ref="F267:G267"/>
    <mergeCell ref="U362:W362"/>
    <mergeCell ref="U285:W285"/>
    <mergeCell ref="U366:W366"/>
    <mergeCell ref="I273:J273"/>
    <mergeCell ref="U286:W286"/>
    <mergeCell ref="U280:W280"/>
    <mergeCell ref="U284:W284"/>
    <mergeCell ref="U364:W364"/>
    <mergeCell ref="U365:W365"/>
    <mergeCell ref="V26:W26"/>
    <mergeCell ref="Y26:Z26"/>
    <mergeCell ref="AB26:AC26"/>
    <mergeCell ref="AE26:AF26"/>
    <mergeCell ref="B238:B239"/>
    <mergeCell ref="B243:C244"/>
    <mergeCell ref="B255:D255"/>
    <mergeCell ref="B278:X279"/>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F262:G262"/>
    <mergeCell ref="F263:G263"/>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BH35:BI35"/>
    <mergeCell ref="H95:J96"/>
    <mergeCell ref="G137:K138"/>
    <mergeCell ref="I139:J139"/>
    <mergeCell ref="I140:J140"/>
    <mergeCell ref="U281:W281"/>
    <mergeCell ref="U283:W283"/>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B470:C470"/>
    <mergeCell ref="J1291:M1292"/>
    <mergeCell ref="Y16:Z16"/>
    <mergeCell ref="AB16:AC16"/>
    <mergeCell ref="AE16:AF16"/>
    <mergeCell ref="AH16:AI16"/>
    <mergeCell ref="E109:F109"/>
    <mergeCell ref="E95:F96"/>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E169:G170"/>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29" workbookViewId="0">
      <selection activeCell="Z389" sqref="Z389"/>
    </sheetView>
  </sheetViews>
  <sheetFormatPr defaultColWidth="11.42578125" defaultRowHeight="12.75" x14ac:dyDescent="0.2"/>
  <cols>
    <col min="1" max="1" width="9.42578125" style="2468" customWidth="1"/>
    <col min="2" max="2" width="9.42578125" style="2467" customWidth="1"/>
    <col min="3" max="5" width="9.42578125" style="1233" customWidth="1"/>
    <col min="6" max="6" width="9.42578125" style="1235" customWidth="1"/>
    <col min="7" max="9" width="9.42578125" style="1236" customWidth="1"/>
    <col min="10" max="32" width="9.42578125" style="1233" customWidth="1"/>
    <col min="33" max="33" width="9.42578125" style="1237" customWidth="1"/>
    <col min="34" max="256" width="9.42578125" style="1233" customWidth="1"/>
    <col min="257" max="16384" width="11.42578125" style="1233"/>
  </cols>
  <sheetData>
    <row r="1" spans="2:63" ht="12.75" customHeight="1" thickBot="1" x14ac:dyDescent="0.25">
      <c r="B1" s="2465"/>
      <c r="C1" s="1234"/>
    </row>
    <row r="2" spans="2:63" ht="12.75" customHeight="1" x14ac:dyDescent="0.2">
      <c r="B2" s="2466"/>
      <c r="C2" s="4935" t="s">
        <v>5244</v>
      </c>
      <c r="D2" s="4936"/>
      <c r="E2" s="4936"/>
      <c r="F2" s="4936"/>
      <c r="G2" s="4936"/>
      <c r="H2" s="4936"/>
      <c r="I2" s="4936"/>
      <c r="J2" s="4936"/>
      <c r="K2" s="4936"/>
      <c r="L2" s="4936"/>
      <c r="M2" s="4936"/>
      <c r="N2" s="4936"/>
      <c r="O2" s="4936"/>
      <c r="P2" s="4936"/>
      <c r="Q2" s="4936"/>
      <c r="R2" s="4936"/>
      <c r="S2" s="4936"/>
      <c r="T2" s="4936"/>
      <c r="U2" s="4936"/>
      <c r="V2" s="4936"/>
      <c r="W2" s="4936"/>
      <c r="X2" s="4936"/>
      <c r="Y2" s="4936"/>
      <c r="Z2" s="4937"/>
      <c r="AA2" s="1239"/>
      <c r="AB2" s="1239"/>
      <c r="AC2" s="1239"/>
      <c r="AD2" s="1239"/>
      <c r="AE2" s="1239"/>
      <c r="AF2" s="1239"/>
      <c r="AG2" s="1240"/>
      <c r="AH2" s="1239"/>
      <c r="AI2" s="1239"/>
      <c r="AJ2" s="1239"/>
      <c r="AK2" s="1239"/>
      <c r="AL2" s="1239"/>
      <c r="AM2" s="1239"/>
      <c r="AN2" s="1239"/>
      <c r="AO2" s="1239"/>
      <c r="AP2" s="1239"/>
      <c r="AQ2" s="1239"/>
      <c r="AR2" s="1239"/>
      <c r="AS2" s="1239"/>
      <c r="AT2" s="1239"/>
      <c r="AU2" s="1239"/>
      <c r="AV2" s="1239"/>
      <c r="AW2" s="1239"/>
      <c r="AX2" s="1239"/>
      <c r="AY2" s="1239"/>
      <c r="AZ2" s="1239"/>
      <c r="BA2" s="1239"/>
      <c r="BB2" s="1239"/>
      <c r="BC2" s="1239"/>
      <c r="BD2" s="1239"/>
      <c r="BE2" s="1239"/>
      <c r="BF2" s="1239"/>
      <c r="BG2" s="1239"/>
      <c r="BH2" s="1234"/>
      <c r="BI2" s="1234"/>
      <c r="BJ2" s="1234"/>
      <c r="BK2" s="1234"/>
    </row>
    <row r="3" spans="2:63" ht="12.75" customHeight="1" x14ac:dyDescent="0.2">
      <c r="B3" s="2466"/>
      <c r="C3" s="4938"/>
      <c r="D3" s="4939"/>
      <c r="E3" s="4939"/>
      <c r="F3" s="4939"/>
      <c r="G3" s="4939"/>
      <c r="H3" s="4939"/>
      <c r="I3" s="4939"/>
      <c r="J3" s="4939"/>
      <c r="K3" s="4939"/>
      <c r="L3" s="4939"/>
      <c r="M3" s="4939"/>
      <c r="N3" s="4939"/>
      <c r="O3" s="4939"/>
      <c r="P3" s="4939"/>
      <c r="Q3" s="4939"/>
      <c r="R3" s="4939"/>
      <c r="S3" s="4939"/>
      <c r="T3" s="4939"/>
      <c r="U3" s="4939"/>
      <c r="V3" s="4939"/>
      <c r="W3" s="4939"/>
      <c r="X3" s="4939"/>
      <c r="Y3" s="4939"/>
      <c r="Z3" s="4940"/>
      <c r="AA3" s="1239"/>
      <c r="AB3" s="1239"/>
      <c r="AC3" s="1239"/>
      <c r="AD3" s="1239"/>
      <c r="AE3" s="1239"/>
      <c r="AF3" s="1239"/>
      <c r="AG3" s="1240"/>
      <c r="AH3" s="1239"/>
      <c r="AI3" s="1239"/>
      <c r="AJ3" s="1239"/>
      <c r="AK3" s="1239"/>
      <c r="AL3" s="1239"/>
      <c r="AM3" s="1239"/>
      <c r="AN3" s="1239"/>
      <c r="AO3" s="1239"/>
      <c r="AP3" s="1239"/>
      <c r="AQ3" s="1239"/>
      <c r="AR3" s="1239"/>
      <c r="AS3" s="1239"/>
      <c r="AT3" s="1239"/>
      <c r="AU3" s="1239"/>
      <c r="AV3" s="1239"/>
      <c r="AW3" s="1239"/>
      <c r="AX3" s="1239"/>
      <c r="AY3" s="1239"/>
      <c r="AZ3" s="1239"/>
      <c r="BA3" s="1239"/>
      <c r="BB3" s="1239"/>
      <c r="BC3" s="1239"/>
      <c r="BD3" s="1239"/>
      <c r="BE3" s="1239"/>
      <c r="BF3" s="1239"/>
      <c r="BG3" s="1239"/>
      <c r="BH3" s="1234"/>
      <c r="BI3" s="1234"/>
      <c r="BJ3" s="1234"/>
      <c r="BK3" s="1234"/>
    </row>
    <row r="4" spans="2:63" ht="12.75" customHeight="1" x14ac:dyDescent="0.2">
      <c r="B4" s="2466"/>
      <c r="C4" s="1241"/>
      <c r="D4" s="863">
        <v>1</v>
      </c>
      <c r="E4" s="863">
        <v>2</v>
      </c>
      <c r="F4" s="863">
        <v>3</v>
      </c>
      <c r="G4" s="863">
        <v>4</v>
      </c>
      <c r="H4" s="863">
        <v>5</v>
      </c>
      <c r="I4" s="863">
        <v>6</v>
      </c>
      <c r="J4" s="863">
        <v>7</v>
      </c>
      <c r="K4" s="863">
        <v>8</v>
      </c>
      <c r="L4" s="863">
        <v>9</v>
      </c>
      <c r="M4" s="1242">
        <v>10</v>
      </c>
      <c r="N4" s="1242">
        <v>11</v>
      </c>
      <c r="O4" s="1242">
        <v>12</v>
      </c>
      <c r="P4" s="1242">
        <v>13</v>
      </c>
      <c r="Q4" s="1242">
        <v>14</v>
      </c>
      <c r="R4" s="1242">
        <v>15</v>
      </c>
      <c r="S4" s="1242">
        <v>16</v>
      </c>
      <c r="T4" s="1242">
        <v>17</v>
      </c>
      <c r="U4" s="1242">
        <v>18</v>
      </c>
      <c r="V4" s="1242">
        <v>19</v>
      </c>
      <c r="W4" s="1242">
        <v>20</v>
      </c>
      <c r="X4" s="1242">
        <v>21</v>
      </c>
      <c r="Y4" s="1242">
        <v>22</v>
      </c>
      <c r="Z4" s="1243">
        <v>23</v>
      </c>
      <c r="AA4" s="4934"/>
      <c r="AB4" s="4934"/>
      <c r="AC4" s="1244"/>
      <c r="AD4" s="4934"/>
      <c r="AE4" s="4934"/>
      <c r="AF4" s="1244"/>
      <c r="AG4" s="1245"/>
      <c r="AH4" s="1246"/>
      <c r="AI4" s="1244"/>
      <c r="AJ4" s="4934"/>
      <c r="AK4" s="4934"/>
      <c r="AL4" s="1244"/>
      <c r="AM4" s="4934"/>
      <c r="AN4" s="4934"/>
      <c r="AO4" s="1244"/>
      <c r="AP4" s="4934"/>
      <c r="AQ4" s="4934"/>
      <c r="AR4" s="1244"/>
      <c r="AS4" s="4934"/>
      <c r="AT4" s="4934"/>
      <c r="AU4" s="1244"/>
      <c r="AV4" s="4934"/>
      <c r="AW4" s="4934"/>
      <c r="AX4" s="1244"/>
      <c r="AY4" s="4934"/>
      <c r="AZ4" s="4934"/>
      <c r="BA4" s="1244"/>
      <c r="BB4" s="4934"/>
      <c r="BC4" s="4934"/>
      <c r="BD4" s="1244"/>
      <c r="BE4" s="4934"/>
      <c r="BF4" s="4934"/>
      <c r="BG4" s="1244"/>
      <c r="BH4" s="1234"/>
      <c r="BI4" s="1234"/>
      <c r="BJ4" s="1234"/>
      <c r="BK4" s="1234"/>
    </row>
    <row r="5" spans="2:63" ht="12.75" customHeight="1" thickBot="1" x14ac:dyDescent="0.25">
      <c r="B5" s="607"/>
      <c r="C5" s="1247"/>
      <c r="D5" s="1248" t="s">
        <v>2564</v>
      </c>
      <c r="E5" s="1248" t="s">
        <v>2565</v>
      </c>
      <c r="F5" s="1248" t="s">
        <v>2256</v>
      </c>
      <c r="G5" s="1248" t="s">
        <v>5245</v>
      </c>
      <c r="H5" s="1248" t="s">
        <v>2252</v>
      </c>
      <c r="I5" s="1248" t="s">
        <v>3989</v>
      </c>
      <c r="J5" s="1248" t="s">
        <v>5246</v>
      </c>
      <c r="K5" s="1248" t="s">
        <v>5247</v>
      </c>
      <c r="L5" s="1248" t="s">
        <v>5248</v>
      </c>
      <c r="M5" s="1248" t="s">
        <v>5249</v>
      </c>
      <c r="N5" s="1248" t="s">
        <v>5250</v>
      </c>
      <c r="O5" s="1248" t="s">
        <v>5251</v>
      </c>
      <c r="P5" s="1248" t="s">
        <v>5252</v>
      </c>
      <c r="Q5" s="1248" t="s">
        <v>5253</v>
      </c>
      <c r="R5" s="1248" t="s">
        <v>5254</v>
      </c>
      <c r="S5" s="1248" t="s">
        <v>5255</v>
      </c>
      <c r="T5" s="1248" t="s">
        <v>5256</v>
      </c>
      <c r="U5" s="1248" t="s">
        <v>5257</v>
      </c>
      <c r="V5" s="709" t="s">
        <v>2218</v>
      </c>
      <c r="W5" s="709" t="s">
        <v>5258</v>
      </c>
      <c r="X5" s="709" t="s">
        <v>5259</v>
      </c>
      <c r="Y5" s="709" t="s">
        <v>5260</v>
      </c>
      <c r="Z5" s="710" t="s">
        <v>1763</v>
      </c>
      <c r="AA5" s="4941"/>
      <c r="AB5" s="4941"/>
      <c r="AC5" s="1249"/>
      <c r="AD5" s="4941"/>
      <c r="AE5" s="4941"/>
      <c r="AF5" s="1249"/>
      <c r="AG5" s="1250"/>
      <c r="AH5" s="1251"/>
      <c r="AI5" s="1249"/>
      <c r="AJ5" s="4941"/>
      <c r="AK5" s="4941"/>
      <c r="AL5" s="1249"/>
      <c r="AM5" s="4941"/>
      <c r="AN5" s="4941"/>
      <c r="AO5" s="1249"/>
      <c r="AP5" s="4941"/>
      <c r="AQ5" s="4941"/>
      <c r="AR5" s="1249"/>
      <c r="AS5" s="4941"/>
      <c r="AT5" s="4941"/>
      <c r="AU5" s="1249"/>
      <c r="AV5" s="4941"/>
      <c r="AW5" s="4941"/>
      <c r="AX5" s="1249"/>
      <c r="AY5" s="4941"/>
      <c r="AZ5" s="4941"/>
      <c r="BA5" s="1249"/>
      <c r="BB5" s="4941"/>
      <c r="BC5" s="4941"/>
      <c r="BD5" s="1249"/>
      <c r="BE5" s="4941"/>
      <c r="BF5" s="4941"/>
      <c r="BG5" s="1249"/>
      <c r="BH5" s="1234"/>
      <c r="BI5" s="1234"/>
      <c r="BJ5" s="1234"/>
      <c r="BK5" s="1234"/>
    </row>
    <row r="6" spans="2:63" ht="12.75" customHeight="1" x14ac:dyDescent="0.2">
      <c r="B6" s="2465"/>
      <c r="C6" s="1252"/>
      <c r="D6" s="1253" t="s">
        <v>417</v>
      </c>
      <c r="E6" s="1254"/>
      <c r="F6" s="1254"/>
      <c r="G6" s="1255"/>
      <c r="H6" s="1255"/>
      <c r="I6" s="1256"/>
      <c r="J6" s="1254"/>
      <c r="K6" s="1254"/>
      <c r="L6" s="1254"/>
      <c r="M6" s="1257"/>
      <c r="N6" s="1254"/>
      <c r="O6" s="1254"/>
      <c r="P6" s="1254"/>
      <c r="Q6" s="1257"/>
      <c r="R6" s="1254"/>
      <c r="S6" s="1254"/>
      <c r="T6" s="1258"/>
      <c r="U6" s="1259"/>
      <c r="V6" s="1260"/>
      <c r="W6" s="1260"/>
      <c r="X6" s="1260"/>
      <c r="Y6" s="1260"/>
      <c r="Z6" s="1261"/>
    </row>
    <row r="7" spans="2:63" ht="12.75" customHeight="1" x14ac:dyDescent="0.2">
      <c r="B7" s="2465" t="str">
        <f>E7&amp;F7</f>
        <v>Luz2</v>
      </c>
      <c r="C7" s="1262"/>
      <c r="D7" s="1263" t="s">
        <v>419</v>
      </c>
      <c r="E7" s="1254" t="s">
        <v>2570</v>
      </c>
      <c r="F7" s="1254">
        <v>2</v>
      </c>
      <c r="G7" s="1255" t="s">
        <v>3090</v>
      </c>
      <c r="H7" s="1255" t="s">
        <v>1763</v>
      </c>
      <c r="I7" s="1256" t="s">
        <v>1918</v>
      </c>
      <c r="J7" s="1254">
        <v>5</v>
      </c>
      <c r="K7" s="1254">
        <v>8</v>
      </c>
      <c r="L7" s="1254">
        <v>10</v>
      </c>
      <c r="M7" s="1257">
        <v>12</v>
      </c>
      <c r="N7" s="1254">
        <v>20</v>
      </c>
      <c r="O7" s="1254">
        <v>50</v>
      </c>
      <c r="P7" s="1254">
        <v>100</v>
      </c>
      <c r="Q7" s="1257">
        <v>200</v>
      </c>
      <c r="R7" s="1254">
        <v>5</v>
      </c>
      <c r="S7" s="1254">
        <v>5</v>
      </c>
      <c r="T7" s="1258">
        <v>10</v>
      </c>
      <c r="U7" s="1264">
        <v>15</v>
      </c>
      <c r="V7" s="1260" t="s">
        <v>5261</v>
      </c>
      <c r="W7" s="1260" t="s">
        <v>5262</v>
      </c>
      <c r="X7" s="1260" t="s">
        <v>5263</v>
      </c>
      <c r="Y7" s="1260" t="s">
        <v>5264</v>
      </c>
      <c r="Z7" s="1261" t="s">
        <v>5265</v>
      </c>
    </row>
    <row r="8" spans="2:63" ht="12.75" customHeight="1" x14ac:dyDescent="0.2">
      <c r="B8" s="2465" t="str">
        <f t="shared" ref="B8:B71" si="0">E8&amp;F8</f>
        <v>Luz6</v>
      </c>
      <c r="C8" s="1262"/>
      <c r="D8" s="1263" t="s">
        <v>434</v>
      </c>
      <c r="E8" s="1254" t="s">
        <v>2570</v>
      </c>
      <c r="F8" s="1254">
        <v>6</v>
      </c>
      <c r="G8" s="1255" t="s">
        <v>2234</v>
      </c>
      <c r="H8" s="1255" t="s">
        <v>1762</v>
      </c>
      <c r="I8" s="1256" t="s">
        <v>1918</v>
      </c>
      <c r="J8" s="1254">
        <v>5</v>
      </c>
      <c r="K8" s="1254">
        <v>8</v>
      </c>
      <c r="L8" s="1254">
        <v>11</v>
      </c>
      <c r="M8" s="1257">
        <v>14</v>
      </c>
      <c r="N8" s="1254">
        <v>40</v>
      </c>
      <c r="O8" s="1254">
        <v>80</v>
      </c>
      <c r="P8" s="1254">
        <v>120</v>
      </c>
      <c r="Q8" s="1257">
        <v>160</v>
      </c>
      <c r="R8" s="1254" t="s">
        <v>2234</v>
      </c>
      <c r="S8" s="1254" t="s">
        <v>2234</v>
      </c>
      <c r="T8" s="1258" t="s">
        <v>2234</v>
      </c>
      <c r="U8" s="1264" t="s">
        <v>2234</v>
      </c>
      <c r="V8" s="1260" t="s">
        <v>5266</v>
      </c>
      <c r="W8" s="1260" t="s">
        <v>5267</v>
      </c>
      <c r="X8" s="1260" t="s">
        <v>5268</v>
      </c>
      <c r="Y8" s="1260" t="s">
        <v>5269</v>
      </c>
      <c r="Z8" s="1261" t="s">
        <v>5270</v>
      </c>
    </row>
    <row r="9" spans="2:63" ht="12.75" customHeight="1" x14ac:dyDescent="0.2">
      <c r="B9" s="2465" t="str">
        <f t="shared" si="0"/>
        <v>Luz8</v>
      </c>
      <c r="C9" s="1262"/>
      <c r="D9" s="1263" t="s">
        <v>435</v>
      </c>
      <c r="E9" s="1254" t="s">
        <v>2570</v>
      </c>
      <c r="F9" s="1254">
        <v>8</v>
      </c>
      <c r="G9" s="1255" t="s">
        <v>2234</v>
      </c>
      <c r="H9" s="1255" t="s">
        <v>5271</v>
      </c>
      <c r="I9" s="1256" t="s">
        <v>1918</v>
      </c>
      <c r="J9" s="1254">
        <v>6</v>
      </c>
      <c r="K9" s="1254">
        <v>9</v>
      </c>
      <c r="L9" s="1254">
        <v>11</v>
      </c>
      <c r="M9" s="1257">
        <v>14</v>
      </c>
      <c r="N9" s="1254">
        <v>50</v>
      </c>
      <c r="O9" s="1254">
        <v>100</v>
      </c>
      <c r="P9" s="1254">
        <v>150</v>
      </c>
      <c r="Q9" s="1257">
        <v>200</v>
      </c>
      <c r="R9" s="1254" t="s">
        <v>2234</v>
      </c>
      <c r="S9" s="1254" t="s">
        <v>2234</v>
      </c>
      <c r="T9" s="1258" t="s">
        <v>2234</v>
      </c>
      <c r="U9" s="1264" t="s">
        <v>2234</v>
      </c>
      <c r="V9" s="1260" t="s">
        <v>5272</v>
      </c>
      <c r="W9" s="1260" t="s">
        <v>5273</v>
      </c>
      <c r="X9" s="1260" t="s">
        <v>5274</v>
      </c>
      <c r="Y9" s="1260" t="s">
        <v>5275</v>
      </c>
      <c r="Z9" s="1261" t="s">
        <v>5276</v>
      </c>
    </row>
    <row r="10" spans="2:63" ht="12.75" customHeight="1" x14ac:dyDescent="0.2">
      <c r="B10" s="2465" t="str">
        <f t="shared" si="0"/>
        <v>Luz10</v>
      </c>
      <c r="C10" s="1262"/>
      <c r="D10" s="1263" t="s">
        <v>436</v>
      </c>
      <c r="E10" s="1254" t="s">
        <v>2570</v>
      </c>
      <c r="F10" s="1254">
        <v>10</v>
      </c>
      <c r="G10" s="1255" t="s">
        <v>2234</v>
      </c>
      <c r="H10" s="1255" t="s">
        <v>2431</v>
      </c>
      <c r="I10" s="1256" t="s">
        <v>1919</v>
      </c>
      <c r="J10" s="1254">
        <v>6</v>
      </c>
      <c r="K10" s="1254">
        <v>8</v>
      </c>
      <c r="L10" s="1254">
        <v>10</v>
      </c>
      <c r="M10" s="1257">
        <v>14</v>
      </c>
      <c r="N10" s="1254">
        <v>50</v>
      </c>
      <c r="O10" s="1254">
        <v>120</v>
      </c>
      <c r="P10" s="1254">
        <v>180</v>
      </c>
      <c r="Q10" s="1257">
        <v>250</v>
      </c>
      <c r="R10" s="1254">
        <v>5</v>
      </c>
      <c r="S10" s="1254">
        <v>15</v>
      </c>
      <c r="T10" s="1258">
        <v>20</v>
      </c>
      <c r="U10" s="1264">
        <v>25</v>
      </c>
      <c r="V10" s="1260" t="s">
        <v>5277</v>
      </c>
      <c r="W10" s="1260" t="s">
        <v>5278</v>
      </c>
      <c r="X10" s="1260" t="s">
        <v>5279</v>
      </c>
      <c r="Y10" s="1260" t="s">
        <v>5280</v>
      </c>
      <c r="Z10" s="1261" t="s">
        <v>5281</v>
      </c>
    </row>
    <row r="11" spans="2:63" ht="12.75" customHeight="1" x14ac:dyDescent="0.2">
      <c r="B11" s="2465" t="str">
        <f t="shared" si="0"/>
        <v>Luz12</v>
      </c>
      <c r="C11" s="1262"/>
      <c r="D11" s="1263" t="s">
        <v>437</v>
      </c>
      <c r="E11" s="1254" t="s">
        <v>2570</v>
      </c>
      <c r="F11" s="1254">
        <v>12</v>
      </c>
      <c r="G11" s="1255" t="s">
        <v>2234</v>
      </c>
      <c r="H11" s="1255" t="s">
        <v>1763</v>
      </c>
      <c r="I11" s="1256" t="s">
        <v>1918</v>
      </c>
      <c r="J11" s="1254">
        <v>6</v>
      </c>
      <c r="K11" s="1254">
        <v>9</v>
      </c>
      <c r="L11" s="1254">
        <v>12</v>
      </c>
      <c r="M11" s="1257">
        <v>14</v>
      </c>
      <c r="N11" s="1254">
        <v>50</v>
      </c>
      <c r="O11" s="1254">
        <v>150</v>
      </c>
      <c r="P11" s="1254">
        <v>200</v>
      </c>
      <c r="Q11" s="1257">
        <v>250</v>
      </c>
      <c r="R11" s="1254">
        <v>5</v>
      </c>
      <c r="S11" s="1254">
        <v>15</v>
      </c>
      <c r="T11" s="1258">
        <v>20</v>
      </c>
      <c r="U11" s="1264">
        <v>25</v>
      </c>
      <c r="V11" s="1260" t="s">
        <v>5282</v>
      </c>
      <c r="W11" s="1260" t="s">
        <v>5283</v>
      </c>
      <c r="X11" s="1260" t="s">
        <v>5284</v>
      </c>
      <c r="Y11" s="1260" t="s">
        <v>5285</v>
      </c>
      <c r="Z11" s="1261" t="s">
        <v>5286</v>
      </c>
    </row>
    <row r="12" spans="2:63" ht="12.75" customHeight="1" x14ac:dyDescent="0.2">
      <c r="B12" s="2465" t="str">
        <f t="shared" si="0"/>
        <v>Luz16</v>
      </c>
      <c r="C12" s="1262"/>
      <c r="D12" s="1263" t="s">
        <v>438</v>
      </c>
      <c r="E12" s="1254" t="s">
        <v>2570</v>
      </c>
      <c r="F12" s="1254">
        <v>16</v>
      </c>
      <c r="G12" s="1255" t="s">
        <v>2234</v>
      </c>
      <c r="H12" s="1255" t="s">
        <v>1763</v>
      </c>
      <c r="I12" s="1256" t="s">
        <v>1918</v>
      </c>
      <c r="J12" s="1254">
        <v>6</v>
      </c>
      <c r="K12" s="1254">
        <v>9</v>
      </c>
      <c r="L12" s="1254">
        <v>12</v>
      </c>
      <c r="M12" s="1257">
        <v>15</v>
      </c>
      <c r="N12" s="1254">
        <v>60</v>
      </c>
      <c r="O12" s="1254">
        <v>90</v>
      </c>
      <c r="P12" s="1254">
        <v>120</v>
      </c>
      <c r="Q12" s="1257">
        <v>150</v>
      </c>
      <c r="R12" s="1254">
        <v>5</v>
      </c>
      <c r="S12" s="1254">
        <v>10</v>
      </c>
      <c r="T12" s="1258">
        <v>15</v>
      </c>
      <c r="U12" s="1264">
        <v>20</v>
      </c>
      <c r="V12" s="1260" t="s">
        <v>5287</v>
      </c>
      <c r="W12" s="1260" t="s">
        <v>5288</v>
      </c>
      <c r="X12" s="1260" t="s">
        <v>5289</v>
      </c>
      <c r="Y12" s="1260" t="s">
        <v>5290</v>
      </c>
      <c r="Z12" s="1261" t="s">
        <v>5291</v>
      </c>
    </row>
    <row r="13" spans="2:63" ht="12.75" customHeight="1" x14ac:dyDescent="0.2">
      <c r="B13" s="2465" t="str">
        <f t="shared" si="0"/>
        <v>Luz18</v>
      </c>
      <c r="C13" s="1262"/>
      <c r="D13" s="1263" t="s">
        <v>439</v>
      </c>
      <c r="E13" s="1254" t="s">
        <v>2570</v>
      </c>
      <c r="F13" s="1254">
        <v>18</v>
      </c>
      <c r="G13" s="1255" t="s">
        <v>2234</v>
      </c>
      <c r="H13" s="1255" t="s">
        <v>1763</v>
      </c>
      <c r="I13" s="1256" t="s">
        <v>1918</v>
      </c>
      <c r="J13" s="1254">
        <v>6</v>
      </c>
      <c r="K13" s="1254">
        <v>9</v>
      </c>
      <c r="L13" s="1254">
        <v>12</v>
      </c>
      <c r="M13" s="1257">
        <v>15</v>
      </c>
      <c r="N13" s="1254">
        <v>60</v>
      </c>
      <c r="O13" s="1254">
        <v>100</v>
      </c>
      <c r="P13" s="1254">
        <v>150</v>
      </c>
      <c r="Q13" s="1257">
        <v>250</v>
      </c>
      <c r="R13" s="1254">
        <v>10</v>
      </c>
      <c r="S13" s="1254">
        <v>10</v>
      </c>
      <c r="T13" s="1258">
        <v>15</v>
      </c>
      <c r="U13" s="1264">
        <v>25</v>
      </c>
      <c r="V13" s="1260" t="s">
        <v>5292</v>
      </c>
      <c r="W13" s="1260" t="s">
        <v>5293</v>
      </c>
      <c r="X13" s="1260" t="s">
        <v>5294</v>
      </c>
      <c r="Y13" s="1260" t="s">
        <v>5295</v>
      </c>
      <c r="Z13" s="1261" t="s">
        <v>5296</v>
      </c>
    </row>
    <row r="14" spans="2:63" ht="12.75" customHeight="1" x14ac:dyDescent="0.2">
      <c r="B14" s="2465" t="str">
        <f t="shared" si="0"/>
        <v>Luz20</v>
      </c>
      <c r="C14" s="1262"/>
      <c r="D14" s="1263" t="s">
        <v>440</v>
      </c>
      <c r="E14" s="1254" t="s">
        <v>2570</v>
      </c>
      <c r="F14" s="1254">
        <v>20</v>
      </c>
      <c r="G14" s="1255" t="s">
        <v>2234</v>
      </c>
      <c r="H14" s="1255" t="s">
        <v>1765</v>
      </c>
      <c r="I14" s="1256" t="s">
        <v>1918</v>
      </c>
      <c r="J14" s="1254">
        <v>6</v>
      </c>
      <c r="K14" s="1254">
        <v>9</v>
      </c>
      <c r="L14" s="1254">
        <v>12</v>
      </c>
      <c r="M14" s="1257">
        <v>15</v>
      </c>
      <c r="N14" s="1254">
        <v>50</v>
      </c>
      <c r="O14" s="1254">
        <v>100</v>
      </c>
      <c r="P14" s="1254">
        <v>160</v>
      </c>
      <c r="Q14" s="1257">
        <v>280</v>
      </c>
      <c r="R14" s="1254">
        <v>5</v>
      </c>
      <c r="S14" s="1254">
        <v>10</v>
      </c>
      <c r="T14" s="1258">
        <v>20</v>
      </c>
      <c r="U14" s="1264">
        <v>30</v>
      </c>
      <c r="V14" s="1260" t="s">
        <v>5297</v>
      </c>
      <c r="W14" s="1260" t="s">
        <v>5298</v>
      </c>
      <c r="X14" s="1260" t="s">
        <v>5299</v>
      </c>
      <c r="Y14" s="1260" t="s">
        <v>5300</v>
      </c>
      <c r="Z14" s="1261" t="s">
        <v>5301</v>
      </c>
    </row>
    <row r="15" spans="2:63" ht="12.75" customHeight="1" x14ac:dyDescent="0.2">
      <c r="B15" s="2465" t="str">
        <f t="shared" si="0"/>
        <v>Luz22</v>
      </c>
      <c r="C15" s="1262"/>
      <c r="D15" s="1263" t="s">
        <v>441</v>
      </c>
      <c r="E15" s="1254" t="s">
        <v>2570</v>
      </c>
      <c r="F15" s="1254">
        <v>22</v>
      </c>
      <c r="G15" s="1255" t="s">
        <v>2234</v>
      </c>
      <c r="H15" s="1255" t="s">
        <v>1761</v>
      </c>
      <c r="I15" s="1256" t="s">
        <v>1918</v>
      </c>
      <c r="J15" s="1254">
        <v>6</v>
      </c>
      <c r="K15" s="1254">
        <v>9</v>
      </c>
      <c r="L15" s="1254">
        <v>12</v>
      </c>
      <c r="M15" s="1257">
        <v>15</v>
      </c>
      <c r="N15" s="1254">
        <v>50</v>
      </c>
      <c r="O15" s="1254">
        <v>90</v>
      </c>
      <c r="P15" s="1254">
        <v>120</v>
      </c>
      <c r="Q15" s="1257">
        <v>150</v>
      </c>
      <c r="R15" s="1254" t="s">
        <v>2234</v>
      </c>
      <c r="S15" s="1254" t="s">
        <v>2234</v>
      </c>
      <c r="T15" s="1258" t="s">
        <v>2234</v>
      </c>
      <c r="U15" s="1264" t="s">
        <v>2234</v>
      </c>
      <c r="V15" s="1260" t="s">
        <v>5302</v>
      </c>
      <c r="W15" s="1260" t="s">
        <v>5303</v>
      </c>
      <c r="X15" s="1260" t="s">
        <v>5304</v>
      </c>
      <c r="Y15" s="1260" t="s">
        <v>5305</v>
      </c>
      <c r="Z15" s="1261" t="s">
        <v>5306</v>
      </c>
    </row>
    <row r="16" spans="2:63" ht="12.75" customHeight="1" x14ac:dyDescent="0.2">
      <c r="B16" s="2465" t="str">
        <f t="shared" si="0"/>
        <v>Luz26</v>
      </c>
      <c r="C16" s="1262"/>
      <c r="D16" s="1263" t="s">
        <v>422</v>
      </c>
      <c r="E16" s="1254" t="s">
        <v>2570</v>
      </c>
      <c r="F16" s="1254">
        <v>26</v>
      </c>
      <c r="G16" s="1255" t="s">
        <v>2234</v>
      </c>
      <c r="H16" s="1255" t="s">
        <v>1763</v>
      </c>
      <c r="I16" s="1256" t="s">
        <v>1918</v>
      </c>
      <c r="J16" s="1254">
        <v>6</v>
      </c>
      <c r="K16" s="1254">
        <v>9</v>
      </c>
      <c r="L16" s="1254">
        <v>12</v>
      </c>
      <c r="M16" s="1257">
        <v>15</v>
      </c>
      <c r="N16" s="1254">
        <v>40</v>
      </c>
      <c r="O16" s="1254">
        <v>150</v>
      </c>
      <c r="P16" s="1254">
        <v>250</v>
      </c>
      <c r="Q16" s="1257">
        <v>350</v>
      </c>
      <c r="R16" s="1254">
        <v>5</v>
      </c>
      <c r="S16" s="1254">
        <v>20</v>
      </c>
      <c r="T16" s="1258">
        <v>25</v>
      </c>
      <c r="U16" s="1264">
        <v>30</v>
      </c>
      <c r="V16" s="1260" t="s">
        <v>5307</v>
      </c>
      <c r="W16" s="1260" t="s">
        <v>5308</v>
      </c>
      <c r="X16" s="1260" t="s">
        <v>5309</v>
      </c>
      <c r="Y16" s="1260" t="s">
        <v>5310</v>
      </c>
      <c r="Z16" s="1261" t="s">
        <v>5311</v>
      </c>
    </row>
    <row r="17" spans="2:26" ht="12.75" customHeight="1" x14ac:dyDescent="0.2">
      <c r="B17" s="2465" t="str">
        <f t="shared" si="0"/>
        <v>Luz28</v>
      </c>
      <c r="C17" s="1262"/>
      <c r="D17" s="1263" t="s">
        <v>442</v>
      </c>
      <c r="E17" s="1254" t="s">
        <v>2570</v>
      </c>
      <c r="F17" s="1254">
        <v>28</v>
      </c>
      <c r="G17" s="1255" t="s">
        <v>2234</v>
      </c>
      <c r="H17" s="1255" t="s">
        <v>1761</v>
      </c>
      <c r="I17" s="1256" t="s">
        <v>1918</v>
      </c>
      <c r="J17" s="1254">
        <v>6</v>
      </c>
      <c r="K17" s="1254">
        <v>9</v>
      </c>
      <c r="L17" s="1254">
        <v>12</v>
      </c>
      <c r="M17" s="1257">
        <v>15</v>
      </c>
      <c r="N17" s="1254">
        <v>60</v>
      </c>
      <c r="O17" s="1254">
        <v>100</v>
      </c>
      <c r="P17" s="1254">
        <v>140</v>
      </c>
      <c r="Q17" s="1257">
        <v>180</v>
      </c>
      <c r="R17" s="1254">
        <v>10</v>
      </c>
      <c r="S17" s="1254">
        <v>10</v>
      </c>
      <c r="T17" s="1258">
        <v>15</v>
      </c>
      <c r="U17" s="1264">
        <v>15</v>
      </c>
      <c r="V17" s="1260" t="s">
        <v>5312</v>
      </c>
      <c r="W17" s="1260" t="s">
        <v>5313</v>
      </c>
      <c r="X17" s="1260" t="s">
        <v>5314</v>
      </c>
      <c r="Y17" s="1260" t="s">
        <v>5315</v>
      </c>
      <c r="Z17" s="1261" t="s">
        <v>5316</v>
      </c>
    </row>
    <row r="18" spans="2:26" ht="12.75" customHeight="1" x14ac:dyDescent="0.2">
      <c r="B18" s="2465" t="str">
        <f t="shared" si="0"/>
        <v>Luz30</v>
      </c>
      <c r="C18" s="1262"/>
      <c r="D18" s="1263" t="s">
        <v>443</v>
      </c>
      <c r="E18" s="1254" t="s">
        <v>2570</v>
      </c>
      <c r="F18" s="1254">
        <v>30</v>
      </c>
      <c r="G18" s="1255" t="s">
        <v>2234</v>
      </c>
      <c r="H18" s="1255" t="s">
        <v>1763</v>
      </c>
      <c r="I18" s="1256" t="s">
        <v>1918</v>
      </c>
      <c r="J18" s="1254">
        <v>6</v>
      </c>
      <c r="K18" s="1254">
        <v>9</v>
      </c>
      <c r="L18" s="1254">
        <v>12</v>
      </c>
      <c r="M18" s="1257">
        <v>15</v>
      </c>
      <c r="N18" s="1254">
        <v>50</v>
      </c>
      <c r="O18" s="1254">
        <v>150</v>
      </c>
      <c r="P18" s="1254">
        <v>250</v>
      </c>
      <c r="Q18" s="1257">
        <v>250</v>
      </c>
      <c r="R18" s="1254">
        <v>5</v>
      </c>
      <c r="S18" s="1254">
        <v>20</v>
      </c>
      <c r="T18" s="1258">
        <v>25</v>
      </c>
      <c r="U18" s="1264">
        <v>30</v>
      </c>
      <c r="V18" s="1260" t="s">
        <v>5317</v>
      </c>
      <c r="W18" s="1260" t="s">
        <v>5318</v>
      </c>
      <c r="X18" s="1260" t="s">
        <v>5319</v>
      </c>
      <c r="Y18" s="1260" t="s">
        <v>5320</v>
      </c>
      <c r="Z18" s="1261" t="s">
        <v>5321</v>
      </c>
    </row>
    <row r="19" spans="2:26" ht="12.75" customHeight="1" x14ac:dyDescent="0.2">
      <c r="B19" s="2465" t="str">
        <f t="shared" si="0"/>
        <v>Luz32</v>
      </c>
      <c r="C19" s="1262"/>
      <c r="D19" s="1263" t="s">
        <v>444</v>
      </c>
      <c r="E19" s="1254" t="s">
        <v>2570</v>
      </c>
      <c r="F19" s="1254">
        <v>32</v>
      </c>
      <c r="G19" s="1255" t="s">
        <v>2234</v>
      </c>
      <c r="H19" s="1255" t="s">
        <v>1765</v>
      </c>
      <c r="I19" s="1256" t="s">
        <v>1918</v>
      </c>
      <c r="J19" s="1254">
        <v>6</v>
      </c>
      <c r="K19" s="1254">
        <v>9</v>
      </c>
      <c r="L19" s="1254">
        <v>12</v>
      </c>
      <c r="M19" s="1257">
        <v>15</v>
      </c>
      <c r="N19" s="1254">
        <v>60</v>
      </c>
      <c r="O19" s="1254">
        <v>100</v>
      </c>
      <c r="P19" s="1254">
        <v>150</v>
      </c>
      <c r="Q19" s="1257">
        <v>300</v>
      </c>
      <c r="R19" s="1254">
        <v>5</v>
      </c>
      <c r="S19" s="1254">
        <v>10</v>
      </c>
      <c r="T19" s="1258">
        <v>15</v>
      </c>
      <c r="U19" s="1264">
        <v>30</v>
      </c>
      <c r="V19" s="1260" t="s">
        <v>5322</v>
      </c>
      <c r="W19" s="1260" t="s">
        <v>5323</v>
      </c>
      <c r="X19" s="1260" t="s">
        <v>5324</v>
      </c>
      <c r="Y19" s="1260" t="s">
        <v>5325</v>
      </c>
      <c r="Z19" s="1261" t="s">
        <v>5326</v>
      </c>
    </row>
    <row r="20" spans="2:26" ht="12.75" customHeight="1" x14ac:dyDescent="0.2">
      <c r="B20" s="2465" t="str">
        <f t="shared" si="0"/>
        <v>Luz36</v>
      </c>
      <c r="C20" s="1262"/>
      <c r="D20" s="1263" t="s">
        <v>445</v>
      </c>
      <c r="E20" s="1254" t="s">
        <v>2570</v>
      </c>
      <c r="F20" s="1254">
        <v>36</v>
      </c>
      <c r="G20" s="1255" t="s">
        <v>3090</v>
      </c>
      <c r="H20" s="1255" t="s">
        <v>1763</v>
      </c>
      <c r="I20" s="1256" t="s">
        <v>1918</v>
      </c>
      <c r="J20" s="1254">
        <v>6</v>
      </c>
      <c r="K20" s="1254">
        <v>9</v>
      </c>
      <c r="L20" s="1254">
        <v>12</v>
      </c>
      <c r="M20" s="1257">
        <v>15</v>
      </c>
      <c r="N20" s="1254">
        <v>100</v>
      </c>
      <c r="O20" s="1254">
        <v>200</v>
      </c>
      <c r="P20" s="1254">
        <v>300</v>
      </c>
      <c r="Q20" s="1257">
        <v>400</v>
      </c>
      <c r="R20" s="1254">
        <v>20</v>
      </c>
      <c r="S20" s="1254">
        <v>40</v>
      </c>
      <c r="T20" s="1258">
        <v>60</v>
      </c>
      <c r="U20" s="1264">
        <v>80</v>
      </c>
      <c r="V20" s="1260" t="s">
        <v>5327</v>
      </c>
      <c r="W20" s="1260" t="s">
        <v>5328</v>
      </c>
      <c r="X20" s="1260" t="s">
        <v>5329</v>
      </c>
      <c r="Y20" s="1260" t="s">
        <v>5330</v>
      </c>
      <c r="Z20" s="1261" t="s">
        <v>5331</v>
      </c>
    </row>
    <row r="21" spans="2:26" ht="12.75" customHeight="1" x14ac:dyDescent="0.2">
      <c r="B21" s="2465" t="str">
        <f t="shared" si="0"/>
        <v>Luz38</v>
      </c>
      <c r="C21" s="1262"/>
      <c r="D21" s="1263" t="s">
        <v>446</v>
      </c>
      <c r="E21" s="1254" t="s">
        <v>2570</v>
      </c>
      <c r="F21" s="1254">
        <v>38</v>
      </c>
      <c r="G21" s="1255" t="s">
        <v>2234</v>
      </c>
      <c r="H21" s="1255" t="s">
        <v>1762</v>
      </c>
      <c r="I21" s="1256" t="s">
        <v>1918</v>
      </c>
      <c r="J21" s="1254">
        <v>6</v>
      </c>
      <c r="K21" s="1254">
        <v>9</v>
      </c>
      <c r="L21" s="1254">
        <v>12</v>
      </c>
      <c r="M21" s="1257">
        <v>15</v>
      </c>
      <c r="N21" s="1254">
        <v>60</v>
      </c>
      <c r="O21" s="1254">
        <v>90</v>
      </c>
      <c r="P21" s="1254">
        <v>120</v>
      </c>
      <c r="Q21" s="1257">
        <v>150</v>
      </c>
      <c r="R21" s="1254">
        <v>10</v>
      </c>
      <c r="S21" s="1254">
        <v>10</v>
      </c>
      <c r="T21" s="1258">
        <v>15</v>
      </c>
      <c r="U21" s="1264">
        <v>15</v>
      </c>
      <c r="V21" s="1260" t="s">
        <v>5332</v>
      </c>
      <c r="W21" s="1260" t="s">
        <v>5333</v>
      </c>
      <c r="X21" s="1260" t="s">
        <v>5334</v>
      </c>
      <c r="Y21" s="1260" t="s">
        <v>5335</v>
      </c>
      <c r="Z21" s="1261" t="s">
        <v>5336</v>
      </c>
    </row>
    <row r="22" spans="2:26" ht="12.75" customHeight="1" x14ac:dyDescent="0.2">
      <c r="B22" s="2465" t="str">
        <f t="shared" si="0"/>
        <v>Luz40</v>
      </c>
      <c r="C22" s="1262"/>
      <c r="D22" s="1263" t="s">
        <v>5337</v>
      </c>
      <c r="E22" s="1254" t="s">
        <v>2570</v>
      </c>
      <c r="F22" s="1254">
        <v>40</v>
      </c>
      <c r="G22" s="1255" t="s">
        <v>2234</v>
      </c>
      <c r="H22" s="1255" t="s">
        <v>1762</v>
      </c>
      <c r="I22" s="1256" t="s">
        <v>1918</v>
      </c>
      <c r="J22" s="1254">
        <v>6</v>
      </c>
      <c r="K22" s="1254">
        <v>9</v>
      </c>
      <c r="L22" s="1254">
        <v>12</v>
      </c>
      <c r="M22" s="1257">
        <v>15</v>
      </c>
      <c r="N22" s="1254">
        <v>80</v>
      </c>
      <c r="O22" s="1254">
        <v>180</v>
      </c>
      <c r="P22" s="1254">
        <v>240</v>
      </c>
      <c r="Q22" s="1257">
        <v>350</v>
      </c>
      <c r="R22" s="1254" t="s">
        <v>2234</v>
      </c>
      <c r="S22" s="1254" t="s">
        <v>2234</v>
      </c>
      <c r="T22" s="1258" t="s">
        <v>2234</v>
      </c>
      <c r="U22" s="1264" t="s">
        <v>2234</v>
      </c>
      <c r="V22" s="1260" t="s">
        <v>5338</v>
      </c>
      <c r="W22" s="1260" t="s">
        <v>5339</v>
      </c>
      <c r="X22" s="1260" t="s">
        <v>5340</v>
      </c>
      <c r="Y22" s="1260" t="s">
        <v>5341</v>
      </c>
      <c r="Z22" s="1261" t="s">
        <v>5342</v>
      </c>
    </row>
    <row r="23" spans="2:26" ht="12.75" customHeight="1" x14ac:dyDescent="0.2">
      <c r="B23" s="2465" t="str">
        <f t="shared" si="0"/>
        <v>Luz42</v>
      </c>
      <c r="C23" s="1262"/>
      <c r="D23" s="1263" t="s">
        <v>448</v>
      </c>
      <c r="E23" s="1254" t="s">
        <v>2570</v>
      </c>
      <c r="F23" s="1254">
        <v>42</v>
      </c>
      <c r="G23" s="1255" t="s">
        <v>2234</v>
      </c>
      <c r="H23" s="1255" t="s">
        <v>1763</v>
      </c>
      <c r="I23" s="1256" t="s">
        <v>1918</v>
      </c>
      <c r="J23" s="1254">
        <v>7</v>
      </c>
      <c r="K23" s="1254">
        <v>10</v>
      </c>
      <c r="L23" s="1254">
        <v>13</v>
      </c>
      <c r="M23" s="1257">
        <v>15</v>
      </c>
      <c r="N23" s="1254">
        <v>70</v>
      </c>
      <c r="O23" s="1254">
        <v>100</v>
      </c>
      <c r="P23" s="1254">
        <v>150</v>
      </c>
      <c r="Q23" s="1257">
        <v>200</v>
      </c>
      <c r="R23" s="1254" t="s">
        <v>2234</v>
      </c>
      <c r="S23" s="1254" t="s">
        <v>2234</v>
      </c>
      <c r="T23" s="1258" t="s">
        <v>2234</v>
      </c>
      <c r="U23" s="1264" t="s">
        <v>2234</v>
      </c>
      <c r="V23" s="1260" t="s">
        <v>5343</v>
      </c>
      <c r="W23" s="1260" t="s">
        <v>5344</v>
      </c>
      <c r="X23" s="1260" t="s">
        <v>5345</v>
      </c>
      <c r="Y23" s="1260" t="s">
        <v>5346</v>
      </c>
      <c r="Z23" s="1261" t="s">
        <v>5347</v>
      </c>
    </row>
    <row r="24" spans="2:26" ht="12.75" customHeight="1" x14ac:dyDescent="0.2">
      <c r="B24" s="2465" t="str">
        <f t="shared" si="0"/>
        <v>Luz46</v>
      </c>
      <c r="C24" s="1262"/>
      <c r="D24" s="1263" t="s">
        <v>449</v>
      </c>
      <c r="E24" s="1254" t="s">
        <v>2570</v>
      </c>
      <c r="F24" s="1254">
        <v>46</v>
      </c>
      <c r="G24" s="1255" t="s">
        <v>2234</v>
      </c>
      <c r="H24" s="1255" t="s">
        <v>1761</v>
      </c>
      <c r="I24" s="1256" t="s">
        <v>1918</v>
      </c>
      <c r="J24" s="1254">
        <v>6</v>
      </c>
      <c r="K24" s="1254">
        <v>9</v>
      </c>
      <c r="L24" s="1254">
        <v>12</v>
      </c>
      <c r="M24" s="1257">
        <v>15</v>
      </c>
      <c r="N24" s="1254">
        <v>120</v>
      </c>
      <c r="O24" s="1254">
        <v>180</v>
      </c>
      <c r="P24" s="1254">
        <v>240</v>
      </c>
      <c r="Q24" s="1257">
        <v>300</v>
      </c>
      <c r="R24" s="1254">
        <v>15</v>
      </c>
      <c r="S24" s="1254">
        <v>20</v>
      </c>
      <c r="T24" s="1258">
        <v>25</v>
      </c>
      <c r="U24" s="1264">
        <v>30</v>
      </c>
      <c r="V24" s="1260" t="s">
        <v>5348</v>
      </c>
      <c r="W24" s="1260" t="s">
        <v>5349</v>
      </c>
      <c r="X24" s="1260" t="s">
        <v>5350</v>
      </c>
      <c r="Y24" s="1260" t="s">
        <v>5351</v>
      </c>
      <c r="Z24" s="1261" t="s">
        <v>5352</v>
      </c>
    </row>
    <row r="25" spans="2:26" ht="12.75" customHeight="1" x14ac:dyDescent="0.2">
      <c r="B25" s="2465" t="str">
        <f t="shared" si="0"/>
        <v>Luz48</v>
      </c>
      <c r="C25" s="1262"/>
      <c r="D25" s="1263" t="s">
        <v>450</v>
      </c>
      <c r="E25" s="1254" t="s">
        <v>2570</v>
      </c>
      <c r="F25" s="1254">
        <v>48</v>
      </c>
      <c r="G25" s="1255" t="s">
        <v>3090</v>
      </c>
      <c r="H25" s="1255" t="s">
        <v>1765</v>
      </c>
      <c r="I25" s="1256" t="s">
        <v>1918</v>
      </c>
      <c r="J25" s="1254">
        <v>7</v>
      </c>
      <c r="K25" s="1254">
        <v>10</v>
      </c>
      <c r="L25" s="1254">
        <v>12</v>
      </c>
      <c r="M25" s="1257">
        <v>15</v>
      </c>
      <c r="N25" s="1254">
        <v>140</v>
      </c>
      <c r="O25" s="1254">
        <v>200</v>
      </c>
      <c r="P25" s="1254">
        <v>280</v>
      </c>
      <c r="Q25" s="1257">
        <v>360</v>
      </c>
      <c r="R25" s="1254">
        <v>10</v>
      </c>
      <c r="S25" s="1254">
        <v>10</v>
      </c>
      <c r="T25" s="1258">
        <v>15</v>
      </c>
      <c r="U25" s="1264">
        <v>15</v>
      </c>
      <c r="V25" s="1260" t="s">
        <v>5353</v>
      </c>
      <c r="W25" s="1260" t="s">
        <v>5354</v>
      </c>
      <c r="X25" s="1260" t="s">
        <v>5355</v>
      </c>
      <c r="Y25" s="1260" t="s">
        <v>5356</v>
      </c>
      <c r="Z25" s="1261" t="s">
        <v>5357</v>
      </c>
    </row>
    <row r="26" spans="2:26" ht="12.75" customHeight="1" x14ac:dyDescent="0.2">
      <c r="B26" s="2465" t="str">
        <f t="shared" si="0"/>
        <v>Luz50</v>
      </c>
      <c r="C26" s="1262"/>
      <c r="D26" s="1263" t="s">
        <v>9686</v>
      </c>
      <c r="E26" s="1254" t="s">
        <v>2570</v>
      </c>
      <c r="F26" s="1254">
        <v>50</v>
      </c>
      <c r="G26" s="1255" t="s">
        <v>3090</v>
      </c>
      <c r="H26" s="1255" t="s">
        <v>1762</v>
      </c>
      <c r="I26" s="1256" t="s">
        <v>1918</v>
      </c>
      <c r="J26" s="1254">
        <v>6</v>
      </c>
      <c r="K26" s="1254">
        <v>9</v>
      </c>
      <c r="L26" s="1254">
        <v>12</v>
      </c>
      <c r="M26" s="1257">
        <v>15</v>
      </c>
      <c r="N26" s="1254">
        <v>120</v>
      </c>
      <c r="O26" s="1254">
        <v>180</v>
      </c>
      <c r="P26" s="1254">
        <v>240</v>
      </c>
      <c r="Q26" s="1257">
        <v>300</v>
      </c>
      <c r="R26" s="1254">
        <v>10</v>
      </c>
      <c r="S26" s="1254">
        <v>10</v>
      </c>
      <c r="T26" s="1258">
        <v>15</v>
      </c>
      <c r="U26" s="1264">
        <v>15</v>
      </c>
      <c r="V26" s="1260" t="s">
        <v>5358</v>
      </c>
      <c r="W26" s="1260" t="s">
        <v>5359</v>
      </c>
      <c r="X26" s="1260" t="s">
        <v>5360</v>
      </c>
      <c r="Y26" s="1260" t="s">
        <v>5361</v>
      </c>
      <c r="Z26" s="1261" t="s">
        <v>9687</v>
      </c>
    </row>
    <row r="27" spans="2:26" ht="12.75" customHeight="1" x14ac:dyDescent="0.2">
      <c r="B27" s="2465" t="str">
        <f t="shared" si="0"/>
        <v>Luz52</v>
      </c>
      <c r="C27" s="1262"/>
      <c r="D27" s="1263" t="s">
        <v>452</v>
      </c>
      <c r="E27" s="1254" t="s">
        <v>2570</v>
      </c>
      <c r="F27" s="1254">
        <v>52</v>
      </c>
      <c r="G27" s="1255" t="s">
        <v>2234</v>
      </c>
      <c r="H27" s="1255" t="s">
        <v>1763</v>
      </c>
      <c r="I27" s="1256" t="s">
        <v>1918</v>
      </c>
      <c r="J27" s="1254">
        <v>8</v>
      </c>
      <c r="K27" s="1254">
        <v>11</v>
      </c>
      <c r="L27" s="1254">
        <v>13</v>
      </c>
      <c r="M27" s="1257">
        <v>16</v>
      </c>
      <c r="N27" s="1254">
        <v>100</v>
      </c>
      <c r="O27" s="1254">
        <v>120</v>
      </c>
      <c r="P27" s="1254">
        <v>140</v>
      </c>
      <c r="Q27" s="1257">
        <v>160</v>
      </c>
      <c r="R27" s="1254">
        <v>10</v>
      </c>
      <c r="S27" s="1254">
        <v>15</v>
      </c>
      <c r="T27" s="1258">
        <v>15</v>
      </c>
      <c r="U27" s="1264">
        <v>20</v>
      </c>
      <c r="V27" s="1260" t="s">
        <v>5362</v>
      </c>
      <c r="W27" s="1260" t="s">
        <v>5363</v>
      </c>
      <c r="X27" s="1260" t="s">
        <v>5364</v>
      </c>
      <c r="Y27" s="1260" t="s">
        <v>5365</v>
      </c>
      <c r="Z27" s="1261" t="s">
        <v>5366</v>
      </c>
    </row>
    <row r="28" spans="2:26" ht="12.75" customHeight="1" x14ac:dyDescent="0.2">
      <c r="B28" s="2465" t="str">
        <f t="shared" si="0"/>
        <v>Luz56</v>
      </c>
      <c r="C28" s="1262"/>
      <c r="D28" s="1263" t="s">
        <v>453</v>
      </c>
      <c r="E28" s="1254" t="s">
        <v>2570</v>
      </c>
      <c r="F28" s="1254">
        <v>56</v>
      </c>
      <c r="G28" s="1255" t="s">
        <v>2234</v>
      </c>
      <c r="H28" s="1255" t="s">
        <v>1763</v>
      </c>
      <c r="I28" s="1256" t="s">
        <v>1918</v>
      </c>
      <c r="J28" s="1254">
        <v>8</v>
      </c>
      <c r="K28" s="1254">
        <v>10</v>
      </c>
      <c r="L28" s="1254">
        <v>12</v>
      </c>
      <c r="M28" s="1257">
        <v>15</v>
      </c>
      <c r="N28" s="1254">
        <v>100</v>
      </c>
      <c r="O28" s="1254">
        <v>180</v>
      </c>
      <c r="P28" s="1254">
        <v>240</v>
      </c>
      <c r="Q28" s="1257">
        <v>300</v>
      </c>
      <c r="R28" s="1254">
        <v>5</v>
      </c>
      <c r="S28" s="1254">
        <v>10</v>
      </c>
      <c r="T28" s="1258">
        <v>15</v>
      </c>
      <c r="U28" s="1264">
        <v>15</v>
      </c>
      <c r="V28" s="1260" t="s">
        <v>5367</v>
      </c>
      <c r="W28" s="1260" t="s">
        <v>5368</v>
      </c>
      <c r="X28" s="1260" t="s">
        <v>5369</v>
      </c>
      <c r="Y28" s="1260" t="s">
        <v>5370</v>
      </c>
      <c r="Z28" s="1261" t="s">
        <v>5371</v>
      </c>
    </row>
    <row r="29" spans="2:26" ht="12.75" customHeight="1" x14ac:dyDescent="0.2">
      <c r="B29" s="2465" t="str">
        <f t="shared" si="0"/>
        <v>Luz58</v>
      </c>
      <c r="C29" s="1262"/>
      <c r="D29" s="1263" t="s">
        <v>5372</v>
      </c>
      <c r="E29" s="1254" t="s">
        <v>2570</v>
      </c>
      <c r="F29" s="1254">
        <v>58</v>
      </c>
      <c r="G29" s="1255" t="s">
        <v>3090</v>
      </c>
      <c r="H29" s="1255" t="s">
        <v>1762</v>
      </c>
      <c r="I29" s="1256" t="s">
        <v>1918</v>
      </c>
      <c r="J29" s="1254">
        <v>8</v>
      </c>
      <c r="K29" s="1254">
        <v>10</v>
      </c>
      <c r="L29" s="1254">
        <v>12</v>
      </c>
      <c r="M29" s="1257">
        <v>15</v>
      </c>
      <c r="N29" s="1254">
        <v>100</v>
      </c>
      <c r="O29" s="1254">
        <v>180</v>
      </c>
      <c r="P29" s="1254">
        <v>240</v>
      </c>
      <c r="Q29" s="1257">
        <v>300</v>
      </c>
      <c r="R29" s="1254">
        <v>10</v>
      </c>
      <c r="S29" s="1254">
        <v>20</v>
      </c>
      <c r="T29" s="1258">
        <v>25</v>
      </c>
      <c r="U29" s="1264">
        <v>30</v>
      </c>
      <c r="V29" s="1260" t="s">
        <v>5373</v>
      </c>
      <c r="W29" s="1260" t="s">
        <v>5374</v>
      </c>
      <c r="X29" s="1260" t="s">
        <v>5375</v>
      </c>
      <c r="Y29" s="1260" t="s">
        <v>5376</v>
      </c>
      <c r="Z29" s="1261" t="s">
        <v>5377</v>
      </c>
    </row>
    <row r="30" spans="2:26" ht="12.75" customHeight="1" x14ac:dyDescent="0.2">
      <c r="B30" s="2465" t="str">
        <f t="shared" si="0"/>
        <v>Luz60</v>
      </c>
      <c r="C30" s="1262"/>
      <c r="D30" s="1263" t="s">
        <v>5378</v>
      </c>
      <c r="E30" s="1254" t="s">
        <v>2570</v>
      </c>
      <c r="F30" s="1254">
        <v>60</v>
      </c>
      <c r="G30" s="1255" t="s">
        <v>3090</v>
      </c>
      <c r="H30" s="1255" t="s">
        <v>1763</v>
      </c>
      <c r="I30" s="1256" t="s">
        <v>1918</v>
      </c>
      <c r="J30" s="1254">
        <v>8</v>
      </c>
      <c r="K30" s="1254">
        <v>12</v>
      </c>
      <c r="L30" s="1254">
        <v>14</v>
      </c>
      <c r="M30" s="1257">
        <v>16</v>
      </c>
      <c r="N30" s="1254">
        <v>100</v>
      </c>
      <c r="O30" s="1254">
        <v>120</v>
      </c>
      <c r="P30" s="1254">
        <v>180</v>
      </c>
      <c r="Q30" s="1257">
        <v>250</v>
      </c>
      <c r="R30" s="1254">
        <v>10</v>
      </c>
      <c r="S30" s="1254">
        <v>15</v>
      </c>
      <c r="T30" s="1258">
        <v>15</v>
      </c>
      <c r="U30" s="1264">
        <v>25</v>
      </c>
      <c r="V30" s="1260" t="s">
        <v>9670</v>
      </c>
      <c r="W30" s="1260" t="s">
        <v>5379</v>
      </c>
      <c r="X30" s="1260" t="s">
        <v>9671</v>
      </c>
      <c r="Y30" s="1260" t="s">
        <v>9672</v>
      </c>
      <c r="Z30" s="1261" t="s">
        <v>9673</v>
      </c>
    </row>
    <row r="31" spans="2:26" ht="12.75" customHeight="1" x14ac:dyDescent="0.2">
      <c r="B31" s="2465" t="str">
        <f t="shared" si="0"/>
        <v>Luz62</v>
      </c>
      <c r="C31" s="1262"/>
      <c r="D31" s="1263" t="s">
        <v>5380</v>
      </c>
      <c r="E31" s="1254" t="s">
        <v>2570</v>
      </c>
      <c r="F31" s="1254">
        <v>62</v>
      </c>
      <c r="G31" s="1255" t="s">
        <v>3090</v>
      </c>
      <c r="H31" s="1255" t="s">
        <v>5271</v>
      </c>
      <c r="I31" s="1256" t="s">
        <v>1918</v>
      </c>
      <c r="J31" s="1254">
        <v>7</v>
      </c>
      <c r="K31" s="1254">
        <v>9</v>
      </c>
      <c r="L31" s="1254">
        <v>12</v>
      </c>
      <c r="M31" s="1257">
        <v>15</v>
      </c>
      <c r="N31" s="1254">
        <v>140</v>
      </c>
      <c r="O31" s="1254">
        <v>180</v>
      </c>
      <c r="P31" s="1254">
        <v>240</v>
      </c>
      <c r="Q31" s="1257">
        <v>300</v>
      </c>
      <c r="R31" s="1254">
        <v>15</v>
      </c>
      <c r="S31" s="1254">
        <v>20</v>
      </c>
      <c r="T31" s="1258">
        <v>25</v>
      </c>
      <c r="U31" s="1264">
        <v>30</v>
      </c>
      <c r="V31" s="1260" t="s">
        <v>5381</v>
      </c>
      <c r="W31" s="1260" t="s">
        <v>5382</v>
      </c>
      <c r="X31" s="1260" t="s">
        <v>5383</v>
      </c>
      <c r="Y31" s="1260" t="s">
        <v>5384</v>
      </c>
      <c r="Z31" s="1261" t="s">
        <v>5385</v>
      </c>
    </row>
    <row r="32" spans="2:26" ht="12.75" customHeight="1" x14ac:dyDescent="0.2">
      <c r="B32" s="2465" t="str">
        <f t="shared" si="0"/>
        <v>Luz66</v>
      </c>
      <c r="C32" s="1262"/>
      <c r="D32" s="1263" t="s">
        <v>457</v>
      </c>
      <c r="E32" s="1254" t="s">
        <v>2570</v>
      </c>
      <c r="F32" s="1254">
        <v>66</v>
      </c>
      <c r="G32" s="1255" t="s">
        <v>2234</v>
      </c>
      <c r="H32" s="1255" t="s">
        <v>1765</v>
      </c>
      <c r="I32" s="1256" t="s">
        <v>1918</v>
      </c>
      <c r="J32" s="1254">
        <v>8</v>
      </c>
      <c r="K32" s="1254">
        <v>10</v>
      </c>
      <c r="L32" s="1254">
        <v>13</v>
      </c>
      <c r="M32" s="1257">
        <v>16</v>
      </c>
      <c r="N32" s="1254">
        <v>160</v>
      </c>
      <c r="O32" s="1254">
        <v>200</v>
      </c>
      <c r="P32" s="1254">
        <v>260</v>
      </c>
      <c r="Q32" s="1257">
        <v>320</v>
      </c>
      <c r="R32" s="1254" t="s">
        <v>2234</v>
      </c>
      <c r="S32" s="1254" t="s">
        <v>2234</v>
      </c>
      <c r="T32" s="1258" t="s">
        <v>2234</v>
      </c>
      <c r="U32" s="1264" t="s">
        <v>2234</v>
      </c>
      <c r="V32" s="1260" t="s">
        <v>5386</v>
      </c>
      <c r="W32" s="1260" t="s">
        <v>5387</v>
      </c>
      <c r="X32" s="1260" t="s">
        <v>5388</v>
      </c>
      <c r="Y32" s="1260" t="s">
        <v>5389</v>
      </c>
      <c r="Z32" s="1261" t="s">
        <v>5390</v>
      </c>
    </row>
    <row r="33" spans="2:26" ht="12.75" customHeight="1" x14ac:dyDescent="0.2">
      <c r="B33" s="2465" t="str">
        <f t="shared" si="0"/>
        <v>Luz68</v>
      </c>
      <c r="C33" s="1262"/>
      <c r="D33" s="1263" t="s">
        <v>458</v>
      </c>
      <c r="E33" s="1254" t="s">
        <v>2570</v>
      </c>
      <c r="F33" s="1254">
        <v>68</v>
      </c>
      <c r="G33" s="1255" t="s">
        <v>2234</v>
      </c>
      <c r="H33" s="1255" t="s">
        <v>1763</v>
      </c>
      <c r="I33" s="1256" t="s">
        <v>1918</v>
      </c>
      <c r="J33" s="1254">
        <v>8</v>
      </c>
      <c r="K33" s="1254">
        <v>10</v>
      </c>
      <c r="L33" s="1254">
        <v>12</v>
      </c>
      <c r="M33" s="1257">
        <v>15</v>
      </c>
      <c r="N33" s="1254">
        <v>150</v>
      </c>
      <c r="O33" s="1254">
        <v>200</v>
      </c>
      <c r="P33" s="1254">
        <v>250</v>
      </c>
      <c r="Q33" s="1257">
        <v>300</v>
      </c>
      <c r="R33" s="1254" t="s">
        <v>2234</v>
      </c>
      <c r="S33" s="1254" t="s">
        <v>2234</v>
      </c>
      <c r="T33" s="1258" t="s">
        <v>2234</v>
      </c>
      <c r="U33" s="1264" t="s">
        <v>2234</v>
      </c>
      <c r="V33" s="1260" t="s">
        <v>5391</v>
      </c>
      <c r="W33" s="1260" t="s">
        <v>5392</v>
      </c>
      <c r="X33" s="1260" t="s">
        <v>5393</v>
      </c>
      <c r="Y33" s="1260" t="s">
        <v>5394</v>
      </c>
      <c r="Z33" s="1261" t="s">
        <v>5395</v>
      </c>
    </row>
    <row r="34" spans="2:26" ht="12.75" customHeight="1" x14ac:dyDescent="0.2">
      <c r="B34" s="2465" t="str">
        <f t="shared" si="0"/>
        <v>Luz70</v>
      </c>
      <c r="C34" s="1262"/>
      <c r="D34" s="1263" t="s">
        <v>5396</v>
      </c>
      <c r="E34" s="1254" t="s">
        <v>2570</v>
      </c>
      <c r="F34" s="1254">
        <v>70</v>
      </c>
      <c r="G34" s="1255" t="s">
        <v>2234</v>
      </c>
      <c r="H34" s="1255" t="s">
        <v>5271</v>
      </c>
      <c r="I34" s="1256" t="s">
        <v>1918</v>
      </c>
      <c r="J34" s="1254">
        <v>10</v>
      </c>
      <c r="K34" s="1254">
        <v>12</v>
      </c>
      <c r="L34" s="1254">
        <v>14</v>
      </c>
      <c r="M34" s="1257">
        <v>16</v>
      </c>
      <c r="N34" s="1254">
        <v>140</v>
      </c>
      <c r="O34" s="1254">
        <v>200</v>
      </c>
      <c r="P34" s="1254">
        <v>2880</v>
      </c>
      <c r="Q34" s="1257">
        <v>360</v>
      </c>
      <c r="R34" s="1254">
        <v>5</v>
      </c>
      <c r="S34" s="1254">
        <v>10</v>
      </c>
      <c r="T34" s="1258">
        <v>10</v>
      </c>
      <c r="U34" s="1264">
        <v>15</v>
      </c>
      <c r="V34" s="1260" t="s">
        <v>5397</v>
      </c>
      <c r="W34" s="1260" t="s">
        <v>5398</v>
      </c>
      <c r="X34" s="1260" t="s">
        <v>5399</v>
      </c>
      <c r="Y34" s="1260" t="s">
        <v>5400</v>
      </c>
      <c r="Z34" s="1261" t="s">
        <v>5401</v>
      </c>
    </row>
    <row r="35" spans="2:26" ht="12.75" customHeight="1" x14ac:dyDescent="0.2">
      <c r="B35" s="2465" t="str">
        <f t="shared" si="0"/>
        <v>Luz72</v>
      </c>
      <c r="C35" s="1262"/>
      <c r="D35" s="1263" t="s">
        <v>5402</v>
      </c>
      <c r="E35" s="1254" t="s">
        <v>2570</v>
      </c>
      <c r="F35" s="1254">
        <v>72</v>
      </c>
      <c r="G35" s="1255" t="s">
        <v>2234</v>
      </c>
      <c r="H35" s="1255" t="s">
        <v>1761</v>
      </c>
      <c r="I35" s="1256" t="s">
        <v>1918</v>
      </c>
      <c r="J35" s="1254">
        <v>10</v>
      </c>
      <c r="K35" s="1254">
        <v>12</v>
      </c>
      <c r="L35" s="1254">
        <v>14</v>
      </c>
      <c r="M35" s="1257">
        <v>16</v>
      </c>
      <c r="N35" s="1254">
        <v>140</v>
      </c>
      <c r="O35" s="1254">
        <v>180</v>
      </c>
      <c r="P35" s="1254">
        <v>240</v>
      </c>
      <c r="Q35" s="1257">
        <v>350</v>
      </c>
      <c r="R35" s="1254" t="s">
        <v>2234</v>
      </c>
      <c r="S35" s="1254" t="s">
        <v>2234</v>
      </c>
      <c r="T35" s="1258" t="s">
        <v>2234</v>
      </c>
      <c r="U35" s="1264" t="s">
        <v>2234</v>
      </c>
      <c r="V35" s="1260" t="s">
        <v>5403</v>
      </c>
      <c r="W35" s="1260" t="s">
        <v>5404</v>
      </c>
      <c r="X35" s="1260" t="s">
        <v>5405</v>
      </c>
      <c r="Y35" s="1260" t="s">
        <v>5406</v>
      </c>
      <c r="Z35" s="1261" t="s">
        <v>5407</v>
      </c>
    </row>
    <row r="36" spans="2:26" ht="12.75" customHeight="1" x14ac:dyDescent="0.2">
      <c r="B36" s="2465" t="str">
        <f t="shared" si="0"/>
        <v>Luz76</v>
      </c>
      <c r="C36" s="1262"/>
      <c r="D36" s="1263" t="s">
        <v>5408</v>
      </c>
      <c r="E36" s="1254" t="s">
        <v>2570</v>
      </c>
      <c r="F36" s="1254">
        <v>76</v>
      </c>
      <c r="G36" s="1255" t="s">
        <v>2234</v>
      </c>
      <c r="H36" s="1255" t="s">
        <v>1763</v>
      </c>
      <c r="I36" s="1256" t="s">
        <v>1918</v>
      </c>
      <c r="J36" s="1254">
        <v>10</v>
      </c>
      <c r="K36" s="1254">
        <v>12</v>
      </c>
      <c r="L36" s="1254">
        <v>14</v>
      </c>
      <c r="M36" s="1257">
        <v>16</v>
      </c>
      <c r="N36" s="1254">
        <v>150</v>
      </c>
      <c r="O36" s="1254">
        <v>200</v>
      </c>
      <c r="P36" s="1254">
        <v>240</v>
      </c>
      <c r="Q36" s="1257">
        <v>300</v>
      </c>
      <c r="R36" s="1254">
        <v>15</v>
      </c>
      <c r="S36" s="1254">
        <v>20</v>
      </c>
      <c r="T36" s="1258">
        <v>25</v>
      </c>
      <c r="U36" s="1264">
        <v>30</v>
      </c>
      <c r="V36" s="1260" t="s">
        <v>5409</v>
      </c>
      <c r="W36" s="1260" t="s">
        <v>5410</v>
      </c>
      <c r="X36" s="1260" t="s">
        <v>5411</v>
      </c>
      <c r="Y36" s="1260" t="s">
        <v>5412</v>
      </c>
      <c r="Z36" s="1261" t="s">
        <v>5413</v>
      </c>
    </row>
    <row r="37" spans="2:26" ht="12.75" customHeight="1" x14ac:dyDescent="0.2">
      <c r="B37" s="2465" t="str">
        <f t="shared" si="0"/>
        <v>Luz78</v>
      </c>
      <c r="C37" s="1262"/>
      <c r="D37" s="1263" t="s">
        <v>5414</v>
      </c>
      <c r="E37" s="1254" t="s">
        <v>2570</v>
      </c>
      <c r="F37" s="1254">
        <v>78</v>
      </c>
      <c r="G37" s="1255" t="s">
        <v>2234</v>
      </c>
      <c r="H37" s="1255" t="s">
        <v>1763</v>
      </c>
      <c r="I37" s="1256" t="s">
        <v>1918</v>
      </c>
      <c r="J37" s="1254">
        <v>10</v>
      </c>
      <c r="K37" s="1254">
        <v>12</v>
      </c>
      <c r="L37" s="1254">
        <v>14</v>
      </c>
      <c r="M37" s="1257">
        <v>16</v>
      </c>
      <c r="N37" s="1254">
        <v>250</v>
      </c>
      <c r="O37" s="1254">
        <v>360</v>
      </c>
      <c r="P37" s="1254">
        <v>450</v>
      </c>
      <c r="Q37" s="1257">
        <v>600</v>
      </c>
      <c r="R37" s="1254" t="s">
        <v>2234</v>
      </c>
      <c r="S37" s="1254" t="s">
        <v>2234</v>
      </c>
      <c r="T37" s="1258" t="s">
        <v>2234</v>
      </c>
      <c r="U37" s="1264" t="s">
        <v>2234</v>
      </c>
      <c r="V37" s="1260" t="s">
        <v>5415</v>
      </c>
      <c r="W37" s="1260" t="s">
        <v>5416</v>
      </c>
      <c r="X37" s="1260" t="s">
        <v>5417</v>
      </c>
      <c r="Y37" s="1260" t="s">
        <v>5418</v>
      </c>
      <c r="Z37" s="1261" t="s">
        <v>5419</v>
      </c>
    </row>
    <row r="38" spans="2:26" ht="12.75" customHeight="1" x14ac:dyDescent="0.2">
      <c r="B38" s="2465" t="str">
        <f t="shared" si="0"/>
        <v>Luz80</v>
      </c>
      <c r="C38" s="1262"/>
      <c r="D38" s="1263" t="s">
        <v>9688</v>
      </c>
      <c r="E38" s="1254" t="s">
        <v>2570</v>
      </c>
      <c r="F38" s="1254">
        <v>80</v>
      </c>
      <c r="G38" s="1255" t="s">
        <v>3090</v>
      </c>
      <c r="H38" s="1255" t="s">
        <v>5420</v>
      </c>
      <c r="I38" s="1256" t="s">
        <v>1918</v>
      </c>
      <c r="J38" s="1254">
        <v>12</v>
      </c>
      <c r="K38" s="1254">
        <v>14</v>
      </c>
      <c r="L38" s="1254">
        <v>16</v>
      </c>
      <c r="M38" s="1257">
        <v>18</v>
      </c>
      <c r="N38" s="1254">
        <v>300</v>
      </c>
      <c r="O38" s="1254">
        <v>400</v>
      </c>
      <c r="P38" s="1254">
        <v>500</v>
      </c>
      <c r="Q38" s="1257">
        <v>750</v>
      </c>
      <c r="R38" s="1254">
        <v>60</v>
      </c>
      <c r="S38" s="1254">
        <v>65</v>
      </c>
      <c r="T38" s="1258">
        <v>70</v>
      </c>
      <c r="U38" s="1264">
        <v>80</v>
      </c>
      <c r="V38" s="1260" t="s">
        <v>5386</v>
      </c>
      <c r="W38" s="1260" t="s">
        <v>5421</v>
      </c>
      <c r="X38" s="1260" t="s">
        <v>5422</v>
      </c>
      <c r="Y38" s="1260" t="s">
        <v>5423</v>
      </c>
      <c r="Z38" s="1261" t="s">
        <v>9689</v>
      </c>
    </row>
    <row r="39" spans="2:26" ht="12.75" customHeight="1" x14ac:dyDescent="0.2">
      <c r="B39" s="2465" t="str">
        <f t="shared" si="0"/>
        <v>Luz82</v>
      </c>
      <c r="C39" s="1262"/>
      <c r="D39" s="1263" t="s">
        <v>5424</v>
      </c>
      <c r="E39" s="1254" t="s">
        <v>2570</v>
      </c>
      <c r="F39" s="1254">
        <v>82</v>
      </c>
      <c r="G39" s="1255" t="s">
        <v>3090</v>
      </c>
      <c r="H39" s="1255" t="s">
        <v>1763</v>
      </c>
      <c r="I39" s="1256" t="s">
        <v>1918</v>
      </c>
      <c r="J39" s="1254">
        <v>10</v>
      </c>
      <c r="K39" s="1254">
        <v>12</v>
      </c>
      <c r="L39" s="1254">
        <v>14</v>
      </c>
      <c r="M39" s="1257">
        <v>16</v>
      </c>
      <c r="N39" s="1254">
        <v>250</v>
      </c>
      <c r="O39" s="1254">
        <v>350</v>
      </c>
      <c r="P39" s="1254">
        <v>500</v>
      </c>
      <c r="Q39" s="1257">
        <v>700</v>
      </c>
      <c r="R39" s="1254">
        <v>50</v>
      </c>
      <c r="S39" s="1254">
        <v>70</v>
      </c>
      <c r="T39" s="1258">
        <v>100</v>
      </c>
      <c r="U39" s="1264">
        <v>140</v>
      </c>
      <c r="V39" s="1260" t="s">
        <v>5425</v>
      </c>
      <c r="W39" s="1260" t="s">
        <v>5426</v>
      </c>
      <c r="X39" s="1260" t="s">
        <v>5427</v>
      </c>
      <c r="Y39" s="1260" t="s">
        <v>5428</v>
      </c>
      <c r="Z39" s="1261" t="s">
        <v>5429</v>
      </c>
    </row>
    <row r="40" spans="2:26" ht="12.75" customHeight="1" x14ac:dyDescent="0.2">
      <c r="B40" s="2465" t="str">
        <f t="shared" si="0"/>
        <v>Luz86</v>
      </c>
      <c r="C40" s="1262"/>
      <c r="D40" s="1263" t="s">
        <v>5430</v>
      </c>
      <c r="E40" s="1254" t="s">
        <v>2570</v>
      </c>
      <c r="F40" s="1254">
        <v>86</v>
      </c>
      <c r="G40" s="1255" t="s">
        <v>3090</v>
      </c>
      <c r="H40" s="1255" t="s">
        <v>2431</v>
      </c>
      <c r="I40" s="1256" t="s">
        <v>1919</v>
      </c>
      <c r="J40" s="1254">
        <v>10</v>
      </c>
      <c r="K40" s="1254">
        <v>13</v>
      </c>
      <c r="L40" s="1254">
        <v>15</v>
      </c>
      <c r="M40" s="1257">
        <v>17</v>
      </c>
      <c r="N40" s="1254">
        <v>160</v>
      </c>
      <c r="O40" s="1254">
        <v>250</v>
      </c>
      <c r="P40" s="1254">
        <v>300</v>
      </c>
      <c r="Q40" s="1257">
        <v>400</v>
      </c>
      <c r="R40" s="1254">
        <v>20</v>
      </c>
      <c r="S40" s="1254">
        <v>25</v>
      </c>
      <c r="T40" s="1258">
        <v>30</v>
      </c>
      <c r="U40" s="1264">
        <v>40</v>
      </c>
      <c r="V40" s="1260" t="s">
        <v>5431</v>
      </c>
      <c r="W40" s="1260" t="s">
        <v>5432</v>
      </c>
      <c r="X40" s="1260" t="s">
        <v>5433</v>
      </c>
      <c r="Y40" s="1260" t="s">
        <v>5434</v>
      </c>
      <c r="Z40" s="1261" t="s">
        <v>5435</v>
      </c>
    </row>
    <row r="41" spans="2:26" ht="12.75" customHeight="1" x14ac:dyDescent="0.2">
      <c r="B41" s="2465" t="str">
        <f t="shared" si="0"/>
        <v>Luz88</v>
      </c>
      <c r="C41" s="1262"/>
      <c r="D41" s="1263" t="s">
        <v>5436</v>
      </c>
      <c r="E41" s="1254" t="s">
        <v>2570</v>
      </c>
      <c r="F41" s="1254">
        <v>88</v>
      </c>
      <c r="G41" s="1255" t="s">
        <v>2234</v>
      </c>
      <c r="H41" s="1255" t="s">
        <v>1763</v>
      </c>
      <c r="I41" s="1256" t="s">
        <v>1918</v>
      </c>
      <c r="J41" s="1254">
        <v>10</v>
      </c>
      <c r="K41" s="1254">
        <v>12</v>
      </c>
      <c r="L41" s="1254">
        <v>15</v>
      </c>
      <c r="M41" s="1257">
        <v>18</v>
      </c>
      <c r="N41" s="1254">
        <v>200</v>
      </c>
      <c r="O41" s="1254">
        <v>250</v>
      </c>
      <c r="P41" s="1254">
        <v>400</v>
      </c>
      <c r="Q41" s="1257">
        <v>800</v>
      </c>
      <c r="R41" s="1254">
        <v>40</v>
      </c>
      <c r="S41" s="1254">
        <v>50</v>
      </c>
      <c r="T41" s="1258">
        <v>60</v>
      </c>
      <c r="U41" s="1264">
        <v>65</v>
      </c>
      <c r="V41" s="1260" t="s">
        <v>5437</v>
      </c>
      <c r="W41" s="1260" t="s">
        <v>5438</v>
      </c>
      <c r="X41" s="1260" t="s">
        <v>5439</v>
      </c>
      <c r="Y41" s="1260" t="s">
        <v>5440</v>
      </c>
      <c r="Z41" s="1261" t="s">
        <v>5441</v>
      </c>
    </row>
    <row r="42" spans="2:26" ht="12.75" customHeight="1" x14ac:dyDescent="0.2">
      <c r="B42" s="2465" t="str">
        <f t="shared" si="0"/>
        <v>Luz90</v>
      </c>
      <c r="C42" s="1262"/>
      <c r="D42" s="1263" t="s">
        <v>467</v>
      </c>
      <c r="E42" s="1254" t="s">
        <v>2570</v>
      </c>
      <c r="F42" s="1254">
        <v>90</v>
      </c>
      <c r="G42" s="1255" t="s">
        <v>2234</v>
      </c>
      <c r="H42" s="1255" t="s">
        <v>1762</v>
      </c>
      <c r="I42" s="1256" t="s">
        <v>1918</v>
      </c>
      <c r="J42" s="1254">
        <v>10</v>
      </c>
      <c r="K42" s="1254">
        <v>12</v>
      </c>
      <c r="L42" s="1254">
        <v>14</v>
      </c>
      <c r="M42" s="1257">
        <v>16</v>
      </c>
      <c r="N42" s="1254">
        <v>200</v>
      </c>
      <c r="O42" s="1254">
        <v>300</v>
      </c>
      <c r="P42" s="1254">
        <v>450</v>
      </c>
      <c r="Q42" s="1257">
        <v>600</v>
      </c>
      <c r="R42" s="1254" t="s">
        <v>2234</v>
      </c>
      <c r="S42" s="1254" t="s">
        <v>2234</v>
      </c>
      <c r="T42" s="1258" t="s">
        <v>2234</v>
      </c>
      <c r="U42" s="1264" t="s">
        <v>2234</v>
      </c>
      <c r="V42" s="1260" t="s">
        <v>5442</v>
      </c>
      <c r="W42" s="1260" t="s">
        <v>5443</v>
      </c>
      <c r="X42" s="1260" t="s">
        <v>5444</v>
      </c>
      <c r="Y42" s="1260" t="s">
        <v>5445</v>
      </c>
      <c r="Z42" s="1261" t="s">
        <v>5446</v>
      </c>
    </row>
    <row r="43" spans="2:26" ht="12.75" customHeight="1" x14ac:dyDescent="0.2">
      <c r="B43" s="2465" t="str">
        <f t="shared" si="0"/>
        <v>Luz92</v>
      </c>
      <c r="C43" s="1262"/>
      <c r="D43" s="1263" t="s">
        <v>5447</v>
      </c>
      <c r="E43" s="1254" t="s">
        <v>2570</v>
      </c>
      <c r="F43" s="1254">
        <v>92</v>
      </c>
      <c r="G43" s="1255" t="s">
        <v>3090</v>
      </c>
      <c r="H43" s="1255" t="s">
        <v>1762</v>
      </c>
      <c r="I43" s="1256" t="s">
        <v>1918</v>
      </c>
      <c r="J43" s="1254">
        <v>14</v>
      </c>
      <c r="K43" s="1254">
        <v>16</v>
      </c>
      <c r="L43" s="1254">
        <v>18</v>
      </c>
      <c r="M43" s="1257">
        <v>20</v>
      </c>
      <c r="N43" s="1254">
        <v>200</v>
      </c>
      <c r="O43" s="1254">
        <v>350</v>
      </c>
      <c r="P43" s="1254">
        <v>500</v>
      </c>
      <c r="Q43" s="1257">
        <v>800</v>
      </c>
      <c r="R43" s="1254">
        <v>40</v>
      </c>
      <c r="S43" s="1254">
        <v>70</v>
      </c>
      <c r="T43" s="1258">
        <v>100</v>
      </c>
      <c r="U43" s="1264">
        <v>160</v>
      </c>
      <c r="V43" s="1260" t="s">
        <v>5448</v>
      </c>
      <c r="W43" s="1260" t="s">
        <v>5449</v>
      </c>
      <c r="X43" s="1260" t="s">
        <v>5450</v>
      </c>
      <c r="Y43" s="1260" t="s">
        <v>5451</v>
      </c>
      <c r="Z43" s="1261" t="s">
        <v>5452</v>
      </c>
    </row>
    <row r="44" spans="2:26" ht="12.75" customHeight="1" x14ac:dyDescent="0.2">
      <c r="B44" s="2465" t="str">
        <f t="shared" si="0"/>
        <v>Luz96</v>
      </c>
      <c r="C44" s="1262"/>
      <c r="D44" s="1263" t="s">
        <v>5453</v>
      </c>
      <c r="E44" s="1254" t="s">
        <v>2570</v>
      </c>
      <c r="F44" s="1254">
        <v>96</v>
      </c>
      <c r="G44" s="1255" t="s">
        <v>2234</v>
      </c>
      <c r="H44" s="1255" t="s">
        <v>1763</v>
      </c>
      <c r="I44" s="1256" t="s">
        <v>1918</v>
      </c>
      <c r="J44" s="1254">
        <v>12</v>
      </c>
      <c r="K44" s="1254">
        <v>14</v>
      </c>
      <c r="L44" s="1254">
        <v>16</v>
      </c>
      <c r="M44" s="1257">
        <v>18</v>
      </c>
      <c r="N44" s="1254">
        <v>200</v>
      </c>
      <c r="O44" s="1254">
        <v>400</v>
      </c>
      <c r="P44" s="1254">
        <v>600</v>
      </c>
      <c r="Q44" s="1257">
        <v>800</v>
      </c>
      <c r="R44" s="1254" t="s">
        <v>2234</v>
      </c>
      <c r="S44" s="1254" t="s">
        <v>2234</v>
      </c>
      <c r="T44" s="1258" t="s">
        <v>2234</v>
      </c>
      <c r="U44" s="1264" t="s">
        <v>2234</v>
      </c>
      <c r="V44" s="1260" t="s">
        <v>5454</v>
      </c>
      <c r="W44" s="1260" t="s">
        <v>5455</v>
      </c>
      <c r="X44" s="1260" t="s">
        <v>5456</v>
      </c>
      <c r="Y44" s="1260" t="s">
        <v>5442</v>
      </c>
      <c r="Z44" s="1265" t="s">
        <v>5457</v>
      </c>
    </row>
    <row r="45" spans="2:26" ht="12.75" customHeight="1" x14ac:dyDescent="0.2">
      <c r="B45" s="2465" t="str">
        <f t="shared" si="0"/>
        <v>Luz98</v>
      </c>
      <c r="C45" s="1262"/>
      <c r="D45" s="1263" t="s">
        <v>470</v>
      </c>
      <c r="E45" s="1254" t="s">
        <v>2570</v>
      </c>
      <c r="F45" s="1254">
        <v>98</v>
      </c>
      <c r="G45" s="1255" t="s">
        <v>3090</v>
      </c>
      <c r="H45" s="1255" t="s">
        <v>1763</v>
      </c>
      <c r="I45" s="1256" t="s">
        <v>1918</v>
      </c>
      <c r="J45" s="1254">
        <v>14</v>
      </c>
      <c r="K45" s="1254">
        <v>16</v>
      </c>
      <c r="L45" s="1254">
        <v>18</v>
      </c>
      <c r="M45" s="1257">
        <v>20</v>
      </c>
      <c r="N45" s="1254">
        <v>500</v>
      </c>
      <c r="O45" s="1254">
        <v>1000</v>
      </c>
      <c r="P45" s="1254">
        <v>2000</v>
      </c>
      <c r="Q45" s="1257">
        <v>5000</v>
      </c>
      <c r="R45" s="1254">
        <v>30</v>
      </c>
      <c r="S45" s="1254">
        <v>40</v>
      </c>
      <c r="T45" s="1258">
        <v>45</v>
      </c>
      <c r="U45" s="1264">
        <v>50</v>
      </c>
      <c r="V45" s="1260" t="s">
        <v>5458</v>
      </c>
      <c r="W45" s="1260" t="s">
        <v>5459</v>
      </c>
      <c r="X45" s="1260" t="s">
        <v>5460</v>
      </c>
      <c r="Y45" s="1260" t="s">
        <v>5461</v>
      </c>
      <c r="Z45" s="1261" t="s">
        <v>5462</v>
      </c>
    </row>
    <row r="46" spans="2:26" ht="12.75" customHeight="1" x14ac:dyDescent="0.2">
      <c r="B46" s="2465" t="str">
        <f t="shared" si="0"/>
        <v>Luz100</v>
      </c>
      <c r="C46" s="1262"/>
      <c r="D46" s="1263" t="s">
        <v>5463</v>
      </c>
      <c r="E46" s="1254" t="s">
        <v>2570</v>
      </c>
      <c r="F46" s="1254">
        <v>100</v>
      </c>
      <c r="G46" s="1255" t="s">
        <v>2234</v>
      </c>
      <c r="H46" s="1255" t="s">
        <v>1761</v>
      </c>
      <c r="I46" s="1256" t="s">
        <v>1918</v>
      </c>
      <c r="J46" s="1254">
        <v>14</v>
      </c>
      <c r="K46" s="1254">
        <v>16</v>
      </c>
      <c r="L46" s="1254">
        <v>18</v>
      </c>
      <c r="M46" s="1257">
        <v>20</v>
      </c>
      <c r="N46" s="1254">
        <v>600</v>
      </c>
      <c r="O46" s="1254">
        <v>1000</v>
      </c>
      <c r="P46" s="1254">
        <v>2500</v>
      </c>
      <c r="Q46" s="1257">
        <v>10000</v>
      </c>
      <c r="R46" s="1254" t="s">
        <v>2234</v>
      </c>
      <c r="S46" s="1254" t="s">
        <v>2234</v>
      </c>
      <c r="T46" s="1258" t="s">
        <v>2234</v>
      </c>
      <c r="U46" s="1264" t="s">
        <v>2234</v>
      </c>
      <c r="V46" s="1260" t="s">
        <v>5464</v>
      </c>
      <c r="W46" s="1260" t="s">
        <v>5465</v>
      </c>
      <c r="X46" s="1260" t="s">
        <v>5466</v>
      </c>
      <c r="Y46" s="1260" t="s">
        <v>5467</v>
      </c>
      <c r="Z46" s="1261" t="s">
        <v>5468</v>
      </c>
    </row>
    <row r="47" spans="2:26" ht="12.75" customHeight="1" x14ac:dyDescent="0.2">
      <c r="B47" s="2465" t="str">
        <f t="shared" si="0"/>
        <v/>
      </c>
      <c r="C47" s="1262"/>
      <c r="D47" s="1263" t="s">
        <v>472</v>
      </c>
      <c r="E47" s="1254"/>
      <c r="F47" s="1254"/>
      <c r="G47" s="1255"/>
      <c r="H47" s="1255"/>
      <c r="I47" s="1256"/>
      <c r="J47" s="1254"/>
      <c r="K47" s="1254"/>
      <c r="L47" s="1254"/>
      <c r="M47" s="1257"/>
      <c r="N47" s="1254"/>
      <c r="O47" s="1254"/>
      <c r="P47" s="1254"/>
      <c r="Q47" s="1257"/>
      <c r="R47" s="1254"/>
      <c r="S47" s="1254"/>
      <c r="T47" s="1258"/>
      <c r="U47" s="1264"/>
      <c r="V47" s="1260"/>
      <c r="W47" s="1260"/>
      <c r="X47" s="1260"/>
      <c r="Y47" s="1260"/>
      <c r="Z47" s="1261"/>
    </row>
    <row r="48" spans="2:26" ht="12.75" customHeight="1" x14ac:dyDescent="0.2">
      <c r="B48" s="2465" t="str">
        <f t="shared" si="0"/>
        <v>Oscuridad2</v>
      </c>
      <c r="C48" s="1262"/>
      <c r="D48" s="1263" t="s">
        <v>5469</v>
      </c>
      <c r="E48" s="1254" t="s">
        <v>2571</v>
      </c>
      <c r="F48" s="1254">
        <v>2</v>
      </c>
      <c r="G48" s="1255" t="s">
        <v>3090</v>
      </c>
      <c r="H48" s="1255" t="s">
        <v>1763</v>
      </c>
      <c r="I48" s="1256" t="s">
        <v>1918</v>
      </c>
      <c r="J48" s="1254">
        <v>5</v>
      </c>
      <c r="K48" s="1254">
        <v>8</v>
      </c>
      <c r="L48" s="1254">
        <v>10</v>
      </c>
      <c r="M48" s="1257">
        <v>12</v>
      </c>
      <c r="N48" s="1254">
        <v>20</v>
      </c>
      <c r="O48" s="1254">
        <v>50</v>
      </c>
      <c r="P48" s="1254">
        <v>100</v>
      </c>
      <c r="Q48" s="1257">
        <v>200</v>
      </c>
      <c r="R48" s="1254">
        <v>5</v>
      </c>
      <c r="S48" s="1254">
        <v>5</v>
      </c>
      <c r="T48" s="1258">
        <v>10</v>
      </c>
      <c r="U48" s="1264">
        <v>15</v>
      </c>
      <c r="V48" s="1260" t="s">
        <v>5470</v>
      </c>
      <c r="W48" s="1260" t="s">
        <v>5471</v>
      </c>
      <c r="X48" s="1260" t="s">
        <v>5472</v>
      </c>
      <c r="Y48" s="1260" t="s">
        <v>5473</v>
      </c>
      <c r="Z48" s="1261" t="s">
        <v>5474</v>
      </c>
    </row>
    <row r="49" spans="2:26" ht="12.75" customHeight="1" x14ac:dyDescent="0.2">
      <c r="B49" s="2465" t="str">
        <f t="shared" si="0"/>
        <v>Oscuridad6</v>
      </c>
      <c r="C49" s="1262"/>
      <c r="D49" s="1263" t="s">
        <v>5475</v>
      </c>
      <c r="E49" s="1254" t="s">
        <v>2571</v>
      </c>
      <c r="F49" s="1254">
        <v>6</v>
      </c>
      <c r="G49" s="1255" t="s">
        <v>2234</v>
      </c>
      <c r="H49" s="1255" t="s">
        <v>1762</v>
      </c>
      <c r="I49" s="1256" t="s">
        <v>1918</v>
      </c>
      <c r="J49" s="1254">
        <v>5</v>
      </c>
      <c r="K49" s="1254">
        <v>8</v>
      </c>
      <c r="L49" s="1254">
        <v>10</v>
      </c>
      <c r="M49" s="1257">
        <v>12</v>
      </c>
      <c r="N49" s="1254">
        <v>40</v>
      </c>
      <c r="O49" s="1254">
        <v>80</v>
      </c>
      <c r="P49" s="1254">
        <v>140</v>
      </c>
      <c r="Q49" s="1257">
        <v>180</v>
      </c>
      <c r="R49" s="1254" t="s">
        <v>2234</v>
      </c>
      <c r="S49" s="1254" t="s">
        <v>2234</v>
      </c>
      <c r="T49" s="1258" t="s">
        <v>2234</v>
      </c>
      <c r="U49" s="1264" t="s">
        <v>2234</v>
      </c>
      <c r="V49" s="1260" t="s">
        <v>5476</v>
      </c>
      <c r="W49" s="1260" t="s">
        <v>5477</v>
      </c>
      <c r="X49" s="1260" t="s">
        <v>5478</v>
      </c>
      <c r="Y49" s="1260" t="s">
        <v>5479</v>
      </c>
      <c r="Z49" s="1261" t="s">
        <v>5480</v>
      </c>
    </row>
    <row r="50" spans="2:26" ht="12.75" customHeight="1" x14ac:dyDescent="0.2">
      <c r="B50" s="2465" t="str">
        <f t="shared" si="0"/>
        <v>Oscuridad8</v>
      </c>
      <c r="C50" s="1262"/>
      <c r="D50" s="1263" t="s">
        <v>5481</v>
      </c>
      <c r="E50" s="1254" t="s">
        <v>2571</v>
      </c>
      <c r="F50" s="1254">
        <v>8</v>
      </c>
      <c r="G50" s="1255" t="s">
        <v>3090</v>
      </c>
      <c r="H50" s="1255" t="s">
        <v>1762</v>
      </c>
      <c r="I50" s="1256" t="s">
        <v>1918</v>
      </c>
      <c r="J50" s="1254">
        <v>5</v>
      </c>
      <c r="K50" s="1254">
        <v>8</v>
      </c>
      <c r="L50" s="1254">
        <v>10</v>
      </c>
      <c r="M50" s="1257">
        <v>12</v>
      </c>
      <c r="N50" s="1254">
        <v>40</v>
      </c>
      <c r="O50" s="1254">
        <v>80</v>
      </c>
      <c r="P50" s="1254">
        <v>100</v>
      </c>
      <c r="Q50" s="1257">
        <v>120</v>
      </c>
      <c r="R50" s="1254">
        <v>5</v>
      </c>
      <c r="S50" s="1254">
        <v>10</v>
      </c>
      <c r="T50" s="1258">
        <v>10</v>
      </c>
      <c r="U50" s="1264">
        <v>15</v>
      </c>
      <c r="V50" s="1260" t="s">
        <v>5482</v>
      </c>
      <c r="W50" s="1260" t="s">
        <v>5483</v>
      </c>
      <c r="X50" s="1260" t="s">
        <v>5484</v>
      </c>
      <c r="Y50" s="1260" t="s">
        <v>5485</v>
      </c>
      <c r="Z50" s="1261" t="s">
        <v>5486</v>
      </c>
    </row>
    <row r="51" spans="2:26" ht="12.75" customHeight="1" x14ac:dyDescent="0.2">
      <c r="B51" s="2465" t="str">
        <f t="shared" si="0"/>
        <v>Oscuridad10</v>
      </c>
      <c r="C51" s="1262"/>
      <c r="D51" s="1263" t="s">
        <v>5487</v>
      </c>
      <c r="E51" s="1254" t="s">
        <v>2571</v>
      </c>
      <c r="F51" s="1254">
        <v>10</v>
      </c>
      <c r="G51" s="1255" t="s">
        <v>2234</v>
      </c>
      <c r="H51" s="1255" t="s">
        <v>2431</v>
      </c>
      <c r="I51" s="1256" t="s">
        <v>1919</v>
      </c>
      <c r="J51" s="1254">
        <v>6</v>
      </c>
      <c r="K51" s="1254">
        <v>8</v>
      </c>
      <c r="L51" s="1254">
        <v>10</v>
      </c>
      <c r="M51" s="1257">
        <v>14</v>
      </c>
      <c r="N51" s="1254">
        <v>50</v>
      </c>
      <c r="O51" s="1254">
        <v>120</v>
      </c>
      <c r="P51" s="1254">
        <v>180</v>
      </c>
      <c r="Q51" s="1257">
        <v>250</v>
      </c>
      <c r="R51" s="1254">
        <v>5</v>
      </c>
      <c r="S51" s="1254">
        <v>15</v>
      </c>
      <c r="T51" s="1258">
        <v>20</v>
      </c>
      <c r="U51" s="1264">
        <v>25</v>
      </c>
      <c r="V51" s="1260" t="s">
        <v>5277</v>
      </c>
      <c r="W51" s="1260" t="s">
        <v>5278</v>
      </c>
      <c r="X51" s="1260" t="s">
        <v>5279</v>
      </c>
      <c r="Y51" s="1260" t="s">
        <v>5280</v>
      </c>
      <c r="Z51" s="1261" t="s">
        <v>5488</v>
      </c>
    </row>
    <row r="52" spans="2:26" ht="12.75" customHeight="1" x14ac:dyDescent="0.2">
      <c r="B52" s="2465" t="str">
        <f t="shared" si="0"/>
        <v>Oscuridad12</v>
      </c>
      <c r="C52" s="1262"/>
      <c r="D52" s="1263" t="s">
        <v>477</v>
      </c>
      <c r="E52" s="1254" t="s">
        <v>2571</v>
      </c>
      <c r="F52" s="1254">
        <v>12</v>
      </c>
      <c r="G52" s="1255" t="s">
        <v>2234</v>
      </c>
      <c r="H52" s="1255" t="s">
        <v>1763</v>
      </c>
      <c r="I52" s="1256" t="s">
        <v>1919</v>
      </c>
      <c r="J52" s="1254">
        <v>5</v>
      </c>
      <c r="K52" s="1254">
        <v>9</v>
      </c>
      <c r="L52" s="1254">
        <v>12</v>
      </c>
      <c r="M52" s="1257">
        <v>14</v>
      </c>
      <c r="N52" s="1254">
        <v>50</v>
      </c>
      <c r="O52" s="1254">
        <v>150</v>
      </c>
      <c r="P52" s="1254">
        <v>200</v>
      </c>
      <c r="Q52" s="1257">
        <v>240</v>
      </c>
      <c r="R52" s="1254">
        <v>5</v>
      </c>
      <c r="S52" s="1254">
        <v>15</v>
      </c>
      <c r="T52" s="1258">
        <v>20</v>
      </c>
      <c r="U52" s="1264">
        <v>25</v>
      </c>
      <c r="V52" s="1260" t="s">
        <v>5489</v>
      </c>
      <c r="W52" s="1260" t="s">
        <v>5490</v>
      </c>
      <c r="X52" s="1260" t="s">
        <v>5491</v>
      </c>
      <c r="Y52" s="1260" t="s">
        <v>5492</v>
      </c>
      <c r="Z52" s="1261" t="s">
        <v>5493</v>
      </c>
    </row>
    <row r="53" spans="2:26" ht="12.75" customHeight="1" x14ac:dyDescent="0.2">
      <c r="B53" s="2465" t="str">
        <f t="shared" si="0"/>
        <v>Oscuridad16</v>
      </c>
      <c r="C53" s="1262"/>
      <c r="D53" s="1263" t="s">
        <v>5494</v>
      </c>
      <c r="E53" s="1254" t="s">
        <v>2571</v>
      </c>
      <c r="F53" s="1254">
        <v>16</v>
      </c>
      <c r="G53" s="1255" t="s">
        <v>2234</v>
      </c>
      <c r="H53" s="1255" t="s">
        <v>1763</v>
      </c>
      <c r="I53" s="1256" t="s">
        <v>1918</v>
      </c>
      <c r="J53" s="1254">
        <v>6</v>
      </c>
      <c r="K53" s="1254">
        <v>9</v>
      </c>
      <c r="L53" s="1254">
        <v>12</v>
      </c>
      <c r="M53" s="1257">
        <v>15</v>
      </c>
      <c r="N53" s="1254">
        <v>60</v>
      </c>
      <c r="O53" s="1254">
        <v>90</v>
      </c>
      <c r="P53" s="1254">
        <v>120</v>
      </c>
      <c r="Q53" s="1257">
        <v>150</v>
      </c>
      <c r="R53" s="1254">
        <v>5</v>
      </c>
      <c r="S53" s="1254">
        <v>10</v>
      </c>
      <c r="T53" s="1258">
        <v>15</v>
      </c>
      <c r="U53" s="1264">
        <v>20</v>
      </c>
      <c r="V53" s="1260" t="s">
        <v>5287</v>
      </c>
      <c r="W53" s="1260" t="s">
        <v>5288</v>
      </c>
      <c r="X53" s="1260" t="s">
        <v>5495</v>
      </c>
      <c r="Y53" s="1260" t="s">
        <v>5496</v>
      </c>
      <c r="Z53" s="1261" t="s">
        <v>5497</v>
      </c>
    </row>
    <row r="54" spans="2:26" ht="12.75" customHeight="1" x14ac:dyDescent="0.2">
      <c r="B54" s="2465" t="str">
        <f t="shared" si="0"/>
        <v>Oscuridad18</v>
      </c>
      <c r="C54" s="1262"/>
      <c r="D54" s="1263" t="s">
        <v>5498</v>
      </c>
      <c r="E54" s="1254" t="s">
        <v>2571</v>
      </c>
      <c r="F54" s="1254">
        <v>18</v>
      </c>
      <c r="G54" s="1255" t="s">
        <v>2234</v>
      </c>
      <c r="H54" s="1255" t="s">
        <v>5499</v>
      </c>
      <c r="I54" s="1256" t="s">
        <v>1918</v>
      </c>
      <c r="J54" s="1254">
        <v>6</v>
      </c>
      <c r="K54" s="1254">
        <v>9</v>
      </c>
      <c r="L54" s="1254">
        <v>12</v>
      </c>
      <c r="M54" s="1257">
        <v>15</v>
      </c>
      <c r="N54" s="1254">
        <v>60</v>
      </c>
      <c r="O54" s="1254">
        <v>100</v>
      </c>
      <c r="P54" s="1254">
        <v>150</v>
      </c>
      <c r="Q54" s="1257">
        <v>250</v>
      </c>
      <c r="R54" s="1254">
        <v>10</v>
      </c>
      <c r="S54" s="1254">
        <v>10</v>
      </c>
      <c r="T54" s="1258">
        <v>15</v>
      </c>
      <c r="U54" s="1264">
        <v>15</v>
      </c>
      <c r="V54" s="1260" t="s">
        <v>5292</v>
      </c>
      <c r="W54" s="1260" t="s">
        <v>5500</v>
      </c>
      <c r="X54" s="1260" t="s">
        <v>5501</v>
      </c>
      <c r="Y54" s="1260" t="s">
        <v>5295</v>
      </c>
      <c r="Z54" s="1261" t="s">
        <v>5502</v>
      </c>
    </row>
    <row r="55" spans="2:26" ht="12.75" customHeight="1" x14ac:dyDescent="0.2">
      <c r="B55" s="2465" t="str">
        <f t="shared" si="0"/>
        <v>Oscuridad20</v>
      </c>
      <c r="C55" s="1262"/>
      <c r="D55" s="1263" t="s">
        <v>5503</v>
      </c>
      <c r="E55" s="1254" t="s">
        <v>2571</v>
      </c>
      <c r="F55" s="1254">
        <v>20</v>
      </c>
      <c r="G55" s="1255" t="s">
        <v>3090</v>
      </c>
      <c r="H55" s="1255" t="s">
        <v>1763</v>
      </c>
      <c r="I55" s="1256" t="s">
        <v>1919</v>
      </c>
      <c r="J55" s="1254">
        <v>6</v>
      </c>
      <c r="K55" s="1254">
        <v>9</v>
      </c>
      <c r="L55" s="1254">
        <v>12</v>
      </c>
      <c r="M55" s="1257">
        <v>15</v>
      </c>
      <c r="N55" s="1254">
        <v>50</v>
      </c>
      <c r="O55" s="1254">
        <v>180</v>
      </c>
      <c r="P55" s="1254">
        <v>240</v>
      </c>
      <c r="Q55" s="1257">
        <v>300</v>
      </c>
      <c r="R55" s="1254">
        <v>5</v>
      </c>
      <c r="S55" s="1254">
        <v>20</v>
      </c>
      <c r="T55" s="1258">
        <v>25</v>
      </c>
      <c r="U55" s="1264">
        <v>30</v>
      </c>
      <c r="V55" s="1260" t="s">
        <v>5504</v>
      </c>
      <c r="W55" s="1260" t="s">
        <v>5505</v>
      </c>
      <c r="X55" s="1260" t="s">
        <v>5506</v>
      </c>
      <c r="Y55" s="1260" t="s">
        <v>5507</v>
      </c>
      <c r="Z55" s="1261" t="s">
        <v>5508</v>
      </c>
    </row>
    <row r="56" spans="2:26" ht="12.75" customHeight="1" x14ac:dyDescent="0.2">
      <c r="B56" s="2465" t="str">
        <f t="shared" si="0"/>
        <v>Oscuridad22</v>
      </c>
      <c r="C56" s="1262"/>
      <c r="D56" s="1263" t="s">
        <v>5509</v>
      </c>
      <c r="E56" s="1254" t="s">
        <v>2571</v>
      </c>
      <c r="F56" s="1254">
        <v>22</v>
      </c>
      <c r="G56" s="1255" t="s">
        <v>2234</v>
      </c>
      <c r="H56" s="1255" t="s">
        <v>1761</v>
      </c>
      <c r="I56" s="1256" t="s">
        <v>1918</v>
      </c>
      <c r="J56" s="1254">
        <v>6</v>
      </c>
      <c r="K56" s="1254">
        <v>9</v>
      </c>
      <c r="L56" s="1254">
        <v>12</v>
      </c>
      <c r="M56" s="1257">
        <v>15</v>
      </c>
      <c r="N56" s="1254">
        <v>50</v>
      </c>
      <c r="O56" s="1254">
        <v>90</v>
      </c>
      <c r="P56" s="1254">
        <v>120</v>
      </c>
      <c r="Q56" s="1257">
        <v>150</v>
      </c>
      <c r="R56" s="1254" t="s">
        <v>2234</v>
      </c>
      <c r="S56" s="1254" t="s">
        <v>2234</v>
      </c>
      <c r="T56" s="1258" t="s">
        <v>2234</v>
      </c>
      <c r="U56" s="1264" t="s">
        <v>2234</v>
      </c>
      <c r="V56" s="1260" t="s">
        <v>5302</v>
      </c>
      <c r="W56" s="1260" t="s">
        <v>5303</v>
      </c>
      <c r="X56" s="1260" t="s">
        <v>5510</v>
      </c>
      <c r="Y56" s="1260" t="s">
        <v>5511</v>
      </c>
      <c r="Z56" s="1261" t="s">
        <v>5512</v>
      </c>
    </row>
    <row r="57" spans="2:26" ht="12.75" customHeight="1" x14ac:dyDescent="0.2">
      <c r="B57" s="2465" t="str">
        <f t="shared" si="0"/>
        <v>Oscuridad26</v>
      </c>
      <c r="C57" s="1262"/>
      <c r="D57" s="1263" t="s">
        <v>5513</v>
      </c>
      <c r="E57" s="1254" t="s">
        <v>2571</v>
      </c>
      <c r="F57" s="1254">
        <v>26</v>
      </c>
      <c r="G57" s="1255" t="s">
        <v>2234</v>
      </c>
      <c r="H57" s="1255" t="s">
        <v>1763</v>
      </c>
      <c r="I57" s="1256" t="s">
        <v>1918</v>
      </c>
      <c r="J57" s="1254">
        <v>6</v>
      </c>
      <c r="K57" s="1254">
        <v>9</v>
      </c>
      <c r="L57" s="1254">
        <v>12</v>
      </c>
      <c r="M57" s="1257">
        <v>15</v>
      </c>
      <c r="N57" s="1254">
        <v>60</v>
      </c>
      <c r="O57" s="1254">
        <v>180</v>
      </c>
      <c r="P57" s="1254">
        <v>240</v>
      </c>
      <c r="Q57" s="1257">
        <v>300</v>
      </c>
      <c r="R57" s="1254">
        <v>5</v>
      </c>
      <c r="S57" s="1254">
        <v>10</v>
      </c>
      <c r="T57" s="1258">
        <v>15</v>
      </c>
      <c r="U57" s="1264">
        <v>15</v>
      </c>
      <c r="V57" s="1260" t="s">
        <v>5514</v>
      </c>
      <c r="W57" s="1260" t="s">
        <v>5515</v>
      </c>
      <c r="X57" s="1260" t="s">
        <v>5516</v>
      </c>
      <c r="Y57" s="1260" t="s">
        <v>5517</v>
      </c>
      <c r="Z57" s="1261" t="s">
        <v>5518</v>
      </c>
    </row>
    <row r="58" spans="2:26" ht="12.75" customHeight="1" x14ac:dyDescent="0.2">
      <c r="B58" s="2465" t="str">
        <f t="shared" si="0"/>
        <v>Oscuridad28</v>
      </c>
      <c r="C58" s="1262"/>
      <c r="D58" s="1263" t="s">
        <v>5519</v>
      </c>
      <c r="E58" s="1254" t="s">
        <v>2571</v>
      </c>
      <c r="F58" s="1254">
        <v>28</v>
      </c>
      <c r="G58" s="1255" t="s">
        <v>2234</v>
      </c>
      <c r="H58" s="1255" t="s">
        <v>1761</v>
      </c>
      <c r="I58" s="1256" t="s">
        <v>1918</v>
      </c>
      <c r="J58" s="1254">
        <v>6</v>
      </c>
      <c r="K58" s="1254">
        <v>9</v>
      </c>
      <c r="L58" s="1254">
        <v>12</v>
      </c>
      <c r="M58" s="1257">
        <v>15</v>
      </c>
      <c r="N58" s="1254">
        <v>60</v>
      </c>
      <c r="O58" s="1254">
        <v>100</v>
      </c>
      <c r="P58" s="1254">
        <v>140</v>
      </c>
      <c r="Q58" s="1257">
        <v>180</v>
      </c>
      <c r="R58" s="1254">
        <v>10</v>
      </c>
      <c r="S58" s="1254">
        <v>10</v>
      </c>
      <c r="T58" s="1258">
        <v>15</v>
      </c>
      <c r="U58" s="1264">
        <v>15</v>
      </c>
      <c r="V58" s="1260" t="s">
        <v>5312</v>
      </c>
      <c r="W58" s="1260" t="s">
        <v>5313</v>
      </c>
      <c r="X58" s="1260" t="s">
        <v>5314</v>
      </c>
      <c r="Y58" s="1260" t="s">
        <v>5315</v>
      </c>
      <c r="Z58" s="1261" t="s">
        <v>5520</v>
      </c>
    </row>
    <row r="59" spans="2:26" ht="12.75" customHeight="1" x14ac:dyDescent="0.2">
      <c r="B59" s="2465" t="str">
        <f t="shared" si="0"/>
        <v>Oscuridad30</v>
      </c>
      <c r="C59" s="1262"/>
      <c r="D59" s="1263" t="s">
        <v>5521</v>
      </c>
      <c r="E59" s="1254" t="s">
        <v>2571</v>
      </c>
      <c r="F59" s="1254">
        <v>30</v>
      </c>
      <c r="G59" s="1255" t="s">
        <v>2234</v>
      </c>
      <c r="H59" s="1255" t="s">
        <v>5499</v>
      </c>
      <c r="I59" s="1256" t="s">
        <v>1918</v>
      </c>
      <c r="J59" s="1254">
        <v>6</v>
      </c>
      <c r="K59" s="1254">
        <v>9</v>
      </c>
      <c r="L59" s="1254">
        <v>12</v>
      </c>
      <c r="M59" s="1257">
        <v>16</v>
      </c>
      <c r="N59" s="1254">
        <v>50</v>
      </c>
      <c r="O59" s="1254">
        <v>150</v>
      </c>
      <c r="P59" s="1254">
        <v>250</v>
      </c>
      <c r="Q59" s="1257">
        <v>350</v>
      </c>
      <c r="R59" s="1254">
        <v>5</v>
      </c>
      <c r="S59" s="1254">
        <v>20</v>
      </c>
      <c r="T59" s="1258">
        <v>25</v>
      </c>
      <c r="U59" s="1264">
        <v>30</v>
      </c>
      <c r="V59" s="1260" t="s">
        <v>5317</v>
      </c>
      <c r="W59" s="1260" t="s">
        <v>5318</v>
      </c>
      <c r="X59" s="1260" t="s">
        <v>5522</v>
      </c>
      <c r="Y59" s="1260" t="s">
        <v>5320</v>
      </c>
      <c r="Z59" s="1261" t="s">
        <v>5523</v>
      </c>
    </row>
    <row r="60" spans="2:26" ht="12.75" customHeight="1" x14ac:dyDescent="0.2">
      <c r="B60" s="2465" t="str">
        <f t="shared" si="0"/>
        <v>Oscuridad32</v>
      </c>
      <c r="C60" s="1262"/>
      <c r="D60" s="1263" t="s">
        <v>485</v>
      </c>
      <c r="E60" s="1254" t="s">
        <v>2571</v>
      </c>
      <c r="F60" s="1254">
        <v>32</v>
      </c>
      <c r="G60" s="1255" t="s">
        <v>3090</v>
      </c>
      <c r="H60" s="1255" t="s">
        <v>1763</v>
      </c>
      <c r="I60" s="1256" t="s">
        <v>1919</v>
      </c>
      <c r="J60" s="1254">
        <v>6</v>
      </c>
      <c r="K60" s="1254">
        <v>9</v>
      </c>
      <c r="L60" s="1254">
        <v>12</v>
      </c>
      <c r="M60" s="1257">
        <v>15</v>
      </c>
      <c r="N60" s="1254">
        <v>60</v>
      </c>
      <c r="O60" s="1254">
        <v>180</v>
      </c>
      <c r="P60" s="1254">
        <v>240</v>
      </c>
      <c r="Q60" s="1257">
        <v>300</v>
      </c>
      <c r="R60" s="1254">
        <v>10</v>
      </c>
      <c r="S60" s="1254">
        <v>20</v>
      </c>
      <c r="T60" s="1258">
        <v>25</v>
      </c>
      <c r="U60" s="1264">
        <v>30</v>
      </c>
      <c r="V60" s="1260" t="s">
        <v>5524</v>
      </c>
      <c r="W60" s="1260" t="s">
        <v>5525</v>
      </c>
      <c r="X60" s="1260" t="s">
        <v>5526</v>
      </c>
      <c r="Y60" s="1260" t="s">
        <v>5527</v>
      </c>
      <c r="Z60" s="1261" t="s">
        <v>5528</v>
      </c>
    </row>
    <row r="61" spans="2:26" ht="12.75" customHeight="1" x14ac:dyDescent="0.2">
      <c r="B61" s="2465" t="str">
        <f t="shared" si="0"/>
        <v>Oscuridad36</v>
      </c>
      <c r="C61" s="1262"/>
      <c r="D61" s="1263" t="s">
        <v>486</v>
      </c>
      <c r="E61" s="1254" t="s">
        <v>2571</v>
      </c>
      <c r="F61" s="1254">
        <v>36</v>
      </c>
      <c r="G61" s="1255" t="s">
        <v>3090</v>
      </c>
      <c r="H61" s="1255" t="s">
        <v>1763</v>
      </c>
      <c r="I61" s="1256" t="s">
        <v>1918</v>
      </c>
      <c r="J61" s="1254">
        <v>6</v>
      </c>
      <c r="K61" s="1254">
        <v>9</v>
      </c>
      <c r="L61" s="1254">
        <v>12</v>
      </c>
      <c r="M61" s="1257">
        <v>15</v>
      </c>
      <c r="N61" s="1254">
        <v>100</v>
      </c>
      <c r="O61" s="1254">
        <v>180</v>
      </c>
      <c r="P61" s="1254">
        <v>240</v>
      </c>
      <c r="Q61" s="1257">
        <v>300</v>
      </c>
      <c r="R61" s="1254">
        <v>20</v>
      </c>
      <c r="S61" s="1254">
        <v>40</v>
      </c>
      <c r="T61" s="1258">
        <v>50</v>
      </c>
      <c r="U61" s="1264">
        <v>60</v>
      </c>
      <c r="V61" s="1260" t="s">
        <v>5529</v>
      </c>
      <c r="W61" s="1260" t="s">
        <v>5530</v>
      </c>
      <c r="X61" s="1260" t="s">
        <v>5531</v>
      </c>
      <c r="Y61" s="1260" t="s">
        <v>5532</v>
      </c>
      <c r="Z61" s="1261" t="s">
        <v>5533</v>
      </c>
    </row>
    <row r="62" spans="2:26" ht="12.75" customHeight="1" x14ac:dyDescent="0.2">
      <c r="B62" s="2465" t="str">
        <f t="shared" si="0"/>
        <v>Oscuridad38</v>
      </c>
      <c r="C62" s="1262"/>
      <c r="D62" s="1263" t="s">
        <v>487</v>
      </c>
      <c r="E62" s="1254" t="s">
        <v>2571</v>
      </c>
      <c r="F62" s="1254">
        <v>38</v>
      </c>
      <c r="G62" s="1255" t="s">
        <v>2234</v>
      </c>
      <c r="H62" s="1255" t="s">
        <v>1762</v>
      </c>
      <c r="I62" s="1256" t="s">
        <v>1918</v>
      </c>
      <c r="J62" s="1254">
        <v>6</v>
      </c>
      <c r="K62" s="1254">
        <v>9</v>
      </c>
      <c r="L62" s="1254">
        <v>12</v>
      </c>
      <c r="M62" s="1257">
        <v>15</v>
      </c>
      <c r="N62" s="1254">
        <v>60</v>
      </c>
      <c r="O62" s="1254">
        <v>90</v>
      </c>
      <c r="P62" s="1254">
        <v>150</v>
      </c>
      <c r="Q62" s="1257">
        <v>200</v>
      </c>
      <c r="R62" s="1254">
        <v>10</v>
      </c>
      <c r="S62" s="1254">
        <v>10</v>
      </c>
      <c r="T62" s="1258">
        <v>15</v>
      </c>
      <c r="U62" s="1264">
        <v>15</v>
      </c>
      <c r="V62" s="1260" t="s">
        <v>5534</v>
      </c>
      <c r="W62" s="1260" t="s">
        <v>5535</v>
      </c>
      <c r="X62" s="1260" t="s">
        <v>5536</v>
      </c>
      <c r="Y62" s="1260" t="s">
        <v>5537</v>
      </c>
      <c r="Z62" s="1261" t="s">
        <v>5538</v>
      </c>
    </row>
    <row r="63" spans="2:26" ht="12.75" customHeight="1" x14ac:dyDescent="0.2">
      <c r="B63" s="2465" t="str">
        <f t="shared" si="0"/>
        <v>Oscuridad40</v>
      </c>
      <c r="C63" s="1262"/>
      <c r="D63" s="1263" t="s">
        <v>5539</v>
      </c>
      <c r="E63" s="1254" t="s">
        <v>2571</v>
      </c>
      <c r="F63" s="1254">
        <v>40</v>
      </c>
      <c r="G63" s="1255" t="s">
        <v>2234</v>
      </c>
      <c r="H63" s="1255" t="s">
        <v>1762</v>
      </c>
      <c r="I63" s="1256" t="s">
        <v>1918</v>
      </c>
      <c r="J63" s="1254">
        <v>6</v>
      </c>
      <c r="K63" s="1254">
        <v>9</v>
      </c>
      <c r="L63" s="1254">
        <v>12</v>
      </c>
      <c r="M63" s="1257">
        <v>15</v>
      </c>
      <c r="N63" s="1254">
        <v>80</v>
      </c>
      <c r="O63" s="1254">
        <v>180</v>
      </c>
      <c r="P63" s="1254">
        <v>240</v>
      </c>
      <c r="Q63" s="1257">
        <v>350</v>
      </c>
      <c r="R63" s="1254" t="s">
        <v>2234</v>
      </c>
      <c r="S63" s="1254" t="s">
        <v>2234</v>
      </c>
      <c r="T63" s="1258" t="s">
        <v>2234</v>
      </c>
      <c r="U63" s="1264" t="s">
        <v>2234</v>
      </c>
      <c r="V63" s="1260" t="s">
        <v>5338</v>
      </c>
      <c r="W63" s="1260" t="s">
        <v>5339</v>
      </c>
      <c r="X63" s="1260" t="s">
        <v>5340</v>
      </c>
      <c r="Y63" s="1260" t="s">
        <v>5341</v>
      </c>
      <c r="Z63" s="1261" t="s">
        <v>5540</v>
      </c>
    </row>
    <row r="64" spans="2:26" ht="12.75" customHeight="1" x14ac:dyDescent="0.2">
      <c r="B64" s="2465" t="str">
        <f t="shared" si="0"/>
        <v>Oscuridad42</v>
      </c>
      <c r="C64" s="1262"/>
      <c r="D64" s="1263" t="s">
        <v>489</v>
      </c>
      <c r="E64" s="1254" t="s">
        <v>2571</v>
      </c>
      <c r="F64" s="1254">
        <v>42</v>
      </c>
      <c r="G64" s="1255" t="s">
        <v>2234</v>
      </c>
      <c r="H64" s="1255" t="s">
        <v>1763</v>
      </c>
      <c r="I64" s="1256" t="s">
        <v>1918</v>
      </c>
      <c r="J64" s="1254">
        <v>6</v>
      </c>
      <c r="K64" s="1254">
        <v>9</v>
      </c>
      <c r="L64" s="1254">
        <v>12</v>
      </c>
      <c r="M64" s="1257">
        <v>15</v>
      </c>
      <c r="N64" s="1254">
        <v>80</v>
      </c>
      <c r="O64" s="1254">
        <v>180</v>
      </c>
      <c r="P64" s="1254">
        <v>240</v>
      </c>
      <c r="Q64" s="1257">
        <v>300</v>
      </c>
      <c r="R64" s="1254">
        <v>10</v>
      </c>
      <c r="S64" s="1254">
        <v>20</v>
      </c>
      <c r="T64" s="1258">
        <v>25</v>
      </c>
      <c r="U64" s="1264">
        <v>30</v>
      </c>
      <c r="V64" s="1260" t="s">
        <v>5541</v>
      </c>
      <c r="W64" s="1260" t="s">
        <v>5542</v>
      </c>
      <c r="X64" s="1260" t="s">
        <v>5543</v>
      </c>
      <c r="Y64" s="1260" t="s">
        <v>5544</v>
      </c>
      <c r="Z64" s="1261" t="s">
        <v>5545</v>
      </c>
    </row>
    <row r="65" spans="2:26" ht="12.75" customHeight="1" x14ac:dyDescent="0.2">
      <c r="B65" s="2465" t="str">
        <f t="shared" si="0"/>
        <v>Oscuridad46</v>
      </c>
      <c r="C65" s="1262"/>
      <c r="D65" s="1263" t="s">
        <v>5546</v>
      </c>
      <c r="E65" s="1254" t="s">
        <v>2571</v>
      </c>
      <c r="F65" s="1254">
        <v>46</v>
      </c>
      <c r="G65" s="1255" t="s">
        <v>2234</v>
      </c>
      <c r="H65" s="1255" t="s">
        <v>1761</v>
      </c>
      <c r="I65" s="1256" t="s">
        <v>1918</v>
      </c>
      <c r="J65" s="1254">
        <v>6</v>
      </c>
      <c r="K65" s="1254">
        <v>9</v>
      </c>
      <c r="L65" s="1254">
        <v>12</v>
      </c>
      <c r="M65" s="1257">
        <v>15</v>
      </c>
      <c r="N65" s="1254">
        <v>120</v>
      </c>
      <c r="O65" s="1254">
        <v>180</v>
      </c>
      <c r="P65" s="1254">
        <v>240</v>
      </c>
      <c r="Q65" s="1257">
        <v>300</v>
      </c>
      <c r="R65" s="1254">
        <v>15</v>
      </c>
      <c r="S65" s="1254">
        <v>20</v>
      </c>
      <c r="T65" s="1258">
        <v>25</v>
      </c>
      <c r="U65" s="1264">
        <v>30</v>
      </c>
      <c r="V65" s="1260" t="s">
        <v>5547</v>
      </c>
      <c r="W65" s="1260" t="s">
        <v>5349</v>
      </c>
      <c r="X65" s="1260" t="s">
        <v>5350</v>
      </c>
      <c r="Y65" s="1260" t="s">
        <v>5351</v>
      </c>
      <c r="Z65" s="1261" t="s">
        <v>5548</v>
      </c>
    </row>
    <row r="66" spans="2:26" ht="12.75" customHeight="1" x14ac:dyDescent="0.2">
      <c r="B66" s="2465" t="str">
        <f t="shared" si="0"/>
        <v>Oscuridad48</v>
      </c>
      <c r="C66" s="1262"/>
      <c r="D66" s="1263" t="s">
        <v>5549</v>
      </c>
      <c r="E66" s="1254" t="s">
        <v>2571</v>
      </c>
      <c r="F66" s="1254">
        <v>48</v>
      </c>
      <c r="G66" s="1255" t="s">
        <v>3090</v>
      </c>
      <c r="H66" s="1255" t="s">
        <v>1765</v>
      </c>
      <c r="I66" s="1256" t="s">
        <v>1918</v>
      </c>
      <c r="J66" s="1254">
        <v>6</v>
      </c>
      <c r="K66" s="1254">
        <v>9</v>
      </c>
      <c r="L66" s="1254">
        <v>12</v>
      </c>
      <c r="M66" s="1257">
        <v>15</v>
      </c>
      <c r="N66" s="1254">
        <v>140</v>
      </c>
      <c r="O66" s="1254">
        <v>180</v>
      </c>
      <c r="P66" s="1254">
        <v>240</v>
      </c>
      <c r="Q66" s="1257">
        <v>300</v>
      </c>
      <c r="R66" s="1254">
        <v>10</v>
      </c>
      <c r="S66" s="1254">
        <v>10</v>
      </c>
      <c r="T66" s="1258">
        <v>15</v>
      </c>
      <c r="U66" s="1264">
        <v>15</v>
      </c>
      <c r="V66" s="1260" t="s">
        <v>5550</v>
      </c>
      <c r="W66" s="1260" t="s">
        <v>5551</v>
      </c>
      <c r="X66" s="1260" t="s">
        <v>5552</v>
      </c>
      <c r="Y66" s="1260" t="s">
        <v>5553</v>
      </c>
      <c r="Z66" s="1261" t="s">
        <v>5554</v>
      </c>
    </row>
    <row r="67" spans="2:26" ht="12.75" customHeight="1" x14ac:dyDescent="0.2">
      <c r="B67" s="2465" t="str">
        <f t="shared" si="0"/>
        <v>Oscuridad50</v>
      </c>
      <c r="C67" s="1262"/>
      <c r="D67" s="1263" t="s">
        <v>5555</v>
      </c>
      <c r="E67" s="1254" t="s">
        <v>2571</v>
      </c>
      <c r="F67" s="1254">
        <v>50</v>
      </c>
      <c r="G67" s="1255" t="s">
        <v>3090</v>
      </c>
      <c r="H67" s="1255" t="s">
        <v>1762</v>
      </c>
      <c r="I67" s="1256" t="s">
        <v>1918</v>
      </c>
      <c r="J67" s="1254">
        <v>6</v>
      </c>
      <c r="K67" s="1254">
        <v>9</v>
      </c>
      <c r="L67" s="1254">
        <v>12</v>
      </c>
      <c r="M67" s="1257">
        <v>15</v>
      </c>
      <c r="N67" s="1254">
        <v>120</v>
      </c>
      <c r="O67" s="1254">
        <v>180</v>
      </c>
      <c r="P67" s="1254">
        <v>240</v>
      </c>
      <c r="Q67" s="1257">
        <v>300</v>
      </c>
      <c r="R67" s="1254">
        <v>10</v>
      </c>
      <c r="S67" s="1254">
        <v>10</v>
      </c>
      <c r="T67" s="1258">
        <v>15</v>
      </c>
      <c r="U67" s="1264">
        <v>15</v>
      </c>
      <c r="V67" s="1260" t="s">
        <v>5358</v>
      </c>
      <c r="W67" s="1260" t="s">
        <v>5359</v>
      </c>
      <c r="X67" s="1260" t="s">
        <v>5360</v>
      </c>
      <c r="Y67" s="1260" t="s">
        <v>5361</v>
      </c>
      <c r="Z67" s="1261" t="s">
        <v>9690</v>
      </c>
    </row>
    <row r="68" spans="2:26" ht="12.75" customHeight="1" x14ac:dyDescent="0.2">
      <c r="B68" s="2465" t="str">
        <f t="shared" si="0"/>
        <v>Oscuridad52</v>
      </c>
      <c r="C68" s="1262"/>
      <c r="D68" s="1263" t="s">
        <v>5556</v>
      </c>
      <c r="E68" s="1254" t="s">
        <v>2571</v>
      </c>
      <c r="F68" s="1254">
        <v>52</v>
      </c>
      <c r="G68" s="1255" t="s">
        <v>2234</v>
      </c>
      <c r="H68" s="1255" t="s">
        <v>1763</v>
      </c>
      <c r="I68" s="1256" t="s">
        <v>1918</v>
      </c>
      <c r="J68" s="1254">
        <v>8</v>
      </c>
      <c r="K68" s="1254">
        <v>11</v>
      </c>
      <c r="L68" s="1254">
        <v>13</v>
      </c>
      <c r="M68" s="1257">
        <v>16</v>
      </c>
      <c r="N68" s="1254">
        <v>100</v>
      </c>
      <c r="O68" s="1254">
        <v>120</v>
      </c>
      <c r="P68" s="1254">
        <v>140</v>
      </c>
      <c r="Q68" s="1257">
        <v>160</v>
      </c>
      <c r="R68" s="1254">
        <v>10</v>
      </c>
      <c r="S68" s="1254">
        <v>15</v>
      </c>
      <c r="T68" s="1258">
        <v>15</v>
      </c>
      <c r="U68" s="1264">
        <v>20</v>
      </c>
      <c r="V68" s="1260" t="s">
        <v>5362</v>
      </c>
      <c r="W68" s="1260" t="s">
        <v>5363</v>
      </c>
      <c r="X68" s="1260" t="s">
        <v>5557</v>
      </c>
      <c r="Y68" s="1260" t="s">
        <v>5558</v>
      </c>
      <c r="Z68" s="1261" t="s">
        <v>5559</v>
      </c>
    </row>
    <row r="69" spans="2:26" ht="12.75" customHeight="1" x14ac:dyDescent="0.2">
      <c r="B69" s="2465" t="str">
        <f t="shared" si="0"/>
        <v>Oscuridad56</v>
      </c>
      <c r="C69" s="1262"/>
      <c r="D69" s="1263" t="s">
        <v>494</v>
      </c>
      <c r="E69" s="1254" t="s">
        <v>2571</v>
      </c>
      <c r="F69" s="1254">
        <v>56</v>
      </c>
      <c r="G69" s="1255" t="s">
        <v>2234</v>
      </c>
      <c r="H69" s="1255" t="s">
        <v>1764</v>
      </c>
      <c r="I69" s="1256" t="s">
        <v>1918</v>
      </c>
      <c r="J69" s="1254">
        <v>6</v>
      </c>
      <c r="K69" s="1254">
        <v>9</v>
      </c>
      <c r="L69" s="1254">
        <v>12</v>
      </c>
      <c r="M69" s="1257">
        <v>15</v>
      </c>
      <c r="N69" s="1254">
        <v>100</v>
      </c>
      <c r="O69" s="1254">
        <v>180</v>
      </c>
      <c r="P69" s="1254">
        <v>240</v>
      </c>
      <c r="Q69" s="1257">
        <v>300</v>
      </c>
      <c r="R69" s="1254">
        <v>5</v>
      </c>
      <c r="S69" s="1254">
        <v>10</v>
      </c>
      <c r="T69" s="1258">
        <v>15</v>
      </c>
      <c r="U69" s="1264">
        <v>15</v>
      </c>
      <c r="V69" s="1260" t="s">
        <v>5560</v>
      </c>
      <c r="W69" s="1260" t="s">
        <v>5561</v>
      </c>
      <c r="X69" s="1260" t="s">
        <v>5562</v>
      </c>
      <c r="Y69" s="1260" t="s">
        <v>5563</v>
      </c>
      <c r="Z69" s="1261" t="s">
        <v>5564</v>
      </c>
    </row>
    <row r="70" spans="2:26" ht="12.75" customHeight="1" x14ac:dyDescent="0.2">
      <c r="B70" s="2465" t="str">
        <f t="shared" si="0"/>
        <v>Oscuridad58</v>
      </c>
      <c r="C70" s="1262"/>
      <c r="D70" s="1263" t="s">
        <v>5565</v>
      </c>
      <c r="E70" s="1254" t="s">
        <v>2571</v>
      </c>
      <c r="F70" s="1254">
        <v>58</v>
      </c>
      <c r="G70" s="1255" t="s">
        <v>3090</v>
      </c>
      <c r="H70" s="1255" t="s">
        <v>1762</v>
      </c>
      <c r="I70" s="1256" t="s">
        <v>1918</v>
      </c>
      <c r="J70" s="1254">
        <v>6</v>
      </c>
      <c r="K70" s="1254">
        <v>9</v>
      </c>
      <c r="L70" s="1254">
        <v>12</v>
      </c>
      <c r="M70" s="1257">
        <v>15</v>
      </c>
      <c r="N70" s="1254">
        <v>100</v>
      </c>
      <c r="O70" s="1254">
        <v>180</v>
      </c>
      <c r="P70" s="1254">
        <v>240</v>
      </c>
      <c r="Q70" s="1257">
        <v>300</v>
      </c>
      <c r="R70" s="1254">
        <v>10</v>
      </c>
      <c r="S70" s="1254">
        <v>20</v>
      </c>
      <c r="T70" s="1258">
        <v>25</v>
      </c>
      <c r="U70" s="1264">
        <v>30</v>
      </c>
      <c r="V70" s="1260" t="s">
        <v>5566</v>
      </c>
      <c r="W70" s="1260" t="s">
        <v>5374</v>
      </c>
      <c r="X70" s="1260" t="s">
        <v>5567</v>
      </c>
      <c r="Y70" s="1260" t="s">
        <v>5376</v>
      </c>
      <c r="Z70" s="1261" t="s">
        <v>5568</v>
      </c>
    </row>
    <row r="71" spans="2:26" ht="12.75" customHeight="1" x14ac:dyDescent="0.2">
      <c r="B71" s="2465" t="str">
        <f t="shared" si="0"/>
        <v>Oscuridad60</v>
      </c>
      <c r="C71" s="1262"/>
      <c r="D71" s="1263" t="s">
        <v>5569</v>
      </c>
      <c r="E71" s="1254" t="s">
        <v>2571</v>
      </c>
      <c r="F71" s="1254">
        <v>60</v>
      </c>
      <c r="G71" s="1255" t="s">
        <v>3090</v>
      </c>
      <c r="H71" s="1255" t="s">
        <v>1763</v>
      </c>
      <c r="I71" s="1256" t="s">
        <v>1918</v>
      </c>
      <c r="J71" s="1254">
        <v>8</v>
      </c>
      <c r="K71" s="1254">
        <v>10</v>
      </c>
      <c r="L71" s="1254">
        <v>13</v>
      </c>
      <c r="M71" s="1257">
        <v>16</v>
      </c>
      <c r="N71" s="1254">
        <v>100</v>
      </c>
      <c r="O71" s="1254">
        <v>200</v>
      </c>
      <c r="P71" s="1254">
        <v>300</v>
      </c>
      <c r="Q71" s="1257">
        <v>400</v>
      </c>
      <c r="R71" s="1254" t="s">
        <v>2234</v>
      </c>
      <c r="S71" s="1254" t="s">
        <v>2234</v>
      </c>
      <c r="T71" s="1258" t="s">
        <v>2234</v>
      </c>
      <c r="U71" s="1264" t="s">
        <v>2234</v>
      </c>
      <c r="V71" s="1260" t="s">
        <v>5570</v>
      </c>
      <c r="W71" s="1260" t="s">
        <v>5571</v>
      </c>
      <c r="X71" s="1260" t="s">
        <v>5572</v>
      </c>
      <c r="Y71" s="1260" t="s">
        <v>5573</v>
      </c>
      <c r="Z71" s="1261" t="s">
        <v>5574</v>
      </c>
    </row>
    <row r="72" spans="2:26" ht="12.75" customHeight="1" x14ac:dyDescent="0.2">
      <c r="B72" s="2465" t="str">
        <f t="shared" ref="B72:B135" si="1">E72&amp;F72</f>
        <v>Oscuridad62</v>
      </c>
      <c r="C72" s="1262"/>
      <c r="D72" s="1263" t="s">
        <v>5575</v>
      </c>
      <c r="E72" s="1254" t="s">
        <v>2571</v>
      </c>
      <c r="F72" s="1254">
        <v>62</v>
      </c>
      <c r="G72" s="1255" t="s">
        <v>3090</v>
      </c>
      <c r="H72" s="1255" t="s">
        <v>1764</v>
      </c>
      <c r="I72" s="1256" t="s">
        <v>1918</v>
      </c>
      <c r="J72" s="1254">
        <v>7</v>
      </c>
      <c r="K72" s="1254">
        <v>9</v>
      </c>
      <c r="L72" s="1254">
        <v>12</v>
      </c>
      <c r="M72" s="1257">
        <v>15</v>
      </c>
      <c r="N72" s="1254">
        <v>140</v>
      </c>
      <c r="O72" s="1254">
        <v>180</v>
      </c>
      <c r="P72" s="1254">
        <v>240</v>
      </c>
      <c r="Q72" s="1257">
        <v>300</v>
      </c>
      <c r="R72" s="1254">
        <v>15</v>
      </c>
      <c r="S72" s="1254">
        <v>20</v>
      </c>
      <c r="T72" s="1258">
        <v>25</v>
      </c>
      <c r="U72" s="1264">
        <v>30</v>
      </c>
      <c r="V72" s="1260" t="s">
        <v>5381</v>
      </c>
      <c r="W72" s="1260" t="s">
        <v>5382</v>
      </c>
      <c r="X72" s="1260" t="s">
        <v>5383</v>
      </c>
      <c r="Y72" s="1260" t="s">
        <v>5384</v>
      </c>
      <c r="Z72" s="1261" t="s">
        <v>5576</v>
      </c>
    </row>
    <row r="73" spans="2:26" ht="12.75" customHeight="1" x14ac:dyDescent="0.2">
      <c r="B73" s="2465" t="str">
        <f t="shared" si="1"/>
        <v>Oscuridad66</v>
      </c>
      <c r="C73" s="1262"/>
      <c r="D73" s="1263" t="s">
        <v>5577</v>
      </c>
      <c r="E73" s="1254" t="s">
        <v>2571</v>
      </c>
      <c r="F73" s="1254">
        <v>66</v>
      </c>
      <c r="G73" s="1255" t="s">
        <v>2234</v>
      </c>
      <c r="H73" s="1255" t="s">
        <v>2431</v>
      </c>
      <c r="I73" s="1256" t="s">
        <v>1919</v>
      </c>
      <c r="J73" s="1254">
        <v>6</v>
      </c>
      <c r="K73" s="1254">
        <v>9</v>
      </c>
      <c r="L73" s="1254">
        <v>12</v>
      </c>
      <c r="M73" s="1257">
        <v>15</v>
      </c>
      <c r="N73" s="1254">
        <v>120</v>
      </c>
      <c r="O73" s="1254">
        <v>180</v>
      </c>
      <c r="P73" s="1254">
        <v>240</v>
      </c>
      <c r="Q73" s="1257">
        <v>300</v>
      </c>
      <c r="R73" s="1254">
        <v>10</v>
      </c>
      <c r="S73" s="1254">
        <v>10</v>
      </c>
      <c r="T73" s="1258">
        <v>15</v>
      </c>
      <c r="U73" s="1264">
        <v>15</v>
      </c>
      <c r="V73" s="1260" t="s">
        <v>5578</v>
      </c>
      <c r="W73" s="1260" t="s">
        <v>5579</v>
      </c>
      <c r="X73" s="1260" t="s">
        <v>5580</v>
      </c>
      <c r="Y73" s="1260" t="s">
        <v>5581</v>
      </c>
      <c r="Z73" s="1261" t="s">
        <v>5582</v>
      </c>
    </row>
    <row r="74" spans="2:26" ht="12.75" customHeight="1" x14ac:dyDescent="0.2">
      <c r="B74" s="2465" t="str">
        <f t="shared" si="1"/>
        <v>Oscuridad68</v>
      </c>
      <c r="C74" s="1262"/>
      <c r="D74" s="1263" t="s">
        <v>499</v>
      </c>
      <c r="E74" s="1254" t="s">
        <v>2571</v>
      </c>
      <c r="F74" s="1254">
        <v>68</v>
      </c>
      <c r="G74" s="1255" t="s">
        <v>2234</v>
      </c>
      <c r="H74" s="1255" t="s">
        <v>1762</v>
      </c>
      <c r="I74" s="1256" t="s">
        <v>1918</v>
      </c>
      <c r="J74" s="1254">
        <v>6</v>
      </c>
      <c r="K74" s="1254">
        <v>9</v>
      </c>
      <c r="L74" s="1254">
        <v>12</v>
      </c>
      <c r="M74" s="1257">
        <v>15</v>
      </c>
      <c r="N74" s="1254">
        <v>100</v>
      </c>
      <c r="O74" s="1254">
        <v>180</v>
      </c>
      <c r="P74" s="1254">
        <v>240</v>
      </c>
      <c r="Q74" s="1257">
        <v>300</v>
      </c>
      <c r="R74" s="1254">
        <v>10</v>
      </c>
      <c r="S74" s="1254">
        <v>20</v>
      </c>
      <c r="T74" s="1258">
        <v>25</v>
      </c>
      <c r="U74" s="1264">
        <v>30</v>
      </c>
      <c r="V74" s="1260" t="s">
        <v>5583</v>
      </c>
      <c r="W74" s="1260" t="s">
        <v>5584</v>
      </c>
      <c r="X74" s="1260" t="s">
        <v>5585</v>
      </c>
      <c r="Y74" s="1260" t="s">
        <v>5586</v>
      </c>
      <c r="Z74" s="1261" t="s">
        <v>5587</v>
      </c>
    </row>
    <row r="75" spans="2:26" ht="12.75" customHeight="1" x14ac:dyDescent="0.2">
      <c r="B75" s="2465" t="str">
        <f t="shared" si="1"/>
        <v>Oscuridad70</v>
      </c>
      <c r="C75" s="1262"/>
      <c r="D75" s="1263" t="s">
        <v>5588</v>
      </c>
      <c r="E75" s="1254" t="s">
        <v>2571</v>
      </c>
      <c r="F75" s="1254">
        <v>70</v>
      </c>
      <c r="G75" s="1255" t="s">
        <v>2234</v>
      </c>
      <c r="H75" s="1255" t="s">
        <v>1764</v>
      </c>
      <c r="I75" s="1256" t="s">
        <v>1918</v>
      </c>
      <c r="J75" s="1254">
        <v>10</v>
      </c>
      <c r="K75" s="1254">
        <v>12</v>
      </c>
      <c r="L75" s="1254">
        <v>14</v>
      </c>
      <c r="M75" s="1257">
        <v>16</v>
      </c>
      <c r="N75" s="1254">
        <v>140</v>
      </c>
      <c r="O75" s="1254">
        <v>200</v>
      </c>
      <c r="P75" s="1254">
        <v>280</v>
      </c>
      <c r="Q75" s="1257">
        <v>360</v>
      </c>
      <c r="R75" s="1254">
        <v>5</v>
      </c>
      <c r="S75" s="1254">
        <v>10</v>
      </c>
      <c r="T75" s="1258">
        <v>10</v>
      </c>
      <c r="U75" s="1264">
        <v>15</v>
      </c>
      <c r="V75" s="1260" t="s">
        <v>5397</v>
      </c>
      <c r="W75" s="1260" t="s">
        <v>5398</v>
      </c>
      <c r="X75" s="1260" t="s">
        <v>5589</v>
      </c>
      <c r="Y75" s="1260" t="s">
        <v>5400</v>
      </c>
      <c r="Z75" s="1261" t="s">
        <v>5590</v>
      </c>
    </row>
    <row r="76" spans="2:26" ht="12.75" customHeight="1" x14ac:dyDescent="0.2">
      <c r="B76" s="2465" t="str">
        <f t="shared" si="1"/>
        <v>Oscuridad72</v>
      </c>
      <c r="C76" s="1262"/>
      <c r="D76" s="1263" t="s">
        <v>5591</v>
      </c>
      <c r="E76" s="1254" t="s">
        <v>2571</v>
      </c>
      <c r="F76" s="1254">
        <v>72</v>
      </c>
      <c r="G76" s="1255" t="s">
        <v>2234</v>
      </c>
      <c r="H76" s="1255" t="s">
        <v>1761</v>
      </c>
      <c r="I76" s="1256" t="s">
        <v>1918</v>
      </c>
      <c r="J76" s="1254">
        <v>10</v>
      </c>
      <c r="K76" s="1254">
        <v>12</v>
      </c>
      <c r="L76" s="1254">
        <v>14</v>
      </c>
      <c r="M76" s="1257">
        <v>16</v>
      </c>
      <c r="N76" s="1254">
        <v>140</v>
      </c>
      <c r="O76" s="1254">
        <v>180</v>
      </c>
      <c r="P76" s="1254">
        <v>240</v>
      </c>
      <c r="Q76" s="1257">
        <v>350</v>
      </c>
      <c r="R76" s="1254" t="s">
        <v>2234</v>
      </c>
      <c r="S76" s="1254" t="s">
        <v>2234</v>
      </c>
      <c r="T76" s="1258" t="s">
        <v>2234</v>
      </c>
      <c r="U76" s="1264" t="s">
        <v>2234</v>
      </c>
      <c r="V76" s="1260" t="s">
        <v>5403</v>
      </c>
      <c r="W76" s="1260" t="s">
        <v>5404</v>
      </c>
      <c r="X76" s="1260" t="s">
        <v>5405</v>
      </c>
      <c r="Y76" s="1260" t="s">
        <v>5592</v>
      </c>
      <c r="Z76" s="1261" t="s">
        <v>5593</v>
      </c>
    </row>
    <row r="77" spans="2:26" ht="12.75" customHeight="1" x14ac:dyDescent="0.2">
      <c r="B77" s="2465" t="str">
        <f t="shared" si="1"/>
        <v>Oscuridad76</v>
      </c>
      <c r="C77" s="1262"/>
      <c r="D77" s="1263" t="s">
        <v>5594</v>
      </c>
      <c r="E77" s="1254" t="s">
        <v>2571</v>
      </c>
      <c r="F77" s="1254">
        <v>76</v>
      </c>
      <c r="G77" s="1255" t="s">
        <v>2234</v>
      </c>
      <c r="H77" s="1255" t="s">
        <v>1763</v>
      </c>
      <c r="I77" s="1256" t="s">
        <v>1918</v>
      </c>
      <c r="J77" s="1254">
        <v>10</v>
      </c>
      <c r="K77" s="1254">
        <v>12</v>
      </c>
      <c r="L77" s="1254">
        <v>14</v>
      </c>
      <c r="M77" s="1257">
        <v>16</v>
      </c>
      <c r="N77" s="1254">
        <v>150</v>
      </c>
      <c r="O77" s="1254">
        <v>200</v>
      </c>
      <c r="P77" s="1254">
        <v>240</v>
      </c>
      <c r="Q77" s="1257">
        <v>300</v>
      </c>
      <c r="R77" s="1254">
        <v>15</v>
      </c>
      <c r="S77" s="1254">
        <v>20</v>
      </c>
      <c r="T77" s="1258">
        <v>25</v>
      </c>
      <c r="U77" s="1264">
        <v>30</v>
      </c>
      <c r="V77" s="1260" t="s">
        <v>5595</v>
      </c>
      <c r="W77" s="1260" t="s">
        <v>5410</v>
      </c>
      <c r="X77" s="1260" t="s">
        <v>5411</v>
      </c>
      <c r="Y77" s="1260" t="s">
        <v>5412</v>
      </c>
      <c r="Z77" s="1261" t="s">
        <v>5596</v>
      </c>
    </row>
    <row r="78" spans="2:26" ht="12.75" customHeight="1" x14ac:dyDescent="0.2">
      <c r="B78" s="2465" t="str">
        <f t="shared" si="1"/>
        <v>Oscuridad78</v>
      </c>
      <c r="C78" s="1262"/>
      <c r="D78" s="1263" t="s">
        <v>5597</v>
      </c>
      <c r="E78" s="1254" t="s">
        <v>2571</v>
      </c>
      <c r="F78" s="1254">
        <v>78</v>
      </c>
      <c r="G78" s="1255" t="s">
        <v>2234</v>
      </c>
      <c r="H78" s="1255" t="s">
        <v>5499</v>
      </c>
      <c r="I78" s="1256" t="s">
        <v>1918</v>
      </c>
      <c r="J78" s="1254">
        <v>10</v>
      </c>
      <c r="K78" s="1254">
        <v>12</v>
      </c>
      <c r="L78" s="1254">
        <v>14</v>
      </c>
      <c r="M78" s="1257">
        <v>16</v>
      </c>
      <c r="N78" s="1254">
        <v>250</v>
      </c>
      <c r="O78" s="1254">
        <v>360</v>
      </c>
      <c r="P78" s="1254">
        <v>450</v>
      </c>
      <c r="Q78" s="1257">
        <v>600</v>
      </c>
      <c r="R78" s="1254" t="s">
        <v>2234</v>
      </c>
      <c r="S78" s="1254" t="s">
        <v>2234</v>
      </c>
      <c r="T78" s="1258" t="s">
        <v>2234</v>
      </c>
      <c r="U78" s="1264" t="s">
        <v>2234</v>
      </c>
      <c r="V78" s="1260" t="s">
        <v>5415</v>
      </c>
      <c r="W78" s="1260" t="s">
        <v>5416</v>
      </c>
      <c r="X78" s="1260" t="s">
        <v>5417</v>
      </c>
      <c r="Y78" s="1260" t="s">
        <v>5418</v>
      </c>
      <c r="Z78" s="1261" t="s">
        <v>5598</v>
      </c>
    </row>
    <row r="79" spans="2:26" ht="12.75" customHeight="1" x14ac:dyDescent="0.2">
      <c r="B79" s="2465" t="str">
        <f t="shared" si="1"/>
        <v>Oscuridad80</v>
      </c>
      <c r="C79" s="1262"/>
      <c r="D79" s="1263" t="s">
        <v>5599</v>
      </c>
      <c r="E79" s="1254" t="s">
        <v>2571</v>
      </c>
      <c r="F79" s="1254">
        <v>80</v>
      </c>
      <c r="G79" s="1255" t="s">
        <v>3090</v>
      </c>
      <c r="H79" s="1255" t="s">
        <v>5499</v>
      </c>
      <c r="I79" s="1256" t="s">
        <v>1918</v>
      </c>
      <c r="J79" s="1254">
        <v>12</v>
      </c>
      <c r="K79" s="1254">
        <v>14</v>
      </c>
      <c r="L79" s="1254">
        <v>16</v>
      </c>
      <c r="M79" s="1257">
        <v>18</v>
      </c>
      <c r="N79" s="1254">
        <v>300</v>
      </c>
      <c r="O79" s="1254">
        <v>400</v>
      </c>
      <c r="P79" s="1254">
        <v>500</v>
      </c>
      <c r="Q79" s="1257">
        <v>750</v>
      </c>
      <c r="R79" s="1254">
        <v>60</v>
      </c>
      <c r="S79" s="1254">
        <v>65</v>
      </c>
      <c r="T79" s="1258">
        <v>70</v>
      </c>
      <c r="U79" s="1264">
        <v>80</v>
      </c>
      <c r="V79" s="1260" t="s">
        <v>5386</v>
      </c>
      <c r="W79" s="1260" t="s">
        <v>5600</v>
      </c>
      <c r="X79" s="1260" t="s">
        <v>5601</v>
      </c>
      <c r="Y79" s="1260" t="s">
        <v>5423</v>
      </c>
      <c r="Z79" s="1261" t="s">
        <v>9691</v>
      </c>
    </row>
    <row r="80" spans="2:26" ht="12.75" customHeight="1" x14ac:dyDescent="0.2">
      <c r="B80" s="2465" t="str">
        <f t="shared" si="1"/>
        <v>Oscuridad82</v>
      </c>
      <c r="C80" s="1262"/>
      <c r="D80" s="1263" t="s">
        <v>5602</v>
      </c>
      <c r="E80" s="1254" t="s">
        <v>2571</v>
      </c>
      <c r="F80" s="1254">
        <v>82</v>
      </c>
      <c r="G80" s="1255" t="s">
        <v>3090</v>
      </c>
      <c r="H80" s="1255" t="s">
        <v>1763</v>
      </c>
      <c r="I80" s="1256" t="s">
        <v>1918</v>
      </c>
      <c r="J80" s="1254">
        <v>10</v>
      </c>
      <c r="K80" s="1254">
        <v>12</v>
      </c>
      <c r="L80" s="1254">
        <v>14</v>
      </c>
      <c r="M80" s="1257">
        <v>16</v>
      </c>
      <c r="N80" s="1254">
        <v>250</v>
      </c>
      <c r="O80" s="1254">
        <v>350</v>
      </c>
      <c r="P80" s="1254">
        <v>500</v>
      </c>
      <c r="Q80" s="1257">
        <v>700</v>
      </c>
      <c r="R80" s="1254">
        <v>50</v>
      </c>
      <c r="S80" s="1254">
        <v>70</v>
      </c>
      <c r="T80" s="1258">
        <v>100</v>
      </c>
      <c r="U80" s="1264">
        <v>140</v>
      </c>
      <c r="V80" s="1260" t="s">
        <v>5425</v>
      </c>
      <c r="W80" s="1260" t="s">
        <v>5603</v>
      </c>
      <c r="X80" s="1260" t="s">
        <v>5427</v>
      </c>
      <c r="Y80" s="1260" t="s">
        <v>5428</v>
      </c>
      <c r="Z80" s="1261" t="s">
        <v>5604</v>
      </c>
    </row>
    <row r="81" spans="2:26" ht="12.75" customHeight="1" x14ac:dyDescent="0.2">
      <c r="B81" s="2465" t="str">
        <f t="shared" si="1"/>
        <v>Oscuridad86</v>
      </c>
      <c r="C81" s="1262"/>
      <c r="D81" s="1263" t="s">
        <v>5605</v>
      </c>
      <c r="E81" s="1254" t="s">
        <v>2571</v>
      </c>
      <c r="F81" s="1254">
        <v>86</v>
      </c>
      <c r="G81" s="1255" t="s">
        <v>3090</v>
      </c>
      <c r="H81" s="1255" t="s">
        <v>1763</v>
      </c>
      <c r="I81" s="1256" t="s">
        <v>1919</v>
      </c>
      <c r="J81" s="1254">
        <v>10</v>
      </c>
      <c r="K81" s="1254">
        <v>12</v>
      </c>
      <c r="L81" s="1254">
        <v>14</v>
      </c>
      <c r="M81" s="1257">
        <v>16</v>
      </c>
      <c r="N81" s="1254">
        <v>200</v>
      </c>
      <c r="O81" s="1254">
        <v>240</v>
      </c>
      <c r="P81" s="1254">
        <v>280</v>
      </c>
      <c r="Q81" s="1257">
        <v>320</v>
      </c>
      <c r="R81" s="1254">
        <v>10</v>
      </c>
      <c r="S81" s="1254">
        <v>12</v>
      </c>
      <c r="T81" s="1258">
        <v>14</v>
      </c>
      <c r="U81" s="1264">
        <v>16</v>
      </c>
      <c r="V81" s="1260" t="s">
        <v>5606</v>
      </c>
      <c r="W81" s="1260" t="s">
        <v>5607</v>
      </c>
      <c r="X81" s="1260" t="s">
        <v>5608</v>
      </c>
      <c r="Y81" s="1260" t="s">
        <v>5609</v>
      </c>
      <c r="Z81" s="1261" t="s">
        <v>5610</v>
      </c>
    </row>
    <row r="82" spans="2:26" ht="12.75" customHeight="1" x14ac:dyDescent="0.2">
      <c r="B82" s="2465" t="str">
        <f t="shared" si="1"/>
        <v>Oscuridad88</v>
      </c>
      <c r="C82" s="1262"/>
      <c r="D82" s="1263" t="s">
        <v>5611</v>
      </c>
      <c r="E82" s="1254" t="s">
        <v>2571</v>
      </c>
      <c r="F82" s="1254">
        <v>88</v>
      </c>
      <c r="G82" s="1255" t="s">
        <v>2234</v>
      </c>
      <c r="H82" s="1255" t="s">
        <v>1764</v>
      </c>
      <c r="I82" s="1256" t="s">
        <v>1918</v>
      </c>
      <c r="J82" s="1254">
        <v>10</v>
      </c>
      <c r="K82" s="1254">
        <v>12</v>
      </c>
      <c r="L82" s="1254">
        <v>14</v>
      </c>
      <c r="M82" s="1257">
        <v>16</v>
      </c>
      <c r="N82" s="1254">
        <v>200</v>
      </c>
      <c r="O82" s="1254">
        <v>360</v>
      </c>
      <c r="P82" s="1254">
        <v>430</v>
      </c>
      <c r="Q82" s="1257">
        <v>480</v>
      </c>
      <c r="R82" s="1254">
        <v>10</v>
      </c>
      <c r="S82" s="1254">
        <v>20</v>
      </c>
      <c r="T82" s="1258">
        <v>25</v>
      </c>
      <c r="U82" s="1264">
        <v>25</v>
      </c>
      <c r="V82" s="1260" t="s">
        <v>5612</v>
      </c>
      <c r="W82" s="1260" t="s">
        <v>5473</v>
      </c>
      <c r="X82" s="1260" t="s">
        <v>5613</v>
      </c>
      <c r="Y82" s="1260" t="s">
        <v>5614</v>
      </c>
      <c r="Z82" s="1261" t="s">
        <v>5615</v>
      </c>
    </row>
    <row r="83" spans="2:26" ht="12.75" customHeight="1" x14ac:dyDescent="0.2">
      <c r="B83" s="2465" t="str">
        <f t="shared" si="1"/>
        <v>Oscuridad90</v>
      </c>
      <c r="C83" s="1262"/>
      <c r="D83" s="1263" t="s">
        <v>508</v>
      </c>
      <c r="E83" s="1254" t="s">
        <v>2571</v>
      </c>
      <c r="F83" s="1254">
        <v>90</v>
      </c>
      <c r="G83" s="1255" t="s">
        <v>3090</v>
      </c>
      <c r="H83" s="1255" t="s">
        <v>1763</v>
      </c>
      <c r="I83" s="1256" t="s">
        <v>1918</v>
      </c>
      <c r="J83" s="1254">
        <v>12</v>
      </c>
      <c r="K83" s="1254">
        <v>14</v>
      </c>
      <c r="L83" s="1254">
        <v>16</v>
      </c>
      <c r="M83" s="1257">
        <v>18</v>
      </c>
      <c r="N83" s="1254">
        <v>350</v>
      </c>
      <c r="O83" s="1254">
        <v>450</v>
      </c>
      <c r="P83" s="1254">
        <v>600</v>
      </c>
      <c r="Q83" s="1257">
        <v>800</v>
      </c>
      <c r="R83" s="1254">
        <v>80</v>
      </c>
      <c r="S83" s="1254">
        <v>90</v>
      </c>
      <c r="T83" s="1258">
        <v>105</v>
      </c>
      <c r="U83" s="1264">
        <v>115</v>
      </c>
      <c r="V83" s="1260" t="s">
        <v>5616</v>
      </c>
      <c r="W83" s="1260" t="s">
        <v>5617</v>
      </c>
      <c r="X83" s="1260" t="s">
        <v>5618</v>
      </c>
      <c r="Y83" s="1260" t="s">
        <v>5619</v>
      </c>
      <c r="Z83" s="1261" t="s">
        <v>5620</v>
      </c>
    </row>
    <row r="84" spans="2:26" ht="12.75" customHeight="1" x14ac:dyDescent="0.2">
      <c r="B84" s="2465" t="str">
        <f t="shared" si="1"/>
        <v>Oscuridad92</v>
      </c>
      <c r="C84" s="1262"/>
      <c r="D84" s="1263" t="s">
        <v>5621</v>
      </c>
      <c r="E84" s="1254" t="s">
        <v>2571</v>
      </c>
      <c r="F84" s="1254">
        <v>92</v>
      </c>
      <c r="G84" s="1255" t="s">
        <v>3090</v>
      </c>
      <c r="H84" s="1255" t="s">
        <v>1762</v>
      </c>
      <c r="I84" s="1256" t="s">
        <v>1918</v>
      </c>
      <c r="J84" s="1254">
        <v>14</v>
      </c>
      <c r="K84" s="1254">
        <v>16</v>
      </c>
      <c r="L84" s="1254">
        <v>18</v>
      </c>
      <c r="M84" s="1257">
        <v>20</v>
      </c>
      <c r="N84" s="1254">
        <v>200</v>
      </c>
      <c r="O84" s="1254">
        <v>350</v>
      </c>
      <c r="P84" s="1254">
        <v>500</v>
      </c>
      <c r="Q84" s="1257">
        <v>800</v>
      </c>
      <c r="R84" s="1254">
        <v>40</v>
      </c>
      <c r="S84" s="1254">
        <v>70</v>
      </c>
      <c r="T84" s="1258">
        <v>100</v>
      </c>
      <c r="U84" s="1264">
        <v>160</v>
      </c>
      <c r="V84" s="1260" t="s">
        <v>5448</v>
      </c>
      <c r="W84" s="1260" t="s">
        <v>5449</v>
      </c>
      <c r="X84" s="1260" t="s">
        <v>5450</v>
      </c>
      <c r="Y84" s="1260" t="s">
        <v>5622</v>
      </c>
      <c r="Z84" s="1261" t="s">
        <v>5623</v>
      </c>
    </row>
    <row r="85" spans="2:26" ht="12.75" customHeight="1" x14ac:dyDescent="0.2">
      <c r="B85" s="2465" t="str">
        <f t="shared" si="1"/>
        <v>Oscuridad96</v>
      </c>
      <c r="C85" s="1262"/>
      <c r="D85" s="1263" t="s">
        <v>5624</v>
      </c>
      <c r="E85" s="1254" t="s">
        <v>2571</v>
      </c>
      <c r="F85" s="1254">
        <v>96</v>
      </c>
      <c r="G85" s="1255" t="s">
        <v>2234</v>
      </c>
      <c r="H85" s="1255" t="s">
        <v>1763</v>
      </c>
      <c r="I85" s="1256" t="s">
        <v>1918</v>
      </c>
      <c r="J85" s="1254">
        <v>12</v>
      </c>
      <c r="K85" s="1254">
        <v>14</v>
      </c>
      <c r="L85" s="1254">
        <v>16</v>
      </c>
      <c r="M85" s="1257">
        <v>18</v>
      </c>
      <c r="N85" s="1254">
        <v>200</v>
      </c>
      <c r="O85" s="1254">
        <v>400</v>
      </c>
      <c r="P85" s="1254">
        <v>600</v>
      </c>
      <c r="Q85" s="1257">
        <v>800</v>
      </c>
      <c r="R85" s="1254" t="s">
        <v>2234</v>
      </c>
      <c r="S85" s="1254" t="s">
        <v>2234</v>
      </c>
      <c r="T85" s="1258" t="s">
        <v>2234</v>
      </c>
      <c r="U85" s="1264" t="s">
        <v>2234</v>
      </c>
      <c r="V85" s="1260" t="s">
        <v>5454</v>
      </c>
      <c r="W85" s="1260" t="s">
        <v>5455</v>
      </c>
      <c r="X85" s="1260" t="s">
        <v>5456</v>
      </c>
      <c r="Y85" s="1260" t="s">
        <v>5442</v>
      </c>
      <c r="Z85" s="1261" t="s">
        <v>5625</v>
      </c>
    </row>
    <row r="86" spans="2:26" ht="12.75" customHeight="1" x14ac:dyDescent="0.2">
      <c r="B86" s="2465" t="str">
        <f t="shared" si="1"/>
        <v>Oscuridad98</v>
      </c>
      <c r="C86" s="1262"/>
      <c r="D86" s="1263" t="s">
        <v>5626</v>
      </c>
      <c r="E86" s="1254" t="s">
        <v>2571</v>
      </c>
      <c r="F86" s="1254">
        <v>98</v>
      </c>
      <c r="G86" s="1255" t="s">
        <v>3090</v>
      </c>
      <c r="H86" s="1255" t="s">
        <v>1763</v>
      </c>
      <c r="I86" s="1256" t="s">
        <v>1918</v>
      </c>
      <c r="J86" s="1254">
        <v>14</v>
      </c>
      <c r="K86" s="1254">
        <v>16</v>
      </c>
      <c r="L86" s="1254">
        <v>18</v>
      </c>
      <c r="M86" s="1257">
        <v>20</v>
      </c>
      <c r="N86" s="1254">
        <v>500</v>
      </c>
      <c r="O86" s="1254">
        <v>1000</v>
      </c>
      <c r="P86" s="1254">
        <v>2000</v>
      </c>
      <c r="Q86" s="1257">
        <v>5000</v>
      </c>
      <c r="R86" s="1254">
        <v>30</v>
      </c>
      <c r="S86" s="1254">
        <v>40</v>
      </c>
      <c r="T86" s="1258">
        <v>45</v>
      </c>
      <c r="U86" s="1264">
        <v>50</v>
      </c>
      <c r="V86" s="1260" t="s">
        <v>5458</v>
      </c>
      <c r="W86" s="1260" t="s">
        <v>5459</v>
      </c>
      <c r="X86" s="1260" t="s">
        <v>5460</v>
      </c>
      <c r="Y86" s="1260" t="s">
        <v>5461</v>
      </c>
      <c r="Z86" s="1261" t="s">
        <v>5462</v>
      </c>
    </row>
    <row r="87" spans="2:26" ht="12.75" customHeight="1" x14ac:dyDescent="0.2">
      <c r="B87" s="2465" t="str">
        <f t="shared" si="1"/>
        <v>Oscuridad100</v>
      </c>
      <c r="C87" s="1262"/>
      <c r="D87" s="1263" t="s">
        <v>5627</v>
      </c>
      <c r="E87" s="1254" t="s">
        <v>2571</v>
      </c>
      <c r="F87" s="1254">
        <v>100</v>
      </c>
      <c r="G87" s="1255" t="s">
        <v>2234</v>
      </c>
      <c r="H87" s="1255" t="s">
        <v>5628</v>
      </c>
      <c r="I87" s="1256" t="s">
        <v>1918</v>
      </c>
      <c r="J87" s="1254">
        <v>14</v>
      </c>
      <c r="K87" s="1254">
        <v>16</v>
      </c>
      <c r="L87" s="1254">
        <v>18</v>
      </c>
      <c r="M87" s="1257">
        <v>20</v>
      </c>
      <c r="N87" s="1254">
        <v>600</v>
      </c>
      <c r="O87" s="1254">
        <v>1000</v>
      </c>
      <c r="P87" s="1254">
        <v>2500</v>
      </c>
      <c r="Q87" s="1257">
        <v>10000</v>
      </c>
      <c r="R87" s="1254" t="s">
        <v>2234</v>
      </c>
      <c r="S87" s="1254" t="s">
        <v>2234</v>
      </c>
      <c r="T87" s="1258" t="s">
        <v>2234</v>
      </c>
      <c r="U87" s="1264" t="s">
        <v>2234</v>
      </c>
      <c r="V87" s="1260" t="s">
        <v>5464</v>
      </c>
      <c r="W87" s="1260" t="s">
        <v>5465</v>
      </c>
      <c r="X87" s="1260" t="s">
        <v>5466</v>
      </c>
      <c r="Y87" s="1260" t="s">
        <v>5467</v>
      </c>
      <c r="Z87" s="1261" t="s">
        <v>5629</v>
      </c>
    </row>
    <row r="88" spans="2:26" ht="12.75" customHeight="1" x14ac:dyDescent="0.2">
      <c r="B88" s="2465" t="str">
        <f t="shared" si="1"/>
        <v/>
      </c>
      <c r="C88" s="1262"/>
      <c r="D88" s="1263" t="s">
        <v>9667</v>
      </c>
      <c r="E88" s="1254"/>
      <c r="F88" s="1254"/>
      <c r="G88" s="1255"/>
      <c r="H88" s="1255"/>
      <c r="I88" s="1256"/>
      <c r="J88" s="1254"/>
      <c r="K88" s="1254"/>
      <c r="L88" s="1254"/>
      <c r="M88" s="1257"/>
      <c r="N88" s="1254"/>
      <c r="O88" s="1254"/>
      <c r="P88" s="1254"/>
      <c r="Q88" s="1257"/>
      <c r="R88" s="1254"/>
      <c r="S88" s="1254"/>
      <c r="T88" s="1258"/>
      <c r="U88" s="1264"/>
      <c r="V88" s="1260"/>
      <c r="W88" s="1260"/>
      <c r="X88" s="1260"/>
      <c r="Y88" s="1260"/>
      <c r="Z88" s="1261"/>
    </row>
    <row r="89" spans="2:26" ht="12.75" customHeight="1" x14ac:dyDescent="0.2">
      <c r="B89" s="2465" t="str">
        <f t="shared" si="1"/>
        <v>Creación2</v>
      </c>
      <c r="C89" s="1262"/>
      <c r="D89" s="1263" t="s">
        <v>5630</v>
      </c>
      <c r="E89" s="1254" t="s">
        <v>2577</v>
      </c>
      <c r="F89" s="1254">
        <v>2</v>
      </c>
      <c r="G89" s="1255" t="s">
        <v>2234</v>
      </c>
      <c r="H89" s="1255" t="s">
        <v>1763</v>
      </c>
      <c r="I89" s="1256" t="s">
        <v>1918</v>
      </c>
      <c r="J89" s="1254">
        <v>5</v>
      </c>
      <c r="K89" s="1254">
        <v>8</v>
      </c>
      <c r="L89" s="1254">
        <v>10</v>
      </c>
      <c r="M89" s="1257">
        <v>12</v>
      </c>
      <c r="N89" s="1254">
        <v>30</v>
      </c>
      <c r="O89" s="1254">
        <v>80</v>
      </c>
      <c r="P89" s="1254">
        <v>100</v>
      </c>
      <c r="Q89" s="1257">
        <v>120</v>
      </c>
      <c r="R89" s="1254">
        <v>5</v>
      </c>
      <c r="S89" s="1254">
        <v>10</v>
      </c>
      <c r="T89" s="1258">
        <v>10</v>
      </c>
      <c r="U89" s="1264">
        <v>15</v>
      </c>
      <c r="V89" s="1260" t="s">
        <v>5631</v>
      </c>
      <c r="W89" s="1260" t="s">
        <v>5632</v>
      </c>
      <c r="X89" s="1260" t="s">
        <v>5633</v>
      </c>
      <c r="Y89" s="1260" t="s">
        <v>5634</v>
      </c>
      <c r="Z89" s="1261" t="s">
        <v>5635</v>
      </c>
    </row>
    <row r="90" spans="2:26" ht="12.75" customHeight="1" x14ac:dyDescent="0.2">
      <c r="B90" s="2465" t="str">
        <f t="shared" si="1"/>
        <v>Creación6</v>
      </c>
      <c r="C90" s="1262"/>
      <c r="D90" s="1263" t="s">
        <v>516</v>
      </c>
      <c r="E90" s="1254" t="s">
        <v>2577</v>
      </c>
      <c r="F90" s="1254">
        <v>6</v>
      </c>
      <c r="G90" s="1255" t="s">
        <v>2234</v>
      </c>
      <c r="H90" s="1255" t="s">
        <v>1763</v>
      </c>
      <c r="I90" s="1256" t="s">
        <v>1918</v>
      </c>
      <c r="J90" s="1254">
        <v>5</v>
      </c>
      <c r="K90" s="1254">
        <v>8</v>
      </c>
      <c r="L90" s="1254">
        <v>10</v>
      </c>
      <c r="M90" s="1257">
        <v>12</v>
      </c>
      <c r="N90" s="1254">
        <v>40</v>
      </c>
      <c r="O90" s="1254">
        <v>140</v>
      </c>
      <c r="P90" s="1254">
        <v>200</v>
      </c>
      <c r="Q90" s="1257">
        <v>280</v>
      </c>
      <c r="R90" s="1254"/>
      <c r="S90" s="1254"/>
      <c r="T90" s="1258"/>
      <c r="U90" s="1264"/>
      <c r="V90" s="1260" t="s">
        <v>5636</v>
      </c>
      <c r="W90" s="1260" t="s">
        <v>5637</v>
      </c>
      <c r="X90" s="1260" t="s">
        <v>5638</v>
      </c>
      <c r="Y90" s="1260" t="s">
        <v>5639</v>
      </c>
      <c r="Z90" s="1261" t="s">
        <v>5640</v>
      </c>
    </row>
    <row r="91" spans="2:26" ht="12.75" customHeight="1" x14ac:dyDescent="0.2">
      <c r="B91" s="2465" t="str">
        <f t="shared" si="1"/>
        <v>Creación8</v>
      </c>
      <c r="C91" s="1262"/>
      <c r="D91" s="1263" t="s">
        <v>5641</v>
      </c>
      <c r="E91" s="1254" t="s">
        <v>2577</v>
      </c>
      <c r="F91" s="1254">
        <v>8</v>
      </c>
      <c r="G91" s="1255" t="s">
        <v>2234</v>
      </c>
      <c r="H91" s="1255" t="s">
        <v>1763</v>
      </c>
      <c r="I91" s="1256" t="s">
        <v>1918</v>
      </c>
      <c r="J91" s="1254">
        <v>5</v>
      </c>
      <c r="K91" s="1254">
        <v>8</v>
      </c>
      <c r="L91" s="1254">
        <v>10</v>
      </c>
      <c r="M91" s="1257">
        <v>12</v>
      </c>
      <c r="N91" s="1254">
        <v>40</v>
      </c>
      <c r="O91" s="1254">
        <v>150</v>
      </c>
      <c r="P91" s="1254">
        <v>200</v>
      </c>
      <c r="Q91" s="1257">
        <v>250</v>
      </c>
      <c r="R91" s="1254">
        <v>5</v>
      </c>
      <c r="S91" s="1254">
        <v>15</v>
      </c>
      <c r="T91" s="1258">
        <v>20</v>
      </c>
      <c r="U91" s="1264">
        <v>25</v>
      </c>
      <c r="V91" s="1260" t="s">
        <v>5642</v>
      </c>
      <c r="W91" s="1260" t="s">
        <v>5643</v>
      </c>
      <c r="X91" s="1260" t="s">
        <v>5644</v>
      </c>
      <c r="Y91" s="1260" t="s">
        <v>5645</v>
      </c>
      <c r="Z91" s="1261" t="s">
        <v>5646</v>
      </c>
    </row>
    <row r="92" spans="2:26" ht="12.75" customHeight="1" x14ac:dyDescent="0.2">
      <c r="B92" s="2465" t="str">
        <f t="shared" si="1"/>
        <v>Creación10</v>
      </c>
      <c r="C92" s="1262"/>
      <c r="D92" s="1263" t="s">
        <v>518</v>
      </c>
      <c r="E92" s="1254" t="s">
        <v>2577</v>
      </c>
      <c r="F92" s="1254">
        <v>10</v>
      </c>
      <c r="G92" s="1255" t="s">
        <v>3090</v>
      </c>
      <c r="H92" s="1255" t="s">
        <v>1763</v>
      </c>
      <c r="I92" s="1256" t="s">
        <v>1918</v>
      </c>
      <c r="J92" s="1254">
        <v>6</v>
      </c>
      <c r="K92" s="1254">
        <v>8</v>
      </c>
      <c r="L92" s="1254">
        <v>10</v>
      </c>
      <c r="M92" s="1257">
        <v>12</v>
      </c>
      <c r="N92" s="1254">
        <v>60</v>
      </c>
      <c r="O92" s="1254">
        <v>100</v>
      </c>
      <c r="P92" s="1254">
        <v>150</v>
      </c>
      <c r="Q92" s="1257">
        <v>250</v>
      </c>
      <c r="R92" s="1254">
        <v>10</v>
      </c>
      <c r="S92" s="1254">
        <v>10</v>
      </c>
      <c r="T92" s="1258">
        <v>15</v>
      </c>
      <c r="U92" s="1264">
        <v>25</v>
      </c>
      <c r="V92" s="1260" t="s">
        <v>5647</v>
      </c>
      <c r="W92" s="1260" t="s">
        <v>5648</v>
      </c>
      <c r="X92" s="1260" t="s">
        <v>5649</v>
      </c>
      <c r="Y92" s="1260" t="s">
        <v>5650</v>
      </c>
      <c r="Z92" s="1261" t="s">
        <v>5651</v>
      </c>
    </row>
    <row r="93" spans="2:26" ht="12.75" customHeight="1" x14ac:dyDescent="0.2">
      <c r="B93" s="2465" t="str">
        <f t="shared" si="1"/>
        <v>Creación12</v>
      </c>
      <c r="C93" s="1262"/>
      <c r="D93" s="1263" t="s">
        <v>5652</v>
      </c>
      <c r="E93" s="1254" t="s">
        <v>2577</v>
      </c>
      <c r="F93" s="1254">
        <v>12</v>
      </c>
      <c r="G93" s="1255" t="s">
        <v>2234</v>
      </c>
      <c r="H93" s="1255" t="s">
        <v>1763</v>
      </c>
      <c r="I93" s="1256" t="s">
        <v>1918</v>
      </c>
      <c r="J93" s="1254">
        <v>6</v>
      </c>
      <c r="K93" s="1254">
        <v>8</v>
      </c>
      <c r="L93" s="1254">
        <v>10</v>
      </c>
      <c r="M93" s="1257">
        <v>12</v>
      </c>
      <c r="N93" s="1254">
        <v>60</v>
      </c>
      <c r="O93" s="1254">
        <v>90</v>
      </c>
      <c r="P93" s="1254">
        <v>120</v>
      </c>
      <c r="Q93" s="1257">
        <v>150</v>
      </c>
      <c r="R93" s="1254">
        <v>5</v>
      </c>
      <c r="S93" s="1254">
        <v>5</v>
      </c>
      <c r="T93" s="1258">
        <v>5</v>
      </c>
      <c r="U93" s="1264">
        <v>10</v>
      </c>
      <c r="V93" s="1260" t="s">
        <v>5653</v>
      </c>
      <c r="W93" s="1260" t="s">
        <v>5654</v>
      </c>
      <c r="X93" s="1260" t="s">
        <v>5655</v>
      </c>
      <c r="Y93" s="1260" t="s">
        <v>5656</v>
      </c>
      <c r="Z93" s="1261" t="s">
        <v>5657</v>
      </c>
    </row>
    <row r="94" spans="2:26" ht="12.75" customHeight="1" x14ac:dyDescent="0.2">
      <c r="B94" s="2465" t="str">
        <f t="shared" si="1"/>
        <v>Creación16</v>
      </c>
      <c r="C94" s="1262"/>
      <c r="D94" s="1263" t="s">
        <v>5658</v>
      </c>
      <c r="E94" s="1254" t="s">
        <v>2577</v>
      </c>
      <c r="F94" s="1254">
        <v>16</v>
      </c>
      <c r="G94" s="1255" t="s">
        <v>3090</v>
      </c>
      <c r="H94" s="1255" t="s">
        <v>1763</v>
      </c>
      <c r="I94" s="1256" t="s">
        <v>1919</v>
      </c>
      <c r="J94" s="1254">
        <v>8</v>
      </c>
      <c r="K94" s="1254">
        <v>10</v>
      </c>
      <c r="L94" s="1254">
        <v>12</v>
      </c>
      <c r="M94" s="1257">
        <v>14</v>
      </c>
      <c r="N94" s="1254">
        <v>80</v>
      </c>
      <c r="O94" s="1254">
        <v>120</v>
      </c>
      <c r="P94" s="1254">
        <v>150</v>
      </c>
      <c r="Q94" s="1257">
        <v>200</v>
      </c>
      <c r="R94" s="1254">
        <v>15</v>
      </c>
      <c r="S94" s="1254">
        <v>20</v>
      </c>
      <c r="T94" s="1258">
        <v>30</v>
      </c>
      <c r="U94" s="1264">
        <v>40</v>
      </c>
      <c r="V94" s="1260" t="s">
        <v>5659</v>
      </c>
      <c r="W94" s="1260" t="s">
        <v>5660</v>
      </c>
      <c r="X94" s="1260" t="s">
        <v>5661</v>
      </c>
      <c r="Y94" s="1260" t="s">
        <v>5662</v>
      </c>
      <c r="Z94" s="1261" t="s">
        <v>5663</v>
      </c>
    </row>
    <row r="95" spans="2:26" ht="12.75" customHeight="1" x14ac:dyDescent="0.2">
      <c r="B95" s="2465" t="str">
        <f t="shared" si="1"/>
        <v>Creación18</v>
      </c>
      <c r="C95" s="1262"/>
      <c r="D95" s="1263" t="s">
        <v>5664</v>
      </c>
      <c r="E95" s="1254" t="s">
        <v>2577</v>
      </c>
      <c r="F95" s="1254">
        <v>18</v>
      </c>
      <c r="G95" s="1255" t="s">
        <v>2234</v>
      </c>
      <c r="H95" s="1255" t="s">
        <v>2431</v>
      </c>
      <c r="I95" s="1256" t="s">
        <v>1919</v>
      </c>
      <c r="J95" s="1254">
        <v>6</v>
      </c>
      <c r="K95" s="1254">
        <v>8</v>
      </c>
      <c r="L95" s="1254">
        <v>10</v>
      </c>
      <c r="M95" s="1257">
        <v>12</v>
      </c>
      <c r="N95" s="1254">
        <v>40</v>
      </c>
      <c r="O95" s="1254">
        <v>150</v>
      </c>
      <c r="P95" s="1254">
        <v>260</v>
      </c>
      <c r="Q95" s="1257">
        <v>400</v>
      </c>
      <c r="R95" s="1254">
        <v>5</v>
      </c>
      <c r="S95" s="1254">
        <v>15</v>
      </c>
      <c r="T95" s="1258">
        <v>15</v>
      </c>
      <c r="U95" s="1264">
        <v>20</v>
      </c>
      <c r="V95" s="1260" t="s">
        <v>5665</v>
      </c>
      <c r="W95" s="1260" t="s">
        <v>5666</v>
      </c>
      <c r="X95" s="1260" t="s">
        <v>5667</v>
      </c>
      <c r="Y95" s="1260" t="s">
        <v>5668</v>
      </c>
      <c r="Z95" s="1261" t="s">
        <v>5669</v>
      </c>
    </row>
    <row r="96" spans="2:26" ht="12.75" customHeight="1" x14ac:dyDescent="0.2">
      <c r="B96" s="2465" t="str">
        <f t="shared" si="1"/>
        <v>Creación20</v>
      </c>
      <c r="C96" s="1262"/>
      <c r="D96" s="1263" t="s">
        <v>522</v>
      </c>
      <c r="E96" s="1254" t="s">
        <v>2577</v>
      </c>
      <c r="F96" s="1254">
        <v>20</v>
      </c>
      <c r="G96" s="1255" t="s">
        <v>2234</v>
      </c>
      <c r="H96" s="1255" t="s">
        <v>1763</v>
      </c>
      <c r="I96" s="1256" t="s">
        <v>1918</v>
      </c>
      <c r="J96" s="1254">
        <v>8</v>
      </c>
      <c r="K96" s="1254">
        <v>10</v>
      </c>
      <c r="L96" s="1254">
        <v>12</v>
      </c>
      <c r="M96" s="1257">
        <v>14</v>
      </c>
      <c r="N96" s="1254">
        <v>80</v>
      </c>
      <c r="O96" s="1254">
        <v>120</v>
      </c>
      <c r="P96" s="1254">
        <v>150</v>
      </c>
      <c r="Q96" s="1257">
        <v>200</v>
      </c>
      <c r="R96" s="1254"/>
      <c r="S96" s="1254"/>
      <c r="T96" s="1258"/>
      <c r="U96" s="1264"/>
      <c r="V96" s="1260" t="s">
        <v>5670</v>
      </c>
      <c r="W96" s="1260" t="s">
        <v>5671</v>
      </c>
      <c r="X96" s="1260" t="s">
        <v>5672</v>
      </c>
      <c r="Y96" s="1260" t="s">
        <v>5673</v>
      </c>
      <c r="Z96" s="1261" t="s">
        <v>5674</v>
      </c>
    </row>
    <row r="97" spans="2:26" ht="12.75" customHeight="1" x14ac:dyDescent="0.2">
      <c r="B97" s="2465" t="str">
        <f t="shared" si="1"/>
        <v>Creación22</v>
      </c>
      <c r="C97" s="1262"/>
      <c r="D97" s="1263" t="s">
        <v>5675</v>
      </c>
      <c r="E97" s="1254" t="s">
        <v>2577</v>
      </c>
      <c r="F97" s="1254">
        <v>22</v>
      </c>
      <c r="G97" s="1255" t="s">
        <v>3090</v>
      </c>
      <c r="H97" s="1255" t="s">
        <v>1763</v>
      </c>
      <c r="I97" s="1256" t="s">
        <v>1918</v>
      </c>
      <c r="J97" s="1254">
        <v>6</v>
      </c>
      <c r="K97" s="1254">
        <v>9</v>
      </c>
      <c r="L97" s="1254">
        <v>12</v>
      </c>
      <c r="M97" s="1257">
        <v>15</v>
      </c>
      <c r="N97" s="1254">
        <v>60</v>
      </c>
      <c r="O97" s="1254">
        <v>90</v>
      </c>
      <c r="P97" s="1254">
        <v>120</v>
      </c>
      <c r="Q97" s="1257">
        <v>150</v>
      </c>
      <c r="R97" s="1254">
        <v>10</v>
      </c>
      <c r="S97" s="1254">
        <v>10</v>
      </c>
      <c r="T97" s="1258">
        <v>15</v>
      </c>
      <c r="U97" s="1264">
        <v>15</v>
      </c>
      <c r="V97" s="1260" t="s">
        <v>5676</v>
      </c>
      <c r="W97" s="1260" t="s">
        <v>5677</v>
      </c>
      <c r="X97" s="1260" t="s">
        <v>5678</v>
      </c>
      <c r="Y97" s="1260" t="s">
        <v>5679</v>
      </c>
      <c r="Z97" s="1261" t="s">
        <v>5680</v>
      </c>
    </row>
    <row r="98" spans="2:26" ht="12.75" customHeight="1" x14ac:dyDescent="0.2">
      <c r="B98" s="2465" t="str">
        <f t="shared" si="1"/>
        <v>Creación26</v>
      </c>
      <c r="C98" s="1262"/>
      <c r="D98" s="1263" t="s">
        <v>5681</v>
      </c>
      <c r="E98" s="1254" t="s">
        <v>2577</v>
      </c>
      <c r="F98" s="1254">
        <v>26</v>
      </c>
      <c r="G98" s="1255" t="s">
        <v>3090</v>
      </c>
      <c r="H98" s="1255" t="s">
        <v>1763</v>
      </c>
      <c r="I98" s="1256" t="s">
        <v>1918</v>
      </c>
      <c r="J98" s="1254">
        <v>6</v>
      </c>
      <c r="K98" s="1254">
        <v>9</v>
      </c>
      <c r="L98" s="1254">
        <v>12</v>
      </c>
      <c r="M98" s="1257">
        <v>15</v>
      </c>
      <c r="N98" s="1254">
        <v>60</v>
      </c>
      <c r="O98" s="1254">
        <v>180</v>
      </c>
      <c r="P98" s="1254">
        <v>250</v>
      </c>
      <c r="Q98" s="1257">
        <v>350</v>
      </c>
      <c r="R98" s="1254">
        <v>10</v>
      </c>
      <c r="S98" s="1254">
        <v>20</v>
      </c>
      <c r="T98" s="1258">
        <v>25</v>
      </c>
      <c r="U98" s="1264">
        <v>35</v>
      </c>
      <c r="V98" s="1260" t="s">
        <v>5682</v>
      </c>
      <c r="W98" s="1260" t="s">
        <v>5683</v>
      </c>
      <c r="X98" s="1260" t="s">
        <v>5684</v>
      </c>
      <c r="Y98" s="1260" t="s">
        <v>5685</v>
      </c>
      <c r="Z98" s="1261" t="s">
        <v>5686</v>
      </c>
    </row>
    <row r="99" spans="2:26" ht="12.75" customHeight="1" x14ac:dyDescent="0.2">
      <c r="B99" s="2465" t="str">
        <f t="shared" si="1"/>
        <v>Creación28</v>
      </c>
      <c r="C99" s="1262"/>
      <c r="D99" s="1263" t="s">
        <v>5687</v>
      </c>
      <c r="E99" s="1254" t="s">
        <v>2577</v>
      </c>
      <c r="F99" s="1254">
        <v>28</v>
      </c>
      <c r="G99" s="1255" t="s">
        <v>3090</v>
      </c>
      <c r="H99" s="1255" t="s">
        <v>1762</v>
      </c>
      <c r="I99" s="1256" t="s">
        <v>1918</v>
      </c>
      <c r="J99" s="1254">
        <v>6</v>
      </c>
      <c r="K99" s="1254">
        <v>9</v>
      </c>
      <c r="L99" s="1254">
        <v>12</v>
      </c>
      <c r="M99" s="1257">
        <v>15</v>
      </c>
      <c r="N99" s="1254">
        <v>60</v>
      </c>
      <c r="O99" s="1254">
        <v>90</v>
      </c>
      <c r="P99" s="1254">
        <v>150</v>
      </c>
      <c r="Q99" s="1257">
        <v>250</v>
      </c>
      <c r="R99" s="1254">
        <v>10</v>
      </c>
      <c r="S99" s="1254">
        <v>10</v>
      </c>
      <c r="T99" s="1258">
        <v>15</v>
      </c>
      <c r="U99" s="1264">
        <v>25</v>
      </c>
      <c r="V99" s="1260" t="s">
        <v>5688</v>
      </c>
      <c r="W99" s="1260" t="s">
        <v>5689</v>
      </c>
      <c r="X99" s="1260" t="s">
        <v>5690</v>
      </c>
      <c r="Y99" s="1260" t="s">
        <v>5691</v>
      </c>
      <c r="Z99" s="1261" t="s">
        <v>5692</v>
      </c>
    </row>
    <row r="100" spans="2:26" ht="12.75" customHeight="1" x14ac:dyDescent="0.2">
      <c r="B100" s="2465" t="str">
        <f t="shared" si="1"/>
        <v>Creación30</v>
      </c>
      <c r="C100" s="1262"/>
      <c r="D100" s="1263" t="s">
        <v>526</v>
      </c>
      <c r="E100" s="1254" t="s">
        <v>2577</v>
      </c>
      <c r="F100" s="1254">
        <v>30</v>
      </c>
      <c r="G100" s="1255" t="s">
        <v>3090</v>
      </c>
      <c r="H100" s="1255" t="s">
        <v>1763</v>
      </c>
      <c r="I100" s="1256" t="s">
        <v>1918</v>
      </c>
      <c r="J100" s="1254">
        <v>6</v>
      </c>
      <c r="K100" s="1254">
        <v>9</v>
      </c>
      <c r="L100" s="1254">
        <v>12</v>
      </c>
      <c r="M100" s="1257">
        <v>15</v>
      </c>
      <c r="N100" s="1254">
        <v>100</v>
      </c>
      <c r="O100" s="1254">
        <v>200</v>
      </c>
      <c r="P100" s="1254">
        <v>300</v>
      </c>
      <c r="Q100" s="1257">
        <v>400</v>
      </c>
      <c r="R100" s="1254">
        <v>5</v>
      </c>
      <c r="S100" s="1254">
        <v>10</v>
      </c>
      <c r="T100" s="1258">
        <v>15</v>
      </c>
      <c r="U100" s="1264">
        <v>20</v>
      </c>
      <c r="V100" s="1260" t="s">
        <v>5654</v>
      </c>
      <c r="W100" s="1260" t="s">
        <v>5482</v>
      </c>
      <c r="X100" s="1260" t="s">
        <v>5693</v>
      </c>
      <c r="Y100" s="1260" t="s">
        <v>5694</v>
      </c>
      <c r="Z100" s="1261" t="s">
        <v>5695</v>
      </c>
    </row>
    <row r="101" spans="2:26" ht="12.75" customHeight="1" x14ac:dyDescent="0.2">
      <c r="B101" s="2465" t="str">
        <f t="shared" si="1"/>
        <v>Creación32</v>
      </c>
      <c r="C101" s="1262"/>
      <c r="D101" s="1263" t="s">
        <v>527</v>
      </c>
      <c r="E101" s="1254" t="s">
        <v>2577</v>
      </c>
      <c r="F101" s="1254">
        <v>32</v>
      </c>
      <c r="G101" s="1255" t="s">
        <v>3090</v>
      </c>
      <c r="H101" s="1255" t="s">
        <v>1763</v>
      </c>
      <c r="I101" s="1256" t="s">
        <v>1918</v>
      </c>
      <c r="J101" s="1254">
        <v>6</v>
      </c>
      <c r="K101" s="1254">
        <v>9</v>
      </c>
      <c r="L101" s="1254">
        <v>12</v>
      </c>
      <c r="M101" s="1257">
        <v>15</v>
      </c>
      <c r="N101" s="1254">
        <v>80</v>
      </c>
      <c r="O101" s="1254">
        <v>180</v>
      </c>
      <c r="P101" s="1254">
        <v>240</v>
      </c>
      <c r="Q101" s="1257">
        <v>300</v>
      </c>
      <c r="R101" s="1254">
        <v>10</v>
      </c>
      <c r="S101" s="1254">
        <v>20</v>
      </c>
      <c r="T101" s="1258">
        <v>25</v>
      </c>
      <c r="U101" s="1264">
        <v>30</v>
      </c>
      <c r="V101" s="1260" t="s">
        <v>5696</v>
      </c>
      <c r="W101" s="1260" t="s">
        <v>5697</v>
      </c>
      <c r="X101" s="1260" t="s">
        <v>5698</v>
      </c>
      <c r="Y101" s="1260" t="s">
        <v>5699</v>
      </c>
      <c r="Z101" s="1261" t="s">
        <v>5700</v>
      </c>
    </row>
    <row r="102" spans="2:26" ht="12.75" customHeight="1" x14ac:dyDescent="0.2">
      <c r="B102" s="2465" t="str">
        <f t="shared" si="1"/>
        <v>Creación36</v>
      </c>
      <c r="C102" s="1262"/>
      <c r="D102" s="1263" t="s">
        <v>5701</v>
      </c>
      <c r="E102" s="1254" t="s">
        <v>2577</v>
      </c>
      <c r="F102" s="1254">
        <v>36</v>
      </c>
      <c r="G102" s="1255"/>
      <c r="H102" s="1255" t="s">
        <v>5271</v>
      </c>
      <c r="I102" s="1256" t="s">
        <v>1919</v>
      </c>
      <c r="J102" s="1254">
        <v>8</v>
      </c>
      <c r="K102" s="1254">
        <v>10</v>
      </c>
      <c r="L102" s="1254">
        <v>12</v>
      </c>
      <c r="M102" s="1257">
        <v>14</v>
      </c>
      <c r="N102" s="1254">
        <v>80</v>
      </c>
      <c r="O102" s="1254">
        <v>120</v>
      </c>
      <c r="P102" s="1254">
        <v>160</v>
      </c>
      <c r="Q102" s="1257">
        <v>240</v>
      </c>
      <c r="R102" s="1254"/>
      <c r="S102" s="1254"/>
      <c r="T102" s="1258"/>
      <c r="U102" s="1264" t="s">
        <v>5702</v>
      </c>
      <c r="V102" s="1260" t="s">
        <v>5703</v>
      </c>
      <c r="W102" s="1260" t="s">
        <v>5704</v>
      </c>
      <c r="X102" s="1260" t="s">
        <v>5705</v>
      </c>
      <c r="Y102" s="1260" t="s">
        <v>5706</v>
      </c>
      <c r="Z102" s="1261" t="s">
        <v>5707</v>
      </c>
    </row>
    <row r="103" spans="2:26" ht="12.75" customHeight="1" x14ac:dyDescent="0.2">
      <c r="B103" s="2465" t="str">
        <f t="shared" si="1"/>
        <v>Creación38</v>
      </c>
      <c r="C103" s="1262"/>
      <c r="D103" s="1263" t="s">
        <v>529</v>
      </c>
      <c r="E103" s="1254" t="s">
        <v>2577</v>
      </c>
      <c r="F103" s="1254">
        <v>38</v>
      </c>
      <c r="G103" s="1255" t="s">
        <v>3090</v>
      </c>
      <c r="H103" s="1255" t="s">
        <v>1762</v>
      </c>
      <c r="I103" s="1256" t="s">
        <v>1918</v>
      </c>
      <c r="J103" s="1254">
        <v>6</v>
      </c>
      <c r="K103" s="1254">
        <v>9</v>
      </c>
      <c r="L103" s="1254">
        <v>12</v>
      </c>
      <c r="M103" s="1257">
        <v>15</v>
      </c>
      <c r="N103" s="1254">
        <v>120</v>
      </c>
      <c r="O103" s="1254">
        <v>180</v>
      </c>
      <c r="P103" s="1254">
        <v>240</v>
      </c>
      <c r="Q103" s="1257">
        <v>300</v>
      </c>
      <c r="R103" s="1254">
        <v>24</v>
      </c>
      <c r="S103" s="1254">
        <v>40</v>
      </c>
      <c r="T103" s="1258">
        <v>50</v>
      </c>
      <c r="U103" s="1264">
        <v>60</v>
      </c>
      <c r="V103" s="1260" t="s">
        <v>5708</v>
      </c>
      <c r="W103" s="1260" t="s">
        <v>5709</v>
      </c>
      <c r="X103" s="1260" t="s">
        <v>5710</v>
      </c>
      <c r="Y103" s="1260" t="s">
        <v>5387</v>
      </c>
      <c r="Z103" s="1261" t="s">
        <v>5711</v>
      </c>
    </row>
    <row r="104" spans="2:26" ht="12.75" customHeight="1" x14ac:dyDescent="0.2">
      <c r="B104" s="2465" t="str">
        <f t="shared" si="1"/>
        <v>Creación40</v>
      </c>
      <c r="C104" s="1262"/>
      <c r="D104" s="1263" t="s">
        <v>5712</v>
      </c>
      <c r="E104" s="1254" t="s">
        <v>2577</v>
      </c>
      <c r="F104" s="1254">
        <v>40</v>
      </c>
      <c r="G104" s="1255"/>
      <c r="H104" s="1255" t="s">
        <v>1763</v>
      </c>
      <c r="I104" s="1256" t="s">
        <v>1918</v>
      </c>
      <c r="J104" s="1254">
        <v>6</v>
      </c>
      <c r="K104" s="1254">
        <v>9</v>
      </c>
      <c r="L104" s="1254">
        <v>12</v>
      </c>
      <c r="M104" s="1257">
        <v>15</v>
      </c>
      <c r="N104" s="1254">
        <v>80</v>
      </c>
      <c r="O104" s="1254">
        <v>180</v>
      </c>
      <c r="P104" s="1254">
        <v>280</v>
      </c>
      <c r="Q104" s="1257">
        <v>350</v>
      </c>
      <c r="R104" s="1254">
        <v>5</v>
      </c>
      <c r="S104" s="1254">
        <v>10</v>
      </c>
      <c r="T104" s="1258">
        <v>15</v>
      </c>
      <c r="U104" s="1264">
        <v>20</v>
      </c>
      <c r="V104" s="1260" t="s">
        <v>5713</v>
      </c>
      <c r="W104" s="1260" t="s">
        <v>5714</v>
      </c>
      <c r="X104" s="1260" t="s">
        <v>5715</v>
      </c>
      <c r="Y104" s="1260" t="s">
        <v>5716</v>
      </c>
      <c r="Z104" s="1261" t="s">
        <v>5717</v>
      </c>
    </row>
    <row r="105" spans="2:26" ht="12.75" customHeight="1" x14ac:dyDescent="0.2">
      <c r="B105" s="2465" t="str">
        <f t="shared" si="1"/>
        <v>Creación42</v>
      </c>
      <c r="C105" s="1262"/>
      <c r="D105" s="1263" t="s">
        <v>531</v>
      </c>
      <c r="E105" s="1254" t="s">
        <v>2577</v>
      </c>
      <c r="F105" s="1254">
        <v>42</v>
      </c>
      <c r="G105" s="1255"/>
      <c r="H105" s="1255" t="s">
        <v>1763</v>
      </c>
      <c r="I105" s="1256" t="s">
        <v>1918</v>
      </c>
      <c r="J105" s="1254">
        <v>7</v>
      </c>
      <c r="K105" s="1254">
        <v>9</v>
      </c>
      <c r="L105" s="1254">
        <v>12</v>
      </c>
      <c r="M105" s="1257">
        <v>15</v>
      </c>
      <c r="N105" s="1254">
        <v>140</v>
      </c>
      <c r="O105" s="1254">
        <v>180</v>
      </c>
      <c r="P105" s="1254">
        <v>240</v>
      </c>
      <c r="Q105" s="1257">
        <v>350</v>
      </c>
      <c r="R105" s="1254">
        <v>15</v>
      </c>
      <c r="S105" s="1254">
        <v>20</v>
      </c>
      <c r="T105" s="1258">
        <v>25</v>
      </c>
      <c r="U105" s="1264">
        <v>30</v>
      </c>
      <c r="V105" s="1260" t="s">
        <v>5718</v>
      </c>
      <c r="W105" s="1260" t="s">
        <v>5719</v>
      </c>
      <c r="X105" s="1260" t="s">
        <v>5720</v>
      </c>
      <c r="Y105" s="1260" t="s">
        <v>5721</v>
      </c>
      <c r="Z105" s="1261" t="s">
        <v>5722</v>
      </c>
    </row>
    <row r="106" spans="2:26" ht="12.75" customHeight="1" x14ac:dyDescent="0.2">
      <c r="B106" s="2465" t="str">
        <f t="shared" si="1"/>
        <v>Creación46</v>
      </c>
      <c r="C106" s="1262"/>
      <c r="D106" s="1263" t="s">
        <v>5723</v>
      </c>
      <c r="E106" s="1254" t="s">
        <v>2577</v>
      </c>
      <c r="F106" s="1254">
        <v>46</v>
      </c>
      <c r="G106" s="1255" t="s">
        <v>2234</v>
      </c>
      <c r="H106" s="1255" t="s">
        <v>1762</v>
      </c>
      <c r="I106" s="1256" t="s">
        <v>1918</v>
      </c>
      <c r="J106" s="1254">
        <v>7</v>
      </c>
      <c r="K106" s="1254">
        <v>9</v>
      </c>
      <c r="L106" s="1254">
        <v>12</v>
      </c>
      <c r="M106" s="1257">
        <v>15</v>
      </c>
      <c r="N106" s="1254">
        <v>140</v>
      </c>
      <c r="O106" s="1254">
        <v>180</v>
      </c>
      <c r="P106" s="1254">
        <v>240</v>
      </c>
      <c r="Q106" s="1257">
        <v>350</v>
      </c>
      <c r="R106" s="1254"/>
      <c r="S106" s="1254"/>
      <c r="T106" s="1258"/>
      <c r="U106" s="1264"/>
      <c r="V106" s="1260" t="s">
        <v>5724</v>
      </c>
      <c r="W106" s="1260" t="s">
        <v>5725</v>
      </c>
      <c r="X106" s="1260" t="s">
        <v>5726</v>
      </c>
      <c r="Y106" s="1260" t="s">
        <v>5727</v>
      </c>
      <c r="Z106" s="1261" t="s">
        <v>5728</v>
      </c>
    </row>
    <row r="107" spans="2:26" ht="12.75" customHeight="1" x14ac:dyDescent="0.2">
      <c r="B107" s="2465" t="str">
        <f t="shared" si="1"/>
        <v>Creación48</v>
      </c>
      <c r="C107" s="1262"/>
      <c r="D107" s="1263" t="s">
        <v>533</v>
      </c>
      <c r="E107" s="1254" t="s">
        <v>2577</v>
      </c>
      <c r="F107" s="1254">
        <v>48</v>
      </c>
      <c r="G107" s="1255" t="s">
        <v>2234</v>
      </c>
      <c r="H107" s="1255" t="s">
        <v>1763</v>
      </c>
      <c r="I107" s="1256" t="s">
        <v>1918</v>
      </c>
      <c r="J107" s="1254">
        <v>8</v>
      </c>
      <c r="K107" s="1254">
        <v>10</v>
      </c>
      <c r="L107" s="1254">
        <v>12</v>
      </c>
      <c r="M107" s="1257">
        <v>14</v>
      </c>
      <c r="N107" s="1254">
        <v>250</v>
      </c>
      <c r="O107" s="1254">
        <v>300</v>
      </c>
      <c r="P107" s="1254">
        <v>350</v>
      </c>
      <c r="Q107" s="1257">
        <v>400</v>
      </c>
      <c r="R107" s="1254"/>
      <c r="S107" s="1254"/>
      <c r="T107" s="1258"/>
      <c r="U107" s="1264"/>
      <c r="V107" s="1260" t="s">
        <v>5729</v>
      </c>
      <c r="W107" s="1260" t="s">
        <v>5730</v>
      </c>
      <c r="X107" s="1260" t="s">
        <v>5731</v>
      </c>
      <c r="Y107" s="1260" t="s">
        <v>5732</v>
      </c>
      <c r="Z107" s="1261" t="s">
        <v>5733</v>
      </c>
    </row>
    <row r="108" spans="2:26" ht="12.75" customHeight="1" x14ac:dyDescent="0.2">
      <c r="B108" s="2465" t="str">
        <f t="shared" si="1"/>
        <v>Creación50</v>
      </c>
      <c r="C108" s="1262"/>
      <c r="D108" s="1263" t="s">
        <v>5734</v>
      </c>
      <c r="E108" s="1254" t="s">
        <v>2577</v>
      </c>
      <c r="F108" s="1254">
        <v>50</v>
      </c>
      <c r="G108" s="1255"/>
      <c r="H108" s="1255" t="s">
        <v>1763</v>
      </c>
      <c r="I108" s="1256" t="s">
        <v>1918</v>
      </c>
      <c r="J108" s="1254">
        <v>7</v>
      </c>
      <c r="K108" s="1254">
        <v>10</v>
      </c>
      <c r="L108" s="1254">
        <v>13</v>
      </c>
      <c r="M108" s="1257">
        <v>16</v>
      </c>
      <c r="N108" s="1254">
        <v>100</v>
      </c>
      <c r="O108" s="1254">
        <v>200</v>
      </c>
      <c r="P108" s="1254">
        <v>300</v>
      </c>
      <c r="Q108" s="1257">
        <v>400</v>
      </c>
      <c r="R108" s="1254">
        <v>20</v>
      </c>
      <c r="S108" s="1254">
        <v>40</v>
      </c>
      <c r="T108" s="1258">
        <v>50</v>
      </c>
      <c r="U108" s="1264">
        <v>60</v>
      </c>
      <c r="V108" s="1260" t="s">
        <v>5735</v>
      </c>
      <c r="W108" s="1260" t="s">
        <v>5736</v>
      </c>
      <c r="X108" s="1260" t="s">
        <v>5737</v>
      </c>
      <c r="Y108" s="1260" t="s">
        <v>5738</v>
      </c>
      <c r="Z108" s="1261" t="s">
        <v>5739</v>
      </c>
    </row>
    <row r="109" spans="2:26" ht="12.75" customHeight="1" x14ac:dyDescent="0.2">
      <c r="B109" s="2465" t="str">
        <f t="shared" si="1"/>
        <v>Creación52</v>
      </c>
      <c r="C109" s="1262"/>
      <c r="D109" s="1263" t="s">
        <v>5740</v>
      </c>
      <c r="E109" s="1254" t="s">
        <v>2577</v>
      </c>
      <c r="F109" s="1254">
        <v>52</v>
      </c>
      <c r="G109" s="1255"/>
      <c r="H109" s="1255" t="s">
        <v>1763</v>
      </c>
      <c r="I109" s="1256" t="s">
        <v>1918</v>
      </c>
      <c r="J109" s="1254">
        <v>8</v>
      </c>
      <c r="K109" s="1254">
        <v>10</v>
      </c>
      <c r="L109" s="1254">
        <v>12</v>
      </c>
      <c r="M109" s="1257">
        <v>15</v>
      </c>
      <c r="N109" s="1254">
        <v>80</v>
      </c>
      <c r="O109" s="1254">
        <v>120</v>
      </c>
      <c r="P109" s="1254">
        <v>250</v>
      </c>
      <c r="Q109" s="1257">
        <v>500</v>
      </c>
      <c r="R109" s="1254">
        <v>10</v>
      </c>
      <c r="S109" s="1254">
        <v>15</v>
      </c>
      <c r="T109" s="1258">
        <v>25</v>
      </c>
      <c r="U109" s="1264">
        <v>50</v>
      </c>
      <c r="V109" s="1260" t="s">
        <v>5741</v>
      </c>
      <c r="W109" s="1260" t="s">
        <v>5742</v>
      </c>
      <c r="X109" s="1260" t="s">
        <v>5743</v>
      </c>
      <c r="Y109" s="1260" t="s">
        <v>5744</v>
      </c>
      <c r="Z109" s="1261" t="s">
        <v>5745</v>
      </c>
    </row>
    <row r="110" spans="2:26" ht="12.75" customHeight="1" x14ac:dyDescent="0.2">
      <c r="B110" s="2465" t="str">
        <f t="shared" si="1"/>
        <v>Creación56</v>
      </c>
      <c r="C110" s="1262"/>
      <c r="D110" s="1263" t="s">
        <v>5746</v>
      </c>
      <c r="E110" s="1254" t="s">
        <v>2577</v>
      </c>
      <c r="F110" s="1254">
        <v>56</v>
      </c>
      <c r="G110" s="1255"/>
      <c r="H110" s="1255" t="s">
        <v>1763</v>
      </c>
      <c r="I110" s="1256" t="s">
        <v>1919</v>
      </c>
      <c r="J110" s="1254">
        <v>6</v>
      </c>
      <c r="K110" s="1254">
        <v>9</v>
      </c>
      <c r="L110" s="1254">
        <v>12</v>
      </c>
      <c r="M110" s="1257">
        <v>15</v>
      </c>
      <c r="N110" s="1254">
        <v>120</v>
      </c>
      <c r="O110" s="1254">
        <v>180</v>
      </c>
      <c r="P110" s="1254">
        <v>240</v>
      </c>
      <c r="Q110" s="1257">
        <v>350</v>
      </c>
      <c r="R110" s="1254">
        <v>10</v>
      </c>
      <c r="S110" s="1254">
        <v>15</v>
      </c>
      <c r="T110" s="1258">
        <v>25</v>
      </c>
      <c r="U110" s="1264">
        <v>35</v>
      </c>
      <c r="V110" s="1260" t="s">
        <v>5747</v>
      </c>
      <c r="W110" s="1260" t="s">
        <v>5748</v>
      </c>
      <c r="X110" s="1260" t="s">
        <v>5749</v>
      </c>
      <c r="Y110" s="1260" t="s">
        <v>5750</v>
      </c>
      <c r="Z110" s="1261" t="s">
        <v>5751</v>
      </c>
    </row>
    <row r="111" spans="2:26" ht="12.75" customHeight="1" x14ac:dyDescent="0.2">
      <c r="B111" s="2465" t="str">
        <f t="shared" si="1"/>
        <v>Creación58</v>
      </c>
      <c r="C111" s="1262"/>
      <c r="D111" s="1263" t="s">
        <v>5752</v>
      </c>
      <c r="E111" s="1254" t="s">
        <v>2577</v>
      </c>
      <c r="F111" s="1254">
        <v>58</v>
      </c>
      <c r="G111" s="1255"/>
      <c r="H111" s="1255" t="s">
        <v>1762</v>
      </c>
      <c r="I111" s="1256" t="s">
        <v>1918</v>
      </c>
      <c r="J111" s="1254">
        <v>8</v>
      </c>
      <c r="K111" s="1254">
        <v>10</v>
      </c>
      <c r="L111" s="1254">
        <v>12</v>
      </c>
      <c r="M111" s="1257">
        <v>15</v>
      </c>
      <c r="N111" s="1254">
        <v>150</v>
      </c>
      <c r="O111" s="1254">
        <v>200</v>
      </c>
      <c r="P111" s="1254">
        <v>250</v>
      </c>
      <c r="Q111" s="1257">
        <v>300</v>
      </c>
      <c r="R111" s="1254">
        <v>15</v>
      </c>
      <c r="S111" s="1254">
        <v>20</v>
      </c>
      <c r="T111" s="1258">
        <v>25</v>
      </c>
      <c r="U111" s="1264">
        <v>30</v>
      </c>
      <c r="V111" s="1260" t="s">
        <v>5753</v>
      </c>
      <c r="W111" s="1260" t="s">
        <v>5709</v>
      </c>
      <c r="X111" s="1260" t="s">
        <v>5710</v>
      </c>
      <c r="Y111" s="1260" t="s">
        <v>5387</v>
      </c>
      <c r="Z111" s="1261" t="s">
        <v>5754</v>
      </c>
    </row>
    <row r="112" spans="2:26" ht="12.75" customHeight="1" x14ac:dyDescent="0.2">
      <c r="B112" s="2465" t="str">
        <f t="shared" si="1"/>
        <v>Creación60</v>
      </c>
      <c r="C112" s="1262"/>
      <c r="D112" s="1263" t="s">
        <v>5755</v>
      </c>
      <c r="E112" s="1254" t="s">
        <v>2577</v>
      </c>
      <c r="F112" s="1254">
        <v>60</v>
      </c>
      <c r="G112" s="1255" t="s">
        <v>3090</v>
      </c>
      <c r="H112" s="1255" t="s">
        <v>2431</v>
      </c>
      <c r="I112" s="1256" t="s">
        <v>1918</v>
      </c>
      <c r="J112" s="1254">
        <v>8</v>
      </c>
      <c r="K112" s="1254">
        <v>10</v>
      </c>
      <c r="L112" s="1254">
        <v>13</v>
      </c>
      <c r="M112" s="1257">
        <v>16</v>
      </c>
      <c r="N112" s="1254">
        <v>150</v>
      </c>
      <c r="O112" s="1254">
        <v>200</v>
      </c>
      <c r="P112" s="1254">
        <v>300</v>
      </c>
      <c r="Q112" s="1257">
        <v>400</v>
      </c>
      <c r="R112" s="1254">
        <v>15</v>
      </c>
      <c r="S112" s="1254">
        <v>20</v>
      </c>
      <c r="T112" s="1258">
        <v>30</v>
      </c>
      <c r="U112" s="1264">
        <v>40</v>
      </c>
      <c r="V112" s="1260" t="s">
        <v>5756</v>
      </c>
      <c r="W112" s="1260" t="s">
        <v>5757</v>
      </c>
      <c r="X112" s="1260" t="s">
        <v>5758</v>
      </c>
      <c r="Y112" s="1260" t="s">
        <v>5759</v>
      </c>
      <c r="Z112" s="1261" t="s">
        <v>5760</v>
      </c>
    </row>
    <row r="113" spans="2:26" ht="12.75" customHeight="1" x14ac:dyDescent="0.2">
      <c r="B113" s="2465" t="str">
        <f t="shared" si="1"/>
        <v>Creación62</v>
      </c>
      <c r="C113" s="1262"/>
      <c r="D113" s="1263" t="s">
        <v>539</v>
      </c>
      <c r="E113" s="1254" t="s">
        <v>2577</v>
      </c>
      <c r="F113" s="1254">
        <v>62</v>
      </c>
      <c r="G113" s="1255" t="s">
        <v>3090</v>
      </c>
      <c r="H113" s="1255" t="s">
        <v>1763</v>
      </c>
      <c r="I113" s="1256" t="s">
        <v>1918</v>
      </c>
      <c r="J113" s="1254">
        <v>8</v>
      </c>
      <c r="K113" s="1254">
        <v>10</v>
      </c>
      <c r="L113" s="1254">
        <v>13</v>
      </c>
      <c r="M113" s="1257">
        <v>16</v>
      </c>
      <c r="N113" s="1254">
        <v>150</v>
      </c>
      <c r="O113" s="1254">
        <v>200</v>
      </c>
      <c r="P113" s="1254">
        <v>250</v>
      </c>
      <c r="Q113" s="1257">
        <v>350</v>
      </c>
      <c r="R113" s="1254">
        <v>15</v>
      </c>
      <c r="S113" s="1254">
        <v>20</v>
      </c>
      <c r="T113" s="1258">
        <v>25</v>
      </c>
      <c r="U113" s="1264">
        <v>35</v>
      </c>
      <c r="V113" s="1260" t="s">
        <v>5761</v>
      </c>
      <c r="W113" s="1260" t="s">
        <v>5762</v>
      </c>
      <c r="X113" s="1260" t="s">
        <v>5763</v>
      </c>
      <c r="Y113" s="1260" t="s">
        <v>5764</v>
      </c>
      <c r="Z113" s="1261" t="s">
        <v>5765</v>
      </c>
    </row>
    <row r="114" spans="2:26" ht="12.75" customHeight="1" x14ac:dyDescent="0.2">
      <c r="B114" s="2465" t="str">
        <f t="shared" si="1"/>
        <v>Creación66</v>
      </c>
      <c r="C114" s="1262"/>
      <c r="D114" s="1263" t="s">
        <v>5766</v>
      </c>
      <c r="E114" s="1254" t="s">
        <v>2577</v>
      </c>
      <c r="F114" s="1254">
        <v>66</v>
      </c>
      <c r="G114" s="1255" t="s">
        <v>3090</v>
      </c>
      <c r="H114" s="1255" t="s">
        <v>1763</v>
      </c>
      <c r="I114" s="1256" t="s">
        <v>1918</v>
      </c>
      <c r="J114" s="1254">
        <v>8</v>
      </c>
      <c r="K114" s="1254">
        <v>10</v>
      </c>
      <c r="L114" s="1254">
        <v>12</v>
      </c>
      <c r="M114" s="1257">
        <v>14</v>
      </c>
      <c r="N114" s="1254">
        <v>150</v>
      </c>
      <c r="O114" s="1254">
        <v>200</v>
      </c>
      <c r="P114" s="1254">
        <v>300</v>
      </c>
      <c r="Q114" s="1257">
        <v>400</v>
      </c>
      <c r="R114" s="1254">
        <v>15</v>
      </c>
      <c r="S114" s="1254">
        <v>20</v>
      </c>
      <c r="T114" s="1258">
        <v>30</v>
      </c>
      <c r="U114" s="1264">
        <v>40</v>
      </c>
      <c r="V114" s="1260" t="s">
        <v>5656</v>
      </c>
      <c r="W114" s="1260" t="s">
        <v>5482</v>
      </c>
      <c r="X114" s="1260" t="s">
        <v>5693</v>
      </c>
      <c r="Y114" s="1260" t="s">
        <v>5767</v>
      </c>
      <c r="Z114" s="1261" t="s">
        <v>5768</v>
      </c>
    </row>
    <row r="115" spans="2:26" ht="12.75" customHeight="1" x14ac:dyDescent="0.2">
      <c r="B115" s="2465" t="str">
        <f t="shared" si="1"/>
        <v>Creación68</v>
      </c>
      <c r="C115" s="1262"/>
      <c r="D115" s="1263" t="s">
        <v>5769</v>
      </c>
      <c r="E115" s="1254" t="s">
        <v>2577</v>
      </c>
      <c r="F115" s="1254">
        <v>68</v>
      </c>
      <c r="G115" s="1255"/>
      <c r="H115" s="1255" t="s">
        <v>1763</v>
      </c>
      <c r="I115" s="1256" t="s">
        <v>1919</v>
      </c>
      <c r="J115" s="1254">
        <v>8</v>
      </c>
      <c r="K115" s="1254">
        <v>12</v>
      </c>
      <c r="L115" s="1254">
        <v>15</v>
      </c>
      <c r="M115" s="1257">
        <v>18</v>
      </c>
      <c r="N115" s="1254">
        <v>100</v>
      </c>
      <c r="O115" s="1254">
        <v>200</v>
      </c>
      <c r="P115" s="1254">
        <v>300</v>
      </c>
      <c r="Q115" s="1257">
        <v>400</v>
      </c>
      <c r="R115" s="1254">
        <v>10</v>
      </c>
      <c r="S115" s="1254">
        <v>20</v>
      </c>
      <c r="T115" s="1258">
        <v>30</v>
      </c>
      <c r="U115" s="1264">
        <v>40</v>
      </c>
      <c r="V115" s="1260" t="s">
        <v>5770</v>
      </c>
      <c r="W115" s="1260" t="s">
        <v>5771</v>
      </c>
      <c r="X115" s="1260" t="s">
        <v>5772</v>
      </c>
      <c r="Y115" s="1260" t="s">
        <v>5773</v>
      </c>
      <c r="Z115" s="1265" t="s">
        <v>5774</v>
      </c>
    </row>
    <row r="116" spans="2:26" ht="12.75" customHeight="1" x14ac:dyDescent="0.2">
      <c r="B116" s="2465" t="str">
        <f t="shared" si="1"/>
        <v>Creación70</v>
      </c>
      <c r="C116" s="1262"/>
      <c r="D116" s="1263" t="s">
        <v>542</v>
      </c>
      <c r="E116" s="1254" t="s">
        <v>2577</v>
      </c>
      <c r="F116" s="1254">
        <v>70</v>
      </c>
      <c r="G116" s="1255"/>
      <c r="H116" s="1255" t="s">
        <v>1762</v>
      </c>
      <c r="I116" s="1256" t="s">
        <v>1918</v>
      </c>
      <c r="J116" s="1254">
        <v>9</v>
      </c>
      <c r="K116" s="1254">
        <v>12</v>
      </c>
      <c r="L116" s="1254">
        <v>15</v>
      </c>
      <c r="M116" s="1257">
        <v>18</v>
      </c>
      <c r="N116" s="1254">
        <v>250</v>
      </c>
      <c r="O116" s="1254">
        <v>350</v>
      </c>
      <c r="P116" s="1254">
        <v>500</v>
      </c>
      <c r="Q116" s="1257">
        <v>800</v>
      </c>
      <c r="R116" s="1254"/>
      <c r="S116" s="1254"/>
      <c r="T116" s="1258"/>
      <c r="U116" s="1264" t="s">
        <v>5702</v>
      </c>
      <c r="V116" s="1260" t="s">
        <v>5775</v>
      </c>
      <c r="W116" s="1260" t="s">
        <v>5776</v>
      </c>
      <c r="X116" s="1260" t="s">
        <v>5777</v>
      </c>
      <c r="Y116" s="1260" t="s">
        <v>5778</v>
      </c>
      <c r="Z116" s="1261" t="s">
        <v>5779</v>
      </c>
    </row>
    <row r="117" spans="2:26" ht="12.75" customHeight="1" x14ac:dyDescent="0.2">
      <c r="B117" s="2465" t="str">
        <f t="shared" si="1"/>
        <v>Creación72</v>
      </c>
      <c r="C117" s="1262"/>
      <c r="D117" s="1263" t="s">
        <v>543</v>
      </c>
      <c r="E117" s="1254" t="s">
        <v>2577</v>
      </c>
      <c r="F117" s="1254">
        <v>72</v>
      </c>
      <c r="G117" s="1255" t="s">
        <v>3090</v>
      </c>
      <c r="H117" s="1255" t="s">
        <v>1762</v>
      </c>
      <c r="I117" s="1256" t="s">
        <v>1918</v>
      </c>
      <c r="J117" s="1254">
        <v>8</v>
      </c>
      <c r="K117" s="1254">
        <v>10</v>
      </c>
      <c r="L117" s="1254">
        <v>12</v>
      </c>
      <c r="M117" s="1257">
        <v>14</v>
      </c>
      <c r="N117" s="1254">
        <v>150</v>
      </c>
      <c r="O117" s="1254">
        <v>200</v>
      </c>
      <c r="P117" s="1254">
        <v>250</v>
      </c>
      <c r="Q117" s="1257">
        <v>350</v>
      </c>
      <c r="R117" s="1254">
        <v>10</v>
      </c>
      <c r="S117" s="1254">
        <v>10</v>
      </c>
      <c r="T117" s="1258">
        <v>15</v>
      </c>
      <c r="U117" s="1264">
        <v>20</v>
      </c>
      <c r="V117" s="1260" t="s">
        <v>5753</v>
      </c>
      <c r="W117" s="1260" t="s">
        <v>5709</v>
      </c>
      <c r="X117" s="1260" t="s">
        <v>5584</v>
      </c>
      <c r="Y117" s="1260" t="s">
        <v>5585</v>
      </c>
      <c r="Z117" s="1261" t="s">
        <v>5780</v>
      </c>
    </row>
    <row r="118" spans="2:26" ht="12.75" customHeight="1" x14ac:dyDescent="0.2">
      <c r="B118" s="2465" t="str">
        <f t="shared" si="1"/>
        <v>Creación76</v>
      </c>
      <c r="C118" s="1262"/>
      <c r="D118" s="1263" t="s">
        <v>544</v>
      </c>
      <c r="E118" s="1254" t="s">
        <v>2577</v>
      </c>
      <c r="F118" s="1254">
        <v>76</v>
      </c>
      <c r="G118" s="1255"/>
      <c r="H118" s="1255" t="s">
        <v>1763</v>
      </c>
      <c r="I118" s="1256" t="s">
        <v>1918</v>
      </c>
      <c r="J118" s="1254">
        <v>8</v>
      </c>
      <c r="K118" s="1254">
        <v>12</v>
      </c>
      <c r="L118" s="1254">
        <v>15</v>
      </c>
      <c r="M118" s="1257">
        <v>18</v>
      </c>
      <c r="N118" s="1254">
        <v>300</v>
      </c>
      <c r="O118" s="1254">
        <v>500</v>
      </c>
      <c r="P118" s="1254">
        <v>750</v>
      </c>
      <c r="Q118" s="1257">
        <v>1500</v>
      </c>
      <c r="R118" s="1254"/>
      <c r="S118" s="1254"/>
      <c r="T118" s="1258"/>
      <c r="U118" s="1264"/>
      <c r="V118" s="1260" t="s">
        <v>5781</v>
      </c>
      <c r="W118" s="1260" t="s">
        <v>5693</v>
      </c>
      <c r="X118" s="1260" t="s">
        <v>5782</v>
      </c>
      <c r="Y118" s="1260" t="s">
        <v>5783</v>
      </c>
      <c r="Z118" s="1261" t="s">
        <v>5784</v>
      </c>
    </row>
    <row r="119" spans="2:26" ht="12.75" customHeight="1" x14ac:dyDescent="0.2">
      <c r="B119" s="2465" t="str">
        <f t="shared" si="1"/>
        <v>Creación78</v>
      </c>
      <c r="C119" s="1262"/>
      <c r="D119" s="1263" t="s">
        <v>5785</v>
      </c>
      <c r="E119" s="1254" t="s">
        <v>2577</v>
      </c>
      <c r="F119" s="1254">
        <v>78</v>
      </c>
      <c r="G119" s="1255" t="s">
        <v>3090</v>
      </c>
      <c r="H119" s="1255" t="s">
        <v>1763</v>
      </c>
      <c r="I119" s="1256" t="s">
        <v>1918</v>
      </c>
      <c r="J119" s="1254">
        <v>9</v>
      </c>
      <c r="K119" s="1254">
        <v>12</v>
      </c>
      <c r="L119" s="1254">
        <v>15</v>
      </c>
      <c r="M119" s="1257">
        <v>17</v>
      </c>
      <c r="N119" s="1254">
        <v>250</v>
      </c>
      <c r="O119" s="1254">
        <v>400</v>
      </c>
      <c r="P119" s="1266">
        <v>600</v>
      </c>
      <c r="Q119" s="1267">
        <v>1000</v>
      </c>
      <c r="R119" s="1266">
        <v>50</v>
      </c>
      <c r="S119" s="1266">
        <v>80</v>
      </c>
      <c r="T119" s="1258">
        <v>120</v>
      </c>
      <c r="U119" s="1264">
        <v>200</v>
      </c>
      <c r="V119" s="1260" t="s">
        <v>5786</v>
      </c>
      <c r="W119" s="1260" t="s">
        <v>5787</v>
      </c>
      <c r="X119" s="1260" t="s">
        <v>5788</v>
      </c>
      <c r="Y119" s="1260" t="s">
        <v>5744</v>
      </c>
      <c r="Z119" s="1261" t="s">
        <v>5789</v>
      </c>
    </row>
    <row r="120" spans="2:26" ht="12.75" customHeight="1" x14ac:dyDescent="0.2">
      <c r="B120" s="2465" t="str">
        <f t="shared" si="1"/>
        <v>Creación80</v>
      </c>
      <c r="C120" s="1262"/>
      <c r="D120" s="1263" t="s">
        <v>546</v>
      </c>
      <c r="E120" s="1254" t="s">
        <v>2577</v>
      </c>
      <c r="F120" s="1254">
        <v>80</v>
      </c>
      <c r="G120" s="1255"/>
      <c r="H120" s="1255" t="s">
        <v>1763</v>
      </c>
      <c r="I120" s="1256" t="s">
        <v>1918</v>
      </c>
      <c r="J120" s="1254">
        <v>10</v>
      </c>
      <c r="K120" s="1254">
        <v>13</v>
      </c>
      <c r="L120" s="1254">
        <v>15</v>
      </c>
      <c r="M120" s="1257">
        <v>17</v>
      </c>
      <c r="N120" s="1254">
        <v>250</v>
      </c>
      <c r="O120" s="1254">
        <v>500</v>
      </c>
      <c r="P120" s="1266">
        <v>1000</v>
      </c>
      <c r="Q120" s="1267">
        <v>2500</v>
      </c>
      <c r="R120" s="1254"/>
      <c r="S120" s="1254"/>
      <c r="T120" s="1258"/>
      <c r="U120" s="1264" t="s">
        <v>5702</v>
      </c>
      <c r="V120" s="1260" t="s">
        <v>5790</v>
      </c>
      <c r="W120" s="1260" t="s">
        <v>5791</v>
      </c>
      <c r="X120" s="1260" t="s">
        <v>5792</v>
      </c>
      <c r="Y120" s="1260" t="s">
        <v>5793</v>
      </c>
      <c r="Z120" s="1261" t="s">
        <v>5794</v>
      </c>
    </row>
    <row r="121" spans="2:26" ht="12.75" customHeight="1" x14ac:dyDescent="0.2">
      <c r="B121" s="2465" t="str">
        <f t="shared" si="1"/>
        <v>Creación82</v>
      </c>
      <c r="C121" s="1262"/>
      <c r="D121" s="1263" t="s">
        <v>5795</v>
      </c>
      <c r="E121" s="1254" t="s">
        <v>2577</v>
      </c>
      <c r="F121" s="1254">
        <v>82</v>
      </c>
      <c r="G121" s="1255" t="s">
        <v>3090</v>
      </c>
      <c r="H121" s="1255" t="s">
        <v>5271</v>
      </c>
      <c r="I121" s="1256" t="s">
        <v>1918</v>
      </c>
      <c r="J121" s="1254">
        <v>12</v>
      </c>
      <c r="K121" s="1254">
        <v>15</v>
      </c>
      <c r="L121" s="1254">
        <v>17</v>
      </c>
      <c r="M121" s="1257">
        <v>18</v>
      </c>
      <c r="N121" s="1254">
        <v>350</v>
      </c>
      <c r="O121" s="1254">
        <v>500</v>
      </c>
      <c r="P121" s="1254">
        <v>800</v>
      </c>
      <c r="Q121" s="1257">
        <v>1500</v>
      </c>
      <c r="R121" s="1254">
        <v>35</v>
      </c>
      <c r="S121" s="1254">
        <v>50</v>
      </c>
      <c r="T121" s="1258">
        <v>80</v>
      </c>
      <c r="U121" s="1264">
        <v>150</v>
      </c>
      <c r="V121" s="1260" t="s">
        <v>5382</v>
      </c>
      <c r="W121" s="1260" t="s">
        <v>5382</v>
      </c>
      <c r="X121" s="1260" t="s">
        <v>5382</v>
      </c>
      <c r="Y121" s="1260" t="s">
        <v>5382</v>
      </c>
      <c r="Z121" s="1261" t="s">
        <v>5796</v>
      </c>
    </row>
    <row r="122" spans="2:26" ht="12.75" customHeight="1" x14ac:dyDescent="0.2">
      <c r="B122" s="2465" t="str">
        <f t="shared" si="1"/>
        <v>Creación86</v>
      </c>
      <c r="C122" s="1262"/>
      <c r="D122" s="1263" t="s">
        <v>548</v>
      </c>
      <c r="E122" s="1254" t="s">
        <v>2577</v>
      </c>
      <c r="F122" s="1254">
        <v>86</v>
      </c>
      <c r="G122" s="1255"/>
      <c r="H122" s="1255" t="s">
        <v>1763</v>
      </c>
      <c r="I122" s="1256" t="s">
        <v>1918</v>
      </c>
      <c r="J122" s="1254">
        <v>10</v>
      </c>
      <c r="K122" s="1254">
        <v>12</v>
      </c>
      <c r="L122" s="1254">
        <v>14</v>
      </c>
      <c r="M122" s="1257">
        <v>16</v>
      </c>
      <c r="N122" s="1254">
        <v>250</v>
      </c>
      <c r="O122" s="1254">
        <v>500</v>
      </c>
      <c r="P122" s="1254">
        <v>900</v>
      </c>
      <c r="Q122" s="1257">
        <v>1600</v>
      </c>
      <c r="R122" s="1254"/>
      <c r="S122" s="1254"/>
      <c r="T122" s="1258"/>
      <c r="U122" s="1264"/>
      <c r="V122" s="1260" t="s">
        <v>5797</v>
      </c>
      <c r="W122" s="1260" t="s">
        <v>5798</v>
      </c>
      <c r="X122" s="1260" t="s">
        <v>5799</v>
      </c>
      <c r="Y122" s="1260" t="s">
        <v>5800</v>
      </c>
      <c r="Z122" s="1261" t="s">
        <v>5801</v>
      </c>
    </row>
    <row r="123" spans="2:26" ht="12.75" customHeight="1" x14ac:dyDescent="0.2">
      <c r="B123" s="2465" t="str">
        <f t="shared" si="1"/>
        <v>Creación88</v>
      </c>
      <c r="C123" s="1262"/>
      <c r="D123" s="1263" t="s">
        <v>5802</v>
      </c>
      <c r="E123" s="1254" t="s">
        <v>2577</v>
      </c>
      <c r="F123" s="1254">
        <v>88</v>
      </c>
      <c r="G123" s="1255"/>
      <c r="H123" s="1255" t="s">
        <v>1763</v>
      </c>
      <c r="I123" s="1256" t="s">
        <v>1918</v>
      </c>
      <c r="J123" s="1254">
        <v>13</v>
      </c>
      <c r="K123" s="1254">
        <v>14</v>
      </c>
      <c r="L123" s="1254">
        <v>15</v>
      </c>
      <c r="M123" s="1257">
        <v>16</v>
      </c>
      <c r="N123" s="1254">
        <v>500</v>
      </c>
      <c r="O123" s="1254">
        <v>800</v>
      </c>
      <c r="P123" s="1254">
        <v>1200</v>
      </c>
      <c r="Q123" s="1257">
        <v>2000</v>
      </c>
      <c r="R123" s="1254"/>
      <c r="S123" s="1254"/>
      <c r="T123" s="1258"/>
      <c r="U123" s="1264"/>
      <c r="V123" s="1260" t="s">
        <v>5654</v>
      </c>
      <c r="W123" s="1260" t="s">
        <v>5656</v>
      </c>
      <c r="X123" s="1260" t="s">
        <v>5482</v>
      </c>
      <c r="Y123" s="1260" t="s">
        <v>5483</v>
      </c>
      <c r="Z123" s="1261" t="s">
        <v>5803</v>
      </c>
    </row>
    <row r="124" spans="2:26" ht="12.75" customHeight="1" x14ac:dyDescent="0.2">
      <c r="B124" s="2465" t="str">
        <f t="shared" si="1"/>
        <v>Creación90</v>
      </c>
      <c r="C124" s="1262"/>
      <c r="D124" s="1263" t="s">
        <v>5804</v>
      </c>
      <c r="E124" s="1254" t="s">
        <v>2577</v>
      </c>
      <c r="F124" s="1254">
        <v>90</v>
      </c>
      <c r="G124" s="1255" t="s">
        <v>3090</v>
      </c>
      <c r="H124" s="1255" t="s">
        <v>1763</v>
      </c>
      <c r="I124" s="1256" t="s">
        <v>1918</v>
      </c>
      <c r="J124" s="1254">
        <v>10</v>
      </c>
      <c r="K124" s="1254">
        <v>12</v>
      </c>
      <c r="L124" s="1254">
        <v>14</v>
      </c>
      <c r="M124" s="1257">
        <v>16</v>
      </c>
      <c r="N124" s="1254">
        <v>400</v>
      </c>
      <c r="O124" s="1254">
        <v>800</v>
      </c>
      <c r="P124" s="1254">
        <v>1200</v>
      </c>
      <c r="Q124" s="1257">
        <v>2000</v>
      </c>
      <c r="R124" s="1254">
        <v>20</v>
      </c>
      <c r="S124" s="1254">
        <v>25</v>
      </c>
      <c r="T124" s="1258">
        <v>25</v>
      </c>
      <c r="U124" s="1264">
        <v>30</v>
      </c>
      <c r="V124" s="1260" t="s">
        <v>5805</v>
      </c>
      <c r="W124" s="1260" t="s">
        <v>5806</v>
      </c>
      <c r="X124" s="1260" t="s">
        <v>5807</v>
      </c>
      <c r="Y124" s="1260" t="s">
        <v>5808</v>
      </c>
      <c r="Z124" s="1261" t="s">
        <v>9668</v>
      </c>
    </row>
    <row r="125" spans="2:26" ht="12.75" customHeight="1" x14ac:dyDescent="0.2">
      <c r="B125" s="2465" t="str">
        <f t="shared" si="1"/>
        <v>Creación92</v>
      </c>
      <c r="C125" s="1262"/>
      <c r="D125" s="1263" t="s">
        <v>551</v>
      </c>
      <c r="E125" s="1254" t="s">
        <v>2577</v>
      </c>
      <c r="F125" s="1254">
        <v>92</v>
      </c>
      <c r="G125" s="1255"/>
      <c r="H125" s="1255" t="s">
        <v>1763</v>
      </c>
      <c r="I125" s="1256" t="s">
        <v>1918</v>
      </c>
      <c r="J125" s="1254">
        <v>12</v>
      </c>
      <c r="K125" s="1254">
        <v>14</v>
      </c>
      <c r="L125" s="1254">
        <v>16</v>
      </c>
      <c r="M125" s="1257">
        <v>18</v>
      </c>
      <c r="N125" s="1254">
        <v>600</v>
      </c>
      <c r="O125" s="1254">
        <v>1000</v>
      </c>
      <c r="P125" s="1254">
        <v>2500</v>
      </c>
      <c r="Q125" s="1257">
        <v>5000</v>
      </c>
      <c r="R125" s="1254"/>
      <c r="S125" s="1254"/>
      <c r="T125" s="1258"/>
      <c r="U125" s="1264" t="s">
        <v>5702</v>
      </c>
      <c r="V125" s="1260" t="s">
        <v>5809</v>
      </c>
      <c r="W125" s="1260" t="s">
        <v>5810</v>
      </c>
      <c r="X125" s="1260" t="s">
        <v>5811</v>
      </c>
      <c r="Y125" s="1260" t="s">
        <v>5812</v>
      </c>
      <c r="Z125" s="1261" t="s">
        <v>5813</v>
      </c>
    </row>
    <row r="126" spans="2:26" ht="12.75" customHeight="1" x14ac:dyDescent="0.2">
      <c r="B126" s="2465" t="str">
        <f t="shared" si="1"/>
        <v>Creación96</v>
      </c>
      <c r="C126" s="1262"/>
      <c r="D126" s="1263" t="s">
        <v>5814</v>
      </c>
      <c r="E126" s="1254" t="s">
        <v>2577</v>
      </c>
      <c r="F126" s="1254">
        <v>96</v>
      </c>
      <c r="G126" s="1255" t="s">
        <v>3090</v>
      </c>
      <c r="H126" s="1255" t="s">
        <v>1763</v>
      </c>
      <c r="I126" s="1256" t="s">
        <v>1918</v>
      </c>
      <c r="J126" s="1254">
        <v>15</v>
      </c>
      <c r="K126" s="1254">
        <v>16</v>
      </c>
      <c r="L126" s="1254">
        <v>17</v>
      </c>
      <c r="M126" s="1257">
        <v>19</v>
      </c>
      <c r="N126" s="1254">
        <v>800</v>
      </c>
      <c r="O126" s="1254">
        <v>2500</v>
      </c>
      <c r="P126" s="1254">
        <v>5000</v>
      </c>
      <c r="Q126" s="1257">
        <v>10000</v>
      </c>
      <c r="R126" s="1254">
        <v>40</v>
      </c>
      <c r="S126" s="1254">
        <v>45</v>
      </c>
      <c r="T126" s="1258">
        <v>45</v>
      </c>
      <c r="U126" s="1264">
        <v>50</v>
      </c>
      <c r="V126" s="1260" t="s">
        <v>5815</v>
      </c>
      <c r="W126" s="1260" t="s">
        <v>5816</v>
      </c>
      <c r="X126" s="1260" t="s">
        <v>5817</v>
      </c>
      <c r="Y126" s="1260" t="s">
        <v>5818</v>
      </c>
      <c r="Z126" s="1261" t="s">
        <v>5819</v>
      </c>
    </row>
    <row r="127" spans="2:26" ht="12.75" customHeight="1" x14ac:dyDescent="0.2">
      <c r="B127" s="2465" t="str">
        <f t="shared" si="1"/>
        <v>Creación98</v>
      </c>
      <c r="C127" s="1262"/>
      <c r="D127" s="1263" t="s">
        <v>5820</v>
      </c>
      <c r="E127" s="1254" t="s">
        <v>2577</v>
      </c>
      <c r="F127" s="1254">
        <v>98</v>
      </c>
      <c r="G127" s="1255"/>
      <c r="H127" s="1255" t="s">
        <v>1763</v>
      </c>
      <c r="I127" s="1256" t="s">
        <v>1918</v>
      </c>
      <c r="J127" s="1254">
        <v>16</v>
      </c>
      <c r="K127" s="1254">
        <v>17</v>
      </c>
      <c r="L127" s="1254">
        <v>18</v>
      </c>
      <c r="M127" s="1257">
        <v>19</v>
      </c>
      <c r="N127" s="1254">
        <v>800</v>
      </c>
      <c r="O127" s="1254">
        <v>2000</v>
      </c>
      <c r="P127" s="1254">
        <v>4000</v>
      </c>
      <c r="Q127" s="1257">
        <v>8000</v>
      </c>
      <c r="R127" s="1254"/>
      <c r="S127" s="1254"/>
      <c r="T127" s="1258"/>
      <c r="U127" s="1264" t="s">
        <v>5702</v>
      </c>
      <c r="V127" s="1260" t="s">
        <v>5821</v>
      </c>
      <c r="W127" s="1260" t="s">
        <v>5822</v>
      </c>
      <c r="X127" s="1260" t="s">
        <v>5823</v>
      </c>
      <c r="Y127" s="1260" t="s">
        <v>5824</v>
      </c>
      <c r="Z127" s="1261" t="s">
        <v>5825</v>
      </c>
    </row>
    <row r="128" spans="2:26" ht="12.75" customHeight="1" x14ac:dyDescent="0.2">
      <c r="B128" s="2465" t="str">
        <f t="shared" si="1"/>
        <v>Creación100</v>
      </c>
      <c r="C128" s="1262"/>
      <c r="D128" s="1263" t="s">
        <v>554</v>
      </c>
      <c r="E128" s="1254" t="s">
        <v>2577</v>
      </c>
      <c r="F128" s="1254">
        <v>100</v>
      </c>
      <c r="G128" s="1255"/>
      <c r="H128" s="1255" t="s">
        <v>1763</v>
      </c>
      <c r="I128" s="1256" t="s">
        <v>1918</v>
      </c>
      <c r="J128" s="1254">
        <v>17</v>
      </c>
      <c r="K128" s="1254">
        <v>18</v>
      </c>
      <c r="L128" s="1254">
        <v>19</v>
      </c>
      <c r="M128" s="1257">
        <v>20</v>
      </c>
      <c r="N128" s="1254">
        <v>1000</v>
      </c>
      <c r="O128" s="1254">
        <v>3000</v>
      </c>
      <c r="P128" s="1254">
        <v>6000</v>
      </c>
      <c r="Q128" s="1257">
        <v>12000</v>
      </c>
      <c r="R128" s="1254"/>
      <c r="S128" s="1254"/>
      <c r="T128" s="1258"/>
      <c r="U128" s="1264" t="s">
        <v>5702</v>
      </c>
      <c r="V128" s="1260" t="s">
        <v>5826</v>
      </c>
      <c r="W128" s="1260" t="s">
        <v>5827</v>
      </c>
      <c r="X128" s="1260" t="s">
        <v>5828</v>
      </c>
      <c r="Y128" s="1260" t="s">
        <v>5829</v>
      </c>
      <c r="Z128" s="1261" t="s">
        <v>5830</v>
      </c>
    </row>
    <row r="129" spans="2:26" ht="12.75" customHeight="1" x14ac:dyDescent="0.2">
      <c r="B129" s="2465" t="str">
        <f t="shared" si="1"/>
        <v/>
      </c>
      <c r="C129" s="1262"/>
      <c r="D129" s="1263" t="s">
        <v>555</v>
      </c>
      <c r="E129" s="1254"/>
      <c r="F129" s="1254"/>
      <c r="G129" s="1255"/>
      <c r="H129" s="1255"/>
      <c r="I129" s="1256"/>
      <c r="J129" s="1254"/>
      <c r="K129" s="1254"/>
      <c r="L129" s="1254"/>
      <c r="M129" s="1257"/>
      <c r="N129" s="1254"/>
      <c r="O129" s="1254"/>
      <c r="P129" s="1254"/>
      <c r="Q129" s="1257"/>
      <c r="R129" s="1254"/>
      <c r="S129" s="1254"/>
      <c r="T129" s="1258"/>
      <c r="U129" s="1264"/>
      <c r="V129" s="1260"/>
      <c r="W129" s="1260"/>
      <c r="X129" s="1260"/>
      <c r="Y129" s="1260"/>
      <c r="Z129" s="1261"/>
    </row>
    <row r="130" spans="2:26" ht="12.75" customHeight="1" x14ac:dyDescent="0.2">
      <c r="B130" s="2465" t="str">
        <f t="shared" si="1"/>
        <v>Destrucción2</v>
      </c>
      <c r="C130" s="1262"/>
      <c r="D130" s="1263" t="s">
        <v>556</v>
      </c>
      <c r="E130" s="1254" t="s">
        <v>2578</v>
      </c>
      <c r="F130" s="1254">
        <v>2</v>
      </c>
      <c r="G130" s="1255" t="s">
        <v>2234</v>
      </c>
      <c r="H130" s="1255" t="s">
        <v>1763</v>
      </c>
      <c r="I130" s="1256" t="s">
        <v>1918</v>
      </c>
      <c r="J130" s="1254">
        <v>5</v>
      </c>
      <c r="K130" s="1254">
        <v>8</v>
      </c>
      <c r="L130" s="1254">
        <v>10</v>
      </c>
      <c r="M130" s="1257">
        <v>12</v>
      </c>
      <c r="N130" s="1254">
        <v>30</v>
      </c>
      <c r="O130" s="1254">
        <v>60</v>
      </c>
      <c r="P130" s="1254">
        <v>120</v>
      </c>
      <c r="Q130" s="1257">
        <v>150</v>
      </c>
      <c r="R130" s="1254">
        <v>5</v>
      </c>
      <c r="S130" s="1254">
        <v>10</v>
      </c>
      <c r="T130" s="1258">
        <v>15</v>
      </c>
      <c r="U130" s="1264">
        <v>15</v>
      </c>
      <c r="V130" s="1260" t="s">
        <v>5831</v>
      </c>
      <c r="W130" s="1260" t="s">
        <v>5832</v>
      </c>
      <c r="X130" s="1260" t="s">
        <v>5833</v>
      </c>
      <c r="Y130" s="1260" t="s">
        <v>5834</v>
      </c>
      <c r="Z130" s="1261" t="s">
        <v>5835</v>
      </c>
    </row>
    <row r="131" spans="2:26" ht="12.75" customHeight="1" x14ac:dyDescent="0.2">
      <c r="B131" s="2465" t="str">
        <f t="shared" si="1"/>
        <v>Destrucción6</v>
      </c>
      <c r="C131" s="1262"/>
      <c r="D131" s="1263" t="s">
        <v>557</v>
      </c>
      <c r="E131" s="1254" t="s">
        <v>2578</v>
      </c>
      <c r="F131" s="1254">
        <v>6</v>
      </c>
      <c r="G131" s="1255" t="s">
        <v>2234</v>
      </c>
      <c r="H131" s="1255" t="s">
        <v>1763</v>
      </c>
      <c r="I131" s="1256" t="s">
        <v>1918</v>
      </c>
      <c r="J131" s="1254">
        <v>5</v>
      </c>
      <c r="K131" s="1254">
        <v>8</v>
      </c>
      <c r="L131" s="1254">
        <v>10</v>
      </c>
      <c r="M131" s="1257">
        <v>12</v>
      </c>
      <c r="N131" s="1254">
        <v>40</v>
      </c>
      <c r="O131" s="1254">
        <v>80</v>
      </c>
      <c r="P131" s="1254">
        <v>120</v>
      </c>
      <c r="Q131" s="1257">
        <v>150</v>
      </c>
      <c r="R131" s="1254" t="s">
        <v>2234</v>
      </c>
      <c r="S131" s="1254" t="s">
        <v>2234</v>
      </c>
      <c r="T131" s="1258" t="s">
        <v>2234</v>
      </c>
      <c r="U131" s="1264" t="s">
        <v>2234</v>
      </c>
      <c r="V131" s="1260" t="s">
        <v>5653</v>
      </c>
      <c r="W131" s="1260" t="s">
        <v>5655</v>
      </c>
      <c r="X131" s="1260" t="s">
        <v>5781</v>
      </c>
      <c r="Y131" s="1260" t="s">
        <v>5482</v>
      </c>
      <c r="Z131" s="1261" t="s">
        <v>5836</v>
      </c>
    </row>
    <row r="132" spans="2:26" ht="12.75" customHeight="1" x14ac:dyDescent="0.2">
      <c r="B132" s="2465" t="str">
        <f t="shared" si="1"/>
        <v>Destrucción8</v>
      </c>
      <c r="C132" s="1262"/>
      <c r="D132" s="1263" t="s">
        <v>5837</v>
      </c>
      <c r="E132" s="1254" t="s">
        <v>2578</v>
      </c>
      <c r="F132" s="1254">
        <v>8</v>
      </c>
      <c r="G132" s="1255" t="s">
        <v>2234</v>
      </c>
      <c r="H132" s="1255" t="s">
        <v>1763</v>
      </c>
      <c r="I132" s="1256" t="s">
        <v>1918</v>
      </c>
      <c r="J132" s="1254">
        <v>5</v>
      </c>
      <c r="K132" s="1254">
        <v>8</v>
      </c>
      <c r="L132" s="1254">
        <v>10</v>
      </c>
      <c r="M132" s="1257">
        <v>12</v>
      </c>
      <c r="N132" s="1254">
        <v>40</v>
      </c>
      <c r="O132" s="1254">
        <v>80</v>
      </c>
      <c r="P132" s="1254">
        <v>120</v>
      </c>
      <c r="Q132" s="1257">
        <v>150</v>
      </c>
      <c r="R132" s="1254" t="s">
        <v>2234</v>
      </c>
      <c r="S132" s="1254" t="s">
        <v>2234</v>
      </c>
      <c r="T132" s="1258" t="s">
        <v>2234</v>
      </c>
      <c r="U132" s="1264" t="s">
        <v>2234</v>
      </c>
      <c r="V132" s="1260" t="s">
        <v>5838</v>
      </c>
      <c r="W132" s="1260" t="s">
        <v>5839</v>
      </c>
      <c r="X132" s="1260" t="s">
        <v>5840</v>
      </c>
      <c r="Y132" s="1260" t="s">
        <v>5841</v>
      </c>
      <c r="Z132" s="1261" t="s">
        <v>5842</v>
      </c>
    </row>
    <row r="133" spans="2:26" ht="12.75" customHeight="1" x14ac:dyDescent="0.2">
      <c r="B133" s="2465" t="str">
        <f t="shared" si="1"/>
        <v>Destrucción10</v>
      </c>
      <c r="C133" s="1262"/>
      <c r="D133" s="1263" t="s">
        <v>5843</v>
      </c>
      <c r="E133" s="1254" t="s">
        <v>2578</v>
      </c>
      <c r="F133" s="1254">
        <v>10</v>
      </c>
      <c r="G133" s="1255" t="s">
        <v>2234</v>
      </c>
      <c r="H133" s="1255" t="s">
        <v>1763</v>
      </c>
      <c r="I133" s="1256" t="s">
        <v>1918</v>
      </c>
      <c r="J133" s="1254">
        <v>6</v>
      </c>
      <c r="K133" s="1254">
        <v>9</v>
      </c>
      <c r="L133" s="1254">
        <v>11</v>
      </c>
      <c r="M133" s="1257">
        <v>13</v>
      </c>
      <c r="N133" s="1254">
        <v>50</v>
      </c>
      <c r="O133" s="1254">
        <v>90</v>
      </c>
      <c r="P133" s="1254">
        <v>140</v>
      </c>
      <c r="Q133" s="1257">
        <v>180</v>
      </c>
      <c r="R133" s="1254" t="s">
        <v>2234</v>
      </c>
      <c r="S133" s="1254" t="s">
        <v>2234</v>
      </c>
      <c r="T133" s="1258" t="s">
        <v>2234</v>
      </c>
      <c r="U133" s="1264" t="s">
        <v>2234</v>
      </c>
      <c r="V133" s="1260" t="s">
        <v>5653</v>
      </c>
      <c r="W133" s="1260" t="s">
        <v>5655</v>
      </c>
      <c r="X133" s="1260" t="s">
        <v>5781</v>
      </c>
      <c r="Y133" s="1260" t="s">
        <v>5482</v>
      </c>
      <c r="Z133" s="1261" t="s">
        <v>5844</v>
      </c>
    </row>
    <row r="134" spans="2:26" ht="12.75" customHeight="1" x14ac:dyDescent="0.2">
      <c r="B134" s="2465" t="str">
        <f t="shared" si="1"/>
        <v>Destrucción12</v>
      </c>
      <c r="C134" s="1262"/>
      <c r="D134" s="1263" t="s">
        <v>5845</v>
      </c>
      <c r="E134" s="1254" t="s">
        <v>2578</v>
      </c>
      <c r="F134" s="1254">
        <v>12</v>
      </c>
      <c r="G134" s="1255" t="s">
        <v>2234</v>
      </c>
      <c r="H134" s="1255" t="s">
        <v>1761</v>
      </c>
      <c r="I134" s="1256" t="s">
        <v>1918</v>
      </c>
      <c r="J134" s="1254">
        <v>5</v>
      </c>
      <c r="K134" s="1254">
        <v>8</v>
      </c>
      <c r="L134" s="1254">
        <v>10</v>
      </c>
      <c r="M134" s="1257">
        <v>13</v>
      </c>
      <c r="N134" s="1254">
        <v>30</v>
      </c>
      <c r="O134" s="1254">
        <v>60</v>
      </c>
      <c r="P134" s="1254">
        <v>100</v>
      </c>
      <c r="Q134" s="1257">
        <v>150</v>
      </c>
      <c r="R134" s="1254" t="s">
        <v>2234</v>
      </c>
      <c r="S134" s="1254" t="s">
        <v>2234</v>
      </c>
      <c r="T134" s="1258" t="s">
        <v>2234</v>
      </c>
      <c r="U134" s="1264" t="s">
        <v>2234</v>
      </c>
      <c r="V134" s="1260" t="s">
        <v>5846</v>
      </c>
      <c r="W134" s="1260" t="s">
        <v>5847</v>
      </c>
      <c r="X134" s="1260" t="s">
        <v>5848</v>
      </c>
      <c r="Y134" s="1260" t="s">
        <v>5849</v>
      </c>
      <c r="Z134" s="1261" t="s">
        <v>5850</v>
      </c>
    </row>
    <row r="135" spans="2:26" ht="12.75" customHeight="1" x14ac:dyDescent="0.2">
      <c r="B135" s="2465" t="str">
        <f t="shared" si="1"/>
        <v>Destrucción16</v>
      </c>
      <c r="C135" s="1262"/>
      <c r="D135" s="1263" t="s">
        <v>5851</v>
      </c>
      <c r="E135" s="1254" t="s">
        <v>2578</v>
      </c>
      <c r="F135" s="1254">
        <v>16</v>
      </c>
      <c r="G135" s="1255" t="s">
        <v>3090</v>
      </c>
      <c r="H135" s="1255" t="s">
        <v>1762</v>
      </c>
      <c r="I135" s="1256" t="s">
        <v>1918</v>
      </c>
      <c r="J135" s="1254">
        <v>6</v>
      </c>
      <c r="K135" s="1254">
        <v>8</v>
      </c>
      <c r="L135" s="1254">
        <v>10</v>
      </c>
      <c r="M135" s="1257">
        <v>12</v>
      </c>
      <c r="N135" s="1254">
        <v>50</v>
      </c>
      <c r="O135" s="1254">
        <v>80</v>
      </c>
      <c r="P135" s="1254">
        <v>120</v>
      </c>
      <c r="Q135" s="1257">
        <v>150</v>
      </c>
      <c r="R135" s="1254">
        <v>5</v>
      </c>
      <c r="S135" s="1254">
        <v>10</v>
      </c>
      <c r="T135" s="1258">
        <v>15</v>
      </c>
      <c r="U135" s="1264">
        <v>15</v>
      </c>
      <c r="V135" s="1260" t="s">
        <v>5852</v>
      </c>
      <c r="W135" s="1260" t="s">
        <v>5853</v>
      </c>
      <c r="X135" s="1260" t="s">
        <v>5854</v>
      </c>
      <c r="Y135" s="1260" t="s">
        <v>5855</v>
      </c>
      <c r="Z135" s="1261" t="s">
        <v>5856</v>
      </c>
    </row>
    <row r="136" spans="2:26" ht="12.75" customHeight="1" x14ac:dyDescent="0.2">
      <c r="B136" s="2465" t="str">
        <f t="shared" ref="B136:B199" si="2">E136&amp;F136</f>
        <v>Destrucción18</v>
      </c>
      <c r="C136" s="1262"/>
      <c r="D136" s="1263" t="s">
        <v>5857</v>
      </c>
      <c r="E136" s="1254" t="s">
        <v>2578</v>
      </c>
      <c r="F136" s="1254">
        <v>18</v>
      </c>
      <c r="G136" s="1255" t="s">
        <v>2234</v>
      </c>
      <c r="H136" s="1255" t="s">
        <v>1763</v>
      </c>
      <c r="I136" s="1256" t="s">
        <v>1919</v>
      </c>
      <c r="J136" s="1254">
        <v>6</v>
      </c>
      <c r="K136" s="1254">
        <v>9</v>
      </c>
      <c r="L136" s="1254">
        <v>12</v>
      </c>
      <c r="M136" s="1257">
        <v>16</v>
      </c>
      <c r="N136" s="1254">
        <v>60</v>
      </c>
      <c r="O136" s="1254">
        <v>150</v>
      </c>
      <c r="P136" s="1254">
        <v>300</v>
      </c>
      <c r="Q136" s="1257">
        <v>500</v>
      </c>
      <c r="R136" s="1254" t="s">
        <v>2234</v>
      </c>
      <c r="S136" s="1254" t="s">
        <v>2234</v>
      </c>
      <c r="T136" s="1258" t="s">
        <v>2234</v>
      </c>
      <c r="U136" s="1264" t="s">
        <v>2234</v>
      </c>
      <c r="V136" s="1260" t="s">
        <v>5858</v>
      </c>
      <c r="W136" s="1260" t="s">
        <v>5859</v>
      </c>
      <c r="X136" s="1260" t="s">
        <v>5860</v>
      </c>
      <c r="Y136" s="1260" t="s">
        <v>5861</v>
      </c>
      <c r="Z136" s="1261" t="s">
        <v>5862</v>
      </c>
    </row>
    <row r="137" spans="2:26" ht="12.75" customHeight="1" x14ac:dyDescent="0.2">
      <c r="B137" s="2465" t="str">
        <f t="shared" si="2"/>
        <v>Destrucción20</v>
      </c>
      <c r="C137" s="1262"/>
      <c r="D137" s="1263" t="s">
        <v>5863</v>
      </c>
      <c r="E137" s="1254" t="s">
        <v>2578</v>
      </c>
      <c r="F137" s="1254">
        <v>20</v>
      </c>
      <c r="G137" s="1255" t="s">
        <v>2234</v>
      </c>
      <c r="H137" s="1255" t="s">
        <v>1763</v>
      </c>
      <c r="I137" s="1256" t="s">
        <v>1919</v>
      </c>
      <c r="J137" s="1254">
        <v>6</v>
      </c>
      <c r="K137" s="1254">
        <v>9</v>
      </c>
      <c r="L137" s="1254">
        <v>12</v>
      </c>
      <c r="M137" s="1257">
        <v>15</v>
      </c>
      <c r="N137" s="1254">
        <v>60</v>
      </c>
      <c r="O137" s="1254">
        <v>100</v>
      </c>
      <c r="P137" s="1254">
        <v>150</v>
      </c>
      <c r="Q137" s="1257">
        <v>220</v>
      </c>
      <c r="R137" s="1254" t="s">
        <v>2234</v>
      </c>
      <c r="S137" s="1254" t="s">
        <v>2234</v>
      </c>
      <c r="T137" s="1258" t="s">
        <v>2234</v>
      </c>
      <c r="U137" s="1264" t="s">
        <v>2234</v>
      </c>
      <c r="V137" s="1260" t="s">
        <v>5864</v>
      </c>
      <c r="W137" s="1260" t="s">
        <v>5865</v>
      </c>
      <c r="X137" s="1260" t="s">
        <v>5866</v>
      </c>
      <c r="Y137" s="1260" t="s">
        <v>5867</v>
      </c>
      <c r="Z137" s="1261" t="s">
        <v>5868</v>
      </c>
    </row>
    <row r="138" spans="2:26" ht="12.75" customHeight="1" x14ac:dyDescent="0.2">
      <c r="B138" s="2465" t="str">
        <f t="shared" si="2"/>
        <v>Destrucción22</v>
      </c>
      <c r="C138" s="1262"/>
      <c r="D138" s="1263" t="s">
        <v>5869</v>
      </c>
      <c r="E138" s="1254" t="s">
        <v>2578</v>
      </c>
      <c r="F138" s="1254">
        <v>22</v>
      </c>
      <c r="G138" s="1255" t="s">
        <v>2234</v>
      </c>
      <c r="H138" s="1255" t="s">
        <v>1763</v>
      </c>
      <c r="I138" s="1256" t="s">
        <v>1919</v>
      </c>
      <c r="J138" s="1254">
        <v>6</v>
      </c>
      <c r="K138" s="1254">
        <v>9</v>
      </c>
      <c r="L138" s="1254">
        <v>12</v>
      </c>
      <c r="M138" s="1257">
        <v>16</v>
      </c>
      <c r="N138" s="1254">
        <v>80</v>
      </c>
      <c r="O138" s="1254">
        <v>140</v>
      </c>
      <c r="P138" s="1254">
        <v>240</v>
      </c>
      <c r="Q138" s="1257">
        <v>320</v>
      </c>
      <c r="R138" s="1254" t="s">
        <v>5870</v>
      </c>
      <c r="S138" s="1254" t="s">
        <v>2234</v>
      </c>
      <c r="T138" s="1258" t="s">
        <v>2234</v>
      </c>
      <c r="U138" s="1264" t="s">
        <v>2234</v>
      </c>
      <c r="V138" s="1260" t="s">
        <v>5871</v>
      </c>
      <c r="W138" s="1260" t="s">
        <v>5872</v>
      </c>
      <c r="X138" s="1260" t="s">
        <v>5873</v>
      </c>
      <c r="Y138" s="1260" t="s">
        <v>5874</v>
      </c>
      <c r="Z138" s="1261" t="s">
        <v>5875</v>
      </c>
    </row>
    <row r="139" spans="2:26" ht="12.75" customHeight="1" x14ac:dyDescent="0.2">
      <c r="B139" s="2465" t="str">
        <f t="shared" si="2"/>
        <v>Destrucción26</v>
      </c>
      <c r="C139" s="1262"/>
      <c r="D139" s="1263" t="s">
        <v>565</v>
      </c>
      <c r="E139" s="1254" t="s">
        <v>2578</v>
      </c>
      <c r="F139" s="1254">
        <v>26</v>
      </c>
      <c r="G139" s="1255" t="s">
        <v>2234</v>
      </c>
      <c r="H139" s="1255" t="s">
        <v>1762</v>
      </c>
      <c r="I139" s="1256" t="s">
        <v>1918</v>
      </c>
      <c r="J139" s="1254">
        <v>6</v>
      </c>
      <c r="K139" s="1254">
        <v>9</v>
      </c>
      <c r="L139" s="1254">
        <v>12</v>
      </c>
      <c r="M139" s="1257">
        <v>15</v>
      </c>
      <c r="N139" s="1254">
        <v>80</v>
      </c>
      <c r="O139" s="1254">
        <v>120</v>
      </c>
      <c r="P139" s="1254">
        <v>180</v>
      </c>
      <c r="Q139" s="1257">
        <v>300</v>
      </c>
      <c r="R139" s="1254" t="s">
        <v>2234</v>
      </c>
      <c r="S139" s="1254" t="s">
        <v>2234</v>
      </c>
      <c r="T139" s="1258" t="s">
        <v>2234</v>
      </c>
      <c r="U139" s="1264" t="s">
        <v>2234</v>
      </c>
      <c r="V139" s="1260" t="s">
        <v>5876</v>
      </c>
      <c r="W139" s="1260" t="s">
        <v>5877</v>
      </c>
      <c r="X139" s="1260" t="s">
        <v>5878</v>
      </c>
      <c r="Y139" s="1260" t="s">
        <v>5879</v>
      </c>
      <c r="Z139" s="1261" t="s">
        <v>5880</v>
      </c>
    </row>
    <row r="140" spans="2:26" ht="12.75" customHeight="1" x14ac:dyDescent="0.2">
      <c r="B140" s="2465" t="str">
        <f t="shared" si="2"/>
        <v>Destrucción28</v>
      </c>
      <c r="C140" s="1262"/>
      <c r="D140" s="1263" t="s">
        <v>5881</v>
      </c>
      <c r="E140" s="1254" t="s">
        <v>2578</v>
      </c>
      <c r="F140" s="1254">
        <v>28</v>
      </c>
      <c r="G140" s="1255" t="s">
        <v>2234</v>
      </c>
      <c r="H140" s="1255" t="s">
        <v>1762</v>
      </c>
      <c r="I140" s="1256" t="s">
        <v>1918</v>
      </c>
      <c r="J140" s="1254">
        <v>6</v>
      </c>
      <c r="K140" s="1254">
        <v>9</v>
      </c>
      <c r="L140" s="1254">
        <v>12</v>
      </c>
      <c r="M140" s="1257">
        <v>15</v>
      </c>
      <c r="N140" s="1254">
        <v>80</v>
      </c>
      <c r="O140" s="1254">
        <v>140</v>
      </c>
      <c r="P140" s="1254">
        <v>220</v>
      </c>
      <c r="Q140" s="1257">
        <v>300</v>
      </c>
      <c r="R140" s="1254" t="s">
        <v>2234</v>
      </c>
      <c r="S140" s="1254" t="s">
        <v>2234</v>
      </c>
      <c r="T140" s="1258" t="s">
        <v>2234</v>
      </c>
      <c r="U140" s="1264" t="s">
        <v>2234</v>
      </c>
      <c r="V140" s="1260" t="s">
        <v>5853</v>
      </c>
      <c r="W140" s="1260" t="s">
        <v>5854</v>
      </c>
      <c r="X140" s="1260" t="s">
        <v>5882</v>
      </c>
      <c r="Y140" s="1260" t="s">
        <v>5883</v>
      </c>
      <c r="Z140" s="1261" t="s">
        <v>5884</v>
      </c>
    </row>
    <row r="141" spans="2:26" ht="12.75" customHeight="1" x14ac:dyDescent="0.2">
      <c r="B141" s="2465" t="str">
        <f t="shared" si="2"/>
        <v>Destrucción30</v>
      </c>
      <c r="C141" s="1262"/>
      <c r="D141" s="1263" t="s">
        <v>5885</v>
      </c>
      <c r="E141" s="1254" t="s">
        <v>2578</v>
      </c>
      <c r="F141" s="1254">
        <v>30</v>
      </c>
      <c r="G141" s="1255" t="s">
        <v>2234</v>
      </c>
      <c r="H141" s="1255" t="s">
        <v>1762</v>
      </c>
      <c r="I141" s="1256"/>
      <c r="J141" s="1254">
        <v>6</v>
      </c>
      <c r="K141" s="1254">
        <v>9</v>
      </c>
      <c r="L141" s="1254">
        <v>12</v>
      </c>
      <c r="M141" s="1257">
        <v>15</v>
      </c>
      <c r="N141" s="1254">
        <v>80</v>
      </c>
      <c r="O141" s="1254">
        <v>120</v>
      </c>
      <c r="P141" s="1254">
        <v>180</v>
      </c>
      <c r="Q141" s="1257">
        <v>300</v>
      </c>
      <c r="R141" s="1254" t="s">
        <v>2234</v>
      </c>
      <c r="S141" s="1254" t="s">
        <v>2234</v>
      </c>
      <c r="T141" s="1258" t="s">
        <v>2234</v>
      </c>
      <c r="U141" s="1264" t="s">
        <v>2234</v>
      </c>
      <c r="V141" s="1260" t="s">
        <v>5886</v>
      </c>
      <c r="W141" s="1260" t="s">
        <v>5887</v>
      </c>
      <c r="X141" s="1260" t="s">
        <v>5888</v>
      </c>
      <c r="Y141" s="1260" t="s">
        <v>5889</v>
      </c>
      <c r="Z141" s="1261" t="s">
        <v>5890</v>
      </c>
    </row>
    <row r="142" spans="2:26" ht="12.75" customHeight="1" x14ac:dyDescent="0.2">
      <c r="B142" s="2465" t="str">
        <f t="shared" si="2"/>
        <v>Destrucción32</v>
      </c>
      <c r="C142" s="1262"/>
      <c r="D142" s="1263" t="s">
        <v>5891</v>
      </c>
      <c r="E142" s="1254" t="s">
        <v>2578</v>
      </c>
      <c r="F142" s="1254">
        <v>32</v>
      </c>
      <c r="G142" s="1255" t="s">
        <v>2234</v>
      </c>
      <c r="H142" s="1255" t="s">
        <v>1762</v>
      </c>
      <c r="I142" s="1256" t="s">
        <v>1918</v>
      </c>
      <c r="J142" s="1254">
        <v>8</v>
      </c>
      <c r="K142" s="1254">
        <v>10</v>
      </c>
      <c r="L142" s="1254">
        <v>12</v>
      </c>
      <c r="M142" s="1257">
        <v>15</v>
      </c>
      <c r="N142" s="1254">
        <v>100</v>
      </c>
      <c r="O142" s="1254">
        <v>140</v>
      </c>
      <c r="P142" s="1254">
        <v>200</v>
      </c>
      <c r="Q142" s="1257">
        <v>280</v>
      </c>
      <c r="R142" s="1254">
        <v>5</v>
      </c>
      <c r="S142" s="1254">
        <v>10</v>
      </c>
      <c r="T142" s="1258">
        <v>15</v>
      </c>
      <c r="U142" s="1264">
        <v>15</v>
      </c>
      <c r="V142" s="1260" t="s">
        <v>5892</v>
      </c>
      <c r="W142" s="1260" t="s">
        <v>5852</v>
      </c>
      <c r="X142" s="1260" t="s">
        <v>5853</v>
      </c>
      <c r="Y142" s="1260" t="s">
        <v>5882</v>
      </c>
      <c r="Z142" s="1261" t="s">
        <v>5893</v>
      </c>
    </row>
    <row r="143" spans="2:26" ht="12.75" customHeight="1" x14ac:dyDescent="0.2">
      <c r="B143" s="2465" t="str">
        <f t="shared" si="2"/>
        <v>Destrucción36</v>
      </c>
      <c r="C143" s="1262"/>
      <c r="D143" s="1263" t="s">
        <v>569</v>
      </c>
      <c r="E143" s="1254" t="s">
        <v>2578</v>
      </c>
      <c r="F143" s="1254">
        <v>36</v>
      </c>
      <c r="G143" s="1255" t="s">
        <v>2234</v>
      </c>
      <c r="H143" s="1255" t="s">
        <v>1761</v>
      </c>
      <c r="I143" s="1256" t="s">
        <v>1918</v>
      </c>
      <c r="J143" s="1254">
        <v>6</v>
      </c>
      <c r="K143" s="1254">
        <v>9</v>
      </c>
      <c r="L143" s="1254">
        <v>12</v>
      </c>
      <c r="M143" s="1257">
        <v>15</v>
      </c>
      <c r="N143" s="1254">
        <v>80</v>
      </c>
      <c r="O143" s="1254">
        <v>140</v>
      </c>
      <c r="P143" s="1254">
        <v>220</v>
      </c>
      <c r="Q143" s="1257">
        <v>300</v>
      </c>
      <c r="R143" s="1254" t="s">
        <v>5870</v>
      </c>
      <c r="S143" s="1254" t="s">
        <v>2234</v>
      </c>
      <c r="T143" s="1258" t="s">
        <v>2234</v>
      </c>
      <c r="U143" s="1264" t="s">
        <v>2234</v>
      </c>
      <c r="V143" s="1260" t="s">
        <v>5894</v>
      </c>
      <c r="W143" s="1260" t="s">
        <v>5511</v>
      </c>
      <c r="X143" s="1260" t="s">
        <v>5895</v>
      </c>
      <c r="Y143" s="1260" t="s">
        <v>5896</v>
      </c>
      <c r="Z143" s="1261" t="s">
        <v>5897</v>
      </c>
    </row>
    <row r="144" spans="2:26" ht="12.75" customHeight="1" x14ac:dyDescent="0.2">
      <c r="B144" s="2465" t="str">
        <f t="shared" si="2"/>
        <v>Destrucción38</v>
      </c>
      <c r="C144" s="1262"/>
      <c r="D144" s="1263" t="s">
        <v>5898</v>
      </c>
      <c r="E144" s="1254" t="s">
        <v>2578</v>
      </c>
      <c r="F144" s="1254">
        <v>38</v>
      </c>
      <c r="G144" s="1255" t="s">
        <v>2234</v>
      </c>
      <c r="H144" s="1255" t="s">
        <v>1762</v>
      </c>
      <c r="I144" s="1256" t="s">
        <v>1918</v>
      </c>
      <c r="J144" s="1254">
        <v>8</v>
      </c>
      <c r="K144" s="1254">
        <v>10</v>
      </c>
      <c r="L144" s="1254">
        <v>13</v>
      </c>
      <c r="M144" s="1257">
        <v>16</v>
      </c>
      <c r="N144" s="1254">
        <v>100</v>
      </c>
      <c r="O144" s="1254">
        <v>200</v>
      </c>
      <c r="P144" s="1254">
        <v>300</v>
      </c>
      <c r="Q144" s="1257">
        <v>500</v>
      </c>
      <c r="R144" s="1254" t="s">
        <v>5899</v>
      </c>
      <c r="S144" s="1254" t="s">
        <v>2234</v>
      </c>
      <c r="T144" s="1258" t="s">
        <v>2234</v>
      </c>
      <c r="U144" s="1264" t="s">
        <v>2234</v>
      </c>
      <c r="V144" s="1260" t="s">
        <v>5852</v>
      </c>
      <c r="W144" s="1260" t="s">
        <v>5853</v>
      </c>
      <c r="X144" s="1260" t="s">
        <v>5854</v>
      </c>
      <c r="Y144" s="1260" t="s">
        <v>5855</v>
      </c>
      <c r="Z144" s="1261" t="s">
        <v>5900</v>
      </c>
    </row>
    <row r="145" spans="2:26" ht="12.75" customHeight="1" x14ac:dyDescent="0.2">
      <c r="B145" s="2465" t="str">
        <f t="shared" si="2"/>
        <v>Destrucción40</v>
      </c>
      <c r="C145" s="1262"/>
      <c r="D145" s="1268" t="s">
        <v>5901</v>
      </c>
      <c r="E145" s="1258" t="s">
        <v>2578</v>
      </c>
      <c r="F145" s="1258">
        <v>40</v>
      </c>
      <c r="G145" s="1269" t="s">
        <v>2234</v>
      </c>
      <c r="H145" s="1269" t="s">
        <v>1762</v>
      </c>
      <c r="I145" s="1270" t="s">
        <v>1918</v>
      </c>
      <c r="J145" s="1258">
        <v>7</v>
      </c>
      <c r="K145" s="1258">
        <v>9</v>
      </c>
      <c r="L145" s="1258">
        <v>12</v>
      </c>
      <c r="M145" s="1264">
        <v>15</v>
      </c>
      <c r="N145" s="1258">
        <v>80</v>
      </c>
      <c r="O145" s="1258">
        <v>160</v>
      </c>
      <c r="P145" s="1258">
        <v>240</v>
      </c>
      <c r="Q145" s="1264">
        <v>300</v>
      </c>
      <c r="R145" s="1258">
        <v>10</v>
      </c>
      <c r="S145" s="1258">
        <v>20</v>
      </c>
      <c r="T145" s="1258">
        <v>25</v>
      </c>
      <c r="U145" s="1264">
        <v>30</v>
      </c>
      <c r="V145" s="1260" t="s">
        <v>5852</v>
      </c>
      <c r="W145" s="1260" t="s">
        <v>5854</v>
      </c>
      <c r="X145" s="1260" t="s">
        <v>5855</v>
      </c>
      <c r="Y145" s="1260" t="s">
        <v>5902</v>
      </c>
      <c r="Z145" s="1261" t="s">
        <v>5903</v>
      </c>
    </row>
    <row r="146" spans="2:26" ht="12.75" customHeight="1" x14ac:dyDescent="0.2">
      <c r="B146" s="2465" t="str">
        <f t="shared" si="2"/>
        <v>Destrucción42</v>
      </c>
      <c r="C146" s="1262"/>
      <c r="D146" s="1268" t="s">
        <v>5904</v>
      </c>
      <c r="E146" s="1258" t="s">
        <v>2578</v>
      </c>
      <c r="F146" s="1258">
        <v>42</v>
      </c>
      <c r="G146" s="1269" t="s">
        <v>2234</v>
      </c>
      <c r="H146" s="1269" t="s">
        <v>1763</v>
      </c>
      <c r="I146" s="1270" t="s">
        <v>1918</v>
      </c>
      <c r="J146" s="1258">
        <v>7</v>
      </c>
      <c r="K146" s="1258">
        <v>10</v>
      </c>
      <c r="L146" s="1258">
        <v>12</v>
      </c>
      <c r="M146" s="1264">
        <v>15</v>
      </c>
      <c r="N146" s="1258">
        <v>120</v>
      </c>
      <c r="O146" s="1258">
        <v>180</v>
      </c>
      <c r="P146" s="1258">
        <v>240</v>
      </c>
      <c r="Q146" s="1264">
        <v>300</v>
      </c>
      <c r="R146" s="1258" t="s">
        <v>2234</v>
      </c>
      <c r="S146" s="1258" t="s">
        <v>2234</v>
      </c>
      <c r="T146" s="1258" t="s">
        <v>2234</v>
      </c>
      <c r="U146" s="1264" t="s">
        <v>2234</v>
      </c>
      <c r="V146" s="1260" t="s">
        <v>5905</v>
      </c>
      <c r="W146" s="1260" t="s">
        <v>5906</v>
      </c>
      <c r="X146" s="1260" t="s">
        <v>5907</v>
      </c>
      <c r="Y146" s="1260" t="s">
        <v>5908</v>
      </c>
      <c r="Z146" s="1261" t="s">
        <v>5909</v>
      </c>
    </row>
    <row r="147" spans="2:26" ht="12.75" customHeight="1" x14ac:dyDescent="0.2">
      <c r="B147" s="2465" t="str">
        <f t="shared" si="2"/>
        <v>Destrucción46</v>
      </c>
      <c r="C147" s="1262"/>
      <c r="D147" s="1268" t="s">
        <v>5910</v>
      </c>
      <c r="E147" s="1258" t="s">
        <v>2578</v>
      </c>
      <c r="F147" s="1258">
        <v>46</v>
      </c>
      <c r="G147" s="1269" t="s">
        <v>2234</v>
      </c>
      <c r="H147" s="1269" t="s">
        <v>1761</v>
      </c>
      <c r="I147" s="1270" t="s">
        <v>1918</v>
      </c>
      <c r="J147" s="1258">
        <v>7</v>
      </c>
      <c r="K147" s="1258">
        <v>10</v>
      </c>
      <c r="L147" s="1258">
        <v>12</v>
      </c>
      <c r="M147" s="1264">
        <v>15</v>
      </c>
      <c r="N147" s="1258">
        <v>100</v>
      </c>
      <c r="O147" s="1258">
        <v>180</v>
      </c>
      <c r="P147" s="1258">
        <v>240</v>
      </c>
      <c r="Q147" s="1264">
        <v>300</v>
      </c>
      <c r="R147" s="1258" t="s">
        <v>2234</v>
      </c>
      <c r="S147" s="1258" t="s">
        <v>2234</v>
      </c>
      <c r="T147" s="1258" t="s">
        <v>2234</v>
      </c>
      <c r="U147" s="1264" t="s">
        <v>2234</v>
      </c>
      <c r="V147" s="1260" t="s">
        <v>5911</v>
      </c>
      <c r="W147" s="1260" t="s">
        <v>5912</v>
      </c>
      <c r="X147" s="1260" t="s">
        <v>5913</v>
      </c>
      <c r="Y147" s="1260" t="s">
        <v>5914</v>
      </c>
      <c r="Z147" s="1261" t="s">
        <v>5915</v>
      </c>
    </row>
    <row r="148" spans="2:26" ht="12.75" customHeight="1" x14ac:dyDescent="0.2">
      <c r="B148" s="2465" t="str">
        <f t="shared" si="2"/>
        <v>Destrucción48</v>
      </c>
      <c r="C148" s="1262"/>
      <c r="D148" s="1268" t="s">
        <v>5916</v>
      </c>
      <c r="E148" s="1258" t="s">
        <v>2578</v>
      </c>
      <c r="F148" s="1258">
        <v>48</v>
      </c>
      <c r="G148" s="1269" t="s">
        <v>2234</v>
      </c>
      <c r="H148" s="1269" t="s">
        <v>5271</v>
      </c>
      <c r="I148" s="1270" t="s">
        <v>1918</v>
      </c>
      <c r="J148" s="1258">
        <v>7</v>
      </c>
      <c r="K148" s="1258">
        <v>9</v>
      </c>
      <c r="L148" s="1258">
        <v>12</v>
      </c>
      <c r="M148" s="1264">
        <v>15</v>
      </c>
      <c r="N148" s="1258">
        <v>140</v>
      </c>
      <c r="O148" s="1258">
        <v>180</v>
      </c>
      <c r="P148" s="1258">
        <v>240</v>
      </c>
      <c r="Q148" s="1264">
        <v>300</v>
      </c>
      <c r="R148" s="1258">
        <v>15</v>
      </c>
      <c r="S148" s="1258">
        <v>20</v>
      </c>
      <c r="T148" s="1258">
        <v>25</v>
      </c>
      <c r="U148" s="1264">
        <v>30</v>
      </c>
      <c r="V148" s="1260" t="s">
        <v>5917</v>
      </c>
      <c r="W148" s="1260" t="s">
        <v>5918</v>
      </c>
      <c r="X148" s="1260" t="s">
        <v>5919</v>
      </c>
      <c r="Y148" s="1260" t="s">
        <v>5920</v>
      </c>
      <c r="Z148" s="1261" t="s">
        <v>5921</v>
      </c>
    </row>
    <row r="149" spans="2:26" ht="12.75" customHeight="1" x14ac:dyDescent="0.2">
      <c r="B149" s="2465" t="str">
        <f t="shared" si="2"/>
        <v>Destrucción50</v>
      </c>
      <c r="C149" s="1262"/>
      <c r="D149" s="1268" t="s">
        <v>5922</v>
      </c>
      <c r="E149" s="1258" t="s">
        <v>2578</v>
      </c>
      <c r="F149" s="1258">
        <v>50</v>
      </c>
      <c r="G149" s="1269" t="s">
        <v>3696</v>
      </c>
      <c r="H149" s="1269" t="s">
        <v>1763</v>
      </c>
      <c r="I149" s="1270" t="s">
        <v>1918</v>
      </c>
      <c r="J149" s="1258">
        <v>8</v>
      </c>
      <c r="K149" s="1258">
        <v>10</v>
      </c>
      <c r="L149" s="1258">
        <v>12</v>
      </c>
      <c r="M149" s="1264">
        <v>15</v>
      </c>
      <c r="N149" s="1258">
        <v>150</v>
      </c>
      <c r="O149" s="1258">
        <v>200</v>
      </c>
      <c r="P149" s="1258">
        <v>250</v>
      </c>
      <c r="Q149" s="1264">
        <v>350</v>
      </c>
      <c r="R149" s="1258">
        <v>15</v>
      </c>
      <c r="S149" s="1258">
        <v>20</v>
      </c>
      <c r="T149" s="1258">
        <v>25</v>
      </c>
      <c r="U149" s="1264">
        <v>30</v>
      </c>
      <c r="V149" s="1260" t="s">
        <v>5923</v>
      </c>
      <c r="W149" s="1260" t="s">
        <v>5924</v>
      </c>
      <c r="X149" s="1260" t="s">
        <v>5925</v>
      </c>
      <c r="Y149" s="1260" t="s">
        <v>5926</v>
      </c>
      <c r="Z149" s="1261" t="s">
        <v>5927</v>
      </c>
    </row>
    <row r="150" spans="2:26" ht="12.75" customHeight="1" x14ac:dyDescent="0.2">
      <c r="B150" s="2465" t="str">
        <f t="shared" si="2"/>
        <v>Destrucción52</v>
      </c>
      <c r="C150" s="1262"/>
      <c r="D150" s="1268" t="s">
        <v>5928</v>
      </c>
      <c r="E150" s="1258" t="s">
        <v>2578</v>
      </c>
      <c r="F150" s="1258">
        <v>52</v>
      </c>
      <c r="G150" s="1269" t="s">
        <v>2234</v>
      </c>
      <c r="H150" s="1269" t="s">
        <v>1762</v>
      </c>
      <c r="I150" s="1270" t="s">
        <v>1918</v>
      </c>
      <c r="J150" s="1258">
        <v>7</v>
      </c>
      <c r="K150" s="1258">
        <v>9</v>
      </c>
      <c r="L150" s="1258">
        <v>12</v>
      </c>
      <c r="M150" s="1264">
        <v>15</v>
      </c>
      <c r="N150" s="1258">
        <v>140</v>
      </c>
      <c r="O150" s="1258">
        <v>180</v>
      </c>
      <c r="P150" s="1258">
        <v>240</v>
      </c>
      <c r="Q150" s="1264">
        <v>300</v>
      </c>
      <c r="R150" s="1258" t="s">
        <v>2234</v>
      </c>
      <c r="S150" s="1258" t="s">
        <v>2234</v>
      </c>
      <c r="T150" s="1258" t="s">
        <v>2234</v>
      </c>
      <c r="U150" s="1264" t="s">
        <v>2234</v>
      </c>
      <c r="V150" s="1260" t="s">
        <v>5724</v>
      </c>
      <c r="W150" s="1260" t="s">
        <v>5725</v>
      </c>
      <c r="X150" s="1260" t="s">
        <v>5726</v>
      </c>
      <c r="Y150" s="1260" t="s">
        <v>5727</v>
      </c>
      <c r="Z150" s="1261" t="s">
        <v>5929</v>
      </c>
    </row>
    <row r="151" spans="2:26" ht="12.75" customHeight="1" x14ac:dyDescent="0.2">
      <c r="B151" s="2465" t="str">
        <f t="shared" si="2"/>
        <v>Destrucción56</v>
      </c>
      <c r="C151" s="1262"/>
      <c r="D151" s="1268" t="s">
        <v>5930</v>
      </c>
      <c r="E151" s="1258" t="s">
        <v>2578</v>
      </c>
      <c r="F151" s="1258">
        <v>56</v>
      </c>
      <c r="G151" s="1269" t="s">
        <v>3696</v>
      </c>
      <c r="H151" s="1269" t="s">
        <v>1763</v>
      </c>
      <c r="I151" s="1270" t="s">
        <v>1918</v>
      </c>
      <c r="J151" s="1258">
        <v>7</v>
      </c>
      <c r="K151" s="1258">
        <v>9</v>
      </c>
      <c r="L151" s="1258">
        <v>12</v>
      </c>
      <c r="M151" s="1264">
        <v>15</v>
      </c>
      <c r="N151" s="1258">
        <v>80</v>
      </c>
      <c r="O151" s="1258">
        <v>180</v>
      </c>
      <c r="P151" s="1258">
        <v>300</v>
      </c>
      <c r="Q151" s="1264">
        <v>500</v>
      </c>
      <c r="R151" s="1258">
        <v>15</v>
      </c>
      <c r="S151" s="1258">
        <v>20</v>
      </c>
      <c r="T151" s="1258">
        <v>25</v>
      </c>
      <c r="U151" s="1264">
        <v>30</v>
      </c>
      <c r="V151" s="1260" t="s">
        <v>5709</v>
      </c>
      <c r="W151" s="1260" t="s">
        <v>5584</v>
      </c>
      <c r="X151" s="1260" t="s">
        <v>5585</v>
      </c>
      <c r="Y151" s="1260" t="s">
        <v>5586</v>
      </c>
      <c r="Z151" s="1261" t="s">
        <v>5931</v>
      </c>
    </row>
    <row r="152" spans="2:26" ht="12.75" customHeight="1" x14ac:dyDescent="0.2">
      <c r="B152" s="2465" t="str">
        <f t="shared" si="2"/>
        <v>Destrucción58</v>
      </c>
      <c r="C152" s="1262"/>
      <c r="D152" s="1263" t="s">
        <v>578</v>
      </c>
      <c r="E152" s="1254" t="s">
        <v>2578</v>
      </c>
      <c r="F152" s="1254">
        <v>58</v>
      </c>
      <c r="G152" s="1269" t="s">
        <v>2234</v>
      </c>
      <c r="H152" s="1269" t="s">
        <v>1762</v>
      </c>
      <c r="I152" s="1270" t="s">
        <v>1918</v>
      </c>
      <c r="J152" s="1258">
        <v>7</v>
      </c>
      <c r="K152" s="1258">
        <v>10</v>
      </c>
      <c r="L152" s="1258">
        <v>13</v>
      </c>
      <c r="M152" s="1264">
        <v>16</v>
      </c>
      <c r="N152" s="1258">
        <v>100</v>
      </c>
      <c r="O152" s="1258">
        <v>180</v>
      </c>
      <c r="P152" s="1258">
        <v>240</v>
      </c>
      <c r="Q152" s="1264">
        <v>300</v>
      </c>
      <c r="R152" s="1258">
        <v>10</v>
      </c>
      <c r="S152" s="1258">
        <v>15</v>
      </c>
      <c r="T152" s="1258">
        <v>25</v>
      </c>
      <c r="U152" s="1264">
        <v>30</v>
      </c>
      <c r="V152" s="1260" t="s">
        <v>5709</v>
      </c>
      <c r="W152" s="1260" t="s">
        <v>5584</v>
      </c>
      <c r="X152" s="1260" t="s">
        <v>5585</v>
      </c>
      <c r="Y152" s="1260" t="s">
        <v>5586</v>
      </c>
      <c r="Z152" s="1261" t="s">
        <v>5932</v>
      </c>
    </row>
    <row r="153" spans="2:26" ht="12.75" customHeight="1" x14ac:dyDescent="0.2">
      <c r="B153" s="2465" t="str">
        <f t="shared" si="2"/>
        <v>Destrucción60</v>
      </c>
      <c r="C153" s="1262"/>
      <c r="D153" s="1263" t="s">
        <v>5933</v>
      </c>
      <c r="E153" s="1254" t="s">
        <v>2578</v>
      </c>
      <c r="F153" s="1254">
        <v>60</v>
      </c>
      <c r="G153" s="1269" t="s">
        <v>2234</v>
      </c>
      <c r="H153" s="1269" t="s">
        <v>1762</v>
      </c>
      <c r="I153" s="1270" t="s">
        <v>1918</v>
      </c>
      <c r="J153" s="1258">
        <v>7</v>
      </c>
      <c r="K153" s="1258">
        <v>9</v>
      </c>
      <c r="L153" s="1258">
        <v>12</v>
      </c>
      <c r="M153" s="1264">
        <v>15</v>
      </c>
      <c r="N153" s="1258">
        <v>140</v>
      </c>
      <c r="O153" s="1258">
        <v>180</v>
      </c>
      <c r="P153" s="1258">
        <v>240</v>
      </c>
      <c r="Q153" s="1264">
        <v>300</v>
      </c>
      <c r="R153" s="1258">
        <v>15</v>
      </c>
      <c r="S153" s="1258">
        <v>20</v>
      </c>
      <c r="T153" s="1258">
        <v>25</v>
      </c>
      <c r="U153" s="1264">
        <v>30</v>
      </c>
      <c r="V153" s="1260" t="s">
        <v>5709</v>
      </c>
      <c r="W153" s="1260" t="s">
        <v>5710</v>
      </c>
      <c r="X153" s="1260" t="s">
        <v>5387</v>
      </c>
      <c r="Y153" s="1260" t="s">
        <v>5934</v>
      </c>
      <c r="Z153" s="1261" t="s">
        <v>5935</v>
      </c>
    </row>
    <row r="154" spans="2:26" ht="12.75" customHeight="1" x14ac:dyDescent="0.2">
      <c r="B154" s="2465" t="str">
        <f t="shared" si="2"/>
        <v>Destrucción62</v>
      </c>
      <c r="C154" s="1262"/>
      <c r="D154" s="1263" t="s">
        <v>5936</v>
      </c>
      <c r="E154" s="1254" t="s">
        <v>2578</v>
      </c>
      <c r="F154" s="1254">
        <v>62</v>
      </c>
      <c r="G154" s="1269" t="s">
        <v>2234</v>
      </c>
      <c r="H154" s="1269" t="s">
        <v>1761</v>
      </c>
      <c r="I154" s="1270" t="s">
        <v>1918</v>
      </c>
      <c r="J154" s="1258">
        <v>8</v>
      </c>
      <c r="K154" s="1258">
        <v>10</v>
      </c>
      <c r="L154" s="1258">
        <v>13</v>
      </c>
      <c r="M154" s="1264">
        <v>16</v>
      </c>
      <c r="N154" s="1258">
        <v>150</v>
      </c>
      <c r="O154" s="1258">
        <v>300</v>
      </c>
      <c r="P154" s="1258">
        <v>450</v>
      </c>
      <c r="Q154" s="1264">
        <v>600</v>
      </c>
      <c r="R154" s="1258" t="s">
        <v>2234</v>
      </c>
      <c r="S154" s="1258" t="s">
        <v>2234</v>
      </c>
      <c r="T154" s="1258" t="s">
        <v>2234</v>
      </c>
      <c r="U154" s="1264" t="s">
        <v>2234</v>
      </c>
      <c r="V154" s="1260" t="s">
        <v>5511</v>
      </c>
      <c r="W154" s="1260" t="s">
        <v>5937</v>
      </c>
      <c r="X154" s="1260" t="s">
        <v>5938</v>
      </c>
      <c r="Y154" s="1260" t="s">
        <v>5939</v>
      </c>
      <c r="Z154" s="1261" t="s">
        <v>5940</v>
      </c>
    </row>
    <row r="155" spans="2:26" ht="12.75" customHeight="1" x14ac:dyDescent="0.2">
      <c r="B155" s="2465" t="str">
        <f t="shared" si="2"/>
        <v>Destrucción66</v>
      </c>
      <c r="C155" s="1262"/>
      <c r="D155" s="1263" t="s">
        <v>5941</v>
      </c>
      <c r="E155" s="1254" t="s">
        <v>2578</v>
      </c>
      <c r="F155" s="1254">
        <v>66</v>
      </c>
      <c r="G155" s="1269" t="s">
        <v>2234</v>
      </c>
      <c r="H155" s="1269" t="s">
        <v>1762</v>
      </c>
      <c r="I155" s="1270" t="s">
        <v>1918</v>
      </c>
      <c r="J155" s="1258">
        <v>8</v>
      </c>
      <c r="K155" s="1258">
        <v>10</v>
      </c>
      <c r="L155" s="1258">
        <v>13</v>
      </c>
      <c r="M155" s="1264">
        <v>16</v>
      </c>
      <c r="N155" s="1258">
        <v>160</v>
      </c>
      <c r="O155" s="1258">
        <v>200</v>
      </c>
      <c r="P155" s="1258">
        <v>240</v>
      </c>
      <c r="Q155" s="1264">
        <v>280</v>
      </c>
      <c r="R155" s="1258">
        <v>20</v>
      </c>
      <c r="S155" s="1258">
        <v>20</v>
      </c>
      <c r="T155" s="1258">
        <v>25</v>
      </c>
      <c r="U155" s="1264">
        <v>30</v>
      </c>
      <c r="V155" s="1260" t="s">
        <v>5942</v>
      </c>
      <c r="W155" s="1260" t="s">
        <v>5943</v>
      </c>
      <c r="X155" s="1260" t="s">
        <v>5944</v>
      </c>
      <c r="Y155" s="1260" t="s">
        <v>5945</v>
      </c>
      <c r="Z155" s="1261" t="s">
        <v>5946</v>
      </c>
    </row>
    <row r="156" spans="2:26" ht="12.75" customHeight="1" x14ac:dyDescent="0.2">
      <c r="B156" s="2465" t="str">
        <f t="shared" si="2"/>
        <v>Destrucción68</v>
      </c>
      <c r="C156" s="1262"/>
      <c r="D156" s="1263" t="s">
        <v>5947</v>
      </c>
      <c r="E156" s="1254" t="s">
        <v>2578</v>
      </c>
      <c r="F156" s="1254">
        <v>68</v>
      </c>
      <c r="G156" s="1269" t="s">
        <v>3696</v>
      </c>
      <c r="H156" s="1269" t="s">
        <v>5271</v>
      </c>
      <c r="I156" s="1270" t="s">
        <v>1918</v>
      </c>
      <c r="J156" s="1258">
        <v>9</v>
      </c>
      <c r="K156" s="1258">
        <v>12</v>
      </c>
      <c r="L156" s="1258">
        <v>14</v>
      </c>
      <c r="M156" s="1264">
        <v>16</v>
      </c>
      <c r="N156" s="1258">
        <v>200</v>
      </c>
      <c r="O156" s="1258">
        <v>300</v>
      </c>
      <c r="P156" s="1258">
        <v>400</v>
      </c>
      <c r="Q156" s="1264">
        <v>500</v>
      </c>
      <c r="R156" s="1258">
        <v>20</v>
      </c>
      <c r="S156" s="1258">
        <v>30</v>
      </c>
      <c r="T156" s="1258">
        <v>40</v>
      </c>
      <c r="U156" s="1264">
        <v>50</v>
      </c>
      <c r="V156" s="1260" t="s">
        <v>5948</v>
      </c>
      <c r="W156" s="1260" t="s">
        <v>5949</v>
      </c>
      <c r="X156" s="1260" t="s">
        <v>5950</v>
      </c>
      <c r="Y156" s="1260" t="s">
        <v>5951</v>
      </c>
      <c r="Z156" s="1261" t="s">
        <v>5952</v>
      </c>
    </row>
    <row r="157" spans="2:26" ht="12.75" customHeight="1" x14ac:dyDescent="0.2">
      <c r="B157" s="2465" t="str">
        <f t="shared" si="2"/>
        <v>Destrucción70</v>
      </c>
      <c r="C157" s="1262"/>
      <c r="D157" s="1263" t="s">
        <v>5953</v>
      </c>
      <c r="E157" s="1254" t="s">
        <v>2578</v>
      </c>
      <c r="F157" s="1254">
        <v>70</v>
      </c>
      <c r="G157" s="1269" t="s">
        <v>2234</v>
      </c>
      <c r="H157" s="1269" t="s">
        <v>1763</v>
      </c>
      <c r="I157" s="1270" t="s">
        <v>1918</v>
      </c>
      <c r="J157" s="1258">
        <v>9</v>
      </c>
      <c r="K157" s="1258">
        <v>12</v>
      </c>
      <c r="L157" s="1258">
        <v>14</v>
      </c>
      <c r="M157" s="1264">
        <v>16</v>
      </c>
      <c r="N157" s="1258">
        <v>150</v>
      </c>
      <c r="O157" s="1258">
        <v>200</v>
      </c>
      <c r="P157" s="1258">
        <v>250</v>
      </c>
      <c r="Q157" s="1264">
        <v>300</v>
      </c>
      <c r="R157" s="1258">
        <v>15</v>
      </c>
      <c r="S157" s="1258">
        <v>20</v>
      </c>
      <c r="T157" s="1258">
        <v>25</v>
      </c>
      <c r="U157" s="1264">
        <v>30</v>
      </c>
      <c r="V157" s="1260" t="s">
        <v>5954</v>
      </c>
      <c r="W157" s="1260" t="s">
        <v>5955</v>
      </c>
      <c r="X157" s="1260" t="s">
        <v>5956</v>
      </c>
      <c r="Y157" s="1260" t="s">
        <v>5957</v>
      </c>
      <c r="Z157" s="1261" t="s">
        <v>5958</v>
      </c>
    </row>
    <row r="158" spans="2:26" ht="12.75" customHeight="1" x14ac:dyDescent="0.2">
      <c r="B158" s="2465" t="str">
        <f t="shared" si="2"/>
        <v>Destrucción72</v>
      </c>
      <c r="C158" s="1262"/>
      <c r="D158" s="1263" t="s">
        <v>584</v>
      </c>
      <c r="E158" s="1254" t="s">
        <v>2578</v>
      </c>
      <c r="F158" s="1254">
        <v>72</v>
      </c>
      <c r="G158" s="1269" t="s">
        <v>2234</v>
      </c>
      <c r="H158" s="1269" t="s">
        <v>1762</v>
      </c>
      <c r="I158" s="1270" t="s">
        <v>1918</v>
      </c>
      <c r="J158" s="1258">
        <v>10</v>
      </c>
      <c r="K158" s="1258">
        <v>12</v>
      </c>
      <c r="L158" s="1258">
        <v>14</v>
      </c>
      <c r="M158" s="1264">
        <v>16</v>
      </c>
      <c r="N158" s="1258">
        <v>200</v>
      </c>
      <c r="O158" s="1258">
        <v>250</v>
      </c>
      <c r="P158" s="1258">
        <v>300</v>
      </c>
      <c r="Q158" s="1264">
        <v>350</v>
      </c>
      <c r="R158" s="1258" t="s">
        <v>2234</v>
      </c>
      <c r="S158" s="1258" t="s">
        <v>2234</v>
      </c>
      <c r="T158" s="1258" t="s">
        <v>2234</v>
      </c>
      <c r="U158" s="1264" t="s">
        <v>2234</v>
      </c>
      <c r="V158" s="1260" t="s">
        <v>5959</v>
      </c>
      <c r="W158" s="1260" t="s">
        <v>5960</v>
      </c>
      <c r="X158" s="1260" t="s">
        <v>5961</v>
      </c>
      <c r="Y158" s="1260" t="s">
        <v>5962</v>
      </c>
      <c r="Z158" s="1261" t="s">
        <v>5963</v>
      </c>
    </row>
    <row r="159" spans="2:26" ht="12.75" customHeight="1" x14ac:dyDescent="0.2">
      <c r="B159" s="2465" t="str">
        <f t="shared" si="2"/>
        <v>Destrucción76</v>
      </c>
      <c r="C159" s="1262"/>
      <c r="D159" s="1263" t="s">
        <v>5964</v>
      </c>
      <c r="E159" s="1254" t="s">
        <v>2578</v>
      </c>
      <c r="F159" s="1254">
        <v>76</v>
      </c>
      <c r="G159" s="1269" t="s">
        <v>3696</v>
      </c>
      <c r="H159" s="1269" t="s">
        <v>5271</v>
      </c>
      <c r="I159" s="1270" t="s">
        <v>1918</v>
      </c>
      <c r="J159" s="1258">
        <v>9</v>
      </c>
      <c r="K159" s="1258">
        <v>12</v>
      </c>
      <c r="L159" s="1258">
        <v>15</v>
      </c>
      <c r="M159" s="1264">
        <v>17</v>
      </c>
      <c r="N159" s="1258">
        <v>250</v>
      </c>
      <c r="O159" s="1258">
        <v>360</v>
      </c>
      <c r="P159" s="1258">
        <v>450</v>
      </c>
      <c r="Q159" s="1264">
        <v>600</v>
      </c>
      <c r="R159" s="1258">
        <v>25</v>
      </c>
      <c r="S159" s="1258">
        <v>40</v>
      </c>
      <c r="T159" s="1258">
        <v>45</v>
      </c>
      <c r="U159" s="1264">
        <v>55</v>
      </c>
      <c r="V159" s="1260" t="s">
        <v>5965</v>
      </c>
      <c r="W159" s="1260" t="s">
        <v>5966</v>
      </c>
      <c r="X159" s="1260" t="s">
        <v>5967</v>
      </c>
      <c r="Y159" s="1260" t="s">
        <v>5968</v>
      </c>
      <c r="Z159" s="1261" t="s">
        <v>5969</v>
      </c>
    </row>
    <row r="160" spans="2:26" ht="12.75" customHeight="1" x14ac:dyDescent="0.2">
      <c r="B160" s="2465" t="str">
        <f t="shared" si="2"/>
        <v>Destrucción78</v>
      </c>
      <c r="C160" s="1262"/>
      <c r="D160" s="1263" t="s">
        <v>5970</v>
      </c>
      <c r="E160" s="1254" t="s">
        <v>2578</v>
      </c>
      <c r="F160" s="1254">
        <v>78</v>
      </c>
      <c r="G160" s="1269" t="s">
        <v>2234</v>
      </c>
      <c r="H160" s="1269" t="s">
        <v>1762</v>
      </c>
      <c r="I160" s="1270" t="s">
        <v>1918</v>
      </c>
      <c r="J160" s="1258">
        <v>8</v>
      </c>
      <c r="K160" s="1258">
        <v>10</v>
      </c>
      <c r="L160" s="1258">
        <v>12</v>
      </c>
      <c r="M160" s="1264">
        <v>15</v>
      </c>
      <c r="N160" s="1258">
        <v>150</v>
      </c>
      <c r="O160" s="1258">
        <v>250</v>
      </c>
      <c r="P160" s="1258">
        <v>350</v>
      </c>
      <c r="Q160" s="1264">
        <v>500</v>
      </c>
      <c r="R160" s="1258" t="s">
        <v>2234</v>
      </c>
      <c r="S160" s="1258" t="s">
        <v>2234</v>
      </c>
      <c r="T160" s="1258" t="s">
        <v>2234</v>
      </c>
      <c r="U160" s="1264" t="s">
        <v>2234</v>
      </c>
      <c r="V160" s="1260" t="s">
        <v>5971</v>
      </c>
      <c r="W160" s="1260" t="s">
        <v>5972</v>
      </c>
      <c r="X160" s="1260" t="s">
        <v>5973</v>
      </c>
      <c r="Y160" s="1260" t="s">
        <v>5974</v>
      </c>
      <c r="Z160" s="1261" t="s">
        <v>5975</v>
      </c>
    </row>
    <row r="161" spans="2:26" ht="12.75" customHeight="1" x14ac:dyDescent="0.2">
      <c r="B161" s="2465" t="str">
        <f t="shared" si="2"/>
        <v>Destrucción80</v>
      </c>
      <c r="C161" s="1262"/>
      <c r="D161" s="1263" t="s">
        <v>5976</v>
      </c>
      <c r="E161" s="1254" t="s">
        <v>2578</v>
      </c>
      <c r="F161" s="1254">
        <v>80</v>
      </c>
      <c r="G161" s="1269" t="s">
        <v>2234</v>
      </c>
      <c r="H161" s="1269" t="s">
        <v>1762</v>
      </c>
      <c r="I161" s="1270" t="s">
        <v>1918</v>
      </c>
      <c r="J161" s="1258">
        <v>12</v>
      </c>
      <c r="K161" s="1258">
        <v>14</v>
      </c>
      <c r="L161" s="1258">
        <v>16</v>
      </c>
      <c r="M161" s="1264">
        <v>18</v>
      </c>
      <c r="N161" s="1258">
        <v>350</v>
      </c>
      <c r="O161" s="1258">
        <v>500</v>
      </c>
      <c r="P161" s="1258">
        <v>600</v>
      </c>
      <c r="Q161" s="1264">
        <v>800</v>
      </c>
      <c r="R161" s="1258" t="s">
        <v>2234</v>
      </c>
      <c r="S161" s="1258" t="s">
        <v>2234</v>
      </c>
      <c r="T161" s="1258" t="s">
        <v>2234</v>
      </c>
      <c r="U161" s="1264" t="s">
        <v>2234</v>
      </c>
      <c r="V161" s="1260" t="s">
        <v>5977</v>
      </c>
      <c r="W161" s="1260" t="s">
        <v>5978</v>
      </c>
      <c r="X161" s="1260" t="s">
        <v>5979</v>
      </c>
      <c r="Y161" s="1260" t="s">
        <v>5980</v>
      </c>
      <c r="Z161" s="1261" t="s">
        <v>5981</v>
      </c>
    </row>
    <row r="162" spans="2:26" ht="12.75" customHeight="1" x14ac:dyDescent="0.2">
      <c r="B162" s="2465" t="str">
        <f t="shared" si="2"/>
        <v>Destrucción82</v>
      </c>
      <c r="C162" s="1262"/>
      <c r="D162" s="1263" t="s">
        <v>5982</v>
      </c>
      <c r="E162" s="1254" t="s">
        <v>2578</v>
      </c>
      <c r="F162" s="1254">
        <v>82</v>
      </c>
      <c r="G162" s="1269" t="s">
        <v>2234</v>
      </c>
      <c r="H162" s="1269" t="s">
        <v>1761</v>
      </c>
      <c r="I162" s="1270" t="s">
        <v>1918</v>
      </c>
      <c r="J162" s="1258">
        <v>10</v>
      </c>
      <c r="K162" s="1258">
        <v>13</v>
      </c>
      <c r="L162" s="1258">
        <v>15</v>
      </c>
      <c r="M162" s="1264">
        <v>17</v>
      </c>
      <c r="N162" s="1258">
        <v>250</v>
      </c>
      <c r="O162" s="1258">
        <v>350</v>
      </c>
      <c r="P162" s="1258">
        <v>450</v>
      </c>
      <c r="Q162" s="1264">
        <v>600</v>
      </c>
      <c r="R162" s="1258" t="s">
        <v>2234</v>
      </c>
      <c r="S162" s="1258" t="s">
        <v>2234</v>
      </c>
      <c r="T162" s="1258" t="s">
        <v>2234</v>
      </c>
      <c r="U162" s="1264" t="s">
        <v>2234</v>
      </c>
      <c r="V162" s="1260" t="s">
        <v>5983</v>
      </c>
      <c r="W162" s="1260" t="s">
        <v>5984</v>
      </c>
      <c r="X162" s="1260" t="s">
        <v>5985</v>
      </c>
      <c r="Y162" s="1260" t="s">
        <v>5986</v>
      </c>
      <c r="Z162" s="1261" t="s">
        <v>5987</v>
      </c>
    </row>
    <row r="163" spans="2:26" ht="12.75" customHeight="1" x14ac:dyDescent="0.2">
      <c r="B163" s="2465" t="str">
        <f t="shared" si="2"/>
        <v>Destrucción86</v>
      </c>
      <c r="C163" s="1262"/>
      <c r="D163" s="1263" t="s">
        <v>5988</v>
      </c>
      <c r="E163" s="1254" t="s">
        <v>2578</v>
      </c>
      <c r="F163" s="1254">
        <v>86</v>
      </c>
      <c r="G163" s="1269" t="s">
        <v>2234</v>
      </c>
      <c r="H163" s="1269" t="s">
        <v>1763</v>
      </c>
      <c r="I163" s="1270" t="s">
        <v>1918</v>
      </c>
      <c r="J163" s="1258">
        <v>10</v>
      </c>
      <c r="K163" s="1258">
        <v>12</v>
      </c>
      <c r="L163" s="1258">
        <v>14</v>
      </c>
      <c r="M163" s="1264">
        <v>16</v>
      </c>
      <c r="N163" s="1258">
        <v>200</v>
      </c>
      <c r="O163" s="1258">
        <v>400</v>
      </c>
      <c r="P163" s="1258">
        <v>600</v>
      </c>
      <c r="Q163" s="1264">
        <v>700</v>
      </c>
      <c r="R163" s="1258" t="s">
        <v>2234</v>
      </c>
      <c r="S163" s="1258" t="s">
        <v>2234</v>
      </c>
      <c r="T163" s="1258" t="s">
        <v>2234</v>
      </c>
      <c r="U163" s="1264" t="s">
        <v>2234</v>
      </c>
      <c r="V163" s="1260" t="s">
        <v>5989</v>
      </c>
      <c r="W163" s="1260" t="s">
        <v>5990</v>
      </c>
      <c r="X163" s="1260" t="s">
        <v>5991</v>
      </c>
      <c r="Y163" s="1260" t="s">
        <v>5992</v>
      </c>
      <c r="Z163" s="1261" t="s">
        <v>5993</v>
      </c>
    </row>
    <row r="164" spans="2:26" ht="12.75" customHeight="1" x14ac:dyDescent="0.2">
      <c r="B164" s="2465" t="str">
        <f t="shared" si="2"/>
        <v>Destrucción88</v>
      </c>
      <c r="C164" s="1262"/>
      <c r="D164" s="1263" t="s">
        <v>5994</v>
      </c>
      <c r="E164" s="1254" t="s">
        <v>2578</v>
      </c>
      <c r="F164" s="1254">
        <v>88</v>
      </c>
      <c r="G164" s="1269" t="s">
        <v>3696</v>
      </c>
      <c r="H164" s="1269" t="s">
        <v>1763</v>
      </c>
      <c r="I164" s="1270" t="s">
        <v>1918</v>
      </c>
      <c r="J164" s="1258">
        <v>12</v>
      </c>
      <c r="K164" s="1258">
        <v>14</v>
      </c>
      <c r="L164" s="1258">
        <v>16</v>
      </c>
      <c r="M164" s="1264">
        <v>18</v>
      </c>
      <c r="N164" s="1258">
        <v>300</v>
      </c>
      <c r="O164" s="1258">
        <v>600</v>
      </c>
      <c r="P164" s="1258">
        <v>1000</v>
      </c>
      <c r="Q164" s="1264">
        <v>2000</v>
      </c>
      <c r="R164" s="1258">
        <v>15</v>
      </c>
      <c r="S164" s="1258">
        <v>30</v>
      </c>
      <c r="T164" s="1258">
        <v>50</v>
      </c>
      <c r="U164" s="1264">
        <v>100</v>
      </c>
      <c r="V164" s="1260" t="s">
        <v>5995</v>
      </c>
      <c r="W164" s="1260" t="s">
        <v>5996</v>
      </c>
      <c r="X164" s="1260" t="s">
        <v>5997</v>
      </c>
      <c r="Y164" s="1260" t="s">
        <v>5998</v>
      </c>
      <c r="Z164" s="1261" t="s">
        <v>5999</v>
      </c>
    </row>
    <row r="165" spans="2:26" ht="12.75" customHeight="1" x14ac:dyDescent="0.2">
      <c r="B165" s="2465" t="str">
        <f t="shared" si="2"/>
        <v>Destrucción90</v>
      </c>
      <c r="C165" s="1262"/>
      <c r="D165" s="1263" t="s">
        <v>591</v>
      </c>
      <c r="E165" s="1254" t="s">
        <v>2578</v>
      </c>
      <c r="F165" s="1254">
        <v>90</v>
      </c>
      <c r="G165" s="1269" t="s">
        <v>2234</v>
      </c>
      <c r="H165" s="1269" t="s">
        <v>1763</v>
      </c>
      <c r="I165" s="1270" t="s">
        <v>1918</v>
      </c>
      <c r="J165" s="1258">
        <v>12</v>
      </c>
      <c r="K165" s="1258">
        <v>14</v>
      </c>
      <c r="L165" s="1258">
        <v>16</v>
      </c>
      <c r="M165" s="1264">
        <v>18</v>
      </c>
      <c r="N165" s="1258">
        <v>250</v>
      </c>
      <c r="O165" s="1258">
        <v>350</v>
      </c>
      <c r="P165" s="1258">
        <v>500</v>
      </c>
      <c r="Q165" s="1264">
        <v>800</v>
      </c>
      <c r="R165" s="1258">
        <v>25</v>
      </c>
      <c r="S165" s="1258">
        <v>40</v>
      </c>
      <c r="T165" s="1258">
        <v>45</v>
      </c>
      <c r="U165" s="1264">
        <v>55</v>
      </c>
      <c r="V165" s="1260" t="s">
        <v>6000</v>
      </c>
      <c r="W165" s="1260" t="s">
        <v>6001</v>
      </c>
      <c r="X165" s="1260" t="s">
        <v>6002</v>
      </c>
      <c r="Y165" s="1260" t="s">
        <v>6003</v>
      </c>
      <c r="Z165" s="1261" t="s">
        <v>6004</v>
      </c>
    </row>
    <row r="166" spans="2:26" ht="12.75" customHeight="1" x14ac:dyDescent="0.2">
      <c r="B166" s="2465" t="str">
        <f t="shared" si="2"/>
        <v>Destrucción92</v>
      </c>
      <c r="C166" s="1262"/>
      <c r="D166" s="1263" t="s">
        <v>6005</v>
      </c>
      <c r="E166" s="1254" t="s">
        <v>2578</v>
      </c>
      <c r="F166" s="1254">
        <v>92</v>
      </c>
      <c r="G166" s="1269" t="s">
        <v>2234</v>
      </c>
      <c r="H166" s="1269" t="s">
        <v>1763</v>
      </c>
      <c r="I166" s="1270" t="s">
        <v>1918</v>
      </c>
      <c r="J166" s="1258">
        <v>12</v>
      </c>
      <c r="K166" s="1258">
        <v>14</v>
      </c>
      <c r="L166" s="1258">
        <v>16</v>
      </c>
      <c r="M166" s="1264">
        <v>18</v>
      </c>
      <c r="N166" s="1258">
        <v>350</v>
      </c>
      <c r="O166" s="1258">
        <v>600</v>
      </c>
      <c r="P166" s="1258">
        <v>900</v>
      </c>
      <c r="Q166" s="1264">
        <v>1500</v>
      </c>
      <c r="R166" s="1258" t="s">
        <v>2234</v>
      </c>
      <c r="S166" s="1258" t="s">
        <v>2234</v>
      </c>
      <c r="T166" s="1258" t="s">
        <v>2234</v>
      </c>
      <c r="U166" s="1264" t="s">
        <v>2234</v>
      </c>
      <c r="V166" s="1260" t="s">
        <v>5483</v>
      </c>
      <c r="W166" s="1260" t="s">
        <v>5694</v>
      </c>
      <c r="X166" s="1260" t="s">
        <v>6006</v>
      </c>
      <c r="Y166" s="1260" t="s">
        <v>5783</v>
      </c>
      <c r="Z166" s="1261" t="s">
        <v>6007</v>
      </c>
    </row>
    <row r="167" spans="2:26" ht="12.75" customHeight="1" x14ac:dyDescent="0.2">
      <c r="B167" s="2465" t="str">
        <f t="shared" si="2"/>
        <v>Destrucción96</v>
      </c>
      <c r="C167" s="1262"/>
      <c r="D167" s="1263" t="s">
        <v>6008</v>
      </c>
      <c r="E167" s="1254" t="s">
        <v>2578</v>
      </c>
      <c r="F167" s="1254">
        <v>96</v>
      </c>
      <c r="G167" s="1269" t="s">
        <v>2234</v>
      </c>
      <c r="H167" s="1269" t="s">
        <v>5271</v>
      </c>
      <c r="I167" s="1270" t="s">
        <v>1918</v>
      </c>
      <c r="J167" s="1258">
        <v>13</v>
      </c>
      <c r="K167" s="1258">
        <v>15</v>
      </c>
      <c r="L167" s="1258">
        <v>17</v>
      </c>
      <c r="M167" s="1264">
        <v>19</v>
      </c>
      <c r="N167" s="1258">
        <v>500</v>
      </c>
      <c r="O167" s="1258">
        <v>800</v>
      </c>
      <c r="P167" s="1258">
        <v>1500</v>
      </c>
      <c r="Q167" s="1264">
        <v>2500</v>
      </c>
      <c r="R167" s="1258" t="s">
        <v>2234</v>
      </c>
      <c r="S167" s="1258" t="s">
        <v>2234</v>
      </c>
      <c r="T167" s="1258" t="s">
        <v>2234</v>
      </c>
      <c r="U167" s="1264" t="s">
        <v>2234</v>
      </c>
      <c r="V167" s="1260" t="s">
        <v>6009</v>
      </c>
      <c r="W167" s="1260" t="s">
        <v>6010</v>
      </c>
      <c r="X167" s="1260" t="s">
        <v>6011</v>
      </c>
      <c r="Y167" s="1260" t="s">
        <v>6012</v>
      </c>
      <c r="Z167" s="1261" t="s">
        <v>6013</v>
      </c>
    </row>
    <row r="168" spans="2:26" ht="12.75" customHeight="1" x14ac:dyDescent="0.2">
      <c r="B168" s="2465" t="str">
        <f t="shared" si="2"/>
        <v>Destrucción98</v>
      </c>
      <c r="C168" s="1262"/>
      <c r="D168" s="1263" t="s">
        <v>594</v>
      </c>
      <c r="E168" s="1254" t="s">
        <v>2578</v>
      </c>
      <c r="F168" s="1254">
        <v>98</v>
      </c>
      <c r="G168" s="1269" t="s">
        <v>3696</v>
      </c>
      <c r="H168" s="1269" t="s">
        <v>5271</v>
      </c>
      <c r="I168" s="1270" t="s">
        <v>1918</v>
      </c>
      <c r="J168" s="1258">
        <v>14</v>
      </c>
      <c r="K168" s="1258">
        <v>16</v>
      </c>
      <c r="L168" s="1258">
        <v>18</v>
      </c>
      <c r="M168" s="1264">
        <v>20</v>
      </c>
      <c r="N168" s="1258">
        <v>700</v>
      </c>
      <c r="O168" s="1258">
        <v>1200</v>
      </c>
      <c r="P168" s="1258">
        <v>2000</v>
      </c>
      <c r="Q168" s="1264">
        <v>5000</v>
      </c>
      <c r="R168" s="1258">
        <v>70</v>
      </c>
      <c r="S168" s="1258">
        <v>80</v>
      </c>
      <c r="T168" s="1258">
        <v>90</v>
      </c>
      <c r="U168" s="1264">
        <v>100</v>
      </c>
      <c r="V168" s="1260" t="s">
        <v>6014</v>
      </c>
      <c r="W168" s="1260" t="s">
        <v>6015</v>
      </c>
      <c r="X168" s="1260" t="s">
        <v>6016</v>
      </c>
      <c r="Y168" s="1260" t="s">
        <v>6017</v>
      </c>
      <c r="Z168" s="1261" t="s">
        <v>6018</v>
      </c>
    </row>
    <row r="169" spans="2:26" ht="12.75" customHeight="1" x14ac:dyDescent="0.2">
      <c r="B169" s="2465" t="str">
        <f t="shared" si="2"/>
        <v>Destrucción100</v>
      </c>
      <c r="C169" s="1262"/>
      <c r="D169" s="1263" t="s">
        <v>595</v>
      </c>
      <c r="E169" s="1254" t="s">
        <v>2578</v>
      </c>
      <c r="F169" s="1254">
        <v>100</v>
      </c>
      <c r="G169" s="1269" t="s">
        <v>2234</v>
      </c>
      <c r="H169" s="1269" t="s">
        <v>5271</v>
      </c>
      <c r="I169" s="1270" t="s">
        <v>1918</v>
      </c>
      <c r="J169" s="1258">
        <v>17</v>
      </c>
      <c r="K169" s="1258">
        <v>18</v>
      </c>
      <c r="L169" s="1258">
        <v>19</v>
      </c>
      <c r="M169" s="1264">
        <v>20</v>
      </c>
      <c r="N169" s="1258">
        <v>1000</v>
      </c>
      <c r="O169" s="1258">
        <v>2500</v>
      </c>
      <c r="P169" s="1258">
        <v>5000</v>
      </c>
      <c r="Q169" s="1264">
        <v>10000</v>
      </c>
      <c r="R169" s="1258" t="s">
        <v>2234</v>
      </c>
      <c r="S169" s="1258" t="s">
        <v>2234</v>
      </c>
      <c r="T169" s="1258" t="s">
        <v>2234</v>
      </c>
      <c r="U169" s="1264" t="s">
        <v>2234</v>
      </c>
      <c r="V169" s="1260" t="s">
        <v>5710</v>
      </c>
      <c r="W169" s="1260" t="s">
        <v>5584</v>
      </c>
      <c r="X169" s="1260" t="s">
        <v>5585</v>
      </c>
      <c r="Y169" s="1260" t="s">
        <v>5586</v>
      </c>
      <c r="Z169" s="1261" t="s">
        <v>6019</v>
      </c>
    </row>
    <row r="170" spans="2:26" ht="12.75" customHeight="1" x14ac:dyDescent="0.2">
      <c r="B170" s="2465" t="str">
        <f t="shared" si="2"/>
        <v/>
      </c>
      <c r="C170" s="1262"/>
      <c r="D170" s="1263" t="s">
        <v>596</v>
      </c>
      <c r="E170" s="1254"/>
      <c r="F170" s="1254"/>
      <c r="G170" s="1269"/>
      <c r="H170" s="1269"/>
      <c r="I170" s="1270"/>
      <c r="J170" s="1258"/>
      <c r="K170" s="1258"/>
      <c r="L170" s="1258"/>
      <c r="M170" s="1264"/>
      <c r="N170" s="1258"/>
      <c r="O170" s="1258"/>
      <c r="P170" s="1258"/>
      <c r="Q170" s="1264"/>
      <c r="R170" s="1258"/>
      <c r="S170" s="1258"/>
      <c r="T170" s="1258"/>
      <c r="U170" s="1264"/>
      <c r="V170" s="1260"/>
      <c r="W170" s="1260"/>
      <c r="X170" s="1260"/>
      <c r="Y170" s="1260"/>
      <c r="Z170" s="1261"/>
    </row>
    <row r="171" spans="2:26" ht="12.75" customHeight="1" x14ac:dyDescent="0.2">
      <c r="B171" s="2465" t="str">
        <f t="shared" si="2"/>
        <v>Aire2</v>
      </c>
      <c r="C171" s="1262"/>
      <c r="D171" s="1263" t="s">
        <v>6020</v>
      </c>
      <c r="E171" s="1254" t="s">
        <v>2472</v>
      </c>
      <c r="F171" s="1254">
        <v>2</v>
      </c>
      <c r="G171" s="1269" t="s">
        <v>2234</v>
      </c>
      <c r="H171" s="1269" t="s">
        <v>1763</v>
      </c>
      <c r="I171" s="1270" t="s">
        <v>1918</v>
      </c>
      <c r="J171" s="1258">
        <v>5</v>
      </c>
      <c r="K171" s="1258">
        <v>8</v>
      </c>
      <c r="L171" s="1258">
        <v>10</v>
      </c>
      <c r="M171" s="1264">
        <v>12</v>
      </c>
      <c r="N171" s="1258">
        <v>30</v>
      </c>
      <c r="O171" s="1258">
        <v>60</v>
      </c>
      <c r="P171" s="1258">
        <v>90</v>
      </c>
      <c r="Q171" s="1264">
        <v>120</v>
      </c>
      <c r="R171" s="1258">
        <v>5</v>
      </c>
      <c r="S171" s="1258">
        <v>10</v>
      </c>
      <c r="T171" s="1258">
        <v>10</v>
      </c>
      <c r="U171" s="1264">
        <v>15</v>
      </c>
      <c r="V171" s="1260" t="s">
        <v>6021</v>
      </c>
      <c r="W171" s="1260" t="s">
        <v>6022</v>
      </c>
      <c r="X171" s="1260" t="s">
        <v>6023</v>
      </c>
      <c r="Y171" s="1260" t="s">
        <v>6024</v>
      </c>
      <c r="Z171" s="1261" t="s">
        <v>6025</v>
      </c>
    </row>
    <row r="172" spans="2:26" ht="12.75" customHeight="1" x14ac:dyDescent="0.2">
      <c r="B172" s="2465" t="str">
        <f t="shared" si="2"/>
        <v>Aire6</v>
      </c>
      <c r="C172" s="1262"/>
      <c r="D172" s="1263" t="s">
        <v>598</v>
      </c>
      <c r="E172" s="1254" t="s">
        <v>2472</v>
      </c>
      <c r="F172" s="1254">
        <v>6</v>
      </c>
      <c r="G172" s="1269" t="s">
        <v>3090</v>
      </c>
      <c r="H172" s="1269" t="s">
        <v>1763</v>
      </c>
      <c r="I172" s="1270" t="s">
        <v>1918</v>
      </c>
      <c r="J172" s="1258">
        <v>5</v>
      </c>
      <c r="K172" s="1258">
        <v>8</v>
      </c>
      <c r="L172" s="1258">
        <v>10</v>
      </c>
      <c r="M172" s="1264">
        <v>12</v>
      </c>
      <c r="N172" s="1258">
        <v>30</v>
      </c>
      <c r="O172" s="1258">
        <v>60</v>
      </c>
      <c r="P172" s="1258">
        <v>90</v>
      </c>
      <c r="Q172" s="1264">
        <v>120</v>
      </c>
      <c r="R172" s="1258">
        <v>5</v>
      </c>
      <c r="S172" s="1258">
        <v>10</v>
      </c>
      <c r="T172" s="1258">
        <v>10</v>
      </c>
      <c r="U172" s="1264">
        <v>15</v>
      </c>
      <c r="V172" s="1260" t="s">
        <v>6026</v>
      </c>
      <c r="W172" s="1260" t="s">
        <v>6027</v>
      </c>
      <c r="X172" s="1260" t="s">
        <v>6028</v>
      </c>
      <c r="Y172" s="1260" t="s">
        <v>6029</v>
      </c>
      <c r="Z172" s="1261" t="s">
        <v>6030</v>
      </c>
    </row>
    <row r="173" spans="2:26" ht="12.75" customHeight="1" x14ac:dyDescent="0.2">
      <c r="B173" s="2465" t="str">
        <f t="shared" si="2"/>
        <v>Aire10</v>
      </c>
      <c r="C173" s="1262"/>
      <c r="D173" s="1263" t="s">
        <v>6031</v>
      </c>
      <c r="E173" s="1254" t="s">
        <v>2472</v>
      </c>
      <c r="F173" s="1254">
        <v>10</v>
      </c>
      <c r="G173" s="1269" t="s">
        <v>3090</v>
      </c>
      <c r="H173" s="1269" t="s">
        <v>1763</v>
      </c>
      <c r="I173" s="1270" t="s">
        <v>1918</v>
      </c>
      <c r="J173" s="1258">
        <v>5</v>
      </c>
      <c r="K173" s="1258">
        <v>8</v>
      </c>
      <c r="L173" s="1258">
        <v>10</v>
      </c>
      <c r="M173" s="1264">
        <v>12</v>
      </c>
      <c r="N173" s="1258">
        <v>40</v>
      </c>
      <c r="O173" s="1258">
        <v>140</v>
      </c>
      <c r="P173" s="1258">
        <v>240</v>
      </c>
      <c r="Q173" s="1264">
        <v>350</v>
      </c>
      <c r="R173" s="1258">
        <v>2</v>
      </c>
      <c r="S173" s="1258">
        <v>15</v>
      </c>
      <c r="T173" s="1258">
        <v>25</v>
      </c>
      <c r="U173" s="1264">
        <v>35</v>
      </c>
      <c r="V173" s="1260" t="s">
        <v>6032</v>
      </c>
      <c r="W173" s="1260" t="s">
        <v>6033</v>
      </c>
      <c r="X173" s="1260" t="s">
        <v>6034</v>
      </c>
      <c r="Y173" s="1260" t="s">
        <v>6035</v>
      </c>
      <c r="Z173" s="1261" t="s">
        <v>6036</v>
      </c>
    </row>
    <row r="174" spans="2:26" ht="12.75" customHeight="1" x14ac:dyDescent="0.2">
      <c r="B174" s="2465" t="str">
        <f t="shared" si="2"/>
        <v>Aire12</v>
      </c>
      <c r="C174" s="1262"/>
      <c r="D174" s="1263" t="s">
        <v>6037</v>
      </c>
      <c r="E174" s="1254" t="s">
        <v>2472</v>
      </c>
      <c r="F174" s="1254">
        <v>12</v>
      </c>
      <c r="G174" s="1269" t="s">
        <v>3090</v>
      </c>
      <c r="H174" s="1269" t="s">
        <v>1763</v>
      </c>
      <c r="I174" s="1270" t="s">
        <v>1919</v>
      </c>
      <c r="J174" s="1258">
        <v>6</v>
      </c>
      <c r="K174" s="1258">
        <v>8</v>
      </c>
      <c r="L174" s="1258">
        <v>10</v>
      </c>
      <c r="M174" s="1264">
        <v>12</v>
      </c>
      <c r="N174" s="1258">
        <v>40</v>
      </c>
      <c r="O174" s="1258">
        <v>80</v>
      </c>
      <c r="P174" s="1258">
        <v>110</v>
      </c>
      <c r="Q174" s="1264">
        <v>150</v>
      </c>
      <c r="R174" s="1258">
        <v>5</v>
      </c>
      <c r="S174" s="1258">
        <v>10</v>
      </c>
      <c r="T174" s="1258">
        <v>10</v>
      </c>
      <c r="U174" s="1264">
        <v>15</v>
      </c>
      <c r="V174" s="1260" t="s">
        <v>6038</v>
      </c>
      <c r="W174" s="1260" t="s">
        <v>6039</v>
      </c>
      <c r="X174" s="1260" t="s">
        <v>6040</v>
      </c>
      <c r="Y174" s="1260" t="s">
        <v>6041</v>
      </c>
      <c r="Z174" s="1261" t="s">
        <v>6042</v>
      </c>
    </row>
    <row r="175" spans="2:26" ht="12.75" customHeight="1" x14ac:dyDescent="0.2">
      <c r="B175" s="2465" t="str">
        <f t="shared" si="2"/>
        <v>Aire16</v>
      </c>
      <c r="C175" s="1262"/>
      <c r="D175" s="1263" t="s">
        <v>6043</v>
      </c>
      <c r="E175" s="1254" t="s">
        <v>2472</v>
      </c>
      <c r="F175" s="1254">
        <v>16</v>
      </c>
      <c r="G175" s="1269" t="s">
        <v>2234</v>
      </c>
      <c r="H175" s="1269" t="s">
        <v>1763</v>
      </c>
      <c r="I175" s="1270" t="s">
        <v>1918</v>
      </c>
      <c r="J175" s="1258">
        <v>6</v>
      </c>
      <c r="K175" s="1258">
        <v>8</v>
      </c>
      <c r="L175" s="1258">
        <v>10</v>
      </c>
      <c r="M175" s="1264">
        <v>12</v>
      </c>
      <c r="N175" s="1258">
        <v>50</v>
      </c>
      <c r="O175" s="1258">
        <v>80</v>
      </c>
      <c r="P175" s="1258">
        <v>110</v>
      </c>
      <c r="Q175" s="1264">
        <v>150</v>
      </c>
      <c r="R175" s="1258">
        <v>5</v>
      </c>
      <c r="S175" s="1258">
        <v>10</v>
      </c>
      <c r="T175" s="1258">
        <v>10</v>
      </c>
      <c r="U175" s="1264">
        <v>15</v>
      </c>
      <c r="V175" s="1260" t="s">
        <v>6038</v>
      </c>
      <c r="W175" s="1260" t="s">
        <v>6044</v>
      </c>
      <c r="X175" s="1260" t="s">
        <v>6045</v>
      </c>
      <c r="Y175" s="1260" t="s">
        <v>6046</v>
      </c>
      <c r="Z175" s="1261" t="s">
        <v>6047</v>
      </c>
    </row>
    <row r="176" spans="2:26" ht="12.75" customHeight="1" x14ac:dyDescent="0.2">
      <c r="B176" s="2465" t="str">
        <f t="shared" si="2"/>
        <v>Aire20</v>
      </c>
      <c r="C176" s="1262"/>
      <c r="D176" s="1263" t="s">
        <v>6048</v>
      </c>
      <c r="E176" s="1254" t="s">
        <v>2472</v>
      </c>
      <c r="F176" s="1254">
        <v>20</v>
      </c>
      <c r="G176" s="1269" t="s">
        <v>2234</v>
      </c>
      <c r="H176" s="1269" t="s">
        <v>1761</v>
      </c>
      <c r="I176" s="1270" t="s">
        <v>1918</v>
      </c>
      <c r="J176" s="1258">
        <v>6</v>
      </c>
      <c r="K176" s="1258">
        <v>9</v>
      </c>
      <c r="L176" s="1258">
        <v>11</v>
      </c>
      <c r="M176" s="1264">
        <v>13</v>
      </c>
      <c r="N176" s="1258">
        <v>40</v>
      </c>
      <c r="O176" s="1258">
        <v>80</v>
      </c>
      <c r="P176" s="1258">
        <v>140</v>
      </c>
      <c r="Q176" s="1264">
        <v>200</v>
      </c>
      <c r="R176" s="1258" t="s">
        <v>2234</v>
      </c>
      <c r="S176" s="1258" t="s">
        <v>2234</v>
      </c>
      <c r="T176" s="1258" t="s">
        <v>2234</v>
      </c>
      <c r="U176" s="1264" t="s">
        <v>2234</v>
      </c>
      <c r="V176" s="1260" t="s">
        <v>6049</v>
      </c>
      <c r="W176" s="1260" t="s">
        <v>6050</v>
      </c>
      <c r="X176" s="1260" t="s">
        <v>6051</v>
      </c>
      <c r="Y176" s="1260" t="s">
        <v>6052</v>
      </c>
      <c r="Z176" s="1261" t="s">
        <v>6053</v>
      </c>
    </row>
    <row r="177" spans="2:26" ht="12.75" customHeight="1" x14ac:dyDescent="0.2">
      <c r="B177" s="2465" t="str">
        <f t="shared" si="2"/>
        <v>Aire22</v>
      </c>
      <c r="C177" s="1262"/>
      <c r="D177" s="1263" t="s">
        <v>6054</v>
      </c>
      <c r="E177" s="1254" t="s">
        <v>2472</v>
      </c>
      <c r="F177" s="1254">
        <v>22</v>
      </c>
      <c r="G177" s="1269" t="s">
        <v>2234</v>
      </c>
      <c r="H177" s="1269" t="s">
        <v>2431</v>
      </c>
      <c r="I177" s="1270" t="s">
        <v>1919</v>
      </c>
      <c r="J177" s="1258">
        <v>6</v>
      </c>
      <c r="K177" s="1258">
        <v>8</v>
      </c>
      <c r="L177" s="1258">
        <v>10</v>
      </c>
      <c r="M177" s="1264">
        <v>14</v>
      </c>
      <c r="N177" s="1258">
        <v>50</v>
      </c>
      <c r="O177" s="1258">
        <v>160</v>
      </c>
      <c r="P177" s="1258">
        <v>200</v>
      </c>
      <c r="Q177" s="1264">
        <v>240</v>
      </c>
      <c r="R177" s="1258">
        <v>5</v>
      </c>
      <c r="S177" s="1258">
        <v>20</v>
      </c>
      <c r="T177" s="1258">
        <v>20</v>
      </c>
      <c r="U177" s="1264">
        <v>25</v>
      </c>
      <c r="V177" s="1260" t="s">
        <v>6055</v>
      </c>
      <c r="W177" s="1260" t="s">
        <v>6056</v>
      </c>
      <c r="X177" s="1260" t="s">
        <v>6057</v>
      </c>
      <c r="Y177" s="1260" t="s">
        <v>6058</v>
      </c>
      <c r="Z177" s="1261" t="s">
        <v>6059</v>
      </c>
    </row>
    <row r="178" spans="2:26" ht="12.75" customHeight="1" x14ac:dyDescent="0.2">
      <c r="B178" s="2465" t="str">
        <f t="shared" si="2"/>
        <v>Aire26</v>
      </c>
      <c r="C178" s="1262"/>
      <c r="D178" s="1263" t="s">
        <v>6060</v>
      </c>
      <c r="E178" s="1254" t="s">
        <v>2472</v>
      </c>
      <c r="F178" s="1254">
        <v>26</v>
      </c>
      <c r="G178" s="1269" t="s">
        <v>2234</v>
      </c>
      <c r="H178" s="1269" t="s">
        <v>1763</v>
      </c>
      <c r="I178" s="1270" t="s">
        <v>1918</v>
      </c>
      <c r="J178" s="1258">
        <v>6</v>
      </c>
      <c r="K178" s="1258">
        <v>8</v>
      </c>
      <c r="L178" s="1258">
        <v>10</v>
      </c>
      <c r="M178" s="1264">
        <v>12</v>
      </c>
      <c r="N178" s="1258">
        <v>50</v>
      </c>
      <c r="O178" s="1258">
        <v>80</v>
      </c>
      <c r="P178" s="1258">
        <v>120</v>
      </c>
      <c r="Q178" s="1264">
        <v>150</v>
      </c>
      <c r="R178" s="1258" t="s">
        <v>2234</v>
      </c>
      <c r="S178" s="1258" t="s">
        <v>2234</v>
      </c>
      <c r="T178" s="1258" t="s">
        <v>2234</v>
      </c>
      <c r="U178" s="1264" t="s">
        <v>2234</v>
      </c>
      <c r="V178" s="1260" t="s">
        <v>6061</v>
      </c>
      <c r="W178" s="1260" t="s">
        <v>6062</v>
      </c>
      <c r="X178" s="1260" t="s">
        <v>6063</v>
      </c>
      <c r="Y178" s="1260" t="s">
        <v>6064</v>
      </c>
      <c r="Z178" s="1261" t="s">
        <v>6065</v>
      </c>
    </row>
    <row r="179" spans="2:26" ht="12.75" customHeight="1" x14ac:dyDescent="0.2">
      <c r="B179" s="2465" t="str">
        <f t="shared" si="2"/>
        <v>Aire30</v>
      </c>
      <c r="C179" s="1262"/>
      <c r="D179" s="1263" t="s">
        <v>605</v>
      </c>
      <c r="E179" s="1254" t="s">
        <v>2472</v>
      </c>
      <c r="F179" s="1254">
        <v>30</v>
      </c>
      <c r="G179" s="1269" t="s">
        <v>3090</v>
      </c>
      <c r="H179" s="1269" t="s">
        <v>1763</v>
      </c>
      <c r="I179" s="1270" t="s">
        <v>1918</v>
      </c>
      <c r="J179" s="1258">
        <v>6</v>
      </c>
      <c r="K179" s="1258">
        <v>9</v>
      </c>
      <c r="L179" s="1258">
        <v>12</v>
      </c>
      <c r="M179" s="1264">
        <v>15</v>
      </c>
      <c r="N179" s="1258">
        <v>60</v>
      </c>
      <c r="O179" s="1258">
        <v>100</v>
      </c>
      <c r="P179" s="1258">
        <v>150</v>
      </c>
      <c r="Q179" s="1264">
        <v>240</v>
      </c>
      <c r="R179" s="1258">
        <v>15</v>
      </c>
      <c r="S179" s="1258">
        <v>20</v>
      </c>
      <c r="T179" s="1258">
        <v>25</v>
      </c>
      <c r="U179" s="1264">
        <v>30</v>
      </c>
      <c r="V179" s="1260" t="s">
        <v>6066</v>
      </c>
      <c r="W179" s="1260" t="s">
        <v>6067</v>
      </c>
      <c r="X179" s="1260" t="s">
        <v>6068</v>
      </c>
      <c r="Y179" s="1260" t="s">
        <v>6069</v>
      </c>
      <c r="Z179" s="1261" t="s">
        <v>6070</v>
      </c>
    </row>
    <row r="180" spans="2:26" ht="12.75" customHeight="1" x14ac:dyDescent="0.2">
      <c r="B180" s="2465" t="str">
        <f t="shared" si="2"/>
        <v>Aire32</v>
      </c>
      <c r="C180" s="1262"/>
      <c r="D180" s="1263" t="s">
        <v>6071</v>
      </c>
      <c r="E180" s="1254" t="s">
        <v>2472</v>
      </c>
      <c r="F180" s="1254">
        <v>32</v>
      </c>
      <c r="G180" s="1269" t="s">
        <v>2234</v>
      </c>
      <c r="H180" s="1269" t="s">
        <v>1763</v>
      </c>
      <c r="I180" s="1270" t="s">
        <v>1918</v>
      </c>
      <c r="J180" s="1258">
        <v>6</v>
      </c>
      <c r="K180" s="1258">
        <v>9</v>
      </c>
      <c r="L180" s="1258">
        <v>12</v>
      </c>
      <c r="M180" s="1264">
        <v>15</v>
      </c>
      <c r="N180" s="1258">
        <v>60</v>
      </c>
      <c r="O180" s="1258">
        <v>90</v>
      </c>
      <c r="P180" s="1258">
        <v>120</v>
      </c>
      <c r="Q180" s="1264">
        <v>150</v>
      </c>
      <c r="R180" s="1258">
        <v>5</v>
      </c>
      <c r="S180" s="1258">
        <v>5</v>
      </c>
      <c r="T180" s="1258">
        <v>10</v>
      </c>
      <c r="U180" s="1264">
        <v>15</v>
      </c>
      <c r="V180" s="1260" t="s">
        <v>6072</v>
      </c>
      <c r="W180" s="1260" t="s">
        <v>6073</v>
      </c>
      <c r="X180" s="1260" t="s">
        <v>6074</v>
      </c>
      <c r="Y180" s="1260" t="s">
        <v>6075</v>
      </c>
      <c r="Z180" s="1261" t="s">
        <v>6076</v>
      </c>
    </row>
    <row r="181" spans="2:26" ht="12.75" customHeight="1" x14ac:dyDescent="0.2">
      <c r="B181" s="2465" t="str">
        <f t="shared" si="2"/>
        <v>Aire36</v>
      </c>
      <c r="C181" s="1262"/>
      <c r="D181" s="1263" t="s">
        <v>607</v>
      </c>
      <c r="E181" s="1254" t="s">
        <v>2472</v>
      </c>
      <c r="F181" s="1254">
        <v>36</v>
      </c>
      <c r="G181" s="1269" t="s">
        <v>3090</v>
      </c>
      <c r="H181" s="1269" t="s">
        <v>1763</v>
      </c>
      <c r="I181" s="1270" t="s">
        <v>1918</v>
      </c>
      <c r="J181" s="1258">
        <v>7</v>
      </c>
      <c r="K181" s="1258">
        <v>10</v>
      </c>
      <c r="L181" s="1258">
        <v>13</v>
      </c>
      <c r="M181" s="1264">
        <v>15</v>
      </c>
      <c r="N181" s="1258">
        <v>80</v>
      </c>
      <c r="O181" s="1258">
        <v>120</v>
      </c>
      <c r="P181" s="1258">
        <v>160</v>
      </c>
      <c r="Q181" s="1264">
        <v>240</v>
      </c>
      <c r="R181" s="1258">
        <v>10</v>
      </c>
      <c r="S181" s="1258">
        <v>15</v>
      </c>
      <c r="T181" s="1258">
        <v>20</v>
      </c>
      <c r="U181" s="1264">
        <v>25</v>
      </c>
      <c r="V181" s="1260" t="s">
        <v>6077</v>
      </c>
      <c r="W181" s="1260" t="s">
        <v>6078</v>
      </c>
      <c r="X181" s="1260" t="s">
        <v>6079</v>
      </c>
      <c r="Y181" s="1260" t="s">
        <v>6080</v>
      </c>
      <c r="Z181" s="1261" t="s">
        <v>6081</v>
      </c>
    </row>
    <row r="182" spans="2:26" ht="12.75" customHeight="1" x14ac:dyDescent="0.2">
      <c r="B182" s="2465" t="str">
        <f t="shared" si="2"/>
        <v>Aire40</v>
      </c>
      <c r="C182" s="1262"/>
      <c r="D182" s="1263" t="s">
        <v>6082</v>
      </c>
      <c r="E182" s="1254" t="s">
        <v>2472</v>
      </c>
      <c r="F182" s="1254">
        <v>40</v>
      </c>
      <c r="G182" s="1269" t="s">
        <v>2234</v>
      </c>
      <c r="H182" s="1269" t="s">
        <v>1761</v>
      </c>
      <c r="I182" s="1270" t="s">
        <v>1918</v>
      </c>
      <c r="J182" s="1258">
        <v>6</v>
      </c>
      <c r="K182" s="1258">
        <v>9</v>
      </c>
      <c r="L182" s="1258">
        <v>12</v>
      </c>
      <c r="M182" s="1264">
        <v>15</v>
      </c>
      <c r="N182" s="1258">
        <v>60</v>
      </c>
      <c r="O182" s="1258">
        <v>150</v>
      </c>
      <c r="P182" s="1258">
        <v>240</v>
      </c>
      <c r="Q182" s="1264">
        <v>350</v>
      </c>
      <c r="R182" s="1258" t="s">
        <v>2234</v>
      </c>
      <c r="S182" s="1258" t="s">
        <v>2234</v>
      </c>
      <c r="T182" s="1258" t="s">
        <v>2234</v>
      </c>
      <c r="U182" s="1264" t="s">
        <v>2234</v>
      </c>
      <c r="V182" s="1260" t="s">
        <v>6083</v>
      </c>
      <c r="W182" s="1260" t="s">
        <v>6084</v>
      </c>
      <c r="X182" s="1260" t="s">
        <v>6085</v>
      </c>
      <c r="Y182" s="1260" t="s">
        <v>6086</v>
      </c>
      <c r="Z182" s="1261" t="s">
        <v>6087</v>
      </c>
    </row>
    <row r="183" spans="2:26" ht="12.75" customHeight="1" x14ac:dyDescent="0.2">
      <c r="B183" s="2465" t="str">
        <f t="shared" si="2"/>
        <v>Aire42</v>
      </c>
      <c r="C183" s="1262"/>
      <c r="D183" s="1263" t="s">
        <v>609</v>
      </c>
      <c r="E183" s="1254" t="s">
        <v>2472</v>
      </c>
      <c r="F183" s="1254">
        <v>42</v>
      </c>
      <c r="G183" s="1269" t="s">
        <v>3090</v>
      </c>
      <c r="H183" s="1269" t="s">
        <v>1763</v>
      </c>
      <c r="I183" s="1270" t="s">
        <v>1918</v>
      </c>
      <c r="J183" s="1258">
        <v>8</v>
      </c>
      <c r="K183" s="1258">
        <v>10</v>
      </c>
      <c r="L183" s="1258">
        <v>12</v>
      </c>
      <c r="M183" s="1264">
        <v>14</v>
      </c>
      <c r="N183" s="1258">
        <v>80</v>
      </c>
      <c r="O183" s="1258">
        <v>100</v>
      </c>
      <c r="P183" s="1258">
        <v>120</v>
      </c>
      <c r="Q183" s="1264">
        <v>140</v>
      </c>
      <c r="R183" s="1258">
        <v>10</v>
      </c>
      <c r="S183" s="1258">
        <v>10</v>
      </c>
      <c r="T183" s="1258">
        <v>15</v>
      </c>
      <c r="U183" s="1264">
        <v>15</v>
      </c>
      <c r="V183" s="1260" t="s">
        <v>6088</v>
      </c>
      <c r="W183" s="1260" t="s">
        <v>6089</v>
      </c>
      <c r="X183" s="1260" t="s">
        <v>6090</v>
      </c>
      <c r="Y183" s="1260" t="s">
        <v>6045</v>
      </c>
      <c r="Z183" s="1261" t="s">
        <v>6091</v>
      </c>
    </row>
    <row r="184" spans="2:26" ht="12.75" customHeight="1" x14ac:dyDescent="0.2">
      <c r="B184" s="2465" t="str">
        <f t="shared" si="2"/>
        <v>Aire46</v>
      </c>
      <c r="C184" s="1262"/>
      <c r="D184" s="1263" t="s">
        <v>610</v>
      </c>
      <c r="E184" s="1254" t="s">
        <v>2472</v>
      </c>
      <c r="F184" s="1254">
        <v>46</v>
      </c>
      <c r="G184" s="1269" t="s">
        <v>2234</v>
      </c>
      <c r="H184" s="1269" t="s">
        <v>1761</v>
      </c>
      <c r="I184" s="1270" t="s">
        <v>1918</v>
      </c>
      <c r="J184" s="1258">
        <v>6</v>
      </c>
      <c r="K184" s="1258">
        <v>9</v>
      </c>
      <c r="L184" s="1258">
        <v>12</v>
      </c>
      <c r="M184" s="1264">
        <v>15</v>
      </c>
      <c r="N184" s="1258">
        <v>80</v>
      </c>
      <c r="O184" s="1258">
        <v>180</v>
      </c>
      <c r="P184" s="1258">
        <v>280</v>
      </c>
      <c r="Q184" s="1264">
        <v>400</v>
      </c>
      <c r="R184" s="1258" t="s">
        <v>2234</v>
      </c>
      <c r="S184" s="1258" t="s">
        <v>2234</v>
      </c>
      <c r="T184" s="1258" t="s">
        <v>2234</v>
      </c>
      <c r="U184" s="1264" t="s">
        <v>2234</v>
      </c>
      <c r="V184" s="1260" t="s">
        <v>6092</v>
      </c>
      <c r="W184" s="1260" t="s">
        <v>6093</v>
      </c>
      <c r="X184" s="1260" t="s">
        <v>6094</v>
      </c>
      <c r="Y184" s="1260" t="s">
        <v>6095</v>
      </c>
      <c r="Z184" s="1261" t="s">
        <v>6096</v>
      </c>
    </row>
    <row r="185" spans="2:26" ht="12.75" customHeight="1" x14ac:dyDescent="0.2">
      <c r="B185" s="2465" t="str">
        <f t="shared" si="2"/>
        <v>Aire50</v>
      </c>
      <c r="C185" s="1262"/>
      <c r="D185" s="1263" t="s">
        <v>611</v>
      </c>
      <c r="E185" s="1254" t="s">
        <v>2472</v>
      </c>
      <c r="F185" s="1254">
        <v>50</v>
      </c>
      <c r="G185" s="1269" t="s">
        <v>2234</v>
      </c>
      <c r="H185" s="1269" t="s">
        <v>1764</v>
      </c>
      <c r="I185" s="1270" t="s">
        <v>1918</v>
      </c>
      <c r="J185" s="1258">
        <v>7</v>
      </c>
      <c r="K185" s="1258">
        <v>9</v>
      </c>
      <c r="L185" s="1258">
        <v>12</v>
      </c>
      <c r="M185" s="1264">
        <v>15</v>
      </c>
      <c r="N185" s="1258">
        <v>140</v>
      </c>
      <c r="O185" s="1258">
        <v>180</v>
      </c>
      <c r="P185" s="1258">
        <v>240</v>
      </c>
      <c r="Q185" s="1264">
        <v>300</v>
      </c>
      <c r="R185" s="1258">
        <v>30</v>
      </c>
      <c r="S185" s="1258">
        <v>40</v>
      </c>
      <c r="T185" s="1258">
        <v>50</v>
      </c>
      <c r="U185" s="1264">
        <v>60</v>
      </c>
      <c r="V185" s="1260" t="s">
        <v>6097</v>
      </c>
      <c r="W185" s="1260" t="s">
        <v>6098</v>
      </c>
      <c r="X185" s="1260" t="s">
        <v>6099</v>
      </c>
      <c r="Y185" s="1260" t="s">
        <v>5471</v>
      </c>
      <c r="Z185" s="1261" t="s">
        <v>6100</v>
      </c>
    </row>
    <row r="186" spans="2:26" ht="12.75" customHeight="1" x14ac:dyDescent="0.2">
      <c r="B186" s="2465" t="str">
        <f t="shared" si="2"/>
        <v>Aire52</v>
      </c>
      <c r="C186" s="1262"/>
      <c r="D186" s="1263" t="s">
        <v>612</v>
      </c>
      <c r="E186" s="1254" t="s">
        <v>2472</v>
      </c>
      <c r="F186" s="1254">
        <v>52</v>
      </c>
      <c r="G186" s="1269" t="s">
        <v>2234</v>
      </c>
      <c r="H186" s="1269" t="s">
        <v>1763</v>
      </c>
      <c r="I186" s="1270" t="s">
        <v>1918</v>
      </c>
      <c r="J186" s="1258">
        <v>8</v>
      </c>
      <c r="K186" s="1258">
        <v>11</v>
      </c>
      <c r="L186" s="1258">
        <v>13</v>
      </c>
      <c r="M186" s="1264">
        <v>16</v>
      </c>
      <c r="N186" s="1258">
        <v>100</v>
      </c>
      <c r="O186" s="1258">
        <v>120</v>
      </c>
      <c r="P186" s="1258">
        <v>140</v>
      </c>
      <c r="Q186" s="1264">
        <v>160</v>
      </c>
      <c r="R186" s="1258">
        <v>10</v>
      </c>
      <c r="S186" s="1258">
        <v>15</v>
      </c>
      <c r="T186" s="1258">
        <v>15</v>
      </c>
      <c r="U186" s="1264">
        <v>20</v>
      </c>
      <c r="V186" s="1260" t="s">
        <v>6101</v>
      </c>
      <c r="W186" s="1260" t="s">
        <v>6102</v>
      </c>
      <c r="X186" s="1260" t="s">
        <v>6103</v>
      </c>
      <c r="Y186" s="1260" t="s">
        <v>6104</v>
      </c>
      <c r="Z186" s="1261" t="s">
        <v>6105</v>
      </c>
    </row>
    <row r="187" spans="2:26" ht="12.75" customHeight="1" x14ac:dyDescent="0.2">
      <c r="B187" s="2465" t="str">
        <f t="shared" si="2"/>
        <v>Aire56</v>
      </c>
      <c r="C187" s="1262"/>
      <c r="D187" s="1268" t="s">
        <v>6106</v>
      </c>
      <c r="E187" s="1258" t="s">
        <v>2472</v>
      </c>
      <c r="F187" s="1258">
        <v>56</v>
      </c>
      <c r="G187" s="1269" t="s">
        <v>2234</v>
      </c>
      <c r="H187" s="1269" t="s">
        <v>6107</v>
      </c>
      <c r="I187" s="1270" t="s">
        <v>1918</v>
      </c>
      <c r="J187" s="1258">
        <v>8</v>
      </c>
      <c r="K187" s="1258">
        <v>10</v>
      </c>
      <c r="L187" s="1258">
        <v>13</v>
      </c>
      <c r="M187" s="1264">
        <v>15</v>
      </c>
      <c r="N187" s="1258">
        <v>80</v>
      </c>
      <c r="O187" s="1258">
        <v>150</v>
      </c>
      <c r="P187" s="1258">
        <v>240</v>
      </c>
      <c r="Q187" s="1264">
        <v>350</v>
      </c>
      <c r="R187" s="1258">
        <v>10</v>
      </c>
      <c r="S187" s="1258">
        <v>20</v>
      </c>
      <c r="T187" s="1258">
        <v>25</v>
      </c>
      <c r="U187" s="1264">
        <v>35</v>
      </c>
      <c r="V187" s="1260" t="s">
        <v>6108</v>
      </c>
      <c r="W187" s="1260" t="s">
        <v>6109</v>
      </c>
      <c r="X187" s="1260" t="s">
        <v>6110</v>
      </c>
      <c r="Y187" s="1260" t="s">
        <v>6111</v>
      </c>
      <c r="Z187" s="1261" t="s">
        <v>6112</v>
      </c>
    </row>
    <row r="188" spans="2:26" ht="12.75" customHeight="1" x14ac:dyDescent="0.2">
      <c r="B188" s="2465" t="str">
        <f t="shared" si="2"/>
        <v>Aire60</v>
      </c>
      <c r="C188" s="1262"/>
      <c r="D188" s="1268" t="s">
        <v>6113</v>
      </c>
      <c r="E188" s="1258" t="s">
        <v>2472</v>
      </c>
      <c r="F188" s="1258">
        <v>60</v>
      </c>
      <c r="G188" s="1269" t="s">
        <v>2234</v>
      </c>
      <c r="H188" s="1269" t="s">
        <v>6107</v>
      </c>
      <c r="I188" s="1270" t="s">
        <v>1918</v>
      </c>
      <c r="J188" s="1258">
        <v>8</v>
      </c>
      <c r="K188" s="1258">
        <v>10</v>
      </c>
      <c r="L188" s="1258">
        <v>13</v>
      </c>
      <c r="M188" s="1264">
        <v>15</v>
      </c>
      <c r="N188" s="1258">
        <v>80</v>
      </c>
      <c r="O188" s="1258">
        <v>150</v>
      </c>
      <c r="P188" s="1258">
        <v>240</v>
      </c>
      <c r="Q188" s="1264">
        <v>350</v>
      </c>
      <c r="R188" s="1258">
        <v>10</v>
      </c>
      <c r="S188" s="1258">
        <v>20</v>
      </c>
      <c r="T188" s="1258">
        <v>25</v>
      </c>
      <c r="U188" s="1264">
        <v>35</v>
      </c>
      <c r="V188" s="1260" t="s">
        <v>6114</v>
      </c>
      <c r="W188" s="1260" t="s">
        <v>6115</v>
      </c>
      <c r="X188" s="1260" t="s">
        <v>6116</v>
      </c>
      <c r="Y188" s="1260" t="s">
        <v>6117</v>
      </c>
      <c r="Z188" s="1261" t="s">
        <v>6118</v>
      </c>
    </row>
    <row r="189" spans="2:26" ht="12.75" customHeight="1" x14ac:dyDescent="0.2">
      <c r="B189" s="2465" t="str">
        <f t="shared" si="2"/>
        <v>Aire62</v>
      </c>
      <c r="C189" s="1262"/>
      <c r="D189" s="1268" t="s">
        <v>6119</v>
      </c>
      <c r="E189" s="1258" t="s">
        <v>2472</v>
      </c>
      <c r="F189" s="1258">
        <v>62</v>
      </c>
      <c r="G189" s="1269" t="s">
        <v>2234</v>
      </c>
      <c r="H189" s="1269" t="s">
        <v>2431</v>
      </c>
      <c r="I189" s="1270" t="s">
        <v>1919</v>
      </c>
      <c r="J189" s="1258">
        <v>7</v>
      </c>
      <c r="K189" s="1258">
        <v>10</v>
      </c>
      <c r="L189" s="1258">
        <v>12</v>
      </c>
      <c r="M189" s="1264">
        <v>15</v>
      </c>
      <c r="N189" s="1258">
        <v>120</v>
      </c>
      <c r="O189" s="1258">
        <v>180</v>
      </c>
      <c r="P189" s="1258">
        <v>240</v>
      </c>
      <c r="Q189" s="1264">
        <v>300</v>
      </c>
      <c r="R189" s="1258">
        <v>15</v>
      </c>
      <c r="S189" s="1258">
        <v>20</v>
      </c>
      <c r="T189" s="1258">
        <v>25</v>
      </c>
      <c r="U189" s="1264">
        <v>30</v>
      </c>
      <c r="V189" s="1260" t="s">
        <v>6120</v>
      </c>
      <c r="W189" s="1260" t="s">
        <v>6121</v>
      </c>
      <c r="X189" s="1260" t="s">
        <v>6122</v>
      </c>
      <c r="Y189" s="1260" t="s">
        <v>6123</v>
      </c>
      <c r="Z189" s="1261" t="s">
        <v>6124</v>
      </c>
    </row>
    <row r="190" spans="2:26" ht="12.75" customHeight="1" x14ac:dyDescent="0.2">
      <c r="B190" s="2465" t="str">
        <f t="shared" si="2"/>
        <v>Aire66</v>
      </c>
      <c r="C190" s="1262"/>
      <c r="D190" s="1268" t="s">
        <v>616</v>
      </c>
      <c r="E190" s="1258" t="s">
        <v>2472</v>
      </c>
      <c r="F190" s="1258">
        <v>66</v>
      </c>
      <c r="G190" s="1269" t="s">
        <v>2234</v>
      </c>
      <c r="H190" s="1269" t="s">
        <v>1763</v>
      </c>
      <c r="I190" s="1270" t="s">
        <v>1918</v>
      </c>
      <c r="J190" s="1258">
        <v>8</v>
      </c>
      <c r="K190" s="1258">
        <v>11</v>
      </c>
      <c r="L190" s="1258">
        <v>13</v>
      </c>
      <c r="M190" s="1264">
        <v>16</v>
      </c>
      <c r="N190" s="1258">
        <v>180</v>
      </c>
      <c r="O190" s="1258">
        <v>300</v>
      </c>
      <c r="P190" s="1258">
        <v>450</v>
      </c>
      <c r="Q190" s="1264">
        <v>600</v>
      </c>
      <c r="R190" s="1258" t="s">
        <v>2234</v>
      </c>
      <c r="S190" s="1258" t="s">
        <v>2234</v>
      </c>
      <c r="T190" s="1258" t="s">
        <v>2234</v>
      </c>
      <c r="U190" s="1264" t="s">
        <v>2234</v>
      </c>
      <c r="V190" s="1260" t="s">
        <v>6125</v>
      </c>
      <c r="W190" s="1260" t="s">
        <v>6126</v>
      </c>
      <c r="X190" s="1260" t="s">
        <v>6127</v>
      </c>
      <c r="Y190" s="1260" t="s">
        <v>6128</v>
      </c>
      <c r="Z190" s="1261" t="s">
        <v>6129</v>
      </c>
    </row>
    <row r="191" spans="2:26" ht="12.75" customHeight="1" x14ac:dyDescent="0.2">
      <c r="B191" s="2465" t="str">
        <f t="shared" si="2"/>
        <v>Aire70</v>
      </c>
      <c r="C191" s="1262"/>
      <c r="D191" s="1268" t="s">
        <v>617</v>
      </c>
      <c r="E191" s="1258" t="s">
        <v>2472</v>
      </c>
      <c r="F191" s="1258">
        <v>70</v>
      </c>
      <c r="G191" s="1269" t="s">
        <v>3090</v>
      </c>
      <c r="H191" s="1269" t="s">
        <v>6107</v>
      </c>
      <c r="I191" s="1270" t="s">
        <v>1918</v>
      </c>
      <c r="J191" s="1258">
        <v>6</v>
      </c>
      <c r="K191" s="1258">
        <v>9</v>
      </c>
      <c r="L191" s="1258">
        <v>12</v>
      </c>
      <c r="M191" s="1264">
        <v>15</v>
      </c>
      <c r="N191" s="1258">
        <v>120</v>
      </c>
      <c r="O191" s="1258">
        <v>180</v>
      </c>
      <c r="P191" s="1258">
        <v>240</v>
      </c>
      <c r="Q191" s="1264">
        <v>350</v>
      </c>
      <c r="R191" s="1258">
        <v>15</v>
      </c>
      <c r="S191" s="1258">
        <v>20</v>
      </c>
      <c r="T191" s="1258">
        <v>25</v>
      </c>
      <c r="U191" s="1264">
        <v>30</v>
      </c>
      <c r="V191" s="1260" t="s">
        <v>6130</v>
      </c>
      <c r="W191" s="1260" t="s">
        <v>6131</v>
      </c>
      <c r="X191" s="1260" t="s">
        <v>6132</v>
      </c>
      <c r="Y191" s="1260" t="s">
        <v>6133</v>
      </c>
      <c r="Z191" s="1261" t="s">
        <v>6134</v>
      </c>
    </row>
    <row r="192" spans="2:26" ht="12.75" customHeight="1" x14ac:dyDescent="0.2">
      <c r="B192" s="2465" t="str">
        <f t="shared" si="2"/>
        <v>Aire72</v>
      </c>
      <c r="C192" s="1262"/>
      <c r="D192" s="1268" t="s">
        <v>618</v>
      </c>
      <c r="E192" s="1258" t="s">
        <v>2472</v>
      </c>
      <c r="F192" s="1258">
        <v>72</v>
      </c>
      <c r="G192" s="1269" t="s">
        <v>2234</v>
      </c>
      <c r="H192" s="1269" t="s">
        <v>6135</v>
      </c>
      <c r="I192" s="1270" t="s">
        <v>1918</v>
      </c>
      <c r="J192" s="1258">
        <v>9</v>
      </c>
      <c r="K192" s="1258">
        <v>12</v>
      </c>
      <c r="L192" s="1258">
        <v>14</v>
      </c>
      <c r="M192" s="1264">
        <v>16</v>
      </c>
      <c r="N192" s="1258">
        <v>200</v>
      </c>
      <c r="O192" s="1258">
        <v>300</v>
      </c>
      <c r="P192" s="1258">
        <v>450</v>
      </c>
      <c r="Q192" s="1264">
        <v>600</v>
      </c>
      <c r="R192" s="1258">
        <v>10</v>
      </c>
      <c r="S192" s="1258">
        <v>15</v>
      </c>
      <c r="T192" s="1258">
        <v>20</v>
      </c>
      <c r="U192" s="1264">
        <v>25</v>
      </c>
      <c r="V192" s="1260" t="s">
        <v>6136</v>
      </c>
      <c r="W192" s="1260" t="s">
        <v>6137</v>
      </c>
      <c r="X192" s="1260" t="s">
        <v>6138</v>
      </c>
      <c r="Y192" s="1260" t="s">
        <v>6139</v>
      </c>
      <c r="Z192" s="1261" t="s">
        <v>6140</v>
      </c>
    </row>
    <row r="193" spans="2:26" ht="12.75" customHeight="1" x14ac:dyDescent="0.2">
      <c r="B193" s="2465" t="str">
        <f t="shared" si="2"/>
        <v>Aire76</v>
      </c>
      <c r="C193" s="1262"/>
      <c r="D193" s="1268" t="s">
        <v>6141</v>
      </c>
      <c r="E193" s="1258" t="s">
        <v>2472</v>
      </c>
      <c r="F193" s="1258">
        <v>76</v>
      </c>
      <c r="G193" s="1269" t="s">
        <v>2234</v>
      </c>
      <c r="H193" s="1269" t="s">
        <v>6142</v>
      </c>
      <c r="I193" s="1270" t="s">
        <v>1918</v>
      </c>
      <c r="J193" s="1258">
        <v>9</v>
      </c>
      <c r="K193" s="1258">
        <v>11</v>
      </c>
      <c r="L193" s="1258">
        <v>13</v>
      </c>
      <c r="M193" s="1264">
        <v>16</v>
      </c>
      <c r="N193" s="1258">
        <v>140</v>
      </c>
      <c r="O193" s="1258">
        <v>200</v>
      </c>
      <c r="P193" s="1258">
        <v>260</v>
      </c>
      <c r="Q193" s="1264">
        <v>350</v>
      </c>
      <c r="R193" s="1258">
        <v>10</v>
      </c>
      <c r="S193" s="1258">
        <v>10</v>
      </c>
      <c r="T193" s="1258">
        <v>15</v>
      </c>
      <c r="U193" s="1264">
        <v>25</v>
      </c>
      <c r="V193" s="1260" t="s">
        <v>6143</v>
      </c>
      <c r="W193" s="1260" t="s">
        <v>6144</v>
      </c>
      <c r="X193" s="1260" t="s">
        <v>6145</v>
      </c>
      <c r="Y193" s="1260" t="s">
        <v>6146</v>
      </c>
      <c r="Z193" s="1261" t="s">
        <v>6147</v>
      </c>
    </row>
    <row r="194" spans="2:26" ht="12.75" customHeight="1" x14ac:dyDescent="0.2">
      <c r="B194" s="2465" t="str">
        <f t="shared" si="2"/>
        <v>Aire80</v>
      </c>
      <c r="C194" s="1262"/>
      <c r="D194" s="1268" t="s">
        <v>6148</v>
      </c>
      <c r="E194" s="1258" t="s">
        <v>2472</v>
      </c>
      <c r="F194" s="1258">
        <v>80</v>
      </c>
      <c r="G194" s="1269" t="s">
        <v>3090</v>
      </c>
      <c r="H194" s="1269" t="s">
        <v>1763</v>
      </c>
      <c r="I194" s="1270" t="s">
        <v>1918</v>
      </c>
      <c r="J194" s="1258">
        <v>9</v>
      </c>
      <c r="K194" s="1258">
        <v>12</v>
      </c>
      <c r="L194" s="1258">
        <v>14</v>
      </c>
      <c r="M194" s="1264">
        <v>16</v>
      </c>
      <c r="N194" s="1258">
        <v>250</v>
      </c>
      <c r="O194" s="1258">
        <v>300</v>
      </c>
      <c r="P194" s="1258">
        <v>380</v>
      </c>
      <c r="Q194" s="1264">
        <v>500</v>
      </c>
      <c r="R194" s="1258">
        <v>50</v>
      </c>
      <c r="S194" s="1258">
        <v>60</v>
      </c>
      <c r="T194" s="1258">
        <v>80</v>
      </c>
      <c r="U194" s="1264">
        <v>100</v>
      </c>
      <c r="V194" s="1260" t="s">
        <v>6149</v>
      </c>
      <c r="W194" s="1260" t="s">
        <v>6150</v>
      </c>
      <c r="X194" s="1260" t="s">
        <v>6151</v>
      </c>
      <c r="Y194" s="1260" t="s">
        <v>6152</v>
      </c>
      <c r="Z194" s="1261" t="s">
        <v>6153</v>
      </c>
    </row>
    <row r="195" spans="2:26" ht="12.75" customHeight="1" x14ac:dyDescent="0.2">
      <c r="B195" s="2465" t="str">
        <f t="shared" si="2"/>
        <v>Aire82</v>
      </c>
      <c r="C195" s="1262"/>
      <c r="D195" s="1268" t="s">
        <v>6154</v>
      </c>
      <c r="E195" s="1258" t="s">
        <v>2472</v>
      </c>
      <c r="F195" s="1258">
        <v>82</v>
      </c>
      <c r="G195" s="1269" t="s">
        <v>3090</v>
      </c>
      <c r="H195" s="1269" t="s">
        <v>1763</v>
      </c>
      <c r="I195" s="1270" t="s">
        <v>1918</v>
      </c>
      <c r="J195" s="1258">
        <v>10</v>
      </c>
      <c r="K195" s="1258">
        <v>12</v>
      </c>
      <c r="L195" s="1258">
        <v>14</v>
      </c>
      <c r="M195" s="1264">
        <v>16</v>
      </c>
      <c r="N195" s="1258">
        <v>250</v>
      </c>
      <c r="O195" s="1258">
        <v>350</v>
      </c>
      <c r="P195" s="1258">
        <v>500</v>
      </c>
      <c r="Q195" s="1264">
        <v>700</v>
      </c>
      <c r="R195" s="1258">
        <v>50</v>
      </c>
      <c r="S195" s="1258">
        <v>70</v>
      </c>
      <c r="T195" s="1258">
        <v>100</v>
      </c>
      <c r="U195" s="1264">
        <v>140</v>
      </c>
      <c r="V195" s="1260" t="s">
        <v>5425</v>
      </c>
      <c r="W195" s="1260" t="s">
        <v>5426</v>
      </c>
      <c r="X195" s="1260" t="s">
        <v>5427</v>
      </c>
      <c r="Y195" s="1260" t="s">
        <v>5428</v>
      </c>
      <c r="Z195" s="1261" t="s">
        <v>6155</v>
      </c>
    </row>
    <row r="196" spans="2:26" ht="12.75" customHeight="1" x14ac:dyDescent="0.2">
      <c r="B196" s="2465" t="str">
        <f t="shared" si="2"/>
        <v>Aire86</v>
      </c>
      <c r="C196" s="1262"/>
      <c r="D196" s="1268" t="s">
        <v>6156</v>
      </c>
      <c r="E196" s="1258" t="s">
        <v>2472</v>
      </c>
      <c r="F196" s="1258">
        <v>86</v>
      </c>
      <c r="G196" s="1269" t="s">
        <v>3090</v>
      </c>
      <c r="H196" s="1269" t="s">
        <v>1763</v>
      </c>
      <c r="I196" s="1270" t="s">
        <v>1918</v>
      </c>
      <c r="J196" s="1258">
        <v>10</v>
      </c>
      <c r="K196" s="1258">
        <v>12</v>
      </c>
      <c r="L196" s="1258">
        <v>14</v>
      </c>
      <c r="M196" s="1264">
        <v>16</v>
      </c>
      <c r="N196" s="1258">
        <v>160</v>
      </c>
      <c r="O196" s="1258">
        <v>280</v>
      </c>
      <c r="P196" s="1258">
        <v>400</v>
      </c>
      <c r="Q196" s="1264">
        <v>550</v>
      </c>
      <c r="R196" s="1258">
        <v>35</v>
      </c>
      <c r="S196" s="1258">
        <v>40</v>
      </c>
      <c r="T196" s="1258">
        <v>50</v>
      </c>
      <c r="U196" s="1264">
        <v>60</v>
      </c>
      <c r="V196" s="1260" t="s">
        <v>6157</v>
      </c>
      <c r="W196" s="1260" t="s">
        <v>6158</v>
      </c>
      <c r="X196" s="1260" t="s">
        <v>6159</v>
      </c>
      <c r="Y196" s="1260" t="s">
        <v>6160</v>
      </c>
      <c r="Z196" s="1261" t="s">
        <v>6161</v>
      </c>
    </row>
    <row r="197" spans="2:26" ht="12.75" customHeight="1" x14ac:dyDescent="0.2">
      <c r="B197" s="2465" t="str">
        <f t="shared" si="2"/>
        <v>Aire90</v>
      </c>
      <c r="C197" s="1262"/>
      <c r="D197" s="1268" t="s">
        <v>6162</v>
      </c>
      <c r="E197" s="1258" t="s">
        <v>2472</v>
      </c>
      <c r="F197" s="1258">
        <v>90</v>
      </c>
      <c r="G197" s="1269" t="s">
        <v>3090</v>
      </c>
      <c r="H197" s="1269" t="s">
        <v>1763</v>
      </c>
      <c r="I197" s="1270" t="s">
        <v>1918</v>
      </c>
      <c r="J197" s="1258">
        <v>9</v>
      </c>
      <c r="K197" s="1258">
        <v>11</v>
      </c>
      <c r="L197" s="1258">
        <v>13</v>
      </c>
      <c r="M197" s="1264">
        <v>16</v>
      </c>
      <c r="N197" s="1258">
        <v>180</v>
      </c>
      <c r="O197" s="1258">
        <v>270</v>
      </c>
      <c r="P197" s="1258">
        <v>360</v>
      </c>
      <c r="Q197" s="1264">
        <v>450</v>
      </c>
      <c r="R197" s="1258">
        <v>20</v>
      </c>
      <c r="S197" s="1258">
        <v>30</v>
      </c>
      <c r="T197" s="1258">
        <v>40</v>
      </c>
      <c r="U197" s="1264">
        <v>45</v>
      </c>
      <c r="V197" s="1260" t="s">
        <v>6163</v>
      </c>
      <c r="W197" s="1260" t="s">
        <v>6164</v>
      </c>
      <c r="X197" s="1260" t="s">
        <v>6165</v>
      </c>
      <c r="Y197" s="1260" t="s">
        <v>6166</v>
      </c>
      <c r="Z197" s="1261" t="s">
        <v>6167</v>
      </c>
    </row>
    <row r="198" spans="2:26" ht="12.75" customHeight="1" x14ac:dyDescent="0.2">
      <c r="B198" s="2465" t="str">
        <f t="shared" si="2"/>
        <v>Aire92</v>
      </c>
      <c r="C198" s="1262"/>
      <c r="D198" s="1268" t="s">
        <v>6168</v>
      </c>
      <c r="E198" s="1258" t="s">
        <v>2472</v>
      </c>
      <c r="F198" s="1258">
        <v>92</v>
      </c>
      <c r="G198" s="1269" t="s">
        <v>2234</v>
      </c>
      <c r="H198" s="1269" t="s">
        <v>1763</v>
      </c>
      <c r="I198" s="1270" t="s">
        <v>1918</v>
      </c>
      <c r="J198" s="1258">
        <v>12</v>
      </c>
      <c r="K198" s="1258">
        <v>12</v>
      </c>
      <c r="L198" s="1258">
        <v>14</v>
      </c>
      <c r="M198" s="1264">
        <v>16</v>
      </c>
      <c r="N198" s="1258">
        <v>300</v>
      </c>
      <c r="O198" s="1258">
        <v>400</v>
      </c>
      <c r="P198" s="1258">
        <v>550</v>
      </c>
      <c r="Q198" s="1264">
        <v>800</v>
      </c>
      <c r="R198" s="1258">
        <v>30</v>
      </c>
      <c r="S198" s="1258">
        <v>40</v>
      </c>
      <c r="T198" s="1258">
        <v>55</v>
      </c>
      <c r="U198" s="1264">
        <v>80</v>
      </c>
      <c r="V198" s="1260" t="s">
        <v>6169</v>
      </c>
      <c r="W198" s="1260" t="s">
        <v>5607</v>
      </c>
      <c r="X198" s="1260" t="s">
        <v>5608</v>
      </c>
      <c r="Y198" s="1260" t="s">
        <v>5609</v>
      </c>
      <c r="Z198" s="1261" t="s">
        <v>6170</v>
      </c>
    </row>
    <row r="199" spans="2:26" ht="12.75" customHeight="1" x14ac:dyDescent="0.2">
      <c r="B199" s="2465" t="str">
        <f t="shared" si="2"/>
        <v>Aire96</v>
      </c>
      <c r="C199" s="1262"/>
      <c r="D199" s="1268" t="s">
        <v>6171</v>
      </c>
      <c r="E199" s="1258" t="s">
        <v>2472</v>
      </c>
      <c r="F199" s="1258">
        <v>96</v>
      </c>
      <c r="G199" s="1269" t="s">
        <v>3090</v>
      </c>
      <c r="H199" s="1269" t="s">
        <v>1764</v>
      </c>
      <c r="I199" s="1270" t="s">
        <v>1918</v>
      </c>
      <c r="J199" s="1258">
        <v>10</v>
      </c>
      <c r="K199" s="1258">
        <v>12</v>
      </c>
      <c r="L199" s="1258">
        <v>14</v>
      </c>
      <c r="M199" s="1264">
        <v>16</v>
      </c>
      <c r="N199" s="1258">
        <v>300</v>
      </c>
      <c r="O199" s="1258">
        <v>450</v>
      </c>
      <c r="P199" s="1258">
        <v>600</v>
      </c>
      <c r="Q199" s="1264">
        <v>1000</v>
      </c>
      <c r="R199" s="1258">
        <v>30</v>
      </c>
      <c r="S199" s="1258">
        <v>45</v>
      </c>
      <c r="T199" s="1258">
        <v>60</v>
      </c>
      <c r="U199" s="1264">
        <v>100</v>
      </c>
      <c r="V199" s="1260" t="s">
        <v>6172</v>
      </c>
      <c r="W199" s="1260" t="s">
        <v>6173</v>
      </c>
      <c r="X199" s="1260" t="s">
        <v>6174</v>
      </c>
      <c r="Y199" s="1260" t="s">
        <v>6175</v>
      </c>
      <c r="Z199" s="1261" t="s">
        <v>6176</v>
      </c>
    </row>
    <row r="200" spans="2:26" ht="12.75" customHeight="1" x14ac:dyDescent="0.2">
      <c r="B200" s="2465" t="str">
        <f t="shared" ref="B200:B263" si="3">E200&amp;F200</f>
        <v>Aire100</v>
      </c>
      <c r="C200" s="1262"/>
      <c r="D200" s="1268" t="s">
        <v>6177</v>
      </c>
      <c r="E200" s="1258" t="s">
        <v>2472</v>
      </c>
      <c r="F200" s="1258">
        <v>100</v>
      </c>
      <c r="G200" s="1269" t="s">
        <v>2234</v>
      </c>
      <c r="H200" s="1269" t="s">
        <v>1764</v>
      </c>
      <c r="I200" s="1270" t="s">
        <v>1918</v>
      </c>
      <c r="J200" s="1258">
        <v>12</v>
      </c>
      <c r="K200" s="1258">
        <v>14</v>
      </c>
      <c r="L200" s="1258">
        <v>16</v>
      </c>
      <c r="M200" s="1264">
        <v>18</v>
      </c>
      <c r="N200" s="1258">
        <v>450</v>
      </c>
      <c r="O200" s="1258">
        <v>800</v>
      </c>
      <c r="P200" s="1258">
        <v>1200</v>
      </c>
      <c r="Q200" s="1264">
        <v>1600</v>
      </c>
      <c r="R200" s="1258">
        <v>45</v>
      </c>
      <c r="S200" s="1258">
        <v>80</v>
      </c>
      <c r="T200" s="1258">
        <v>120</v>
      </c>
      <c r="U200" s="1264">
        <v>200</v>
      </c>
      <c r="V200" s="1260" t="s">
        <v>6178</v>
      </c>
      <c r="W200" s="1260" t="s">
        <v>6179</v>
      </c>
      <c r="X200" s="1260" t="s">
        <v>6180</v>
      </c>
      <c r="Y200" s="1260" t="s">
        <v>6181</v>
      </c>
      <c r="Z200" s="1261" t="s">
        <v>6182</v>
      </c>
    </row>
    <row r="201" spans="2:26" ht="12.75" customHeight="1" x14ac:dyDescent="0.2">
      <c r="B201" s="2465" t="str">
        <f t="shared" si="3"/>
        <v/>
      </c>
      <c r="C201" s="1262"/>
      <c r="D201" s="1268" t="s">
        <v>627</v>
      </c>
      <c r="E201" s="1258"/>
      <c r="F201" s="1258"/>
      <c r="G201" s="1269"/>
      <c r="H201" s="1269"/>
      <c r="I201" s="1270"/>
      <c r="J201" s="1258"/>
      <c r="K201" s="1258"/>
      <c r="L201" s="1258"/>
      <c r="M201" s="1264"/>
      <c r="N201" s="1258"/>
      <c r="O201" s="1258"/>
      <c r="P201" s="1258"/>
      <c r="Q201" s="1264"/>
      <c r="R201" s="1258"/>
      <c r="S201" s="1258"/>
      <c r="T201" s="1258"/>
      <c r="U201" s="1264"/>
      <c r="V201" s="1260"/>
      <c r="W201" s="1260"/>
      <c r="X201" s="1260"/>
      <c r="Y201" s="1260"/>
      <c r="Z201" s="1261"/>
    </row>
    <row r="202" spans="2:26" ht="12.75" customHeight="1" x14ac:dyDescent="0.2">
      <c r="B202" s="2465" t="str">
        <f t="shared" si="3"/>
        <v>Agua2</v>
      </c>
      <c r="C202" s="1262"/>
      <c r="D202" s="1268" t="s">
        <v>628</v>
      </c>
      <c r="E202" s="1258" t="s">
        <v>2475</v>
      </c>
      <c r="F202" s="1258">
        <v>2</v>
      </c>
      <c r="G202" s="1269" t="s">
        <v>3090</v>
      </c>
      <c r="H202" s="1269" t="s">
        <v>1763</v>
      </c>
      <c r="I202" s="1270" t="s">
        <v>1918</v>
      </c>
      <c r="J202" s="1258">
        <v>5</v>
      </c>
      <c r="K202" s="1258">
        <v>7</v>
      </c>
      <c r="L202" s="1258">
        <v>10</v>
      </c>
      <c r="M202" s="1264">
        <v>12</v>
      </c>
      <c r="N202" s="1258">
        <v>30</v>
      </c>
      <c r="O202" s="1258">
        <v>80</v>
      </c>
      <c r="P202" s="1258">
        <v>120</v>
      </c>
      <c r="Q202" s="1264">
        <v>180</v>
      </c>
      <c r="R202" s="1258">
        <v>5</v>
      </c>
      <c r="S202" s="1258">
        <v>10</v>
      </c>
      <c r="T202" s="1258">
        <v>15</v>
      </c>
      <c r="U202" s="1264">
        <v>20</v>
      </c>
      <c r="V202" s="1260" t="s">
        <v>6183</v>
      </c>
      <c r="W202" s="1260" t="s">
        <v>6184</v>
      </c>
      <c r="X202" s="1260" t="s">
        <v>6185</v>
      </c>
      <c r="Y202" s="1260" t="s">
        <v>6186</v>
      </c>
      <c r="Z202" s="1261" t="s">
        <v>6187</v>
      </c>
    </row>
    <row r="203" spans="2:26" ht="12.75" customHeight="1" x14ac:dyDescent="0.2">
      <c r="B203" s="2465" t="str">
        <f t="shared" si="3"/>
        <v>Agua6</v>
      </c>
      <c r="C203" s="1262"/>
      <c r="D203" s="1268" t="s">
        <v>6188</v>
      </c>
      <c r="E203" s="1258" t="s">
        <v>2475</v>
      </c>
      <c r="F203" s="1258">
        <v>6</v>
      </c>
      <c r="G203" s="1269" t="s">
        <v>3090</v>
      </c>
      <c r="H203" s="1269" t="s">
        <v>1763</v>
      </c>
      <c r="I203" s="1270" t="s">
        <v>1918</v>
      </c>
      <c r="J203" s="1258">
        <v>5</v>
      </c>
      <c r="K203" s="1258">
        <v>7</v>
      </c>
      <c r="L203" s="1258">
        <v>10</v>
      </c>
      <c r="M203" s="1264">
        <v>12</v>
      </c>
      <c r="N203" s="1258">
        <v>30</v>
      </c>
      <c r="O203" s="1258">
        <v>50</v>
      </c>
      <c r="P203" s="1258">
        <v>90</v>
      </c>
      <c r="Q203" s="1264">
        <v>140</v>
      </c>
      <c r="R203" s="1258">
        <v>5</v>
      </c>
      <c r="S203" s="1258">
        <v>5</v>
      </c>
      <c r="T203" s="1258">
        <v>10</v>
      </c>
      <c r="U203" s="1264">
        <v>15</v>
      </c>
      <c r="V203" s="1260" t="s">
        <v>6189</v>
      </c>
      <c r="W203" s="1260" t="s">
        <v>6190</v>
      </c>
      <c r="X203" s="1260" t="s">
        <v>6191</v>
      </c>
      <c r="Y203" s="1260" t="s">
        <v>6192</v>
      </c>
      <c r="Z203" s="1261" t="s">
        <v>6193</v>
      </c>
    </row>
    <row r="204" spans="2:26" ht="12.75" customHeight="1" x14ac:dyDescent="0.2">
      <c r="B204" s="2465" t="str">
        <f t="shared" si="3"/>
        <v>Agua10</v>
      </c>
      <c r="C204" s="1262"/>
      <c r="D204" s="1268" t="s">
        <v>6194</v>
      </c>
      <c r="E204" s="1258" t="s">
        <v>2475</v>
      </c>
      <c r="F204" s="1258">
        <v>10</v>
      </c>
      <c r="G204" s="1269" t="s">
        <v>3090</v>
      </c>
      <c r="H204" s="1269" t="s">
        <v>1763</v>
      </c>
      <c r="I204" s="1270" t="s">
        <v>1918</v>
      </c>
      <c r="J204" s="1258">
        <v>5</v>
      </c>
      <c r="K204" s="1258">
        <v>8</v>
      </c>
      <c r="L204" s="1258">
        <v>10</v>
      </c>
      <c r="M204" s="1264">
        <v>12</v>
      </c>
      <c r="N204" s="1258">
        <v>50</v>
      </c>
      <c r="O204" s="1258">
        <v>70</v>
      </c>
      <c r="P204" s="1258">
        <v>100</v>
      </c>
      <c r="Q204" s="1264">
        <v>140</v>
      </c>
      <c r="R204" s="1258">
        <v>10</v>
      </c>
      <c r="S204" s="1258">
        <v>20</v>
      </c>
      <c r="T204" s="1258">
        <v>20</v>
      </c>
      <c r="U204" s="1264">
        <v>25</v>
      </c>
      <c r="V204" s="1260" t="s">
        <v>6195</v>
      </c>
      <c r="W204" s="1260" t="s">
        <v>6196</v>
      </c>
      <c r="X204" s="1260" t="s">
        <v>6197</v>
      </c>
      <c r="Y204" s="1260" t="s">
        <v>6198</v>
      </c>
      <c r="Z204" s="1261" t="s">
        <v>6199</v>
      </c>
    </row>
    <row r="205" spans="2:26" ht="12.75" customHeight="1" x14ac:dyDescent="0.2">
      <c r="B205" s="2465" t="str">
        <f t="shared" si="3"/>
        <v>Agua12</v>
      </c>
      <c r="C205" s="1262"/>
      <c r="D205" s="1268" t="s">
        <v>6200</v>
      </c>
      <c r="E205" s="1258" t="s">
        <v>2475</v>
      </c>
      <c r="F205" s="1258">
        <v>12</v>
      </c>
      <c r="G205" s="1269" t="s">
        <v>3090</v>
      </c>
      <c r="H205" s="1269" t="s">
        <v>1763</v>
      </c>
      <c r="I205" s="1270" t="s">
        <v>1918</v>
      </c>
      <c r="J205" s="1258">
        <v>6</v>
      </c>
      <c r="K205" s="1258">
        <v>8</v>
      </c>
      <c r="L205" s="1258">
        <v>10</v>
      </c>
      <c r="M205" s="1264">
        <v>13</v>
      </c>
      <c r="N205" s="1258">
        <v>50</v>
      </c>
      <c r="O205" s="1258">
        <v>140</v>
      </c>
      <c r="P205" s="1258">
        <v>200</v>
      </c>
      <c r="Q205" s="1264">
        <v>300</v>
      </c>
      <c r="R205" s="1258">
        <v>5</v>
      </c>
      <c r="S205" s="1258">
        <v>10</v>
      </c>
      <c r="T205" s="1258">
        <v>10</v>
      </c>
      <c r="U205" s="1264">
        <v>15</v>
      </c>
      <c r="V205" s="1260" t="s">
        <v>6201</v>
      </c>
      <c r="W205" s="1260" t="s">
        <v>6202</v>
      </c>
      <c r="X205" s="1260" t="s">
        <v>6203</v>
      </c>
      <c r="Y205" s="1260" t="s">
        <v>6204</v>
      </c>
      <c r="Z205" s="1261" t="s">
        <v>6205</v>
      </c>
    </row>
    <row r="206" spans="2:26" ht="12.75" customHeight="1" x14ac:dyDescent="0.2">
      <c r="B206" s="2465" t="str">
        <f t="shared" si="3"/>
        <v>Agua16</v>
      </c>
      <c r="C206" s="1262"/>
      <c r="D206" s="1268" t="s">
        <v>6206</v>
      </c>
      <c r="E206" s="1258" t="s">
        <v>2475</v>
      </c>
      <c r="F206" s="1258">
        <v>16</v>
      </c>
      <c r="G206" s="1269" t="s">
        <v>3090</v>
      </c>
      <c r="H206" s="1269" t="s">
        <v>2431</v>
      </c>
      <c r="I206" s="1270" t="s">
        <v>1919</v>
      </c>
      <c r="J206" s="1258">
        <v>6</v>
      </c>
      <c r="K206" s="1258">
        <v>9</v>
      </c>
      <c r="L206" s="1258">
        <v>12</v>
      </c>
      <c r="M206" s="1264">
        <v>15</v>
      </c>
      <c r="N206" s="1258">
        <v>40</v>
      </c>
      <c r="O206" s="1258">
        <v>90</v>
      </c>
      <c r="P206" s="1258">
        <v>140</v>
      </c>
      <c r="Q206" s="1264">
        <v>220</v>
      </c>
      <c r="R206" s="1258">
        <v>5</v>
      </c>
      <c r="S206" s="1258">
        <v>5</v>
      </c>
      <c r="T206" s="1258">
        <v>10</v>
      </c>
      <c r="U206" s="1264">
        <v>10</v>
      </c>
      <c r="V206" s="1260" t="s">
        <v>6207</v>
      </c>
      <c r="W206" s="1260" t="s">
        <v>6208</v>
      </c>
      <c r="X206" s="1260" t="s">
        <v>6209</v>
      </c>
      <c r="Y206" s="1260" t="s">
        <v>6210</v>
      </c>
      <c r="Z206" s="1261" t="s">
        <v>6211</v>
      </c>
    </row>
    <row r="207" spans="2:26" ht="12.75" customHeight="1" x14ac:dyDescent="0.2">
      <c r="B207" s="2465" t="str">
        <f t="shared" si="3"/>
        <v>Agua20</v>
      </c>
      <c r="C207" s="1262"/>
      <c r="D207" s="1268" t="s">
        <v>6212</v>
      </c>
      <c r="E207" s="1258" t="s">
        <v>2475</v>
      </c>
      <c r="F207" s="1258">
        <v>20</v>
      </c>
      <c r="G207" s="1269" t="s">
        <v>2234</v>
      </c>
      <c r="H207" s="1269" t="s">
        <v>1761</v>
      </c>
      <c r="I207" s="1270" t="s">
        <v>1918</v>
      </c>
      <c r="J207" s="1258">
        <v>5</v>
      </c>
      <c r="K207" s="1258">
        <v>8</v>
      </c>
      <c r="L207" s="1258">
        <v>10</v>
      </c>
      <c r="M207" s="1264">
        <v>12</v>
      </c>
      <c r="N207" s="1258">
        <v>50</v>
      </c>
      <c r="O207" s="1258">
        <v>90</v>
      </c>
      <c r="P207" s="1258">
        <v>140</v>
      </c>
      <c r="Q207" s="1264">
        <v>200</v>
      </c>
      <c r="R207" s="1258" t="s">
        <v>2234</v>
      </c>
      <c r="S207" s="1258" t="s">
        <v>2234</v>
      </c>
      <c r="T207" s="1258" t="s">
        <v>2234</v>
      </c>
      <c r="U207" s="1264" t="s">
        <v>2234</v>
      </c>
      <c r="V207" s="1260" t="s">
        <v>6213</v>
      </c>
      <c r="W207" s="1260" t="s">
        <v>6214</v>
      </c>
      <c r="X207" s="1260" t="s">
        <v>6215</v>
      </c>
      <c r="Y207" s="1260" t="s">
        <v>6216</v>
      </c>
      <c r="Z207" s="1261" t="s">
        <v>6217</v>
      </c>
    </row>
    <row r="208" spans="2:26" ht="12.75" customHeight="1" x14ac:dyDescent="0.2">
      <c r="B208" s="2465" t="str">
        <f t="shared" si="3"/>
        <v>Agua22</v>
      </c>
      <c r="C208" s="1262"/>
      <c r="D208" s="1268" t="s">
        <v>6218</v>
      </c>
      <c r="E208" s="1258" t="s">
        <v>2475</v>
      </c>
      <c r="F208" s="1258">
        <v>22</v>
      </c>
      <c r="G208" s="1269" t="s">
        <v>3090</v>
      </c>
      <c r="H208" s="1269" t="s">
        <v>6219</v>
      </c>
      <c r="I208" s="1270" t="s">
        <v>1918</v>
      </c>
      <c r="J208" s="1258">
        <v>6</v>
      </c>
      <c r="K208" s="1258">
        <v>9</v>
      </c>
      <c r="L208" s="1258">
        <v>12</v>
      </c>
      <c r="M208" s="1264">
        <v>15</v>
      </c>
      <c r="N208" s="1258">
        <v>60</v>
      </c>
      <c r="O208" s="1258">
        <v>100</v>
      </c>
      <c r="P208" s="1258">
        <v>150</v>
      </c>
      <c r="Q208" s="1264">
        <v>220</v>
      </c>
      <c r="R208" s="1258">
        <v>10</v>
      </c>
      <c r="S208" s="1258">
        <v>10</v>
      </c>
      <c r="T208" s="1258">
        <v>15</v>
      </c>
      <c r="U208" s="1264">
        <v>15</v>
      </c>
      <c r="V208" s="1260" t="s">
        <v>6220</v>
      </c>
      <c r="W208" s="1260" t="s">
        <v>6221</v>
      </c>
      <c r="X208" s="1260" t="s">
        <v>6222</v>
      </c>
      <c r="Y208" s="1260" t="s">
        <v>6223</v>
      </c>
      <c r="Z208" s="1261" t="s">
        <v>6224</v>
      </c>
    </row>
    <row r="209" spans="2:26" ht="12.75" customHeight="1" x14ac:dyDescent="0.2">
      <c r="B209" s="2465" t="str">
        <f t="shared" si="3"/>
        <v>Agua26</v>
      </c>
      <c r="C209" s="1262"/>
      <c r="D209" s="1268" t="s">
        <v>6225</v>
      </c>
      <c r="E209" s="1258" t="s">
        <v>2475</v>
      </c>
      <c r="F209" s="1258">
        <v>26</v>
      </c>
      <c r="G209" s="1269" t="s">
        <v>2234</v>
      </c>
      <c r="H209" s="1269" t="s">
        <v>1763</v>
      </c>
      <c r="I209" s="1270" t="s">
        <v>1918</v>
      </c>
      <c r="J209" s="1258">
        <v>6</v>
      </c>
      <c r="K209" s="1258">
        <v>9</v>
      </c>
      <c r="L209" s="1258">
        <v>12</v>
      </c>
      <c r="M209" s="1264">
        <v>15</v>
      </c>
      <c r="N209" s="1258">
        <v>60</v>
      </c>
      <c r="O209" s="1258">
        <v>90</v>
      </c>
      <c r="P209" s="1258">
        <v>120</v>
      </c>
      <c r="Q209" s="1264">
        <v>150</v>
      </c>
      <c r="R209" s="1258">
        <v>5</v>
      </c>
      <c r="S209" s="1258">
        <v>5</v>
      </c>
      <c r="T209" s="1258">
        <v>10</v>
      </c>
      <c r="U209" s="1264">
        <v>10</v>
      </c>
      <c r="V209" s="1260" t="s">
        <v>6226</v>
      </c>
      <c r="W209" s="1260" t="s">
        <v>6227</v>
      </c>
      <c r="X209" s="1260" t="s">
        <v>6228</v>
      </c>
      <c r="Y209" s="1260" t="s">
        <v>6229</v>
      </c>
      <c r="Z209" s="1261" t="s">
        <v>6230</v>
      </c>
    </row>
    <row r="210" spans="2:26" ht="12.75" customHeight="1" x14ac:dyDescent="0.2">
      <c r="B210" s="2465" t="str">
        <f t="shared" si="3"/>
        <v>Agua30</v>
      </c>
      <c r="C210" s="1262"/>
      <c r="D210" s="1268" t="s">
        <v>6231</v>
      </c>
      <c r="E210" s="1258" t="s">
        <v>2475</v>
      </c>
      <c r="F210" s="1258">
        <v>30</v>
      </c>
      <c r="G210" s="1269" t="s">
        <v>3090</v>
      </c>
      <c r="H210" s="1269" t="s">
        <v>6219</v>
      </c>
      <c r="I210" s="1270" t="s">
        <v>1918</v>
      </c>
      <c r="J210" s="1258">
        <v>6</v>
      </c>
      <c r="K210" s="1258">
        <v>9</v>
      </c>
      <c r="L210" s="1258">
        <v>12</v>
      </c>
      <c r="M210" s="1264">
        <v>15</v>
      </c>
      <c r="N210" s="1258">
        <v>50</v>
      </c>
      <c r="O210" s="1258">
        <v>80</v>
      </c>
      <c r="P210" s="1258">
        <v>120</v>
      </c>
      <c r="Q210" s="1264">
        <v>180</v>
      </c>
      <c r="R210" s="1258">
        <v>5</v>
      </c>
      <c r="S210" s="1258">
        <v>10</v>
      </c>
      <c r="T210" s="1258">
        <v>15</v>
      </c>
      <c r="U210" s="1264">
        <v>20</v>
      </c>
      <c r="V210" s="1260" t="s">
        <v>6232</v>
      </c>
      <c r="W210" s="1260" t="s">
        <v>6233</v>
      </c>
      <c r="X210" s="1260" t="s">
        <v>6234</v>
      </c>
      <c r="Y210" s="1260" t="s">
        <v>6235</v>
      </c>
      <c r="Z210" s="1261" t="s">
        <v>6236</v>
      </c>
    </row>
    <row r="211" spans="2:26" ht="12.75" customHeight="1" x14ac:dyDescent="0.2">
      <c r="B211" s="2465" t="str">
        <f t="shared" si="3"/>
        <v>Agua32</v>
      </c>
      <c r="C211" s="1262"/>
      <c r="D211" s="1268" t="s">
        <v>637</v>
      </c>
      <c r="E211" s="1258" t="s">
        <v>2475</v>
      </c>
      <c r="F211" s="1258">
        <v>32</v>
      </c>
      <c r="G211" s="1269" t="s">
        <v>3090</v>
      </c>
      <c r="H211" s="1269" t="s">
        <v>6219</v>
      </c>
      <c r="I211" s="1270" t="s">
        <v>1918</v>
      </c>
      <c r="J211" s="1258">
        <v>6</v>
      </c>
      <c r="K211" s="1258">
        <v>9</v>
      </c>
      <c r="L211" s="1258">
        <v>12</v>
      </c>
      <c r="M211" s="1264">
        <v>15</v>
      </c>
      <c r="N211" s="1258">
        <v>60</v>
      </c>
      <c r="O211" s="1258">
        <v>100</v>
      </c>
      <c r="P211" s="1258">
        <v>140</v>
      </c>
      <c r="Q211" s="1264">
        <v>220</v>
      </c>
      <c r="R211" s="1258">
        <v>10</v>
      </c>
      <c r="S211" s="1258">
        <v>10</v>
      </c>
      <c r="T211" s="1258">
        <v>15</v>
      </c>
      <c r="U211" s="1264">
        <v>15</v>
      </c>
      <c r="V211" s="1260" t="s">
        <v>6237</v>
      </c>
      <c r="W211" s="1260" t="s">
        <v>6238</v>
      </c>
      <c r="X211" s="1260" t="s">
        <v>6239</v>
      </c>
      <c r="Y211" s="1260" t="s">
        <v>6240</v>
      </c>
      <c r="Z211" s="1261" t="s">
        <v>6241</v>
      </c>
    </row>
    <row r="212" spans="2:26" ht="12.75" customHeight="1" x14ac:dyDescent="0.2">
      <c r="B212" s="2465" t="str">
        <f t="shared" si="3"/>
        <v>Agua36</v>
      </c>
      <c r="C212" s="1262"/>
      <c r="D212" s="1268" t="s">
        <v>6242</v>
      </c>
      <c r="E212" s="1258" t="s">
        <v>2475</v>
      </c>
      <c r="F212" s="1258">
        <v>36</v>
      </c>
      <c r="G212" s="1269" t="s">
        <v>2234</v>
      </c>
      <c r="H212" s="1269" t="s">
        <v>2431</v>
      </c>
      <c r="I212" s="1270" t="s">
        <v>1919</v>
      </c>
      <c r="J212" s="1258">
        <v>6</v>
      </c>
      <c r="K212" s="1258">
        <v>9</v>
      </c>
      <c r="L212" s="1258">
        <v>12</v>
      </c>
      <c r="M212" s="1264">
        <v>15</v>
      </c>
      <c r="N212" s="1258">
        <v>60</v>
      </c>
      <c r="O212" s="1258">
        <v>180</v>
      </c>
      <c r="P212" s="1258">
        <v>240</v>
      </c>
      <c r="Q212" s="1264">
        <v>300</v>
      </c>
      <c r="R212" s="1258">
        <v>10</v>
      </c>
      <c r="S212" s="1258">
        <v>10</v>
      </c>
      <c r="T212" s="1258">
        <v>15</v>
      </c>
      <c r="U212" s="1264">
        <v>15</v>
      </c>
      <c r="V212" s="1260" t="s">
        <v>6243</v>
      </c>
      <c r="W212" s="1260" t="s">
        <v>6244</v>
      </c>
      <c r="X212" s="1260" t="s">
        <v>6245</v>
      </c>
      <c r="Y212" s="1260" t="s">
        <v>6246</v>
      </c>
      <c r="Z212" s="1265" t="s">
        <v>6247</v>
      </c>
    </row>
    <row r="213" spans="2:26" ht="12.75" customHeight="1" x14ac:dyDescent="0.2">
      <c r="B213" s="2465" t="str">
        <f t="shared" si="3"/>
        <v>Agua40</v>
      </c>
      <c r="C213" s="1262"/>
      <c r="D213" s="1268" t="s">
        <v>6248</v>
      </c>
      <c r="E213" s="1258" t="s">
        <v>2475</v>
      </c>
      <c r="F213" s="1258">
        <v>40</v>
      </c>
      <c r="G213" s="1269" t="s">
        <v>3090</v>
      </c>
      <c r="H213" s="1269" t="s">
        <v>1763</v>
      </c>
      <c r="I213" s="1270" t="s">
        <v>1918</v>
      </c>
      <c r="J213" s="1258">
        <v>6</v>
      </c>
      <c r="K213" s="1258">
        <v>9</v>
      </c>
      <c r="L213" s="1258">
        <v>12</v>
      </c>
      <c r="M213" s="1264">
        <v>16</v>
      </c>
      <c r="N213" s="1258">
        <v>80</v>
      </c>
      <c r="O213" s="1258">
        <v>140</v>
      </c>
      <c r="P213" s="1258">
        <v>240</v>
      </c>
      <c r="Q213" s="1264">
        <v>350</v>
      </c>
      <c r="R213" s="1258">
        <v>10</v>
      </c>
      <c r="S213" s="1258">
        <v>20</v>
      </c>
      <c r="T213" s="1258">
        <v>25</v>
      </c>
      <c r="U213" s="1264">
        <v>30</v>
      </c>
      <c r="V213" s="1260" t="s">
        <v>6249</v>
      </c>
      <c r="W213" s="1260" t="s">
        <v>6250</v>
      </c>
      <c r="X213" s="1260" t="s">
        <v>6251</v>
      </c>
      <c r="Y213" s="1260" t="s">
        <v>6252</v>
      </c>
      <c r="Z213" s="1261" t="s">
        <v>6253</v>
      </c>
    </row>
    <row r="214" spans="2:26" ht="12.75" customHeight="1" x14ac:dyDescent="0.2">
      <c r="B214" s="2465" t="str">
        <f t="shared" si="3"/>
        <v>Agua42</v>
      </c>
      <c r="C214" s="1262"/>
      <c r="D214" s="1268" t="s">
        <v>6254</v>
      </c>
      <c r="E214" s="1258" t="s">
        <v>2475</v>
      </c>
      <c r="F214" s="1258">
        <v>42</v>
      </c>
      <c r="G214" s="1269" t="s">
        <v>2234</v>
      </c>
      <c r="H214" s="1269" t="s">
        <v>1761</v>
      </c>
      <c r="I214" s="1270" t="s">
        <v>1918</v>
      </c>
      <c r="J214" s="1258">
        <v>6</v>
      </c>
      <c r="K214" s="1258">
        <v>9</v>
      </c>
      <c r="L214" s="1258">
        <v>12</v>
      </c>
      <c r="M214" s="1264">
        <v>15</v>
      </c>
      <c r="N214" s="1258">
        <v>80</v>
      </c>
      <c r="O214" s="1258">
        <v>160</v>
      </c>
      <c r="P214" s="1258">
        <v>240</v>
      </c>
      <c r="Q214" s="1264">
        <v>300</v>
      </c>
      <c r="R214" s="1258" t="s">
        <v>2234</v>
      </c>
      <c r="S214" s="1258" t="s">
        <v>2234</v>
      </c>
      <c r="T214" s="1258" t="s">
        <v>2234</v>
      </c>
      <c r="U214" s="1264" t="s">
        <v>2234</v>
      </c>
      <c r="V214" s="1260" t="s">
        <v>6255</v>
      </c>
      <c r="W214" s="1260" t="s">
        <v>5305</v>
      </c>
      <c r="X214" s="1260" t="s">
        <v>6256</v>
      </c>
      <c r="Y214" s="1260" t="s">
        <v>6257</v>
      </c>
      <c r="Z214" s="1261" t="s">
        <v>6258</v>
      </c>
    </row>
    <row r="215" spans="2:26" ht="12.75" customHeight="1" x14ac:dyDescent="0.2">
      <c r="B215" s="2465" t="str">
        <f t="shared" si="3"/>
        <v>Agua46</v>
      </c>
      <c r="C215" s="1262"/>
      <c r="D215" s="1268" t="s">
        <v>641</v>
      </c>
      <c r="E215" s="1258" t="s">
        <v>2475</v>
      </c>
      <c r="F215" s="1258">
        <v>46</v>
      </c>
      <c r="G215" s="1269" t="s">
        <v>2234</v>
      </c>
      <c r="H215" s="1269" t="s">
        <v>6219</v>
      </c>
      <c r="I215" s="1270" t="s">
        <v>1918</v>
      </c>
      <c r="J215" s="1258">
        <v>8</v>
      </c>
      <c r="K215" s="1258">
        <v>10</v>
      </c>
      <c r="L215" s="1258">
        <v>12</v>
      </c>
      <c r="M215" s="1264">
        <v>14</v>
      </c>
      <c r="N215" s="1258">
        <v>80</v>
      </c>
      <c r="O215" s="1258">
        <v>120</v>
      </c>
      <c r="P215" s="1258">
        <v>150</v>
      </c>
      <c r="Q215" s="1264">
        <v>200</v>
      </c>
      <c r="R215" s="1258">
        <v>5</v>
      </c>
      <c r="S215" s="1258">
        <v>10</v>
      </c>
      <c r="T215" s="1258">
        <v>15</v>
      </c>
      <c r="U215" s="1264">
        <v>20</v>
      </c>
      <c r="V215" s="1260" t="s">
        <v>6259</v>
      </c>
      <c r="W215" s="1260" t="s">
        <v>6260</v>
      </c>
      <c r="X215" s="1260" t="s">
        <v>6261</v>
      </c>
      <c r="Y215" s="1260" t="s">
        <v>6262</v>
      </c>
      <c r="Z215" s="1261" t="s">
        <v>6263</v>
      </c>
    </row>
    <row r="216" spans="2:26" ht="12.75" customHeight="1" x14ac:dyDescent="0.2">
      <c r="B216" s="2465" t="str">
        <f t="shared" si="3"/>
        <v>Agua50</v>
      </c>
      <c r="C216" s="1262"/>
      <c r="D216" s="1268" t="s">
        <v>6264</v>
      </c>
      <c r="E216" s="1258" t="s">
        <v>2475</v>
      </c>
      <c r="F216" s="1258">
        <v>50</v>
      </c>
      <c r="G216" s="1269" t="s">
        <v>2234</v>
      </c>
      <c r="H216" s="1269" t="s">
        <v>6219</v>
      </c>
      <c r="I216" s="1270" t="s">
        <v>1918</v>
      </c>
      <c r="J216" s="1258">
        <v>7</v>
      </c>
      <c r="K216" s="1258">
        <v>10</v>
      </c>
      <c r="L216" s="1258">
        <v>13</v>
      </c>
      <c r="M216" s="1264">
        <v>15</v>
      </c>
      <c r="N216" s="1258">
        <v>80</v>
      </c>
      <c r="O216" s="1258">
        <v>160</v>
      </c>
      <c r="P216" s="1258">
        <v>240</v>
      </c>
      <c r="Q216" s="1264">
        <v>350</v>
      </c>
      <c r="R216" s="1258">
        <v>5</v>
      </c>
      <c r="S216" s="1258">
        <v>10</v>
      </c>
      <c r="T216" s="1258">
        <v>15</v>
      </c>
      <c r="U216" s="1264">
        <v>20</v>
      </c>
      <c r="V216" s="1260" t="s">
        <v>6265</v>
      </c>
      <c r="W216" s="1260" t="s">
        <v>6266</v>
      </c>
      <c r="X216" s="1260" t="s">
        <v>6267</v>
      </c>
      <c r="Y216" s="1260" t="s">
        <v>6268</v>
      </c>
      <c r="Z216" s="1261" t="s">
        <v>6269</v>
      </c>
    </row>
    <row r="217" spans="2:26" ht="12.75" customHeight="1" x14ac:dyDescent="0.2">
      <c r="B217" s="2465" t="str">
        <f t="shared" si="3"/>
        <v>Agua52</v>
      </c>
      <c r="C217" s="1262"/>
      <c r="D217" s="1268" t="s">
        <v>6270</v>
      </c>
      <c r="E217" s="1258" t="s">
        <v>2475</v>
      </c>
      <c r="F217" s="1258">
        <v>52</v>
      </c>
      <c r="G217" s="1269" t="s">
        <v>2234</v>
      </c>
      <c r="H217" s="1269" t="s">
        <v>1763</v>
      </c>
      <c r="I217" s="1270" t="s">
        <v>1918</v>
      </c>
      <c r="J217" s="1258">
        <v>8</v>
      </c>
      <c r="K217" s="1258">
        <v>11</v>
      </c>
      <c r="L217" s="1258">
        <v>13</v>
      </c>
      <c r="M217" s="1264">
        <v>16</v>
      </c>
      <c r="N217" s="1258">
        <v>100</v>
      </c>
      <c r="O217" s="1258">
        <v>120</v>
      </c>
      <c r="P217" s="1258">
        <v>140</v>
      </c>
      <c r="Q217" s="1264">
        <v>160</v>
      </c>
      <c r="R217" s="1258">
        <v>10</v>
      </c>
      <c r="S217" s="1258">
        <v>15</v>
      </c>
      <c r="T217" s="1258">
        <v>15</v>
      </c>
      <c r="U217" s="1264">
        <v>20</v>
      </c>
      <c r="V217" s="1260" t="s">
        <v>6271</v>
      </c>
      <c r="W217" s="1260" t="s">
        <v>6272</v>
      </c>
      <c r="X217" s="1260" t="s">
        <v>6273</v>
      </c>
      <c r="Y217" s="1260" t="s">
        <v>6274</v>
      </c>
      <c r="Z217" s="1261" t="s">
        <v>6275</v>
      </c>
    </row>
    <row r="218" spans="2:26" ht="12.75" customHeight="1" x14ac:dyDescent="0.2">
      <c r="B218" s="2465" t="str">
        <f t="shared" si="3"/>
        <v>Agua56</v>
      </c>
      <c r="C218" s="1262"/>
      <c r="D218" s="1268" t="s">
        <v>6276</v>
      </c>
      <c r="E218" s="1258" t="s">
        <v>2475</v>
      </c>
      <c r="F218" s="1258">
        <v>56</v>
      </c>
      <c r="G218" s="1269" t="s">
        <v>2234</v>
      </c>
      <c r="H218" s="1269" t="s">
        <v>6277</v>
      </c>
      <c r="I218" s="1270" t="s">
        <v>1919</v>
      </c>
      <c r="J218" s="1258">
        <v>7</v>
      </c>
      <c r="K218" s="1258">
        <v>10</v>
      </c>
      <c r="L218" s="1258">
        <v>13</v>
      </c>
      <c r="M218" s="1264">
        <v>16</v>
      </c>
      <c r="N218" s="1258">
        <v>120</v>
      </c>
      <c r="O218" s="1258">
        <v>180</v>
      </c>
      <c r="P218" s="1258">
        <v>240</v>
      </c>
      <c r="Q218" s="1264">
        <v>320</v>
      </c>
      <c r="R218" s="1258" t="s">
        <v>2234</v>
      </c>
      <c r="S218" s="1258" t="s">
        <v>2234</v>
      </c>
      <c r="T218" s="1258" t="s">
        <v>2234</v>
      </c>
      <c r="U218" s="1264" t="s">
        <v>2234</v>
      </c>
      <c r="V218" s="1260" t="s">
        <v>5583</v>
      </c>
      <c r="W218" s="1260" t="s">
        <v>6278</v>
      </c>
      <c r="X218" s="1260" t="s">
        <v>6279</v>
      </c>
      <c r="Y218" s="1260" t="s">
        <v>5388</v>
      </c>
      <c r="Z218" s="1261" t="s">
        <v>6280</v>
      </c>
    </row>
    <row r="219" spans="2:26" ht="12.75" customHeight="1" x14ac:dyDescent="0.2">
      <c r="B219" s="2465" t="str">
        <f t="shared" si="3"/>
        <v>Agua60</v>
      </c>
      <c r="C219" s="1262"/>
      <c r="D219" s="1268" t="s">
        <v>6281</v>
      </c>
      <c r="E219" s="1258" t="s">
        <v>2475</v>
      </c>
      <c r="F219" s="1258">
        <v>60</v>
      </c>
      <c r="G219" s="1269" t="s">
        <v>2234</v>
      </c>
      <c r="H219" s="1269" t="s">
        <v>5271</v>
      </c>
      <c r="I219" s="1270" t="s">
        <v>1918</v>
      </c>
      <c r="J219" s="1258">
        <v>7</v>
      </c>
      <c r="K219" s="1258">
        <v>10</v>
      </c>
      <c r="L219" s="1258">
        <v>12</v>
      </c>
      <c r="M219" s="1264">
        <v>15</v>
      </c>
      <c r="N219" s="1258">
        <v>120</v>
      </c>
      <c r="O219" s="1258">
        <v>180</v>
      </c>
      <c r="P219" s="1258">
        <v>240</v>
      </c>
      <c r="Q219" s="1264">
        <v>320</v>
      </c>
      <c r="R219" s="1258">
        <v>10</v>
      </c>
      <c r="S219" s="1258">
        <v>10</v>
      </c>
      <c r="T219" s="1258">
        <v>15</v>
      </c>
      <c r="U219" s="1264">
        <v>15</v>
      </c>
      <c r="V219" s="1260" t="s">
        <v>5570</v>
      </c>
      <c r="W219" s="1260" t="s">
        <v>6282</v>
      </c>
      <c r="X219" s="1260" t="s">
        <v>6283</v>
      </c>
      <c r="Y219" s="1260" t="s">
        <v>6284</v>
      </c>
      <c r="Z219" s="1261" t="s">
        <v>6285</v>
      </c>
    </row>
    <row r="220" spans="2:26" ht="12.75" customHeight="1" x14ac:dyDescent="0.2">
      <c r="B220" s="2465" t="str">
        <f t="shared" si="3"/>
        <v>Agua62</v>
      </c>
      <c r="C220" s="1262"/>
      <c r="D220" s="1268" t="s">
        <v>6286</v>
      </c>
      <c r="E220" s="1258" t="s">
        <v>2475</v>
      </c>
      <c r="F220" s="1258">
        <v>62</v>
      </c>
      <c r="G220" s="1269" t="s">
        <v>3090</v>
      </c>
      <c r="H220" s="1269" t="s">
        <v>1763</v>
      </c>
      <c r="I220" s="1270" t="s">
        <v>1918</v>
      </c>
      <c r="J220" s="1258">
        <v>6</v>
      </c>
      <c r="K220" s="1258">
        <v>9</v>
      </c>
      <c r="L220" s="1258">
        <v>12</v>
      </c>
      <c r="M220" s="1264">
        <v>15</v>
      </c>
      <c r="N220" s="1258">
        <v>150</v>
      </c>
      <c r="O220" s="1258">
        <v>300</v>
      </c>
      <c r="P220" s="1258">
        <v>450</v>
      </c>
      <c r="Q220" s="1264">
        <v>600</v>
      </c>
      <c r="R220" s="1258">
        <v>15</v>
      </c>
      <c r="S220" s="1258">
        <v>30</v>
      </c>
      <c r="T220" s="1258">
        <v>45</v>
      </c>
      <c r="U220" s="1264">
        <v>60</v>
      </c>
      <c r="V220" s="1260" t="s">
        <v>6287</v>
      </c>
      <c r="W220" s="1260" t="s">
        <v>6288</v>
      </c>
      <c r="X220" s="1260" t="s">
        <v>6289</v>
      </c>
      <c r="Y220" s="1260" t="s">
        <v>6290</v>
      </c>
      <c r="Z220" s="1261" t="s">
        <v>6291</v>
      </c>
    </row>
    <row r="221" spans="2:26" ht="12.75" customHeight="1" x14ac:dyDescent="0.2">
      <c r="B221" s="2465" t="str">
        <f t="shared" si="3"/>
        <v>Agua66</v>
      </c>
      <c r="C221" s="1262"/>
      <c r="D221" s="1268" t="s">
        <v>6292</v>
      </c>
      <c r="E221" s="1258" t="s">
        <v>2475</v>
      </c>
      <c r="F221" s="1258">
        <v>66</v>
      </c>
      <c r="G221" s="1269" t="s">
        <v>2234</v>
      </c>
      <c r="H221" s="1269" t="s">
        <v>5271</v>
      </c>
      <c r="I221" s="1270" t="s">
        <v>1918</v>
      </c>
      <c r="J221" s="1258">
        <v>7</v>
      </c>
      <c r="K221" s="1258">
        <v>10</v>
      </c>
      <c r="L221" s="1258">
        <v>13</v>
      </c>
      <c r="M221" s="1264">
        <v>16</v>
      </c>
      <c r="N221" s="1258">
        <v>140</v>
      </c>
      <c r="O221" s="1258">
        <v>200</v>
      </c>
      <c r="P221" s="1258">
        <v>280</v>
      </c>
      <c r="Q221" s="1264">
        <v>350</v>
      </c>
      <c r="R221" s="1258">
        <v>10</v>
      </c>
      <c r="S221" s="1258">
        <v>10</v>
      </c>
      <c r="T221" s="1258">
        <v>15</v>
      </c>
      <c r="U221" s="1264">
        <v>20</v>
      </c>
      <c r="V221" s="1260" t="s">
        <v>6293</v>
      </c>
      <c r="W221" s="1260" t="s">
        <v>6294</v>
      </c>
      <c r="X221" s="1260" t="s">
        <v>6295</v>
      </c>
      <c r="Y221" s="1260" t="s">
        <v>6296</v>
      </c>
      <c r="Z221" s="1261" t="s">
        <v>6297</v>
      </c>
    </row>
    <row r="222" spans="2:26" ht="12.75" customHeight="1" x14ac:dyDescent="0.2">
      <c r="B222" s="2465" t="str">
        <f t="shared" si="3"/>
        <v>Agua70</v>
      </c>
      <c r="C222" s="1262"/>
      <c r="D222" s="1268" t="s">
        <v>648</v>
      </c>
      <c r="E222" s="1258" t="s">
        <v>2475</v>
      </c>
      <c r="F222" s="1258">
        <v>70</v>
      </c>
      <c r="G222" s="1269" t="s">
        <v>3090</v>
      </c>
      <c r="H222" s="1269" t="s">
        <v>1763</v>
      </c>
      <c r="I222" s="1270" t="s">
        <v>1918</v>
      </c>
      <c r="J222" s="1258">
        <v>10</v>
      </c>
      <c r="K222" s="1258">
        <v>12</v>
      </c>
      <c r="L222" s="1258">
        <v>14</v>
      </c>
      <c r="M222" s="1264">
        <v>16</v>
      </c>
      <c r="N222" s="1258">
        <v>200</v>
      </c>
      <c r="O222" s="1258">
        <v>300</v>
      </c>
      <c r="P222" s="1258">
        <v>400</v>
      </c>
      <c r="Q222" s="1264">
        <v>500</v>
      </c>
      <c r="R222" s="1258">
        <v>40</v>
      </c>
      <c r="S222" s="1258">
        <v>60</v>
      </c>
      <c r="T222" s="1258">
        <v>80</v>
      </c>
      <c r="U222" s="1264">
        <v>100</v>
      </c>
      <c r="V222" s="1260" t="s">
        <v>6298</v>
      </c>
      <c r="W222" s="1260" t="s">
        <v>6299</v>
      </c>
      <c r="X222" s="1260" t="s">
        <v>6300</v>
      </c>
      <c r="Y222" s="1260" t="s">
        <v>6301</v>
      </c>
      <c r="Z222" s="1261" t="s">
        <v>6302</v>
      </c>
    </row>
    <row r="223" spans="2:26" ht="12.75" customHeight="1" x14ac:dyDescent="0.2">
      <c r="B223" s="2465" t="str">
        <f t="shared" si="3"/>
        <v>Agua72</v>
      </c>
      <c r="C223" s="1262"/>
      <c r="D223" s="1268" t="s">
        <v>649</v>
      </c>
      <c r="E223" s="1258" t="s">
        <v>2475</v>
      </c>
      <c r="F223" s="1258">
        <v>72</v>
      </c>
      <c r="G223" s="1269" t="s">
        <v>2234</v>
      </c>
      <c r="H223" s="1269" t="s">
        <v>1763</v>
      </c>
      <c r="I223" s="1270" t="s">
        <v>1918</v>
      </c>
      <c r="J223" s="1258">
        <v>10</v>
      </c>
      <c r="K223" s="1258">
        <v>12</v>
      </c>
      <c r="L223" s="1258">
        <v>15</v>
      </c>
      <c r="M223" s="1264">
        <v>17</v>
      </c>
      <c r="N223" s="1258">
        <v>250</v>
      </c>
      <c r="O223" s="1258">
        <v>350</v>
      </c>
      <c r="P223" s="1258">
        <v>450</v>
      </c>
      <c r="Q223" s="1264">
        <v>550</v>
      </c>
      <c r="R223" s="1258" t="s">
        <v>2234</v>
      </c>
      <c r="S223" s="1258" t="s">
        <v>2234</v>
      </c>
      <c r="T223" s="1258" t="s">
        <v>2234</v>
      </c>
      <c r="U223" s="1264" t="s">
        <v>2234</v>
      </c>
      <c r="V223" s="1260" t="s">
        <v>6303</v>
      </c>
      <c r="W223" s="1260" t="s">
        <v>6304</v>
      </c>
      <c r="X223" s="1260" t="s">
        <v>6305</v>
      </c>
      <c r="Y223" s="1260" t="s">
        <v>6306</v>
      </c>
      <c r="Z223" s="1261" t="s">
        <v>6307</v>
      </c>
    </row>
    <row r="224" spans="2:26" ht="12.75" customHeight="1" x14ac:dyDescent="0.2">
      <c r="B224" s="2465" t="str">
        <f t="shared" si="3"/>
        <v>Agua76</v>
      </c>
      <c r="C224" s="1262"/>
      <c r="D224" s="1268" t="s">
        <v>6308</v>
      </c>
      <c r="E224" s="1258" t="s">
        <v>2475</v>
      </c>
      <c r="F224" s="1258">
        <v>76</v>
      </c>
      <c r="G224" s="1269" t="s">
        <v>2234</v>
      </c>
      <c r="H224" s="1269" t="s">
        <v>5271</v>
      </c>
      <c r="I224" s="1270" t="s">
        <v>1918</v>
      </c>
      <c r="J224" s="1258">
        <v>10</v>
      </c>
      <c r="K224" s="1258">
        <v>12</v>
      </c>
      <c r="L224" s="1258">
        <v>14</v>
      </c>
      <c r="M224" s="1264">
        <v>16</v>
      </c>
      <c r="N224" s="1258">
        <v>200</v>
      </c>
      <c r="O224" s="1258">
        <v>280</v>
      </c>
      <c r="P224" s="1258">
        <v>320</v>
      </c>
      <c r="Q224" s="1264">
        <v>400</v>
      </c>
      <c r="R224" s="1258">
        <v>20</v>
      </c>
      <c r="S224" s="1258">
        <v>30</v>
      </c>
      <c r="T224" s="1258">
        <v>35</v>
      </c>
      <c r="U224" s="1264">
        <v>40</v>
      </c>
      <c r="V224" s="1260" t="s">
        <v>6309</v>
      </c>
      <c r="W224" s="1260" t="s">
        <v>6310</v>
      </c>
      <c r="X224" s="1260" t="s">
        <v>6311</v>
      </c>
      <c r="Y224" s="1260" t="s">
        <v>6312</v>
      </c>
      <c r="Z224" s="1261" t="s">
        <v>6313</v>
      </c>
    </row>
    <row r="225" spans="2:26" ht="12.75" customHeight="1" x14ac:dyDescent="0.2">
      <c r="B225" s="2465" t="str">
        <f t="shared" si="3"/>
        <v>Agua80</v>
      </c>
      <c r="C225" s="1262"/>
      <c r="D225" s="1268" t="s">
        <v>6314</v>
      </c>
      <c r="E225" s="1258" t="s">
        <v>2475</v>
      </c>
      <c r="F225" s="1258">
        <v>80</v>
      </c>
      <c r="G225" s="1269" t="s">
        <v>2234</v>
      </c>
      <c r="H225" s="1269" t="s">
        <v>5271</v>
      </c>
      <c r="I225" s="1270" t="s">
        <v>1918</v>
      </c>
      <c r="J225" s="1258">
        <v>10</v>
      </c>
      <c r="K225" s="1258">
        <v>12</v>
      </c>
      <c r="L225" s="1258">
        <v>14</v>
      </c>
      <c r="M225" s="1264">
        <v>16</v>
      </c>
      <c r="N225" s="1258">
        <v>200</v>
      </c>
      <c r="O225" s="1258">
        <v>320</v>
      </c>
      <c r="P225" s="1258">
        <v>450</v>
      </c>
      <c r="Q225" s="1264">
        <v>600</v>
      </c>
      <c r="R225" s="1258">
        <v>20</v>
      </c>
      <c r="S225" s="1258">
        <v>25</v>
      </c>
      <c r="T225" s="1258">
        <v>30</v>
      </c>
      <c r="U225" s="1264">
        <v>35</v>
      </c>
      <c r="V225" s="1260" t="s">
        <v>6315</v>
      </c>
      <c r="W225" s="1260" t="s">
        <v>6316</v>
      </c>
      <c r="X225" s="1260" t="s">
        <v>6317</v>
      </c>
      <c r="Y225" s="1260" t="s">
        <v>6318</v>
      </c>
      <c r="Z225" s="1261" t="s">
        <v>6319</v>
      </c>
    </row>
    <row r="226" spans="2:26" ht="12.75" customHeight="1" x14ac:dyDescent="0.2">
      <c r="B226" s="2465" t="str">
        <f t="shared" si="3"/>
        <v>Agua82</v>
      </c>
      <c r="C226" s="1262"/>
      <c r="D226" s="1268" t="s">
        <v>6320</v>
      </c>
      <c r="E226" s="1258" t="s">
        <v>2475</v>
      </c>
      <c r="F226" s="1258">
        <v>82</v>
      </c>
      <c r="G226" s="1269" t="s">
        <v>3090</v>
      </c>
      <c r="H226" s="1269" t="s">
        <v>1763</v>
      </c>
      <c r="I226" s="1270" t="s">
        <v>1918</v>
      </c>
      <c r="J226" s="1258">
        <v>10</v>
      </c>
      <c r="K226" s="1258">
        <v>12</v>
      </c>
      <c r="L226" s="1258">
        <v>14</v>
      </c>
      <c r="M226" s="1264">
        <v>16</v>
      </c>
      <c r="N226" s="1258">
        <v>250</v>
      </c>
      <c r="O226" s="1258">
        <v>350</v>
      </c>
      <c r="P226" s="1258">
        <v>500</v>
      </c>
      <c r="Q226" s="1264">
        <v>700</v>
      </c>
      <c r="R226" s="1258">
        <v>50</v>
      </c>
      <c r="S226" s="1258">
        <v>70</v>
      </c>
      <c r="T226" s="1258">
        <v>100</v>
      </c>
      <c r="U226" s="1264">
        <v>140</v>
      </c>
      <c r="V226" s="1260" t="s">
        <v>5425</v>
      </c>
      <c r="W226" s="1260" t="s">
        <v>5603</v>
      </c>
      <c r="X226" s="1260" t="s">
        <v>5427</v>
      </c>
      <c r="Y226" s="1260" t="s">
        <v>5428</v>
      </c>
      <c r="Z226" s="1261" t="s">
        <v>6321</v>
      </c>
    </row>
    <row r="227" spans="2:26" ht="12.75" customHeight="1" x14ac:dyDescent="0.2">
      <c r="B227" s="2465" t="str">
        <f t="shared" si="3"/>
        <v>Agua86</v>
      </c>
      <c r="C227" s="1262"/>
      <c r="D227" s="1268" t="s">
        <v>6322</v>
      </c>
      <c r="E227" s="1258" t="s">
        <v>2475</v>
      </c>
      <c r="F227" s="1258">
        <v>86</v>
      </c>
      <c r="G227" s="1269" t="s">
        <v>3090</v>
      </c>
      <c r="H227" s="1269" t="s">
        <v>1763</v>
      </c>
      <c r="I227" s="1270" t="s">
        <v>1919</v>
      </c>
      <c r="J227" s="1258">
        <v>9</v>
      </c>
      <c r="K227" s="1258">
        <v>12</v>
      </c>
      <c r="L227" s="1258">
        <v>15</v>
      </c>
      <c r="M227" s="1264">
        <v>18</v>
      </c>
      <c r="N227" s="1258">
        <v>250</v>
      </c>
      <c r="O227" s="1258">
        <v>400</v>
      </c>
      <c r="P227" s="1258">
        <v>550</v>
      </c>
      <c r="Q227" s="1264">
        <v>800</v>
      </c>
      <c r="R227" s="1258">
        <v>50</v>
      </c>
      <c r="S227" s="1258">
        <v>75</v>
      </c>
      <c r="T227" s="1258">
        <v>90</v>
      </c>
      <c r="U227" s="1264">
        <v>100</v>
      </c>
      <c r="V227" s="1260" t="s">
        <v>6323</v>
      </c>
      <c r="W227" s="1260" t="s">
        <v>6324</v>
      </c>
      <c r="X227" s="1260" t="s">
        <v>6325</v>
      </c>
      <c r="Y227" s="1260" t="s">
        <v>6326</v>
      </c>
      <c r="Z227" s="1261" t="s">
        <v>6327</v>
      </c>
    </row>
    <row r="228" spans="2:26" ht="12.75" customHeight="1" x14ac:dyDescent="0.2">
      <c r="B228" s="2465" t="str">
        <f t="shared" si="3"/>
        <v>Agua90</v>
      </c>
      <c r="C228" s="1262"/>
      <c r="D228" s="1268" t="s">
        <v>6328</v>
      </c>
      <c r="E228" s="1258" t="s">
        <v>2475</v>
      </c>
      <c r="F228" s="1258">
        <v>90</v>
      </c>
      <c r="G228" s="1269" t="s">
        <v>3090</v>
      </c>
      <c r="H228" s="1269" t="s">
        <v>1763</v>
      </c>
      <c r="I228" s="1270" t="s">
        <v>1918</v>
      </c>
      <c r="J228" s="1258">
        <v>9</v>
      </c>
      <c r="K228" s="1258">
        <v>12</v>
      </c>
      <c r="L228" s="1258">
        <v>15</v>
      </c>
      <c r="M228" s="1264">
        <v>17</v>
      </c>
      <c r="N228" s="1258">
        <v>300</v>
      </c>
      <c r="O228" s="1258">
        <v>480</v>
      </c>
      <c r="P228" s="1258">
        <v>600</v>
      </c>
      <c r="Q228" s="1264">
        <v>800</v>
      </c>
      <c r="R228" s="1258">
        <v>30</v>
      </c>
      <c r="S228" s="1258">
        <v>50</v>
      </c>
      <c r="T228" s="1258">
        <v>60</v>
      </c>
      <c r="U228" s="1264">
        <v>70</v>
      </c>
      <c r="V228" s="1260" t="s">
        <v>6329</v>
      </c>
      <c r="W228" s="1260" t="s">
        <v>6330</v>
      </c>
      <c r="X228" s="1260" t="s">
        <v>6331</v>
      </c>
      <c r="Y228" s="1260" t="s">
        <v>6332</v>
      </c>
      <c r="Z228" s="1261" t="s">
        <v>6333</v>
      </c>
    </row>
    <row r="229" spans="2:26" ht="12.75" customHeight="1" x14ac:dyDescent="0.2">
      <c r="B229" s="2465" t="str">
        <f t="shared" si="3"/>
        <v>Agua92</v>
      </c>
      <c r="C229" s="1262"/>
      <c r="D229" s="1268" t="s">
        <v>6334</v>
      </c>
      <c r="E229" s="1258" t="s">
        <v>2475</v>
      </c>
      <c r="F229" s="1258">
        <v>92</v>
      </c>
      <c r="G229" s="1269" t="s">
        <v>3090</v>
      </c>
      <c r="H229" s="1269" t="s">
        <v>5271</v>
      </c>
      <c r="I229" s="1270" t="s">
        <v>1918</v>
      </c>
      <c r="J229" s="1258">
        <v>10</v>
      </c>
      <c r="K229" s="1258">
        <v>12</v>
      </c>
      <c r="L229" s="1258">
        <v>14</v>
      </c>
      <c r="M229" s="1264">
        <v>16</v>
      </c>
      <c r="N229" s="1258">
        <v>300</v>
      </c>
      <c r="O229" s="1258">
        <v>450</v>
      </c>
      <c r="P229" s="1258">
        <v>600</v>
      </c>
      <c r="Q229" s="1264">
        <v>1000</v>
      </c>
      <c r="R229" s="1258">
        <v>30</v>
      </c>
      <c r="S229" s="1258">
        <v>45</v>
      </c>
      <c r="T229" s="1258">
        <v>60</v>
      </c>
      <c r="U229" s="1264">
        <v>100</v>
      </c>
      <c r="V229" s="1260" t="s">
        <v>6335</v>
      </c>
      <c r="W229" s="1260" t="s">
        <v>6336</v>
      </c>
      <c r="X229" s="1260" t="s">
        <v>6337</v>
      </c>
      <c r="Y229" s="1260" t="s">
        <v>6338</v>
      </c>
      <c r="Z229" s="1261" t="s">
        <v>6339</v>
      </c>
    </row>
    <row r="230" spans="2:26" ht="12.75" customHeight="1" x14ac:dyDescent="0.2">
      <c r="B230" s="2465" t="str">
        <f t="shared" si="3"/>
        <v>Agua96</v>
      </c>
      <c r="C230" s="1262"/>
      <c r="D230" s="1268" t="s">
        <v>6340</v>
      </c>
      <c r="E230" s="1258" t="s">
        <v>2475</v>
      </c>
      <c r="F230" s="1258">
        <v>96</v>
      </c>
      <c r="G230" s="1269" t="s">
        <v>3090</v>
      </c>
      <c r="H230" s="1269" t="s">
        <v>5271</v>
      </c>
      <c r="I230" s="1270" t="s">
        <v>1918</v>
      </c>
      <c r="J230" s="1258">
        <v>10</v>
      </c>
      <c r="K230" s="1258">
        <v>12</v>
      </c>
      <c r="L230" s="1258">
        <v>15</v>
      </c>
      <c r="M230" s="1264">
        <v>18</v>
      </c>
      <c r="N230" s="1258">
        <v>300</v>
      </c>
      <c r="O230" s="1258">
        <v>450</v>
      </c>
      <c r="P230" s="1258">
        <v>600</v>
      </c>
      <c r="Q230" s="1264">
        <v>1000</v>
      </c>
      <c r="R230" s="1258">
        <v>30</v>
      </c>
      <c r="S230" s="1258">
        <v>45</v>
      </c>
      <c r="T230" s="1258">
        <v>60</v>
      </c>
      <c r="U230" s="1264">
        <v>100</v>
      </c>
      <c r="V230" s="1260" t="s">
        <v>6335</v>
      </c>
      <c r="W230" s="1260" t="s">
        <v>6336</v>
      </c>
      <c r="X230" s="1260" t="s">
        <v>6337</v>
      </c>
      <c r="Y230" s="1260" t="s">
        <v>6341</v>
      </c>
      <c r="Z230" s="1261" t="s">
        <v>6342</v>
      </c>
    </row>
    <row r="231" spans="2:26" ht="12.75" customHeight="1" x14ac:dyDescent="0.2">
      <c r="B231" s="2465" t="str">
        <f t="shared" si="3"/>
        <v>Agua100</v>
      </c>
      <c r="C231" s="1262"/>
      <c r="D231" s="1268" t="s">
        <v>6343</v>
      </c>
      <c r="E231" s="1258" t="s">
        <v>2475</v>
      </c>
      <c r="F231" s="1258">
        <v>100</v>
      </c>
      <c r="G231" s="1269" t="s">
        <v>3090</v>
      </c>
      <c r="H231" s="1269" t="s">
        <v>5271</v>
      </c>
      <c r="I231" s="1270" t="s">
        <v>1918</v>
      </c>
      <c r="J231" s="1258">
        <v>12</v>
      </c>
      <c r="K231" s="1258">
        <v>15</v>
      </c>
      <c r="L231" s="1258">
        <v>17</v>
      </c>
      <c r="M231" s="1264">
        <v>20</v>
      </c>
      <c r="N231" s="1258">
        <v>450</v>
      </c>
      <c r="O231" s="1258">
        <v>800</v>
      </c>
      <c r="P231" s="1258">
        <v>1200</v>
      </c>
      <c r="Q231" s="1264">
        <v>1600</v>
      </c>
      <c r="R231" s="1258">
        <v>90</v>
      </c>
      <c r="S231" s="1258">
        <v>115</v>
      </c>
      <c r="T231" s="1258">
        <v>130</v>
      </c>
      <c r="U231" s="1264">
        <v>145</v>
      </c>
      <c r="V231" s="1260" t="s">
        <v>5583</v>
      </c>
      <c r="W231" s="1260" t="s">
        <v>6279</v>
      </c>
      <c r="X231" s="1260" t="s">
        <v>5388</v>
      </c>
      <c r="Y231" s="1260" t="s">
        <v>5389</v>
      </c>
      <c r="Z231" s="1261" t="s">
        <v>6344</v>
      </c>
    </row>
    <row r="232" spans="2:26" ht="12.75" customHeight="1" x14ac:dyDescent="0.2">
      <c r="B232" s="2465" t="str">
        <f t="shared" si="3"/>
        <v/>
      </c>
      <c r="C232" s="1262"/>
      <c r="D232" s="1268" t="s">
        <v>658</v>
      </c>
      <c r="E232" s="1258"/>
      <c r="F232" s="1258"/>
      <c r="G232" s="1269"/>
      <c r="H232" s="1269"/>
      <c r="I232" s="1270"/>
      <c r="J232" s="1258"/>
      <c r="K232" s="1258"/>
      <c r="L232" s="1258"/>
      <c r="M232" s="1264"/>
      <c r="N232" s="1258"/>
      <c r="O232" s="1258"/>
      <c r="P232" s="1258"/>
      <c r="Q232" s="1264"/>
      <c r="R232" s="1258"/>
      <c r="S232" s="1258"/>
      <c r="T232" s="1258"/>
      <c r="U232" s="1264"/>
      <c r="V232" s="1260"/>
      <c r="W232" s="1260"/>
      <c r="X232" s="1260"/>
      <c r="Y232" s="1260"/>
      <c r="Z232" s="1261"/>
    </row>
    <row r="233" spans="2:26" ht="12.75" customHeight="1" x14ac:dyDescent="0.2">
      <c r="B233" s="2465" t="str">
        <f t="shared" si="3"/>
        <v>Fuego2</v>
      </c>
      <c r="C233" s="1262"/>
      <c r="D233" s="1268" t="s">
        <v>6345</v>
      </c>
      <c r="E233" s="1258" t="s">
        <v>2479</v>
      </c>
      <c r="F233" s="1258">
        <v>2</v>
      </c>
      <c r="G233" s="1269" t="s">
        <v>3090</v>
      </c>
      <c r="H233" s="1269" t="s">
        <v>1763</v>
      </c>
      <c r="I233" s="1270" t="s">
        <v>1918</v>
      </c>
      <c r="J233" s="1258">
        <v>5</v>
      </c>
      <c r="K233" s="1258">
        <v>8</v>
      </c>
      <c r="L233" s="1258">
        <v>10</v>
      </c>
      <c r="M233" s="1264">
        <v>12</v>
      </c>
      <c r="N233" s="1258">
        <v>30</v>
      </c>
      <c r="O233" s="1258">
        <v>80</v>
      </c>
      <c r="P233" s="1258">
        <v>100</v>
      </c>
      <c r="Q233" s="1264">
        <v>120</v>
      </c>
      <c r="R233" s="1258">
        <v>5</v>
      </c>
      <c r="S233" s="1258">
        <v>10</v>
      </c>
      <c r="T233" s="1258">
        <v>10</v>
      </c>
      <c r="U233" s="1264">
        <v>15</v>
      </c>
      <c r="V233" s="1260" t="s">
        <v>6346</v>
      </c>
      <c r="W233" s="1260" t="s">
        <v>6347</v>
      </c>
      <c r="X233" s="1260" t="s">
        <v>6348</v>
      </c>
      <c r="Y233" s="1260" t="s">
        <v>6349</v>
      </c>
      <c r="Z233" s="1261" t="s">
        <v>6350</v>
      </c>
    </row>
    <row r="234" spans="2:26" ht="12.75" customHeight="1" x14ac:dyDescent="0.2">
      <c r="B234" s="2465" t="str">
        <f t="shared" si="3"/>
        <v>Fuego6</v>
      </c>
      <c r="C234" s="1262"/>
      <c r="D234" s="1268" t="s">
        <v>6351</v>
      </c>
      <c r="E234" s="1258" t="s">
        <v>2479</v>
      </c>
      <c r="F234" s="1258">
        <v>6</v>
      </c>
      <c r="G234" s="1269" t="s">
        <v>2234</v>
      </c>
      <c r="H234" s="1269" t="s">
        <v>1763</v>
      </c>
      <c r="I234" s="1270" t="s">
        <v>1918</v>
      </c>
      <c r="J234" s="1258">
        <v>5</v>
      </c>
      <c r="K234" s="1258">
        <v>8</v>
      </c>
      <c r="L234" s="1258">
        <v>10</v>
      </c>
      <c r="M234" s="1264">
        <v>13</v>
      </c>
      <c r="N234" s="1258">
        <v>30</v>
      </c>
      <c r="O234" s="1258">
        <v>80</v>
      </c>
      <c r="P234" s="1258">
        <v>120</v>
      </c>
      <c r="Q234" s="1264">
        <v>200</v>
      </c>
      <c r="R234" s="1258" t="s">
        <v>2234</v>
      </c>
      <c r="S234" s="1258" t="s">
        <v>2234</v>
      </c>
      <c r="T234" s="1258" t="s">
        <v>2234</v>
      </c>
      <c r="U234" s="1264" t="s">
        <v>2234</v>
      </c>
      <c r="V234" s="1260" t="s">
        <v>6352</v>
      </c>
      <c r="W234" s="1260" t="s">
        <v>6353</v>
      </c>
      <c r="X234" s="1260" t="s">
        <v>6354</v>
      </c>
      <c r="Y234" s="1260" t="s">
        <v>6355</v>
      </c>
      <c r="Z234" s="1261" t="s">
        <v>6356</v>
      </c>
    </row>
    <row r="235" spans="2:26" ht="12.75" customHeight="1" x14ac:dyDescent="0.2">
      <c r="B235" s="2465" t="str">
        <f t="shared" si="3"/>
        <v>Fuego10</v>
      </c>
      <c r="C235" s="1262"/>
      <c r="D235" s="1268" t="s">
        <v>6357</v>
      </c>
      <c r="E235" s="1258" t="s">
        <v>2479</v>
      </c>
      <c r="F235" s="1258">
        <v>10</v>
      </c>
      <c r="G235" s="1269" t="s">
        <v>3090</v>
      </c>
      <c r="H235" s="1269" t="s">
        <v>1763</v>
      </c>
      <c r="I235" s="1270" t="s">
        <v>1918</v>
      </c>
      <c r="J235" s="1258">
        <v>6</v>
      </c>
      <c r="K235" s="1258">
        <v>8</v>
      </c>
      <c r="L235" s="1258">
        <v>10</v>
      </c>
      <c r="M235" s="1264">
        <v>13</v>
      </c>
      <c r="N235" s="1258">
        <v>50</v>
      </c>
      <c r="O235" s="1258">
        <v>140</v>
      </c>
      <c r="P235" s="1258">
        <v>200</v>
      </c>
      <c r="Q235" s="1264">
        <v>300</v>
      </c>
      <c r="R235" s="1258">
        <v>5</v>
      </c>
      <c r="S235" s="1258">
        <v>10</v>
      </c>
      <c r="T235" s="1258">
        <v>10</v>
      </c>
      <c r="U235" s="1264">
        <v>15</v>
      </c>
      <c r="V235" s="1260" t="s">
        <v>6358</v>
      </c>
      <c r="W235" s="1260" t="s">
        <v>6359</v>
      </c>
      <c r="X235" s="1260" t="s">
        <v>6360</v>
      </c>
      <c r="Y235" s="1260" t="s">
        <v>6361</v>
      </c>
      <c r="Z235" s="1261" t="s">
        <v>6362</v>
      </c>
    </row>
    <row r="236" spans="2:26" ht="12.75" customHeight="1" x14ac:dyDescent="0.2">
      <c r="B236" s="2465" t="str">
        <f t="shared" si="3"/>
        <v>Fuego12</v>
      </c>
      <c r="C236" s="1262"/>
      <c r="D236" s="1268" t="s">
        <v>6363</v>
      </c>
      <c r="E236" s="1258" t="s">
        <v>2479</v>
      </c>
      <c r="F236" s="1258">
        <v>12</v>
      </c>
      <c r="G236" s="1269" t="s">
        <v>2234</v>
      </c>
      <c r="H236" s="1269" t="s">
        <v>1765</v>
      </c>
      <c r="I236" s="1270" t="s">
        <v>1918</v>
      </c>
      <c r="J236" s="1258">
        <v>6</v>
      </c>
      <c r="K236" s="1258">
        <v>9</v>
      </c>
      <c r="L236" s="1258">
        <v>12</v>
      </c>
      <c r="M236" s="1264">
        <v>15</v>
      </c>
      <c r="N236" s="1258">
        <v>60</v>
      </c>
      <c r="O236" s="1258">
        <v>100</v>
      </c>
      <c r="P236" s="1258">
        <v>140</v>
      </c>
      <c r="Q236" s="1264">
        <v>200</v>
      </c>
      <c r="R236" s="1258">
        <v>10</v>
      </c>
      <c r="S236" s="1258">
        <v>10</v>
      </c>
      <c r="T236" s="1258">
        <v>15</v>
      </c>
      <c r="U236" s="1264">
        <v>15</v>
      </c>
      <c r="V236" s="1260" t="s">
        <v>6364</v>
      </c>
      <c r="W236" s="1260" t="s">
        <v>6365</v>
      </c>
      <c r="X236" s="1260" t="s">
        <v>6366</v>
      </c>
      <c r="Y236" s="1260" t="s">
        <v>6367</v>
      </c>
      <c r="Z236" s="1261" t="s">
        <v>6368</v>
      </c>
    </row>
    <row r="237" spans="2:26" ht="12.75" customHeight="1" x14ac:dyDescent="0.2">
      <c r="B237" s="2465" t="str">
        <f t="shared" si="3"/>
        <v>Fuego16</v>
      </c>
      <c r="C237" s="1262"/>
      <c r="D237" s="1268" t="s">
        <v>6369</v>
      </c>
      <c r="E237" s="1258" t="s">
        <v>2479</v>
      </c>
      <c r="F237" s="1258">
        <v>16</v>
      </c>
      <c r="G237" s="1269" t="s">
        <v>2234</v>
      </c>
      <c r="H237" s="1269" t="s">
        <v>1761</v>
      </c>
      <c r="I237" s="1270" t="s">
        <v>1918</v>
      </c>
      <c r="J237" s="1258">
        <v>6</v>
      </c>
      <c r="K237" s="1258">
        <v>9</v>
      </c>
      <c r="L237" s="1258">
        <v>12</v>
      </c>
      <c r="M237" s="1264">
        <v>15</v>
      </c>
      <c r="N237" s="1258">
        <v>50</v>
      </c>
      <c r="O237" s="1258">
        <v>100</v>
      </c>
      <c r="P237" s="1258">
        <v>160</v>
      </c>
      <c r="Q237" s="1264">
        <v>250</v>
      </c>
      <c r="R237" s="1258" t="s">
        <v>2234</v>
      </c>
      <c r="S237" s="1258" t="s">
        <v>2234</v>
      </c>
      <c r="T237" s="1258" t="s">
        <v>2234</v>
      </c>
      <c r="U237" s="1264" t="s">
        <v>2234</v>
      </c>
      <c r="V237" s="1260" t="s">
        <v>6370</v>
      </c>
      <c r="W237" s="1260" t="s">
        <v>6371</v>
      </c>
      <c r="X237" s="1260" t="s">
        <v>6372</v>
      </c>
      <c r="Y237" s="1260" t="s">
        <v>6373</v>
      </c>
      <c r="Z237" s="1261" t="s">
        <v>6374</v>
      </c>
    </row>
    <row r="238" spans="2:26" ht="12.75" customHeight="1" x14ac:dyDescent="0.2">
      <c r="B238" s="2465" t="str">
        <f t="shared" si="3"/>
        <v>Fuego20</v>
      </c>
      <c r="C238" s="1262"/>
      <c r="D238" s="1268" t="s">
        <v>6375</v>
      </c>
      <c r="E238" s="1258" t="s">
        <v>2479</v>
      </c>
      <c r="F238" s="1258">
        <v>20</v>
      </c>
      <c r="G238" s="1269" t="s">
        <v>3090</v>
      </c>
      <c r="H238" s="1269" t="s">
        <v>1763</v>
      </c>
      <c r="I238" s="1270" t="s">
        <v>1918</v>
      </c>
      <c r="J238" s="1258">
        <v>6</v>
      </c>
      <c r="K238" s="1258">
        <v>9</v>
      </c>
      <c r="L238" s="1258">
        <v>12</v>
      </c>
      <c r="M238" s="1264">
        <v>15</v>
      </c>
      <c r="N238" s="1258">
        <v>50</v>
      </c>
      <c r="O238" s="1258">
        <v>80</v>
      </c>
      <c r="P238" s="1258">
        <v>120</v>
      </c>
      <c r="Q238" s="1264">
        <v>180</v>
      </c>
      <c r="R238" s="1258">
        <v>5</v>
      </c>
      <c r="S238" s="1258">
        <v>10</v>
      </c>
      <c r="T238" s="1258">
        <v>15</v>
      </c>
      <c r="U238" s="1264">
        <v>20</v>
      </c>
      <c r="V238" s="1260" t="s">
        <v>6376</v>
      </c>
      <c r="W238" s="1260" t="s">
        <v>6377</v>
      </c>
      <c r="X238" s="1260" t="s">
        <v>6378</v>
      </c>
      <c r="Y238" s="1260" t="s">
        <v>6379</v>
      </c>
      <c r="Z238" s="1261" t="s">
        <v>6380</v>
      </c>
    </row>
    <row r="239" spans="2:26" ht="12.75" customHeight="1" x14ac:dyDescent="0.2">
      <c r="B239" s="2465" t="str">
        <f t="shared" si="3"/>
        <v>Fuego22</v>
      </c>
      <c r="C239" s="1262"/>
      <c r="D239" s="1268" t="s">
        <v>6381</v>
      </c>
      <c r="E239" s="1258" t="s">
        <v>2479</v>
      </c>
      <c r="F239" s="1258">
        <v>22</v>
      </c>
      <c r="G239" s="1269" t="s">
        <v>2234</v>
      </c>
      <c r="H239" s="1269" t="s">
        <v>2431</v>
      </c>
      <c r="I239" s="1270" t="s">
        <v>1918</v>
      </c>
      <c r="J239" s="1258">
        <v>6</v>
      </c>
      <c r="K239" s="1258">
        <v>9</v>
      </c>
      <c r="L239" s="1258">
        <v>12</v>
      </c>
      <c r="M239" s="1264">
        <v>15</v>
      </c>
      <c r="N239" s="1258">
        <v>50</v>
      </c>
      <c r="O239" s="1258">
        <v>90</v>
      </c>
      <c r="P239" s="1258">
        <v>120</v>
      </c>
      <c r="Q239" s="1264">
        <v>150</v>
      </c>
      <c r="R239" s="1258">
        <v>5</v>
      </c>
      <c r="S239" s="1258">
        <v>10</v>
      </c>
      <c r="T239" s="1258">
        <v>10</v>
      </c>
      <c r="U239" s="1264">
        <v>15</v>
      </c>
      <c r="V239" s="1260" t="s">
        <v>6382</v>
      </c>
      <c r="W239" s="1260" t="s">
        <v>6383</v>
      </c>
      <c r="X239" s="1260" t="s">
        <v>6384</v>
      </c>
      <c r="Y239" s="1260" t="s">
        <v>6385</v>
      </c>
      <c r="Z239" s="1261" t="s">
        <v>6386</v>
      </c>
    </row>
    <row r="240" spans="2:26" ht="12.75" customHeight="1" x14ac:dyDescent="0.2">
      <c r="B240" s="2465" t="str">
        <f t="shared" si="3"/>
        <v>Fuego26</v>
      </c>
      <c r="C240" s="1262"/>
      <c r="D240" s="1268" t="s">
        <v>6387</v>
      </c>
      <c r="E240" s="1258" t="s">
        <v>2479</v>
      </c>
      <c r="F240" s="1258">
        <v>26</v>
      </c>
      <c r="G240" s="1269" t="s">
        <v>2234</v>
      </c>
      <c r="H240" s="1269" t="s">
        <v>1763</v>
      </c>
      <c r="I240" s="1270" t="s">
        <v>1918</v>
      </c>
      <c r="J240" s="1258">
        <v>6</v>
      </c>
      <c r="K240" s="1258">
        <v>9</v>
      </c>
      <c r="L240" s="1258">
        <v>11</v>
      </c>
      <c r="M240" s="1264">
        <v>14</v>
      </c>
      <c r="N240" s="1258">
        <v>50</v>
      </c>
      <c r="O240" s="1258">
        <v>80</v>
      </c>
      <c r="P240" s="1258">
        <v>100</v>
      </c>
      <c r="Q240" s="1264">
        <v>120</v>
      </c>
      <c r="R240" s="1258">
        <v>5</v>
      </c>
      <c r="S240" s="1258">
        <v>10</v>
      </c>
      <c r="T240" s="1258">
        <v>10</v>
      </c>
      <c r="U240" s="1264">
        <v>15</v>
      </c>
      <c r="V240" s="1260" t="s">
        <v>6388</v>
      </c>
      <c r="W240" s="1260" t="s">
        <v>6389</v>
      </c>
      <c r="X240" s="1260" t="s">
        <v>6390</v>
      </c>
      <c r="Y240" s="1260" t="s">
        <v>6391</v>
      </c>
      <c r="Z240" s="1261" t="s">
        <v>6392</v>
      </c>
    </row>
    <row r="241" spans="2:26" ht="12.75" customHeight="1" x14ac:dyDescent="0.2">
      <c r="B241" s="2465" t="str">
        <f t="shared" si="3"/>
        <v>Fuego30</v>
      </c>
      <c r="C241" s="1262"/>
      <c r="D241" s="1268" t="s">
        <v>6393</v>
      </c>
      <c r="E241" s="1258" t="s">
        <v>2479</v>
      </c>
      <c r="F241" s="1258">
        <v>30</v>
      </c>
      <c r="G241" s="1269" t="s">
        <v>2234</v>
      </c>
      <c r="H241" s="1269" t="s">
        <v>1761</v>
      </c>
      <c r="I241" s="1270" t="s">
        <v>1918</v>
      </c>
      <c r="J241" s="1258">
        <v>6</v>
      </c>
      <c r="K241" s="1258">
        <v>9</v>
      </c>
      <c r="L241" s="1258">
        <v>12</v>
      </c>
      <c r="M241" s="1264">
        <v>15</v>
      </c>
      <c r="N241" s="1258">
        <v>60</v>
      </c>
      <c r="O241" s="1258">
        <v>90</v>
      </c>
      <c r="P241" s="1258">
        <v>120</v>
      </c>
      <c r="Q241" s="1264">
        <v>150</v>
      </c>
      <c r="R241" s="1258" t="s">
        <v>2234</v>
      </c>
      <c r="S241" s="1258" t="s">
        <v>2234</v>
      </c>
      <c r="T241" s="1258" t="s">
        <v>2234</v>
      </c>
      <c r="U241" s="1264" t="s">
        <v>2234</v>
      </c>
      <c r="V241" s="1260" t="s">
        <v>6394</v>
      </c>
      <c r="W241" s="1260" t="s">
        <v>6395</v>
      </c>
      <c r="X241" s="1260" t="s">
        <v>6396</v>
      </c>
      <c r="Y241" s="1260" t="s">
        <v>6397</v>
      </c>
      <c r="Z241" s="1261" t="s">
        <v>6398</v>
      </c>
    </row>
    <row r="242" spans="2:26" ht="12.75" customHeight="1" x14ac:dyDescent="0.2">
      <c r="B242" s="2465" t="str">
        <f t="shared" si="3"/>
        <v>Fuego32</v>
      </c>
      <c r="C242" s="1262"/>
      <c r="D242" s="1268" t="s">
        <v>6399</v>
      </c>
      <c r="E242" s="1258" t="s">
        <v>2479</v>
      </c>
      <c r="F242" s="1258">
        <v>32</v>
      </c>
      <c r="G242" s="1269" t="s">
        <v>2234</v>
      </c>
      <c r="H242" s="1269" t="s">
        <v>1763</v>
      </c>
      <c r="I242" s="1270" t="s">
        <v>1918</v>
      </c>
      <c r="J242" s="1258">
        <v>6</v>
      </c>
      <c r="K242" s="1258">
        <v>10</v>
      </c>
      <c r="L242" s="1258">
        <v>13</v>
      </c>
      <c r="M242" s="1264">
        <v>15</v>
      </c>
      <c r="N242" s="1258">
        <v>60</v>
      </c>
      <c r="O242" s="1258">
        <v>140</v>
      </c>
      <c r="P242" s="1258">
        <v>220</v>
      </c>
      <c r="Q242" s="1264">
        <v>340</v>
      </c>
      <c r="R242" s="1258" t="s">
        <v>2234</v>
      </c>
      <c r="S242" s="1258" t="s">
        <v>2234</v>
      </c>
      <c r="T242" s="1258" t="s">
        <v>2234</v>
      </c>
      <c r="U242" s="1264" t="s">
        <v>2234</v>
      </c>
      <c r="V242" s="1260" t="s">
        <v>6400</v>
      </c>
      <c r="W242" s="1260" t="s">
        <v>6401</v>
      </c>
      <c r="X242" s="1260" t="s">
        <v>6402</v>
      </c>
      <c r="Y242" s="1260" t="s">
        <v>6403</v>
      </c>
      <c r="Z242" s="1261" t="s">
        <v>6404</v>
      </c>
    </row>
    <row r="243" spans="2:26" ht="12.75" customHeight="1" x14ac:dyDescent="0.2">
      <c r="B243" s="2465" t="str">
        <f t="shared" si="3"/>
        <v>Fuego36</v>
      </c>
      <c r="C243" s="1262"/>
      <c r="D243" s="1268" t="s">
        <v>6405</v>
      </c>
      <c r="E243" s="1258" t="s">
        <v>2479</v>
      </c>
      <c r="F243" s="1258">
        <v>36</v>
      </c>
      <c r="G243" s="1269" t="s">
        <v>3090</v>
      </c>
      <c r="H243" s="1269" t="s">
        <v>1763</v>
      </c>
      <c r="I243" s="1270" t="s">
        <v>1918</v>
      </c>
      <c r="J243" s="1258">
        <v>7</v>
      </c>
      <c r="K243" s="1258">
        <v>10</v>
      </c>
      <c r="L243" s="1258">
        <v>12</v>
      </c>
      <c r="M243" s="1264">
        <v>15</v>
      </c>
      <c r="N243" s="1258">
        <v>60</v>
      </c>
      <c r="O243" s="1258">
        <v>140</v>
      </c>
      <c r="P243" s="1258">
        <v>240</v>
      </c>
      <c r="Q243" s="1264">
        <v>300</v>
      </c>
      <c r="R243" s="1258">
        <v>15</v>
      </c>
      <c r="S243" s="1258">
        <v>40</v>
      </c>
      <c r="T243" s="1258">
        <v>50</v>
      </c>
      <c r="U243" s="1264">
        <v>60</v>
      </c>
      <c r="V243" s="1260" t="s">
        <v>6406</v>
      </c>
      <c r="W243" s="1260" t="s">
        <v>6407</v>
      </c>
      <c r="X243" s="1260" t="s">
        <v>6408</v>
      </c>
      <c r="Y243" s="1260" t="s">
        <v>6409</v>
      </c>
      <c r="Z243" s="1261" t="s">
        <v>6410</v>
      </c>
    </row>
    <row r="244" spans="2:26" ht="12.75" customHeight="1" x14ac:dyDescent="0.2">
      <c r="B244" s="2465" t="str">
        <f t="shared" si="3"/>
        <v>Fuego40</v>
      </c>
      <c r="C244" s="1262"/>
      <c r="D244" s="1268" t="s">
        <v>6411</v>
      </c>
      <c r="E244" s="1258" t="s">
        <v>2479</v>
      </c>
      <c r="F244" s="1258">
        <v>40</v>
      </c>
      <c r="G244" s="1269" t="s">
        <v>3090</v>
      </c>
      <c r="H244" s="1269" t="s">
        <v>1763</v>
      </c>
      <c r="I244" s="1270" t="s">
        <v>1918</v>
      </c>
      <c r="J244" s="1258">
        <v>7</v>
      </c>
      <c r="K244" s="1258">
        <v>10</v>
      </c>
      <c r="L244" s="1258">
        <v>12</v>
      </c>
      <c r="M244" s="1264">
        <v>15</v>
      </c>
      <c r="N244" s="1258">
        <v>80</v>
      </c>
      <c r="O244" s="1258">
        <v>160</v>
      </c>
      <c r="P244" s="1258">
        <v>240</v>
      </c>
      <c r="Q244" s="1264">
        <v>320</v>
      </c>
      <c r="R244" s="1258">
        <v>20</v>
      </c>
      <c r="S244" s="1258">
        <v>40</v>
      </c>
      <c r="T244" s="1258">
        <v>50</v>
      </c>
      <c r="U244" s="1264">
        <v>60</v>
      </c>
      <c r="V244" s="1260" t="s">
        <v>6412</v>
      </c>
      <c r="W244" s="1260" t="s">
        <v>6413</v>
      </c>
      <c r="X244" s="1260" t="s">
        <v>6414</v>
      </c>
      <c r="Y244" s="1260" t="s">
        <v>6415</v>
      </c>
      <c r="Z244" s="1261" t="s">
        <v>6416</v>
      </c>
    </row>
    <row r="245" spans="2:26" ht="12.75" customHeight="1" x14ac:dyDescent="0.2">
      <c r="B245" s="2465" t="str">
        <f t="shared" si="3"/>
        <v>Fuego42</v>
      </c>
      <c r="C245" s="1262"/>
      <c r="D245" s="1268" t="s">
        <v>6417</v>
      </c>
      <c r="E245" s="1258" t="s">
        <v>2479</v>
      </c>
      <c r="F245" s="1258">
        <v>42</v>
      </c>
      <c r="G245" s="1269" t="s">
        <v>2234</v>
      </c>
      <c r="H245" s="1269" t="s">
        <v>1763</v>
      </c>
      <c r="I245" s="1270" t="s">
        <v>1919</v>
      </c>
      <c r="J245" s="1258">
        <v>6</v>
      </c>
      <c r="K245" s="1258">
        <v>9</v>
      </c>
      <c r="L245" s="1258">
        <v>12</v>
      </c>
      <c r="M245" s="1264">
        <v>15</v>
      </c>
      <c r="N245" s="1258">
        <v>60</v>
      </c>
      <c r="O245" s="1258">
        <v>90</v>
      </c>
      <c r="P245" s="1258">
        <v>120</v>
      </c>
      <c r="Q245" s="1264">
        <v>150</v>
      </c>
      <c r="R245" s="1258" t="s">
        <v>2234</v>
      </c>
      <c r="S245" s="1258" t="s">
        <v>2234</v>
      </c>
      <c r="T245" s="1258" t="s">
        <v>2234</v>
      </c>
      <c r="U245" s="1264" t="s">
        <v>2234</v>
      </c>
      <c r="V245" s="1260" t="s">
        <v>6418</v>
      </c>
      <c r="W245" s="1260" t="s">
        <v>6419</v>
      </c>
      <c r="X245" s="1260" t="s">
        <v>6420</v>
      </c>
      <c r="Y245" s="1260" t="s">
        <v>6421</v>
      </c>
      <c r="Z245" s="1261" t="s">
        <v>6422</v>
      </c>
    </row>
    <row r="246" spans="2:26" ht="12.75" customHeight="1" x14ac:dyDescent="0.2">
      <c r="B246" s="2465" t="str">
        <f t="shared" si="3"/>
        <v>Fuego46</v>
      </c>
      <c r="C246" s="1262"/>
      <c r="D246" s="1268" t="s">
        <v>672</v>
      </c>
      <c r="E246" s="1258" t="s">
        <v>2479</v>
      </c>
      <c r="F246" s="1258">
        <v>46</v>
      </c>
      <c r="G246" s="1269" t="s">
        <v>2234</v>
      </c>
      <c r="H246" s="1269" t="s">
        <v>1763</v>
      </c>
      <c r="I246" s="1270" t="s">
        <v>1918</v>
      </c>
      <c r="J246" s="1258">
        <v>8</v>
      </c>
      <c r="K246" s="1258">
        <v>10</v>
      </c>
      <c r="L246" s="1258">
        <v>12</v>
      </c>
      <c r="M246" s="1264">
        <v>14</v>
      </c>
      <c r="N246" s="1258">
        <v>80</v>
      </c>
      <c r="O246" s="1258">
        <v>120</v>
      </c>
      <c r="P246" s="1258">
        <v>180</v>
      </c>
      <c r="Q246" s="1264">
        <v>240</v>
      </c>
      <c r="R246" s="1258" t="s">
        <v>2234</v>
      </c>
      <c r="S246" s="1258" t="s">
        <v>2234</v>
      </c>
      <c r="T246" s="1258" t="s">
        <v>2234</v>
      </c>
      <c r="U246" s="1264" t="s">
        <v>2234</v>
      </c>
      <c r="V246" s="1260" t="s">
        <v>6423</v>
      </c>
      <c r="W246" s="1260" t="s">
        <v>6424</v>
      </c>
      <c r="X246" s="1260" t="s">
        <v>6425</v>
      </c>
      <c r="Y246" s="1260" t="s">
        <v>6426</v>
      </c>
      <c r="Z246" s="1261" t="s">
        <v>6427</v>
      </c>
    </row>
    <row r="247" spans="2:26" ht="12.75" customHeight="1" x14ac:dyDescent="0.2">
      <c r="B247" s="2465" t="str">
        <f t="shared" si="3"/>
        <v>Fuego50</v>
      </c>
      <c r="C247" s="1262"/>
      <c r="D247" s="1268" t="s">
        <v>673</v>
      </c>
      <c r="E247" s="1258" t="s">
        <v>2479</v>
      </c>
      <c r="F247" s="1258">
        <v>50</v>
      </c>
      <c r="G247" s="1269" t="s">
        <v>2234</v>
      </c>
      <c r="H247" s="1269" t="s">
        <v>1763</v>
      </c>
      <c r="I247" s="1270" t="s">
        <v>1918</v>
      </c>
      <c r="J247" s="1258">
        <v>8</v>
      </c>
      <c r="K247" s="1258">
        <v>10</v>
      </c>
      <c r="L247" s="1258">
        <v>12</v>
      </c>
      <c r="M247" s="1264">
        <v>14</v>
      </c>
      <c r="N247" s="1258">
        <v>80</v>
      </c>
      <c r="O247" s="1258">
        <v>120</v>
      </c>
      <c r="P247" s="1258">
        <v>180</v>
      </c>
      <c r="Q247" s="1264">
        <v>240</v>
      </c>
      <c r="R247" s="1258">
        <v>10</v>
      </c>
      <c r="S247" s="1258">
        <v>10</v>
      </c>
      <c r="T247" s="1258">
        <v>15</v>
      </c>
      <c r="U247" s="1264">
        <v>15</v>
      </c>
      <c r="V247" s="1260" t="s">
        <v>6428</v>
      </c>
      <c r="W247" s="1260" t="s">
        <v>6429</v>
      </c>
      <c r="X247" s="1260" t="s">
        <v>6430</v>
      </c>
      <c r="Y247" s="1260" t="s">
        <v>6431</v>
      </c>
      <c r="Z247" s="1261" t="s">
        <v>6432</v>
      </c>
    </row>
    <row r="248" spans="2:26" ht="12.75" customHeight="1" x14ac:dyDescent="0.2">
      <c r="B248" s="2465" t="str">
        <f t="shared" si="3"/>
        <v>Fuego52</v>
      </c>
      <c r="C248" s="1262"/>
      <c r="D248" s="1268" t="s">
        <v>6433</v>
      </c>
      <c r="E248" s="1258" t="s">
        <v>2479</v>
      </c>
      <c r="F248" s="1258">
        <v>52</v>
      </c>
      <c r="G248" s="1269" t="s">
        <v>2234</v>
      </c>
      <c r="H248" s="1269" t="s">
        <v>1763</v>
      </c>
      <c r="I248" s="1270" t="s">
        <v>1918</v>
      </c>
      <c r="J248" s="1258">
        <v>8</v>
      </c>
      <c r="K248" s="1258">
        <v>11</v>
      </c>
      <c r="L248" s="1258">
        <v>12</v>
      </c>
      <c r="M248" s="1264">
        <v>16</v>
      </c>
      <c r="N248" s="1258">
        <v>100</v>
      </c>
      <c r="O248" s="1258">
        <v>120</v>
      </c>
      <c r="P248" s="1258">
        <v>140</v>
      </c>
      <c r="Q248" s="1264">
        <v>160</v>
      </c>
      <c r="R248" s="1258">
        <v>10</v>
      </c>
      <c r="S248" s="1258">
        <v>15</v>
      </c>
      <c r="T248" s="1258">
        <v>15</v>
      </c>
      <c r="U248" s="1264">
        <v>20</v>
      </c>
      <c r="V248" s="1260" t="s">
        <v>6101</v>
      </c>
      <c r="W248" s="1260" t="s">
        <v>6434</v>
      </c>
      <c r="X248" s="1260" t="s">
        <v>6435</v>
      </c>
      <c r="Y248" s="1260" t="s">
        <v>6436</v>
      </c>
      <c r="Z248" s="1261" t="s">
        <v>6437</v>
      </c>
    </row>
    <row r="249" spans="2:26" ht="12.75" customHeight="1" x14ac:dyDescent="0.2">
      <c r="B249" s="2465" t="str">
        <f t="shared" si="3"/>
        <v>Fuego56</v>
      </c>
      <c r="C249" s="1262"/>
      <c r="D249" s="1268" t="s">
        <v>6438</v>
      </c>
      <c r="E249" s="1258" t="s">
        <v>2479</v>
      </c>
      <c r="F249" s="1258">
        <v>56</v>
      </c>
      <c r="G249" s="1269" t="s">
        <v>3090</v>
      </c>
      <c r="H249" s="1269" t="s">
        <v>1763</v>
      </c>
      <c r="I249" s="1270" t="s">
        <v>1918</v>
      </c>
      <c r="J249" s="1258">
        <v>6</v>
      </c>
      <c r="K249" s="1258">
        <v>9</v>
      </c>
      <c r="L249" s="1258">
        <v>13</v>
      </c>
      <c r="M249" s="1264">
        <v>15</v>
      </c>
      <c r="N249" s="1258">
        <v>120</v>
      </c>
      <c r="O249" s="1258">
        <v>180</v>
      </c>
      <c r="P249" s="1258">
        <v>240</v>
      </c>
      <c r="Q249" s="1264">
        <v>300</v>
      </c>
      <c r="R249" s="1258">
        <v>10</v>
      </c>
      <c r="S249" s="1258">
        <v>10</v>
      </c>
      <c r="T249" s="1258">
        <v>15</v>
      </c>
      <c r="U249" s="1264">
        <v>15</v>
      </c>
      <c r="V249" s="1260" t="s">
        <v>6439</v>
      </c>
      <c r="W249" s="1260" t="s">
        <v>6440</v>
      </c>
      <c r="X249" s="1260" t="s">
        <v>6441</v>
      </c>
      <c r="Y249" s="1260" t="s">
        <v>6442</v>
      </c>
      <c r="Z249" s="1261" t="s">
        <v>6443</v>
      </c>
    </row>
    <row r="250" spans="2:26" ht="12.75" customHeight="1" x14ac:dyDescent="0.2">
      <c r="B250" s="2465" t="str">
        <f t="shared" si="3"/>
        <v>Fuego60</v>
      </c>
      <c r="C250" s="1262"/>
      <c r="D250" s="1268" t="s">
        <v>676</v>
      </c>
      <c r="E250" s="1258" t="s">
        <v>2479</v>
      </c>
      <c r="F250" s="1258">
        <v>60</v>
      </c>
      <c r="G250" s="1269" t="s">
        <v>2234</v>
      </c>
      <c r="H250" s="1269" t="s">
        <v>1764</v>
      </c>
      <c r="I250" s="1270" t="s">
        <v>1918</v>
      </c>
      <c r="J250" s="1258">
        <v>10</v>
      </c>
      <c r="K250" s="1258">
        <v>12</v>
      </c>
      <c r="L250" s="1258">
        <v>12</v>
      </c>
      <c r="M250" s="1264">
        <v>16</v>
      </c>
      <c r="N250" s="1258">
        <v>100</v>
      </c>
      <c r="O250" s="1258">
        <v>150</v>
      </c>
      <c r="P250" s="1258">
        <v>200</v>
      </c>
      <c r="Q250" s="1264">
        <v>260</v>
      </c>
      <c r="R250" s="1258">
        <v>10</v>
      </c>
      <c r="S250" s="1258">
        <v>15</v>
      </c>
      <c r="T250" s="1258">
        <v>15</v>
      </c>
      <c r="U250" s="1264">
        <v>20</v>
      </c>
      <c r="V250" s="1260" t="s">
        <v>6444</v>
      </c>
      <c r="W250" s="1260" t="s">
        <v>6445</v>
      </c>
      <c r="X250" s="1260" t="s">
        <v>6446</v>
      </c>
      <c r="Y250" s="1260" t="s">
        <v>6447</v>
      </c>
      <c r="Z250" s="1261" t="s">
        <v>6448</v>
      </c>
    </row>
    <row r="251" spans="2:26" ht="12.75" customHeight="1" x14ac:dyDescent="0.2">
      <c r="B251" s="2465" t="str">
        <f t="shared" si="3"/>
        <v>Fuego62</v>
      </c>
      <c r="C251" s="1262"/>
      <c r="D251" s="1268" t="s">
        <v>6449</v>
      </c>
      <c r="E251" s="1258" t="s">
        <v>2479</v>
      </c>
      <c r="F251" s="1258">
        <v>62</v>
      </c>
      <c r="G251" s="1269" t="s">
        <v>2234</v>
      </c>
      <c r="H251" s="1269" t="s">
        <v>1762</v>
      </c>
      <c r="I251" s="1270" t="s">
        <v>1918</v>
      </c>
      <c r="J251" s="1258">
        <v>6</v>
      </c>
      <c r="K251" s="1258">
        <v>9</v>
      </c>
      <c r="L251" s="1258">
        <v>14</v>
      </c>
      <c r="M251" s="1264">
        <v>15</v>
      </c>
      <c r="N251" s="1258">
        <v>120</v>
      </c>
      <c r="O251" s="1258">
        <v>180</v>
      </c>
      <c r="P251" s="1258">
        <v>240</v>
      </c>
      <c r="Q251" s="1264">
        <v>300</v>
      </c>
      <c r="R251" s="1258" t="s">
        <v>2234</v>
      </c>
      <c r="S251" s="1258" t="s">
        <v>2234</v>
      </c>
      <c r="T251" s="1258" t="s">
        <v>2234</v>
      </c>
      <c r="U251" s="1264" t="s">
        <v>2234</v>
      </c>
      <c r="V251" s="1260" t="s">
        <v>6450</v>
      </c>
      <c r="W251" s="1260" t="s">
        <v>6451</v>
      </c>
      <c r="X251" s="1260" t="s">
        <v>6452</v>
      </c>
      <c r="Y251" s="1260" t="s">
        <v>6453</v>
      </c>
      <c r="Z251" s="1261" t="s">
        <v>6454</v>
      </c>
    </row>
    <row r="252" spans="2:26" ht="12.75" customHeight="1" x14ac:dyDescent="0.2">
      <c r="B252" s="2465" t="str">
        <f t="shared" si="3"/>
        <v>Fuego66</v>
      </c>
      <c r="C252" s="1262"/>
      <c r="D252" s="1268" t="s">
        <v>6455</v>
      </c>
      <c r="E252" s="1258" t="s">
        <v>2479</v>
      </c>
      <c r="F252" s="1258">
        <v>66</v>
      </c>
      <c r="G252" s="1269" t="s">
        <v>3090</v>
      </c>
      <c r="H252" s="1269" t="s">
        <v>1763</v>
      </c>
      <c r="I252" s="1270" t="s">
        <v>1918</v>
      </c>
      <c r="J252" s="1258">
        <v>7</v>
      </c>
      <c r="K252" s="1258">
        <v>10</v>
      </c>
      <c r="L252" s="1258">
        <v>12</v>
      </c>
      <c r="M252" s="1264">
        <v>15</v>
      </c>
      <c r="N252" s="1258">
        <v>120</v>
      </c>
      <c r="O252" s="1258">
        <v>180</v>
      </c>
      <c r="P252" s="1258">
        <v>240</v>
      </c>
      <c r="Q252" s="1264">
        <v>300</v>
      </c>
      <c r="R252" s="1258">
        <v>10</v>
      </c>
      <c r="S252" s="1258">
        <v>10</v>
      </c>
      <c r="T252" s="1258">
        <v>15</v>
      </c>
      <c r="U252" s="1264">
        <v>15</v>
      </c>
      <c r="V252" s="1260" t="s">
        <v>6456</v>
      </c>
      <c r="W252" s="1260" t="s">
        <v>6457</v>
      </c>
      <c r="X252" s="1260" t="s">
        <v>6458</v>
      </c>
      <c r="Y252" s="1260" t="s">
        <v>6459</v>
      </c>
      <c r="Z252" s="1261" t="s">
        <v>6460</v>
      </c>
    </row>
    <row r="253" spans="2:26" ht="12.75" customHeight="1" x14ac:dyDescent="0.2">
      <c r="B253" s="2465" t="str">
        <f t="shared" si="3"/>
        <v>Fuego70</v>
      </c>
      <c r="C253" s="1262"/>
      <c r="D253" s="1268" t="s">
        <v>6461</v>
      </c>
      <c r="E253" s="1258" t="s">
        <v>2479</v>
      </c>
      <c r="F253" s="1258">
        <v>70</v>
      </c>
      <c r="G253" s="1269" t="s">
        <v>2234</v>
      </c>
      <c r="H253" s="1269" t="s">
        <v>1762</v>
      </c>
      <c r="I253" s="1270" t="s">
        <v>1918</v>
      </c>
      <c r="J253" s="1258">
        <v>9</v>
      </c>
      <c r="K253" s="1258">
        <v>11</v>
      </c>
      <c r="L253" s="1258">
        <v>13</v>
      </c>
      <c r="M253" s="1264">
        <v>16</v>
      </c>
      <c r="N253" s="1258">
        <v>100</v>
      </c>
      <c r="O253" s="1258">
        <v>140</v>
      </c>
      <c r="P253" s="1258">
        <v>200</v>
      </c>
      <c r="Q253" s="1264">
        <v>280</v>
      </c>
      <c r="R253" s="1258" t="s">
        <v>2234</v>
      </c>
      <c r="S253" s="1258" t="s">
        <v>2234</v>
      </c>
      <c r="T253" s="1258" t="s">
        <v>2234</v>
      </c>
      <c r="U253" s="1264" t="s">
        <v>2234</v>
      </c>
      <c r="V253" s="1260" t="s">
        <v>6462</v>
      </c>
      <c r="W253" s="1260" t="s">
        <v>6463</v>
      </c>
      <c r="X253" s="1260" t="s">
        <v>6464</v>
      </c>
      <c r="Y253" s="1260" t="s">
        <v>6465</v>
      </c>
      <c r="Z253" s="1261" t="s">
        <v>6466</v>
      </c>
    </row>
    <row r="254" spans="2:26" ht="12.75" customHeight="1" x14ac:dyDescent="0.2">
      <c r="B254" s="2465" t="str">
        <f t="shared" si="3"/>
        <v>Fuego72</v>
      </c>
      <c r="C254" s="1262"/>
      <c r="D254" s="1268" t="s">
        <v>6467</v>
      </c>
      <c r="E254" s="1258" t="s">
        <v>2479</v>
      </c>
      <c r="F254" s="1258">
        <v>72</v>
      </c>
      <c r="G254" s="1269" t="s">
        <v>3090</v>
      </c>
      <c r="H254" s="1269" t="s">
        <v>1763</v>
      </c>
      <c r="I254" s="1270" t="s">
        <v>1918</v>
      </c>
      <c r="J254" s="1258">
        <v>6</v>
      </c>
      <c r="K254" s="1258">
        <v>9</v>
      </c>
      <c r="L254" s="1258">
        <v>13</v>
      </c>
      <c r="M254" s="1264">
        <v>15</v>
      </c>
      <c r="N254" s="1258">
        <v>120</v>
      </c>
      <c r="O254" s="1258">
        <v>180</v>
      </c>
      <c r="P254" s="1258">
        <v>240</v>
      </c>
      <c r="Q254" s="1264">
        <v>300</v>
      </c>
      <c r="R254" s="1258">
        <v>10</v>
      </c>
      <c r="S254" s="1258">
        <v>10</v>
      </c>
      <c r="T254" s="1258">
        <v>15</v>
      </c>
      <c r="U254" s="1264">
        <v>15</v>
      </c>
      <c r="V254" s="1260" t="s">
        <v>6457</v>
      </c>
      <c r="W254" s="1260" t="s">
        <v>6468</v>
      </c>
      <c r="X254" s="1260" t="s">
        <v>6469</v>
      </c>
      <c r="Y254" s="1260" t="s">
        <v>6470</v>
      </c>
      <c r="Z254" s="1261" t="s">
        <v>6471</v>
      </c>
    </row>
    <row r="255" spans="2:26" ht="12.75" customHeight="1" x14ac:dyDescent="0.2">
      <c r="B255" s="2465" t="str">
        <f t="shared" si="3"/>
        <v>Fuego76</v>
      </c>
      <c r="C255" s="1262"/>
      <c r="D255" s="1268" t="s">
        <v>6472</v>
      </c>
      <c r="E255" s="1258" t="s">
        <v>2479</v>
      </c>
      <c r="F255" s="1258">
        <v>76</v>
      </c>
      <c r="G255" s="1269" t="s">
        <v>2234</v>
      </c>
      <c r="H255" s="1269" t="s">
        <v>1764</v>
      </c>
      <c r="I255" s="1270" t="s">
        <v>1918</v>
      </c>
      <c r="J255" s="1258">
        <v>8</v>
      </c>
      <c r="K255" s="1258">
        <v>10</v>
      </c>
      <c r="L255" s="1258">
        <v>12</v>
      </c>
      <c r="M255" s="1264">
        <v>15</v>
      </c>
      <c r="N255" s="1258">
        <v>150</v>
      </c>
      <c r="O255" s="1258">
        <v>200</v>
      </c>
      <c r="P255" s="1258">
        <v>240</v>
      </c>
      <c r="Q255" s="1264">
        <v>280</v>
      </c>
      <c r="R255" s="1258">
        <v>15</v>
      </c>
      <c r="S255" s="1258">
        <v>20</v>
      </c>
      <c r="T255" s="1258">
        <v>25</v>
      </c>
      <c r="U255" s="1264">
        <v>30</v>
      </c>
      <c r="V255" s="1260" t="s">
        <v>6473</v>
      </c>
      <c r="W255" s="1260" t="s">
        <v>6474</v>
      </c>
      <c r="X255" s="1260" t="s">
        <v>6475</v>
      </c>
      <c r="Y255" s="1260" t="s">
        <v>6476</v>
      </c>
      <c r="Z255" s="1261" t="s">
        <v>6477</v>
      </c>
    </row>
    <row r="256" spans="2:26" ht="12.75" customHeight="1" x14ac:dyDescent="0.2">
      <c r="B256" s="2465" t="str">
        <f t="shared" si="3"/>
        <v>Fuego80</v>
      </c>
      <c r="C256" s="1262"/>
      <c r="D256" s="1268" t="s">
        <v>6478</v>
      </c>
      <c r="E256" s="1258" t="s">
        <v>2479</v>
      </c>
      <c r="F256" s="1258">
        <v>80</v>
      </c>
      <c r="G256" s="1269" t="s">
        <v>3090</v>
      </c>
      <c r="H256" s="1269" t="s">
        <v>1763</v>
      </c>
      <c r="I256" s="1270" t="s">
        <v>1918</v>
      </c>
      <c r="J256" s="1258">
        <v>6</v>
      </c>
      <c r="K256" s="1258">
        <v>9</v>
      </c>
      <c r="L256" s="1258">
        <v>12</v>
      </c>
      <c r="M256" s="1264">
        <v>15</v>
      </c>
      <c r="N256" s="1258">
        <v>120</v>
      </c>
      <c r="O256" s="1258">
        <v>180</v>
      </c>
      <c r="P256" s="1258">
        <v>240</v>
      </c>
      <c r="Q256" s="1264">
        <v>300</v>
      </c>
      <c r="R256" s="1258">
        <v>10</v>
      </c>
      <c r="S256" s="1258">
        <v>10</v>
      </c>
      <c r="T256" s="1258">
        <v>15</v>
      </c>
      <c r="U256" s="1264">
        <v>15</v>
      </c>
      <c r="V256" s="1260" t="s">
        <v>6479</v>
      </c>
      <c r="W256" s="1260" t="s">
        <v>6480</v>
      </c>
      <c r="X256" s="1260" t="s">
        <v>6481</v>
      </c>
      <c r="Y256" s="1260" t="s">
        <v>6482</v>
      </c>
      <c r="Z256" s="1261" t="s">
        <v>6483</v>
      </c>
    </row>
    <row r="257" spans="2:26" ht="12.75" customHeight="1" x14ac:dyDescent="0.2">
      <c r="B257" s="2465" t="str">
        <f t="shared" si="3"/>
        <v>Fuego82</v>
      </c>
      <c r="C257" s="1262"/>
      <c r="D257" s="1268" t="s">
        <v>6484</v>
      </c>
      <c r="E257" s="1258" t="s">
        <v>2479</v>
      </c>
      <c r="F257" s="1258">
        <v>82</v>
      </c>
      <c r="G257" s="1269" t="s">
        <v>3090</v>
      </c>
      <c r="H257" s="1269" t="s">
        <v>1763</v>
      </c>
      <c r="I257" s="1270" t="s">
        <v>1918</v>
      </c>
      <c r="J257" s="1258">
        <v>10</v>
      </c>
      <c r="K257" s="1258">
        <v>12</v>
      </c>
      <c r="L257" s="1258">
        <v>14</v>
      </c>
      <c r="M257" s="1264">
        <v>16</v>
      </c>
      <c r="N257" s="1258">
        <v>250</v>
      </c>
      <c r="O257" s="1258">
        <v>350</v>
      </c>
      <c r="P257" s="1258">
        <v>500</v>
      </c>
      <c r="Q257" s="1264">
        <v>700</v>
      </c>
      <c r="R257" s="1258">
        <v>50</v>
      </c>
      <c r="S257" s="1258">
        <v>70</v>
      </c>
      <c r="T257" s="1258">
        <v>100</v>
      </c>
      <c r="U257" s="1264">
        <v>140</v>
      </c>
      <c r="V257" s="1260" t="s">
        <v>5425</v>
      </c>
      <c r="W257" s="1260" t="s">
        <v>5426</v>
      </c>
      <c r="X257" s="1260" t="s">
        <v>5427</v>
      </c>
      <c r="Y257" s="1260" t="s">
        <v>5428</v>
      </c>
      <c r="Z257" s="1261" t="s">
        <v>6485</v>
      </c>
    </row>
    <row r="258" spans="2:26" ht="12.75" customHeight="1" x14ac:dyDescent="0.2">
      <c r="B258" s="2465" t="str">
        <f t="shared" si="3"/>
        <v>Fuego86</v>
      </c>
      <c r="C258" s="1262"/>
      <c r="D258" s="1268" t="s">
        <v>684</v>
      </c>
      <c r="E258" s="1258" t="s">
        <v>2479</v>
      </c>
      <c r="F258" s="1258">
        <v>86</v>
      </c>
      <c r="G258" s="1269" t="s">
        <v>3090</v>
      </c>
      <c r="H258" s="1269" t="s">
        <v>1763</v>
      </c>
      <c r="I258" s="1270" t="s">
        <v>1918</v>
      </c>
      <c r="J258" s="1258">
        <v>10</v>
      </c>
      <c r="K258" s="1258">
        <v>12</v>
      </c>
      <c r="L258" s="1258">
        <v>14</v>
      </c>
      <c r="M258" s="1264">
        <v>18</v>
      </c>
      <c r="N258" s="1258">
        <v>250</v>
      </c>
      <c r="O258" s="1258">
        <v>300</v>
      </c>
      <c r="P258" s="1258">
        <v>350</v>
      </c>
      <c r="Q258" s="1264">
        <v>400</v>
      </c>
      <c r="R258" s="1258">
        <v>25</v>
      </c>
      <c r="S258" s="1258">
        <v>30</v>
      </c>
      <c r="T258" s="1258">
        <v>30</v>
      </c>
      <c r="U258" s="1264">
        <v>35</v>
      </c>
      <c r="V258" s="1260" t="s">
        <v>6486</v>
      </c>
      <c r="W258" s="1260" t="s">
        <v>6487</v>
      </c>
      <c r="X258" s="1260" t="s">
        <v>6488</v>
      </c>
      <c r="Y258" s="1260" t="s">
        <v>6489</v>
      </c>
      <c r="Z258" s="1261" t="s">
        <v>6490</v>
      </c>
    </row>
    <row r="259" spans="2:26" ht="12.75" customHeight="1" x14ac:dyDescent="0.2">
      <c r="B259" s="2465" t="str">
        <f t="shared" si="3"/>
        <v>Fuego90</v>
      </c>
      <c r="C259" s="1262"/>
      <c r="D259" s="1268" t="s">
        <v>685</v>
      </c>
      <c r="E259" s="1258" t="s">
        <v>2479</v>
      </c>
      <c r="F259" s="1258">
        <v>90</v>
      </c>
      <c r="G259" s="1269" t="s">
        <v>2234</v>
      </c>
      <c r="H259" s="1269" t="s">
        <v>1761</v>
      </c>
      <c r="I259" s="1270" t="s">
        <v>1918</v>
      </c>
      <c r="J259" s="1258">
        <v>10</v>
      </c>
      <c r="K259" s="1258">
        <v>13</v>
      </c>
      <c r="L259" s="1258">
        <v>16</v>
      </c>
      <c r="M259" s="1264">
        <v>18</v>
      </c>
      <c r="N259" s="1258">
        <v>200</v>
      </c>
      <c r="O259" s="1258">
        <v>300</v>
      </c>
      <c r="P259" s="1258">
        <v>400</v>
      </c>
      <c r="Q259" s="1264">
        <v>500</v>
      </c>
      <c r="R259" s="1258" t="s">
        <v>2234</v>
      </c>
      <c r="S259" s="1258" t="s">
        <v>2234</v>
      </c>
      <c r="T259" s="1258" t="s">
        <v>2234</v>
      </c>
      <c r="U259" s="1264" t="s">
        <v>2234</v>
      </c>
      <c r="V259" s="1260" t="s">
        <v>6491</v>
      </c>
      <c r="W259" s="1260" t="s">
        <v>6492</v>
      </c>
      <c r="X259" s="1260" t="s">
        <v>6493</v>
      </c>
      <c r="Y259" s="1260" t="s">
        <v>6494</v>
      </c>
      <c r="Z259" s="1261" t="s">
        <v>6495</v>
      </c>
    </row>
    <row r="260" spans="2:26" ht="12.75" customHeight="1" x14ac:dyDescent="0.2">
      <c r="B260" s="2465" t="str">
        <f t="shared" si="3"/>
        <v>Fuego92</v>
      </c>
      <c r="C260" s="1262"/>
      <c r="D260" s="1268" t="s">
        <v>6496</v>
      </c>
      <c r="E260" s="1258" t="s">
        <v>2479</v>
      </c>
      <c r="F260" s="1258">
        <v>92</v>
      </c>
      <c r="G260" s="1269" t="s">
        <v>3090</v>
      </c>
      <c r="H260" s="1269" t="s">
        <v>1763</v>
      </c>
      <c r="I260" s="1270" t="s">
        <v>1918</v>
      </c>
      <c r="J260" s="1258">
        <v>13</v>
      </c>
      <c r="K260" s="1258">
        <v>15</v>
      </c>
      <c r="L260" s="1258">
        <v>17</v>
      </c>
      <c r="M260" s="1264">
        <v>19</v>
      </c>
      <c r="N260" s="1258">
        <v>250</v>
      </c>
      <c r="O260" s="1258">
        <v>350</v>
      </c>
      <c r="P260" s="1258">
        <v>500</v>
      </c>
      <c r="Q260" s="1264">
        <v>750</v>
      </c>
      <c r="R260" s="1258">
        <v>50</v>
      </c>
      <c r="S260" s="1258">
        <v>70</v>
      </c>
      <c r="T260" s="1258">
        <v>100</v>
      </c>
      <c r="U260" s="1264">
        <v>150</v>
      </c>
      <c r="V260" s="1260" t="s">
        <v>6497</v>
      </c>
      <c r="W260" s="1260" t="s">
        <v>6498</v>
      </c>
      <c r="X260" s="1260" t="s">
        <v>6499</v>
      </c>
      <c r="Y260" s="1260" t="s">
        <v>6500</v>
      </c>
      <c r="Z260" s="1261" t="s">
        <v>6501</v>
      </c>
    </row>
    <row r="261" spans="2:26" ht="12.75" customHeight="1" x14ac:dyDescent="0.2">
      <c r="B261" s="2465" t="str">
        <f t="shared" si="3"/>
        <v>Fuego96</v>
      </c>
      <c r="C261" s="1262"/>
      <c r="D261" s="1268" t="s">
        <v>6502</v>
      </c>
      <c r="E261" s="1258" t="s">
        <v>2479</v>
      </c>
      <c r="F261" s="1258">
        <v>96</v>
      </c>
      <c r="G261" s="1269" t="s">
        <v>3090</v>
      </c>
      <c r="H261" s="1269" t="s">
        <v>1764</v>
      </c>
      <c r="I261" s="1270" t="s">
        <v>1918</v>
      </c>
      <c r="J261" s="1258">
        <v>10</v>
      </c>
      <c r="K261" s="1258">
        <v>12</v>
      </c>
      <c r="L261" s="1258">
        <v>15</v>
      </c>
      <c r="M261" s="1264">
        <v>18</v>
      </c>
      <c r="N261" s="1258">
        <v>300</v>
      </c>
      <c r="O261" s="1258">
        <v>450</v>
      </c>
      <c r="P261" s="1258">
        <v>600</v>
      </c>
      <c r="Q261" s="1264">
        <v>1000</v>
      </c>
      <c r="R261" s="1258">
        <v>30</v>
      </c>
      <c r="S261" s="1258">
        <v>45</v>
      </c>
      <c r="T261" s="1258">
        <v>60</v>
      </c>
      <c r="U261" s="1264">
        <v>100</v>
      </c>
      <c r="V261" s="1260" t="s">
        <v>6503</v>
      </c>
      <c r="W261" s="1260" t="s">
        <v>6504</v>
      </c>
      <c r="X261" s="1260" t="s">
        <v>6505</v>
      </c>
      <c r="Y261" s="1260" t="s">
        <v>6506</v>
      </c>
      <c r="Z261" s="1261" t="s">
        <v>6507</v>
      </c>
    </row>
    <row r="262" spans="2:26" ht="12.75" customHeight="1" x14ac:dyDescent="0.2">
      <c r="B262" s="2465" t="str">
        <f t="shared" si="3"/>
        <v>Fuego100</v>
      </c>
      <c r="C262" s="1262"/>
      <c r="D262" s="1268" t="s">
        <v>688</v>
      </c>
      <c r="E262" s="1258" t="s">
        <v>2479</v>
      </c>
      <c r="F262" s="1258">
        <v>100</v>
      </c>
      <c r="G262" s="1269" t="s">
        <v>3090</v>
      </c>
      <c r="H262" s="1269" t="s">
        <v>1764</v>
      </c>
      <c r="I262" s="1270" t="s">
        <v>1918</v>
      </c>
      <c r="J262" s="1258">
        <v>15</v>
      </c>
      <c r="K262" s="1258">
        <v>16</v>
      </c>
      <c r="L262" s="1258">
        <v>17</v>
      </c>
      <c r="M262" s="1264">
        <v>18</v>
      </c>
      <c r="N262" s="1258">
        <v>450</v>
      </c>
      <c r="O262" s="1258">
        <v>800</v>
      </c>
      <c r="P262" s="1258">
        <v>1200</v>
      </c>
      <c r="Q262" s="1264">
        <v>1600</v>
      </c>
      <c r="R262" s="1258">
        <v>90</v>
      </c>
      <c r="S262" s="1258">
        <v>100</v>
      </c>
      <c r="T262" s="1258">
        <v>105</v>
      </c>
      <c r="U262" s="1264">
        <v>110</v>
      </c>
      <c r="V262" s="1260" t="s">
        <v>6508</v>
      </c>
      <c r="W262" s="1260" t="s">
        <v>6509</v>
      </c>
      <c r="X262" s="1260" t="s">
        <v>6510</v>
      </c>
      <c r="Y262" s="1260" t="s">
        <v>6511</v>
      </c>
      <c r="Z262" s="1261" t="s">
        <v>6512</v>
      </c>
    </row>
    <row r="263" spans="2:26" ht="12.75" customHeight="1" x14ac:dyDescent="0.2">
      <c r="B263" s="2465" t="str">
        <f t="shared" si="3"/>
        <v/>
      </c>
      <c r="C263" s="1262"/>
      <c r="D263" s="1268" t="s">
        <v>689</v>
      </c>
      <c r="E263" s="1258"/>
      <c r="F263" s="1258"/>
      <c r="G263" s="1269"/>
      <c r="H263" s="1269"/>
      <c r="I263" s="1270"/>
      <c r="J263" s="1258"/>
      <c r="K263" s="1258"/>
      <c r="L263" s="1258"/>
      <c r="M263" s="1264"/>
      <c r="N263" s="1258"/>
      <c r="O263" s="1258"/>
      <c r="P263" s="1258"/>
      <c r="Q263" s="1264"/>
      <c r="R263" s="1258"/>
      <c r="S263" s="1258"/>
      <c r="T263" s="1258"/>
      <c r="U263" s="1264"/>
      <c r="V263" s="1260"/>
      <c r="W263" s="1260"/>
      <c r="X263" s="1260"/>
      <c r="Y263" s="1260"/>
      <c r="Z263" s="1261"/>
    </row>
    <row r="264" spans="2:26" ht="12.75" customHeight="1" x14ac:dyDescent="0.2">
      <c r="B264" s="2465" t="str">
        <f t="shared" ref="B264:B327" si="4">E264&amp;F264</f>
        <v>Tierra2</v>
      </c>
      <c r="C264" s="1262"/>
      <c r="D264" s="1268" t="s">
        <v>6513</v>
      </c>
      <c r="E264" s="1258" t="s">
        <v>2575</v>
      </c>
      <c r="F264" s="1258">
        <v>2</v>
      </c>
      <c r="G264" s="1269" t="s">
        <v>2234</v>
      </c>
      <c r="H264" s="1269" t="s">
        <v>5271</v>
      </c>
      <c r="I264" s="1270" t="s">
        <v>1918</v>
      </c>
      <c r="J264" s="1258">
        <v>5</v>
      </c>
      <c r="K264" s="1258">
        <v>8</v>
      </c>
      <c r="L264" s="1258">
        <v>10</v>
      </c>
      <c r="M264" s="1264">
        <v>12</v>
      </c>
      <c r="N264" s="1258">
        <v>20</v>
      </c>
      <c r="O264" s="1258">
        <v>60</v>
      </c>
      <c r="P264" s="1258">
        <v>100</v>
      </c>
      <c r="Q264" s="1264">
        <v>140</v>
      </c>
      <c r="R264" s="1258" t="s">
        <v>2234</v>
      </c>
      <c r="S264" s="1258" t="s">
        <v>2234</v>
      </c>
      <c r="T264" s="1258" t="s">
        <v>2234</v>
      </c>
      <c r="U264" s="1264" t="s">
        <v>6514</v>
      </c>
      <c r="V264" s="1260" t="s">
        <v>6515</v>
      </c>
      <c r="W264" s="1260" t="s">
        <v>5612</v>
      </c>
      <c r="X264" s="1260" t="s">
        <v>6516</v>
      </c>
      <c r="Y264" s="1260" t="s">
        <v>5473</v>
      </c>
      <c r="Z264" s="1261" t="s">
        <v>6517</v>
      </c>
    </row>
    <row r="265" spans="2:26" ht="12.75" customHeight="1" x14ac:dyDescent="0.2">
      <c r="B265" s="2465" t="str">
        <f t="shared" si="4"/>
        <v>Tierra6</v>
      </c>
      <c r="C265" s="1262"/>
      <c r="D265" s="1268" t="s">
        <v>6518</v>
      </c>
      <c r="E265" s="1258" t="s">
        <v>2575</v>
      </c>
      <c r="F265" s="1258">
        <v>6</v>
      </c>
      <c r="G265" s="1269" t="s">
        <v>3090</v>
      </c>
      <c r="H265" s="1269" t="s">
        <v>6107</v>
      </c>
      <c r="I265" s="1270" t="s">
        <v>1918</v>
      </c>
      <c r="J265" s="1258">
        <v>5</v>
      </c>
      <c r="K265" s="1258">
        <v>8</v>
      </c>
      <c r="L265" s="1258">
        <v>10</v>
      </c>
      <c r="M265" s="1264">
        <v>12</v>
      </c>
      <c r="N265" s="1258">
        <v>30</v>
      </c>
      <c r="O265" s="1258">
        <v>60</v>
      </c>
      <c r="P265" s="1258">
        <v>100</v>
      </c>
      <c r="Q265" s="1264">
        <v>140</v>
      </c>
      <c r="R265" s="1258">
        <v>5</v>
      </c>
      <c r="S265" s="1258">
        <v>10</v>
      </c>
      <c r="T265" s="1258">
        <v>10</v>
      </c>
      <c r="U265" s="1264">
        <v>15</v>
      </c>
      <c r="V265" s="1260" t="s">
        <v>6519</v>
      </c>
      <c r="W265" s="1260" t="s">
        <v>6520</v>
      </c>
      <c r="X265" s="1260" t="s">
        <v>6521</v>
      </c>
      <c r="Y265" s="1260" t="s">
        <v>6522</v>
      </c>
      <c r="Z265" s="1261" t="s">
        <v>6523</v>
      </c>
    </row>
    <row r="266" spans="2:26" ht="12.75" customHeight="1" x14ac:dyDescent="0.2">
      <c r="B266" s="2465" t="str">
        <f t="shared" si="4"/>
        <v>Tierra10</v>
      </c>
      <c r="C266" s="1262"/>
      <c r="D266" s="1268" t="s">
        <v>6524</v>
      </c>
      <c r="E266" s="1258" t="s">
        <v>2575</v>
      </c>
      <c r="F266" s="1258">
        <v>10</v>
      </c>
      <c r="G266" s="1269" t="s">
        <v>3090</v>
      </c>
      <c r="H266" s="1269" t="s">
        <v>1763</v>
      </c>
      <c r="I266" s="1270" t="s">
        <v>1918</v>
      </c>
      <c r="J266" s="1258">
        <v>5</v>
      </c>
      <c r="K266" s="1258">
        <v>8</v>
      </c>
      <c r="L266" s="1258">
        <v>10</v>
      </c>
      <c r="M266" s="1264">
        <v>12</v>
      </c>
      <c r="N266" s="1258">
        <v>40</v>
      </c>
      <c r="O266" s="1258">
        <v>120</v>
      </c>
      <c r="P266" s="1258">
        <v>200</v>
      </c>
      <c r="Q266" s="1264">
        <v>320</v>
      </c>
      <c r="R266" s="1258">
        <v>5</v>
      </c>
      <c r="S266" s="1258">
        <v>25</v>
      </c>
      <c r="T266" s="1258">
        <v>30</v>
      </c>
      <c r="U266" s="1264">
        <v>40</v>
      </c>
      <c r="V266" s="1260" t="s">
        <v>6525</v>
      </c>
      <c r="W266" s="1260" t="s">
        <v>6526</v>
      </c>
      <c r="X266" s="1260" t="s">
        <v>6527</v>
      </c>
      <c r="Y266" s="1260" t="s">
        <v>6528</v>
      </c>
      <c r="Z266" s="1261" t="s">
        <v>6529</v>
      </c>
    </row>
    <row r="267" spans="2:26" ht="12.75" customHeight="1" x14ac:dyDescent="0.2">
      <c r="B267" s="2465" t="str">
        <f t="shared" si="4"/>
        <v>Tierra12</v>
      </c>
      <c r="C267" s="1262"/>
      <c r="D267" s="1268" t="s">
        <v>6530</v>
      </c>
      <c r="E267" s="1258" t="s">
        <v>2575</v>
      </c>
      <c r="F267" s="1258">
        <v>12</v>
      </c>
      <c r="G267" s="1269" t="s">
        <v>2234</v>
      </c>
      <c r="H267" s="1269" t="s">
        <v>1763</v>
      </c>
      <c r="I267" s="1270" t="s">
        <v>1919</v>
      </c>
      <c r="J267" s="1258">
        <v>6</v>
      </c>
      <c r="K267" s="1258">
        <v>8</v>
      </c>
      <c r="L267" s="1258">
        <v>11</v>
      </c>
      <c r="M267" s="1264">
        <v>13</v>
      </c>
      <c r="N267" s="1258">
        <v>40</v>
      </c>
      <c r="O267" s="1258">
        <v>80</v>
      </c>
      <c r="P267" s="1258">
        <v>120</v>
      </c>
      <c r="Q267" s="1264">
        <v>160</v>
      </c>
      <c r="R267" s="1258" t="s">
        <v>2234</v>
      </c>
      <c r="S267" s="1258" t="s">
        <v>2234</v>
      </c>
      <c r="T267" s="1258" t="s">
        <v>2234</v>
      </c>
      <c r="U267" s="1264" t="s">
        <v>2234</v>
      </c>
      <c r="V267" s="1260" t="s">
        <v>6531</v>
      </c>
      <c r="W267" s="1260" t="s">
        <v>6532</v>
      </c>
      <c r="X267" s="1260" t="s">
        <v>6533</v>
      </c>
      <c r="Y267" s="1260" t="s">
        <v>6534</v>
      </c>
      <c r="Z267" s="1261" t="s">
        <v>6535</v>
      </c>
    </row>
    <row r="268" spans="2:26" ht="12.75" customHeight="1" x14ac:dyDescent="0.2">
      <c r="B268" s="2465" t="str">
        <f t="shared" si="4"/>
        <v>Tierra16</v>
      </c>
      <c r="C268" s="1262"/>
      <c r="D268" s="1268" t="s">
        <v>694</v>
      </c>
      <c r="E268" s="1258" t="s">
        <v>2575</v>
      </c>
      <c r="F268" s="1258">
        <v>16</v>
      </c>
      <c r="G268" s="1269" t="s">
        <v>3090</v>
      </c>
      <c r="H268" s="1269" t="s">
        <v>1763</v>
      </c>
      <c r="I268" s="1270" t="s">
        <v>1918</v>
      </c>
      <c r="J268" s="1258">
        <v>6</v>
      </c>
      <c r="K268" s="1258">
        <v>9</v>
      </c>
      <c r="L268" s="1258">
        <v>11</v>
      </c>
      <c r="M268" s="1264">
        <v>13</v>
      </c>
      <c r="N268" s="1258">
        <v>50</v>
      </c>
      <c r="O268" s="1258">
        <v>80</v>
      </c>
      <c r="P268" s="1258">
        <v>120</v>
      </c>
      <c r="Q268" s="1264">
        <v>160</v>
      </c>
      <c r="R268" s="1258">
        <v>5</v>
      </c>
      <c r="S268" s="1258">
        <v>10</v>
      </c>
      <c r="T268" s="1258">
        <v>15</v>
      </c>
      <c r="U268" s="1264">
        <v>20</v>
      </c>
      <c r="V268" s="1260" t="s">
        <v>6536</v>
      </c>
      <c r="W268" s="1260" t="s">
        <v>6537</v>
      </c>
      <c r="X268" s="1260" t="s">
        <v>6538</v>
      </c>
      <c r="Y268" s="1260" t="s">
        <v>6539</v>
      </c>
      <c r="Z268" s="1261" t="s">
        <v>6540</v>
      </c>
    </row>
    <row r="269" spans="2:26" ht="12.75" customHeight="1" x14ac:dyDescent="0.2">
      <c r="B269" s="2465" t="str">
        <f t="shared" si="4"/>
        <v>Tierra20</v>
      </c>
      <c r="C269" s="1262"/>
      <c r="D269" s="1268" t="s">
        <v>6541</v>
      </c>
      <c r="E269" s="1258" t="s">
        <v>2575</v>
      </c>
      <c r="F269" s="1258">
        <v>20</v>
      </c>
      <c r="G269" s="1269" t="s">
        <v>2234</v>
      </c>
      <c r="H269" s="1269" t="s">
        <v>2431</v>
      </c>
      <c r="I269" s="1270" t="s">
        <v>1918</v>
      </c>
      <c r="J269" s="1258">
        <v>6</v>
      </c>
      <c r="K269" s="1258">
        <v>9</v>
      </c>
      <c r="L269" s="1258">
        <v>12</v>
      </c>
      <c r="M269" s="1264">
        <v>15</v>
      </c>
      <c r="N269" s="1258">
        <v>60</v>
      </c>
      <c r="O269" s="1258">
        <v>160</v>
      </c>
      <c r="P269" s="1258">
        <v>240</v>
      </c>
      <c r="Q269" s="1264">
        <v>300</v>
      </c>
      <c r="R269" s="1258">
        <v>10</v>
      </c>
      <c r="S269" s="1258">
        <v>20</v>
      </c>
      <c r="T269" s="1258">
        <v>25</v>
      </c>
      <c r="U269" s="1264">
        <v>30</v>
      </c>
      <c r="V269" s="1260" t="s">
        <v>6542</v>
      </c>
      <c r="W269" s="1260" t="s">
        <v>6543</v>
      </c>
      <c r="X269" s="1260" t="s">
        <v>6544</v>
      </c>
      <c r="Y269" s="1260" t="s">
        <v>6545</v>
      </c>
      <c r="Z269" s="1261" t="s">
        <v>6546</v>
      </c>
    </row>
    <row r="270" spans="2:26" ht="12.75" customHeight="1" x14ac:dyDescent="0.2">
      <c r="B270" s="2465" t="str">
        <f t="shared" si="4"/>
        <v>Tierra22</v>
      </c>
      <c r="C270" s="1262"/>
      <c r="D270" s="1268" t="s">
        <v>696</v>
      </c>
      <c r="E270" s="1258" t="s">
        <v>2575</v>
      </c>
      <c r="F270" s="1258">
        <v>22</v>
      </c>
      <c r="G270" s="1269" t="s">
        <v>2234</v>
      </c>
      <c r="H270" s="1269" t="s">
        <v>1762</v>
      </c>
      <c r="I270" s="1270" t="s">
        <v>1918</v>
      </c>
      <c r="J270" s="1258">
        <v>6</v>
      </c>
      <c r="K270" s="1258">
        <v>2</v>
      </c>
      <c r="L270" s="1258">
        <v>12</v>
      </c>
      <c r="M270" s="1264">
        <v>15</v>
      </c>
      <c r="N270" s="1258">
        <v>60</v>
      </c>
      <c r="O270" s="1258">
        <v>90</v>
      </c>
      <c r="P270" s="1258">
        <v>120</v>
      </c>
      <c r="Q270" s="1264">
        <v>150</v>
      </c>
      <c r="R270" s="1258">
        <v>10</v>
      </c>
      <c r="S270" s="1258">
        <v>10</v>
      </c>
      <c r="T270" s="1258">
        <v>15</v>
      </c>
      <c r="U270" s="1264">
        <v>15</v>
      </c>
      <c r="V270" s="1260" t="s">
        <v>6547</v>
      </c>
      <c r="W270" s="1260" t="s">
        <v>6548</v>
      </c>
      <c r="X270" s="1260" t="s">
        <v>6549</v>
      </c>
      <c r="Y270" s="1260" t="s">
        <v>6550</v>
      </c>
      <c r="Z270" s="1261" t="s">
        <v>6551</v>
      </c>
    </row>
    <row r="271" spans="2:26" ht="12.75" customHeight="1" x14ac:dyDescent="0.2">
      <c r="B271" s="2465" t="str">
        <f t="shared" si="4"/>
        <v>Tierra26</v>
      </c>
      <c r="C271" s="1262"/>
      <c r="D271" s="1268" t="s">
        <v>697</v>
      </c>
      <c r="E271" s="1258" t="s">
        <v>2575</v>
      </c>
      <c r="F271" s="1258">
        <v>26</v>
      </c>
      <c r="G271" s="1269" t="s">
        <v>3090</v>
      </c>
      <c r="H271" s="1269" t="s">
        <v>1763</v>
      </c>
      <c r="I271" s="1270" t="s">
        <v>1918</v>
      </c>
      <c r="J271" s="1258">
        <v>8</v>
      </c>
      <c r="K271" s="1258">
        <v>10</v>
      </c>
      <c r="L271" s="1258">
        <v>12</v>
      </c>
      <c r="M271" s="1264">
        <v>15</v>
      </c>
      <c r="N271" s="1258">
        <v>80</v>
      </c>
      <c r="O271" s="1258">
        <v>100</v>
      </c>
      <c r="P271" s="1258">
        <v>120</v>
      </c>
      <c r="Q271" s="1264">
        <v>140</v>
      </c>
      <c r="R271" s="1258">
        <v>5</v>
      </c>
      <c r="S271" s="1258">
        <v>5</v>
      </c>
      <c r="T271" s="1258">
        <v>10</v>
      </c>
      <c r="U271" s="1264">
        <v>10</v>
      </c>
      <c r="V271" s="1260" t="s">
        <v>6552</v>
      </c>
      <c r="W271" s="1260" t="s">
        <v>6553</v>
      </c>
      <c r="X271" s="1260" t="s">
        <v>6554</v>
      </c>
      <c r="Y271" s="1260" t="s">
        <v>6555</v>
      </c>
      <c r="Z271" s="1261" t="s">
        <v>6556</v>
      </c>
    </row>
    <row r="272" spans="2:26" ht="12.75" customHeight="1" x14ac:dyDescent="0.2">
      <c r="B272" s="2465" t="str">
        <f t="shared" si="4"/>
        <v>Tierra30</v>
      </c>
      <c r="C272" s="1262"/>
      <c r="D272" s="1268" t="s">
        <v>6557</v>
      </c>
      <c r="E272" s="1258" t="s">
        <v>2575</v>
      </c>
      <c r="F272" s="1258">
        <v>30</v>
      </c>
      <c r="G272" s="1269" t="s">
        <v>2234</v>
      </c>
      <c r="H272" s="1269" t="s">
        <v>2431</v>
      </c>
      <c r="I272" s="1270" t="s">
        <v>1919</v>
      </c>
      <c r="J272" s="1258">
        <v>6</v>
      </c>
      <c r="K272" s="1258">
        <v>8</v>
      </c>
      <c r="L272" s="1258">
        <v>11</v>
      </c>
      <c r="M272" s="1264">
        <v>14</v>
      </c>
      <c r="N272" s="1258">
        <v>50</v>
      </c>
      <c r="O272" s="1258">
        <v>90</v>
      </c>
      <c r="P272" s="1258">
        <v>120</v>
      </c>
      <c r="Q272" s="1264">
        <v>160</v>
      </c>
      <c r="R272" s="1258">
        <v>5</v>
      </c>
      <c r="S272" s="1258">
        <v>10</v>
      </c>
      <c r="T272" s="1258">
        <v>10</v>
      </c>
      <c r="U272" s="1264">
        <v>20</v>
      </c>
      <c r="V272" s="1260" t="s">
        <v>6055</v>
      </c>
      <c r="W272" s="1260" t="s">
        <v>6558</v>
      </c>
      <c r="X272" s="1260" t="s">
        <v>6559</v>
      </c>
      <c r="Y272" s="1260" t="s">
        <v>6560</v>
      </c>
      <c r="Z272" s="1261" t="s">
        <v>6561</v>
      </c>
    </row>
    <row r="273" spans="2:26" ht="12.75" customHeight="1" x14ac:dyDescent="0.2">
      <c r="B273" s="2465" t="str">
        <f t="shared" si="4"/>
        <v>Tierra32</v>
      </c>
      <c r="C273" s="1262"/>
      <c r="D273" s="1268" t="s">
        <v>6562</v>
      </c>
      <c r="E273" s="1258" t="s">
        <v>2575</v>
      </c>
      <c r="F273" s="1258">
        <v>32</v>
      </c>
      <c r="G273" s="1269" t="s">
        <v>2234</v>
      </c>
      <c r="H273" s="1269" t="s">
        <v>1763</v>
      </c>
      <c r="I273" s="1270" t="s">
        <v>1918</v>
      </c>
      <c r="J273" s="1258">
        <v>7</v>
      </c>
      <c r="K273" s="1258">
        <v>10</v>
      </c>
      <c r="L273" s="1258">
        <v>12</v>
      </c>
      <c r="M273" s="1264">
        <v>14</v>
      </c>
      <c r="N273" s="1258">
        <v>80</v>
      </c>
      <c r="O273" s="1258">
        <v>100</v>
      </c>
      <c r="P273" s="1258">
        <v>120</v>
      </c>
      <c r="Q273" s="1264">
        <v>140</v>
      </c>
      <c r="R273" s="1258">
        <v>5</v>
      </c>
      <c r="S273" s="1258">
        <v>5</v>
      </c>
      <c r="T273" s="1258">
        <v>10</v>
      </c>
      <c r="U273" s="1264">
        <v>10</v>
      </c>
      <c r="V273" s="1260" t="s">
        <v>5483</v>
      </c>
      <c r="W273" s="1260" t="s">
        <v>6563</v>
      </c>
      <c r="X273" s="1260" t="s">
        <v>5782</v>
      </c>
      <c r="Y273" s="1260" t="s">
        <v>5783</v>
      </c>
      <c r="Z273" s="1261" t="s">
        <v>6564</v>
      </c>
    </row>
    <row r="274" spans="2:26" ht="12.75" customHeight="1" x14ac:dyDescent="0.2">
      <c r="B274" s="2465" t="str">
        <f t="shared" si="4"/>
        <v>Tierra36</v>
      </c>
      <c r="C274" s="1262"/>
      <c r="D274" s="1268" t="s">
        <v>6565</v>
      </c>
      <c r="E274" s="1258" t="s">
        <v>2575</v>
      </c>
      <c r="F274" s="1258">
        <v>36</v>
      </c>
      <c r="G274" s="1269" t="s">
        <v>2234</v>
      </c>
      <c r="H274" s="1269" t="s">
        <v>1761</v>
      </c>
      <c r="I274" s="1270" t="s">
        <v>1918</v>
      </c>
      <c r="J274" s="1258">
        <v>8</v>
      </c>
      <c r="K274" s="1258">
        <v>10</v>
      </c>
      <c r="L274" s="1258">
        <v>12</v>
      </c>
      <c r="M274" s="1264">
        <v>14</v>
      </c>
      <c r="N274" s="1258">
        <v>80</v>
      </c>
      <c r="O274" s="1258">
        <v>120</v>
      </c>
      <c r="P274" s="1258">
        <v>150</v>
      </c>
      <c r="Q274" s="1264">
        <v>200</v>
      </c>
      <c r="R274" s="1258" t="s">
        <v>2234</v>
      </c>
      <c r="S274" s="1258" t="s">
        <v>2234</v>
      </c>
      <c r="T274" s="1258" t="s">
        <v>2234</v>
      </c>
      <c r="U274" s="1264" t="s">
        <v>2234</v>
      </c>
      <c r="V274" s="1260" t="s">
        <v>6566</v>
      </c>
      <c r="W274" s="1260" t="s">
        <v>6567</v>
      </c>
      <c r="X274" s="1260" t="s">
        <v>6568</v>
      </c>
      <c r="Y274" s="1260" t="s">
        <v>6569</v>
      </c>
      <c r="Z274" s="1261" t="s">
        <v>6570</v>
      </c>
    </row>
    <row r="275" spans="2:26" ht="12.75" customHeight="1" x14ac:dyDescent="0.2">
      <c r="B275" s="2465" t="str">
        <f t="shared" si="4"/>
        <v>Tierra40</v>
      </c>
      <c r="C275" s="1262"/>
      <c r="D275" s="1268" t="s">
        <v>701</v>
      </c>
      <c r="E275" s="1258" t="s">
        <v>2575</v>
      </c>
      <c r="F275" s="1258">
        <v>40</v>
      </c>
      <c r="G275" s="1269" t="s">
        <v>2234</v>
      </c>
      <c r="H275" s="1269" t="s">
        <v>1763</v>
      </c>
      <c r="I275" s="1270" t="s">
        <v>1918</v>
      </c>
      <c r="J275" s="1258">
        <v>6</v>
      </c>
      <c r="K275" s="1258">
        <v>9</v>
      </c>
      <c r="L275" s="1258">
        <v>12</v>
      </c>
      <c r="M275" s="1264">
        <v>15</v>
      </c>
      <c r="N275" s="1258">
        <v>60</v>
      </c>
      <c r="O275" s="1258">
        <v>90</v>
      </c>
      <c r="P275" s="1258">
        <v>120</v>
      </c>
      <c r="Q275" s="1264">
        <v>150</v>
      </c>
      <c r="R275" s="1258">
        <v>10</v>
      </c>
      <c r="S275" s="1258">
        <v>10</v>
      </c>
      <c r="T275" s="1258">
        <v>15</v>
      </c>
      <c r="U275" s="1264">
        <v>15</v>
      </c>
      <c r="V275" s="1260" t="s">
        <v>6571</v>
      </c>
      <c r="W275" s="1260" t="s">
        <v>6572</v>
      </c>
      <c r="X275" s="1260" t="s">
        <v>6573</v>
      </c>
      <c r="Y275" s="1260" t="s">
        <v>6574</v>
      </c>
      <c r="Z275" s="1261" t="s">
        <v>6575</v>
      </c>
    </row>
    <row r="276" spans="2:26" ht="12.75" customHeight="1" x14ac:dyDescent="0.2">
      <c r="B276" s="2465" t="str">
        <f t="shared" si="4"/>
        <v>Tierra42</v>
      </c>
      <c r="C276" s="1262"/>
      <c r="D276" s="1268" t="s">
        <v>702</v>
      </c>
      <c r="E276" s="1258" t="s">
        <v>2575</v>
      </c>
      <c r="F276" s="1258">
        <v>42</v>
      </c>
      <c r="G276" s="1269" t="s">
        <v>2234</v>
      </c>
      <c r="H276" s="1269" t="s">
        <v>1763</v>
      </c>
      <c r="I276" s="1270" t="s">
        <v>1918</v>
      </c>
      <c r="J276" s="1258">
        <v>6</v>
      </c>
      <c r="K276" s="1258">
        <v>9</v>
      </c>
      <c r="L276" s="1258">
        <v>12</v>
      </c>
      <c r="M276" s="1264">
        <v>15</v>
      </c>
      <c r="N276" s="1258">
        <v>120</v>
      </c>
      <c r="O276" s="1258">
        <v>180</v>
      </c>
      <c r="P276" s="1258">
        <v>240</v>
      </c>
      <c r="Q276" s="1264">
        <v>300</v>
      </c>
      <c r="R276" s="1258" t="s">
        <v>2234</v>
      </c>
      <c r="S276" s="1258" t="s">
        <v>2234</v>
      </c>
      <c r="T276" s="1258" t="s">
        <v>2234</v>
      </c>
      <c r="U276" s="1264" t="s">
        <v>2234</v>
      </c>
      <c r="V276" s="1260" t="s">
        <v>6576</v>
      </c>
      <c r="W276" s="1260" t="s">
        <v>6577</v>
      </c>
      <c r="X276" s="1260" t="s">
        <v>6578</v>
      </c>
      <c r="Y276" s="1260" t="s">
        <v>6579</v>
      </c>
      <c r="Z276" s="1261" t="s">
        <v>6580</v>
      </c>
    </row>
    <row r="277" spans="2:26" ht="12.75" customHeight="1" x14ac:dyDescent="0.2">
      <c r="B277" s="2465" t="str">
        <f t="shared" si="4"/>
        <v>Tierra46</v>
      </c>
      <c r="C277" s="1262"/>
      <c r="D277" s="1268" t="s">
        <v>6581</v>
      </c>
      <c r="E277" s="1258" t="s">
        <v>2575</v>
      </c>
      <c r="F277" s="1258">
        <v>46</v>
      </c>
      <c r="G277" s="1269" t="s">
        <v>2234</v>
      </c>
      <c r="H277" s="1269" t="s">
        <v>1763</v>
      </c>
      <c r="I277" s="1270" t="s">
        <v>1918</v>
      </c>
      <c r="J277" s="1258">
        <v>6</v>
      </c>
      <c r="K277" s="1258">
        <v>9</v>
      </c>
      <c r="L277" s="1258">
        <v>12</v>
      </c>
      <c r="M277" s="1264">
        <v>15</v>
      </c>
      <c r="N277" s="1258">
        <v>100</v>
      </c>
      <c r="O277" s="1258">
        <v>180</v>
      </c>
      <c r="P277" s="1258">
        <v>240</v>
      </c>
      <c r="Q277" s="1264">
        <v>320</v>
      </c>
      <c r="R277" s="1258">
        <v>10</v>
      </c>
      <c r="S277" s="1258">
        <v>20</v>
      </c>
      <c r="T277" s="1258">
        <v>25</v>
      </c>
      <c r="U277" s="1264">
        <v>30</v>
      </c>
      <c r="V277" s="1260" t="s">
        <v>6582</v>
      </c>
      <c r="W277" s="1260" t="s">
        <v>6583</v>
      </c>
      <c r="X277" s="1260" t="s">
        <v>6584</v>
      </c>
      <c r="Y277" s="1260" t="s">
        <v>6585</v>
      </c>
      <c r="Z277" s="1261" t="s">
        <v>6586</v>
      </c>
    </row>
    <row r="278" spans="2:26" ht="12.75" customHeight="1" x14ac:dyDescent="0.2">
      <c r="B278" s="2465" t="str">
        <f t="shared" si="4"/>
        <v>Tierra50</v>
      </c>
      <c r="C278" s="1262"/>
      <c r="D278" s="1268" t="s">
        <v>704</v>
      </c>
      <c r="E278" s="1258" t="s">
        <v>2575</v>
      </c>
      <c r="F278" s="1258">
        <v>50</v>
      </c>
      <c r="G278" s="1269" t="s">
        <v>2234</v>
      </c>
      <c r="H278" s="1269" t="s">
        <v>1763</v>
      </c>
      <c r="I278" s="1270" t="s">
        <v>1918</v>
      </c>
      <c r="J278" s="1258">
        <v>7</v>
      </c>
      <c r="K278" s="1258">
        <v>9</v>
      </c>
      <c r="L278" s="1258">
        <v>12</v>
      </c>
      <c r="M278" s="1264">
        <v>15</v>
      </c>
      <c r="N278" s="1258">
        <v>160</v>
      </c>
      <c r="O278" s="1258">
        <v>270</v>
      </c>
      <c r="P278" s="1258">
        <v>360</v>
      </c>
      <c r="Q278" s="1264">
        <v>450</v>
      </c>
      <c r="R278" s="1258" t="s">
        <v>2234</v>
      </c>
      <c r="S278" s="1258" t="s">
        <v>2234</v>
      </c>
      <c r="T278" s="1258" t="s">
        <v>2234</v>
      </c>
      <c r="U278" s="1264" t="s">
        <v>2234</v>
      </c>
      <c r="V278" s="1260" t="s">
        <v>6587</v>
      </c>
      <c r="W278" s="1260" t="s">
        <v>6588</v>
      </c>
      <c r="X278" s="1260" t="s">
        <v>6589</v>
      </c>
      <c r="Y278" s="1260" t="s">
        <v>6590</v>
      </c>
      <c r="Z278" s="1261" t="s">
        <v>6591</v>
      </c>
    </row>
    <row r="279" spans="2:26" ht="12.75" customHeight="1" x14ac:dyDescent="0.2">
      <c r="B279" s="2465" t="str">
        <f t="shared" si="4"/>
        <v>Tierra52</v>
      </c>
      <c r="C279" s="1262"/>
      <c r="D279" s="1268" t="s">
        <v>6592</v>
      </c>
      <c r="E279" s="1258" t="s">
        <v>2575</v>
      </c>
      <c r="F279" s="1258">
        <v>52</v>
      </c>
      <c r="G279" s="1269" t="s">
        <v>2234</v>
      </c>
      <c r="H279" s="1269" t="s">
        <v>1763</v>
      </c>
      <c r="I279" s="1270" t="s">
        <v>1918</v>
      </c>
      <c r="J279" s="1258">
        <v>8</v>
      </c>
      <c r="K279" s="1258">
        <v>11</v>
      </c>
      <c r="L279" s="1258">
        <v>13</v>
      </c>
      <c r="M279" s="1264">
        <v>16</v>
      </c>
      <c r="N279" s="1258">
        <v>100</v>
      </c>
      <c r="O279" s="1258">
        <v>120</v>
      </c>
      <c r="P279" s="1258">
        <v>140</v>
      </c>
      <c r="Q279" s="1264">
        <v>160</v>
      </c>
      <c r="R279" s="1258">
        <v>10</v>
      </c>
      <c r="S279" s="1258">
        <v>15</v>
      </c>
      <c r="T279" s="1258">
        <v>15</v>
      </c>
      <c r="U279" s="1264">
        <v>20</v>
      </c>
      <c r="V279" s="1260" t="s">
        <v>6593</v>
      </c>
      <c r="W279" s="1260" t="s">
        <v>6594</v>
      </c>
      <c r="X279" s="1260" t="s">
        <v>6595</v>
      </c>
      <c r="Y279" s="1260" t="s">
        <v>6596</v>
      </c>
      <c r="Z279" s="1261" t="s">
        <v>6597</v>
      </c>
    </row>
    <row r="280" spans="2:26" ht="12.75" customHeight="1" x14ac:dyDescent="0.2">
      <c r="B280" s="2465" t="str">
        <f t="shared" si="4"/>
        <v>Tierra56</v>
      </c>
      <c r="C280" s="1262"/>
      <c r="D280" s="1268" t="s">
        <v>706</v>
      </c>
      <c r="E280" s="1258" t="s">
        <v>2575</v>
      </c>
      <c r="F280" s="1258">
        <v>56</v>
      </c>
      <c r="G280" s="1269" t="s">
        <v>2234</v>
      </c>
      <c r="H280" s="1269" t="s">
        <v>1763</v>
      </c>
      <c r="I280" s="1270" t="s">
        <v>1918</v>
      </c>
      <c r="J280" s="1258">
        <v>8</v>
      </c>
      <c r="K280" s="1258">
        <v>10</v>
      </c>
      <c r="L280" s="1258">
        <v>13</v>
      </c>
      <c r="M280" s="1264">
        <v>15</v>
      </c>
      <c r="N280" s="1258">
        <v>100</v>
      </c>
      <c r="O280" s="1258">
        <v>180</v>
      </c>
      <c r="P280" s="1258">
        <v>240</v>
      </c>
      <c r="Q280" s="1264">
        <v>300</v>
      </c>
      <c r="R280" s="1258">
        <v>10</v>
      </c>
      <c r="S280" s="1258">
        <v>20</v>
      </c>
      <c r="T280" s="1258">
        <v>25</v>
      </c>
      <c r="U280" s="1264">
        <v>30</v>
      </c>
      <c r="V280" s="1260" t="s">
        <v>6598</v>
      </c>
      <c r="W280" s="1260" t="s">
        <v>6599</v>
      </c>
      <c r="X280" s="1260" t="s">
        <v>6600</v>
      </c>
      <c r="Y280" s="1260" t="s">
        <v>6601</v>
      </c>
      <c r="Z280" s="1261" t="s">
        <v>6602</v>
      </c>
    </row>
    <row r="281" spans="2:26" ht="12.75" customHeight="1" x14ac:dyDescent="0.2">
      <c r="B281" s="2465" t="str">
        <f t="shared" si="4"/>
        <v>Tierra60</v>
      </c>
      <c r="C281" s="1262"/>
      <c r="D281" s="1268" t="s">
        <v>707</v>
      </c>
      <c r="E281" s="1258" t="s">
        <v>2575</v>
      </c>
      <c r="F281" s="1258">
        <v>60</v>
      </c>
      <c r="G281" s="1269" t="s">
        <v>3090</v>
      </c>
      <c r="H281" s="1269" t="s">
        <v>1762</v>
      </c>
      <c r="I281" s="1270" t="s">
        <v>1918</v>
      </c>
      <c r="J281" s="1258">
        <v>7</v>
      </c>
      <c r="K281" s="1258">
        <v>10</v>
      </c>
      <c r="L281" s="1258">
        <v>13</v>
      </c>
      <c r="M281" s="1264">
        <v>16</v>
      </c>
      <c r="N281" s="1258">
        <v>140</v>
      </c>
      <c r="O281" s="1258">
        <v>200</v>
      </c>
      <c r="P281" s="1258">
        <v>260</v>
      </c>
      <c r="Q281" s="1264">
        <v>320</v>
      </c>
      <c r="R281" s="1258">
        <v>10</v>
      </c>
      <c r="S281" s="1258">
        <v>10</v>
      </c>
      <c r="T281" s="1258">
        <v>15</v>
      </c>
      <c r="U281" s="1264">
        <v>20</v>
      </c>
      <c r="V281" s="1260" t="s">
        <v>5709</v>
      </c>
      <c r="W281" s="1260" t="s">
        <v>6603</v>
      </c>
      <c r="X281" s="1260" t="s">
        <v>5387</v>
      </c>
      <c r="Y281" s="1260" t="s">
        <v>5934</v>
      </c>
      <c r="Z281" s="1261" t="s">
        <v>6604</v>
      </c>
    </row>
    <row r="282" spans="2:26" ht="12.75" customHeight="1" x14ac:dyDescent="0.2">
      <c r="B282" s="2465" t="str">
        <f t="shared" si="4"/>
        <v>Tierra62</v>
      </c>
      <c r="C282" s="1262"/>
      <c r="D282" s="1268" t="s">
        <v>708</v>
      </c>
      <c r="E282" s="1258" t="s">
        <v>2575</v>
      </c>
      <c r="F282" s="1258">
        <v>62</v>
      </c>
      <c r="G282" s="1269" t="s">
        <v>2234</v>
      </c>
      <c r="H282" s="1269" t="s">
        <v>1763</v>
      </c>
      <c r="I282" s="1270" t="s">
        <v>1918</v>
      </c>
      <c r="J282" s="1258">
        <v>8</v>
      </c>
      <c r="K282" s="1258">
        <v>10</v>
      </c>
      <c r="L282" s="1258">
        <v>12</v>
      </c>
      <c r="M282" s="1264">
        <v>14</v>
      </c>
      <c r="N282" s="1258">
        <v>150</v>
      </c>
      <c r="O282" s="1258">
        <v>200</v>
      </c>
      <c r="P282" s="1258">
        <v>250</v>
      </c>
      <c r="Q282" s="1264">
        <v>300</v>
      </c>
      <c r="R282" s="1258" t="s">
        <v>2234</v>
      </c>
      <c r="S282" s="1258" t="s">
        <v>2234</v>
      </c>
      <c r="T282" s="1258" t="s">
        <v>2234</v>
      </c>
      <c r="U282" s="1264" t="s">
        <v>2234</v>
      </c>
      <c r="V282" s="1260" t="s">
        <v>6605</v>
      </c>
      <c r="W282" s="1260" t="s">
        <v>6606</v>
      </c>
      <c r="X282" s="1260" t="s">
        <v>6607</v>
      </c>
      <c r="Y282" s="1260" t="s">
        <v>6608</v>
      </c>
      <c r="Z282" s="1261" t="s">
        <v>6609</v>
      </c>
    </row>
    <row r="283" spans="2:26" ht="12.75" customHeight="1" x14ac:dyDescent="0.2">
      <c r="B283" s="2465" t="str">
        <f t="shared" si="4"/>
        <v>Tierra66</v>
      </c>
      <c r="C283" s="1262"/>
      <c r="D283" s="1268" t="s">
        <v>6610</v>
      </c>
      <c r="E283" s="1258" t="s">
        <v>2575</v>
      </c>
      <c r="F283" s="1258">
        <v>66</v>
      </c>
      <c r="G283" s="1269" t="s">
        <v>3090</v>
      </c>
      <c r="H283" s="1269" t="s">
        <v>5271</v>
      </c>
      <c r="I283" s="1270" t="s">
        <v>1918</v>
      </c>
      <c r="J283" s="1258">
        <v>10</v>
      </c>
      <c r="K283" s="1258">
        <v>12</v>
      </c>
      <c r="L283" s="1258">
        <v>14</v>
      </c>
      <c r="M283" s="1264">
        <v>16</v>
      </c>
      <c r="N283" s="1258">
        <v>200</v>
      </c>
      <c r="O283" s="1258">
        <v>240</v>
      </c>
      <c r="P283" s="1258">
        <v>280</v>
      </c>
      <c r="Q283" s="1264">
        <v>320</v>
      </c>
      <c r="R283" s="1258">
        <v>40</v>
      </c>
      <c r="S283" s="1258">
        <v>50</v>
      </c>
      <c r="T283" s="1258">
        <v>60</v>
      </c>
      <c r="U283" s="1264">
        <v>65</v>
      </c>
      <c r="V283" s="1260" t="s">
        <v>6611</v>
      </c>
      <c r="W283" s="1260" t="s">
        <v>6612</v>
      </c>
      <c r="X283" s="1260" t="s">
        <v>6613</v>
      </c>
      <c r="Y283" s="1260" t="s">
        <v>6614</v>
      </c>
      <c r="Z283" s="1261" t="s">
        <v>6615</v>
      </c>
    </row>
    <row r="284" spans="2:26" ht="12.75" customHeight="1" x14ac:dyDescent="0.2">
      <c r="B284" s="2465" t="str">
        <f t="shared" si="4"/>
        <v>Tierra70</v>
      </c>
      <c r="C284" s="1262"/>
      <c r="D284" s="1268" t="s">
        <v>6616</v>
      </c>
      <c r="E284" s="1258" t="s">
        <v>2575</v>
      </c>
      <c r="F284" s="1258">
        <v>70</v>
      </c>
      <c r="G284" s="1269" t="s">
        <v>3090</v>
      </c>
      <c r="H284" s="1269" t="s">
        <v>1763</v>
      </c>
      <c r="I284" s="1270" t="s">
        <v>1918</v>
      </c>
      <c r="J284" s="1258">
        <v>8</v>
      </c>
      <c r="K284" s="1258">
        <v>10</v>
      </c>
      <c r="L284" s="1258">
        <v>12</v>
      </c>
      <c r="M284" s="1264">
        <v>15</v>
      </c>
      <c r="N284" s="1258">
        <v>120</v>
      </c>
      <c r="O284" s="1258">
        <v>180</v>
      </c>
      <c r="P284" s="1258">
        <v>240</v>
      </c>
      <c r="Q284" s="1264">
        <v>300</v>
      </c>
      <c r="R284" s="1258">
        <v>15</v>
      </c>
      <c r="S284" s="1258">
        <v>20</v>
      </c>
      <c r="T284" s="1258">
        <v>25</v>
      </c>
      <c r="U284" s="1264">
        <v>30</v>
      </c>
      <c r="V284" s="1260" t="s">
        <v>6617</v>
      </c>
      <c r="W284" s="1260" t="s">
        <v>6618</v>
      </c>
      <c r="X284" s="1260" t="s">
        <v>6619</v>
      </c>
      <c r="Y284" s="1260" t="s">
        <v>6620</v>
      </c>
      <c r="Z284" s="1261" t="s">
        <v>6621</v>
      </c>
    </row>
    <row r="285" spans="2:26" ht="12.75" customHeight="1" x14ac:dyDescent="0.2">
      <c r="B285" s="2465" t="str">
        <f t="shared" si="4"/>
        <v>Tierra72</v>
      </c>
      <c r="C285" s="1262"/>
      <c r="D285" s="1268" t="s">
        <v>6622</v>
      </c>
      <c r="E285" s="1258" t="s">
        <v>2575</v>
      </c>
      <c r="F285" s="1258">
        <v>72</v>
      </c>
      <c r="G285" s="1269" t="s">
        <v>2234</v>
      </c>
      <c r="H285" s="1269" t="s">
        <v>1763</v>
      </c>
      <c r="I285" s="1270" t="s">
        <v>1918</v>
      </c>
      <c r="J285" s="1258">
        <v>7</v>
      </c>
      <c r="K285" s="1258">
        <v>10</v>
      </c>
      <c r="L285" s="1258">
        <v>12</v>
      </c>
      <c r="M285" s="1264">
        <v>15</v>
      </c>
      <c r="N285" s="1258">
        <v>120</v>
      </c>
      <c r="O285" s="1258">
        <v>270</v>
      </c>
      <c r="P285" s="1258">
        <v>360</v>
      </c>
      <c r="Q285" s="1264">
        <v>450</v>
      </c>
      <c r="R285" s="1258" t="s">
        <v>2234</v>
      </c>
      <c r="S285" s="1258" t="s">
        <v>2234</v>
      </c>
      <c r="T285" s="1258" t="s">
        <v>2234</v>
      </c>
      <c r="U285" s="1264" t="s">
        <v>2234</v>
      </c>
      <c r="V285" s="1260" t="s">
        <v>5473</v>
      </c>
      <c r="W285" s="1260" t="s">
        <v>6623</v>
      </c>
      <c r="X285" s="1260" t="s">
        <v>6624</v>
      </c>
      <c r="Y285" s="1260" t="s">
        <v>6625</v>
      </c>
      <c r="Z285" s="1261" t="s">
        <v>6626</v>
      </c>
    </row>
    <row r="286" spans="2:26" ht="12.75" customHeight="1" x14ac:dyDescent="0.2">
      <c r="B286" s="2465" t="str">
        <f t="shared" si="4"/>
        <v>Tierra76</v>
      </c>
      <c r="C286" s="1262"/>
      <c r="D286" s="1268" t="s">
        <v>712</v>
      </c>
      <c r="E286" s="1258" t="s">
        <v>2575</v>
      </c>
      <c r="F286" s="1258">
        <v>76</v>
      </c>
      <c r="G286" s="1269" t="s">
        <v>2234</v>
      </c>
      <c r="H286" s="1269" t="s">
        <v>6627</v>
      </c>
      <c r="I286" s="1270" t="s">
        <v>1918</v>
      </c>
      <c r="J286" s="1258">
        <v>8</v>
      </c>
      <c r="K286" s="1258">
        <v>10</v>
      </c>
      <c r="L286" s="1258">
        <v>12</v>
      </c>
      <c r="M286" s="1264">
        <v>14</v>
      </c>
      <c r="N286" s="1258">
        <v>150</v>
      </c>
      <c r="O286" s="1258">
        <v>200</v>
      </c>
      <c r="P286" s="1258">
        <v>300</v>
      </c>
      <c r="Q286" s="1264">
        <v>400</v>
      </c>
      <c r="R286" s="1258">
        <v>15</v>
      </c>
      <c r="S286" s="1258">
        <v>20</v>
      </c>
      <c r="T286" s="1258">
        <v>25</v>
      </c>
      <c r="U286" s="1264">
        <v>30</v>
      </c>
      <c r="V286" s="1260" t="s">
        <v>5473</v>
      </c>
      <c r="W286" s="1260" t="s">
        <v>6623</v>
      </c>
      <c r="X286" s="1260" t="s">
        <v>6624</v>
      </c>
      <c r="Y286" s="1260" t="s">
        <v>6625</v>
      </c>
      <c r="Z286" s="1261" t="s">
        <v>6628</v>
      </c>
    </row>
    <row r="287" spans="2:26" ht="12.75" customHeight="1" x14ac:dyDescent="0.2">
      <c r="B287" s="2465" t="str">
        <f t="shared" si="4"/>
        <v>Tierra80</v>
      </c>
      <c r="C287" s="1262"/>
      <c r="D287" s="1268" t="s">
        <v>6629</v>
      </c>
      <c r="E287" s="1258" t="s">
        <v>2575</v>
      </c>
      <c r="F287" s="1258">
        <v>80</v>
      </c>
      <c r="G287" s="1269" t="s">
        <v>2234</v>
      </c>
      <c r="H287" s="1269" t="s">
        <v>5271</v>
      </c>
      <c r="I287" s="1270" t="s">
        <v>1918</v>
      </c>
      <c r="J287" s="1258">
        <v>9</v>
      </c>
      <c r="K287" s="1258">
        <v>12</v>
      </c>
      <c r="L287" s="1258">
        <v>15</v>
      </c>
      <c r="M287" s="1264">
        <v>17</v>
      </c>
      <c r="N287" s="1258">
        <v>180</v>
      </c>
      <c r="O287" s="1258">
        <v>250</v>
      </c>
      <c r="P287" s="1258">
        <v>320</v>
      </c>
      <c r="Q287" s="1264">
        <v>400</v>
      </c>
      <c r="R287" s="1258">
        <v>20</v>
      </c>
      <c r="S287" s="1258">
        <v>25</v>
      </c>
      <c r="T287" s="1258">
        <v>30</v>
      </c>
      <c r="U287" s="1264">
        <v>40</v>
      </c>
      <c r="V287" s="1260" t="s">
        <v>6630</v>
      </c>
      <c r="W287" s="1260" t="s">
        <v>5612</v>
      </c>
      <c r="X287" s="1260" t="s">
        <v>5472</v>
      </c>
      <c r="Y287" s="1260" t="s">
        <v>6516</v>
      </c>
      <c r="Z287" s="1261" t="s">
        <v>6631</v>
      </c>
    </row>
    <row r="288" spans="2:26" ht="12.75" customHeight="1" x14ac:dyDescent="0.2">
      <c r="B288" s="2465" t="str">
        <f t="shared" si="4"/>
        <v>Tierra82</v>
      </c>
      <c r="C288" s="1262"/>
      <c r="D288" s="1268" t="s">
        <v>6632</v>
      </c>
      <c r="E288" s="1258" t="s">
        <v>2575</v>
      </c>
      <c r="F288" s="1258">
        <v>82</v>
      </c>
      <c r="G288" s="1269" t="s">
        <v>3090</v>
      </c>
      <c r="H288" s="1269" t="s">
        <v>1763</v>
      </c>
      <c r="I288" s="1270" t="s">
        <v>1918</v>
      </c>
      <c r="J288" s="1258">
        <v>10</v>
      </c>
      <c r="K288" s="1258">
        <v>12</v>
      </c>
      <c r="L288" s="1258">
        <v>14</v>
      </c>
      <c r="M288" s="1264">
        <v>16</v>
      </c>
      <c r="N288" s="1258">
        <v>250</v>
      </c>
      <c r="O288" s="1258">
        <v>350</v>
      </c>
      <c r="P288" s="1258">
        <v>500</v>
      </c>
      <c r="Q288" s="1264">
        <v>700</v>
      </c>
      <c r="R288" s="1258">
        <v>50</v>
      </c>
      <c r="S288" s="1258">
        <v>70</v>
      </c>
      <c r="T288" s="1258">
        <v>100</v>
      </c>
      <c r="U288" s="1264">
        <v>140</v>
      </c>
      <c r="V288" s="1260" t="s">
        <v>5786</v>
      </c>
      <c r="W288" s="1260" t="s">
        <v>5426</v>
      </c>
      <c r="X288" s="1260" t="s">
        <v>6633</v>
      </c>
      <c r="Y288" s="1260" t="s">
        <v>6634</v>
      </c>
      <c r="Z288" s="1261" t="s">
        <v>6635</v>
      </c>
    </row>
    <row r="289" spans="2:26" ht="12.75" customHeight="1" x14ac:dyDescent="0.2">
      <c r="B289" s="2465" t="str">
        <f t="shared" si="4"/>
        <v>Tierra86</v>
      </c>
      <c r="C289" s="1262"/>
      <c r="D289" s="1268" t="s">
        <v>6636</v>
      </c>
      <c r="E289" s="1258" t="s">
        <v>2575</v>
      </c>
      <c r="F289" s="1258">
        <v>86</v>
      </c>
      <c r="G289" s="1269" t="s">
        <v>3090</v>
      </c>
      <c r="H289" s="1269" t="s">
        <v>5271</v>
      </c>
      <c r="I289" s="1270" t="s">
        <v>1918</v>
      </c>
      <c r="J289" s="1258">
        <v>10</v>
      </c>
      <c r="K289" s="1258">
        <v>12</v>
      </c>
      <c r="L289" s="1258">
        <v>14</v>
      </c>
      <c r="M289" s="1264">
        <v>16</v>
      </c>
      <c r="N289" s="1258">
        <v>200</v>
      </c>
      <c r="O289" s="1258">
        <v>240</v>
      </c>
      <c r="P289" s="1258">
        <v>280</v>
      </c>
      <c r="Q289" s="1264">
        <v>320</v>
      </c>
      <c r="R289" s="1258">
        <v>20</v>
      </c>
      <c r="S289" s="1258">
        <v>25</v>
      </c>
      <c r="T289" s="1258">
        <v>30</v>
      </c>
      <c r="U289" s="1264">
        <v>35</v>
      </c>
      <c r="V289" s="1260" t="s">
        <v>6637</v>
      </c>
      <c r="W289" s="1260" t="s">
        <v>6638</v>
      </c>
      <c r="X289" s="1260" t="s">
        <v>6639</v>
      </c>
      <c r="Y289" s="1260" t="s">
        <v>6640</v>
      </c>
      <c r="Z289" s="1261" t="s">
        <v>6641</v>
      </c>
    </row>
    <row r="290" spans="2:26" ht="12.75" customHeight="1" x14ac:dyDescent="0.2">
      <c r="B290" s="2465" t="str">
        <f t="shared" si="4"/>
        <v>Tierra90</v>
      </c>
      <c r="C290" s="1262"/>
      <c r="D290" s="1268" t="s">
        <v>716</v>
      </c>
      <c r="E290" s="1258" t="s">
        <v>2575</v>
      </c>
      <c r="F290" s="1258">
        <v>90</v>
      </c>
      <c r="G290" s="1269" t="s">
        <v>2234</v>
      </c>
      <c r="H290" s="1269" t="s">
        <v>1761</v>
      </c>
      <c r="I290" s="1270" t="s">
        <v>1918</v>
      </c>
      <c r="J290" s="1258">
        <v>10</v>
      </c>
      <c r="K290" s="1258">
        <v>13</v>
      </c>
      <c r="L290" s="1258">
        <v>15</v>
      </c>
      <c r="M290" s="1264">
        <v>17</v>
      </c>
      <c r="N290" s="1258">
        <v>200</v>
      </c>
      <c r="O290" s="1258">
        <v>250</v>
      </c>
      <c r="P290" s="1258">
        <v>350</v>
      </c>
      <c r="Q290" s="1264">
        <v>450</v>
      </c>
      <c r="R290" s="1258" t="s">
        <v>2234</v>
      </c>
      <c r="S290" s="1258" t="s">
        <v>2234</v>
      </c>
      <c r="T290" s="1258" t="s">
        <v>2234</v>
      </c>
      <c r="U290" s="1264" t="s">
        <v>2234</v>
      </c>
      <c r="V290" s="1260" t="s">
        <v>6642</v>
      </c>
      <c r="W290" s="1260" t="s">
        <v>6643</v>
      </c>
      <c r="X290" s="1260" t="s">
        <v>6644</v>
      </c>
      <c r="Y290" s="1260" t="s">
        <v>6645</v>
      </c>
      <c r="Z290" s="1261" t="s">
        <v>6646</v>
      </c>
    </row>
    <row r="291" spans="2:26" ht="12.75" customHeight="1" x14ac:dyDescent="0.2">
      <c r="B291" s="2465" t="str">
        <f t="shared" si="4"/>
        <v>Tierra92</v>
      </c>
      <c r="C291" s="1262"/>
      <c r="D291" s="1268" t="s">
        <v>6647</v>
      </c>
      <c r="E291" s="1258" t="s">
        <v>2575</v>
      </c>
      <c r="F291" s="1258">
        <v>92</v>
      </c>
      <c r="G291" s="1269" t="s">
        <v>3090</v>
      </c>
      <c r="H291" s="1269" t="s">
        <v>1763</v>
      </c>
      <c r="I291" s="1270" t="s">
        <v>1918</v>
      </c>
      <c r="J291" s="1258">
        <v>12</v>
      </c>
      <c r="K291" s="1258">
        <v>14</v>
      </c>
      <c r="L291" s="1258">
        <v>16</v>
      </c>
      <c r="M291" s="1264">
        <v>18</v>
      </c>
      <c r="N291" s="1258">
        <v>350</v>
      </c>
      <c r="O291" s="1258">
        <v>500</v>
      </c>
      <c r="P291" s="1258">
        <v>650</v>
      </c>
      <c r="Q291" s="1264">
        <v>800</v>
      </c>
      <c r="R291" s="1258">
        <v>70</v>
      </c>
      <c r="S291" s="1258">
        <v>100</v>
      </c>
      <c r="T291" s="1258">
        <v>130</v>
      </c>
      <c r="U291" s="1264">
        <v>160</v>
      </c>
      <c r="V291" s="1260" t="s">
        <v>6648</v>
      </c>
      <c r="W291" s="1260" t="s">
        <v>6649</v>
      </c>
      <c r="X291" s="1260" t="s">
        <v>6650</v>
      </c>
      <c r="Y291" s="1260" t="s">
        <v>6651</v>
      </c>
      <c r="Z291" s="1261" t="s">
        <v>6652</v>
      </c>
    </row>
    <row r="292" spans="2:26" ht="12.75" customHeight="1" x14ac:dyDescent="0.2">
      <c r="B292" s="2465" t="str">
        <f t="shared" si="4"/>
        <v>Tierra96</v>
      </c>
      <c r="C292" s="1262"/>
      <c r="D292" s="1268" t="s">
        <v>6653</v>
      </c>
      <c r="E292" s="1258" t="s">
        <v>2575</v>
      </c>
      <c r="F292" s="1258">
        <v>96</v>
      </c>
      <c r="G292" s="1269" t="s">
        <v>3090</v>
      </c>
      <c r="H292" s="1269" t="s">
        <v>5271</v>
      </c>
      <c r="I292" s="1270" t="s">
        <v>1918</v>
      </c>
      <c r="J292" s="1258">
        <v>10</v>
      </c>
      <c r="K292" s="1258">
        <v>12</v>
      </c>
      <c r="L292" s="1258">
        <v>15</v>
      </c>
      <c r="M292" s="1264">
        <v>18</v>
      </c>
      <c r="N292" s="1258">
        <v>300</v>
      </c>
      <c r="O292" s="1258">
        <v>450</v>
      </c>
      <c r="P292" s="1258">
        <v>600</v>
      </c>
      <c r="Q292" s="1264">
        <v>1000</v>
      </c>
      <c r="R292" s="1258">
        <v>30</v>
      </c>
      <c r="S292" s="1258">
        <v>45</v>
      </c>
      <c r="T292" s="1258">
        <v>60</v>
      </c>
      <c r="U292" s="1264">
        <v>100</v>
      </c>
      <c r="V292" s="1260" t="s">
        <v>6654</v>
      </c>
      <c r="W292" s="1260" t="s">
        <v>6655</v>
      </c>
      <c r="X292" s="1260" t="s">
        <v>6656</v>
      </c>
      <c r="Y292" s="1260" t="s">
        <v>6657</v>
      </c>
      <c r="Z292" s="1261" t="s">
        <v>6658</v>
      </c>
    </row>
    <row r="293" spans="2:26" ht="12.75" customHeight="1" x14ac:dyDescent="0.2">
      <c r="B293" s="2465" t="str">
        <f t="shared" si="4"/>
        <v>Tierra100</v>
      </c>
      <c r="C293" s="1262"/>
      <c r="D293" s="1268" t="s">
        <v>6659</v>
      </c>
      <c r="E293" s="1258" t="s">
        <v>2575</v>
      </c>
      <c r="F293" s="1258">
        <v>100</v>
      </c>
      <c r="G293" s="1269" t="s">
        <v>2234</v>
      </c>
      <c r="H293" s="1269" t="s">
        <v>5271</v>
      </c>
      <c r="I293" s="1270" t="s">
        <v>1918</v>
      </c>
      <c r="J293" s="1258">
        <v>12</v>
      </c>
      <c r="K293" s="1258">
        <v>14</v>
      </c>
      <c r="L293" s="1258">
        <v>16</v>
      </c>
      <c r="M293" s="1264">
        <v>18</v>
      </c>
      <c r="N293" s="1258">
        <v>450</v>
      </c>
      <c r="O293" s="1258">
        <v>800</v>
      </c>
      <c r="P293" s="1258">
        <v>1200</v>
      </c>
      <c r="Q293" s="1264">
        <v>1600</v>
      </c>
      <c r="R293" s="1258">
        <v>45</v>
      </c>
      <c r="S293" s="1258">
        <v>80</v>
      </c>
      <c r="T293" s="1258">
        <v>120</v>
      </c>
      <c r="U293" s="1264">
        <v>160</v>
      </c>
      <c r="V293" s="1260" t="s">
        <v>6660</v>
      </c>
      <c r="W293" s="1260" t="s">
        <v>6661</v>
      </c>
      <c r="X293" s="1260" t="s">
        <v>6662</v>
      </c>
      <c r="Y293" s="1260" t="s">
        <v>6663</v>
      </c>
      <c r="Z293" s="1261" t="s">
        <v>6664</v>
      </c>
    </row>
    <row r="294" spans="2:26" ht="12.75" customHeight="1" x14ac:dyDescent="0.2">
      <c r="B294" s="2465" t="str">
        <f t="shared" si="4"/>
        <v/>
      </c>
      <c r="C294" s="1262"/>
      <c r="D294" s="1268" t="s">
        <v>720</v>
      </c>
      <c r="E294" s="1258"/>
      <c r="F294" s="1258"/>
      <c r="G294" s="1269"/>
      <c r="H294" s="1269"/>
      <c r="I294" s="1270"/>
      <c r="J294" s="1258"/>
      <c r="K294" s="1258"/>
      <c r="L294" s="1258"/>
      <c r="M294" s="1264"/>
      <c r="N294" s="1258"/>
      <c r="O294" s="1258"/>
      <c r="P294" s="1258"/>
      <c r="Q294" s="1264"/>
      <c r="R294" s="1258"/>
      <c r="S294" s="1258"/>
      <c r="T294" s="1258"/>
      <c r="U294" s="1264"/>
      <c r="V294" s="1260"/>
      <c r="W294" s="1260"/>
      <c r="X294" s="1260"/>
      <c r="Y294" s="1260"/>
      <c r="Z294" s="1261"/>
    </row>
    <row r="295" spans="2:26" ht="12.75" customHeight="1" x14ac:dyDescent="0.2">
      <c r="B295" s="2465" t="str">
        <f t="shared" si="4"/>
        <v>Esencia2</v>
      </c>
      <c r="C295" s="1262"/>
      <c r="D295" s="1268" t="s">
        <v>6665</v>
      </c>
      <c r="E295" s="1258" t="s">
        <v>2580</v>
      </c>
      <c r="F295" s="1258">
        <v>2</v>
      </c>
      <c r="G295" s="1269" t="s">
        <v>3090</v>
      </c>
      <c r="H295" s="1269" t="s">
        <v>1763</v>
      </c>
      <c r="I295" s="1270" t="s">
        <v>1918</v>
      </c>
      <c r="J295" s="1258">
        <v>5</v>
      </c>
      <c r="K295" s="1258">
        <v>8</v>
      </c>
      <c r="L295" s="1258">
        <v>10</v>
      </c>
      <c r="M295" s="1264">
        <v>12</v>
      </c>
      <c r="N295" s="1258">
        <v>30</v>
      </c>
      <c r="O295" s="1258">
        <v>80</v>
      </c>
      <c r="P295" s="1258">
        <v>100</v>
      </c>
      <c r="Q295" s="1264">
        <v>120</v>
      </c>
      <c r="R295" s="1258">
        <v>5</v>
      </c>
      <c r="S295" s="1258">
        <v>10</v>
      </c>
      <c r="T295" s="1258">
        <v>10</v>
      </c>
      <c r="U295" s="1264">
        <v>15</v>
      </c>
      <c r="V295" s="1260" t="s">
        <v>6666</v>
      </c>
      <c r="W295" s="1260" t="s">
        <v>6667</v>
      </c>
      <c r="X295" s="1260" t="s">
        <v>6668</v>
      </c>
      <c r="Y295" s="1260" t="s">
        <v>6669</v>
      </c>
      <c r="Z295" s="1261" t="s">
        <v>6670</v>
      </c>
    </row>
    <row r="296" spans="2:26" ht="12.75" customHeight="1" x14ac:dyDescent="0.2">
      <c r="B296" s="2465" t="str">
        <f t="shared" si="4"/>
        <v>Esencia6</v>
      </c>
      <c r="C296" s="1262"/>
      <c r="D296" s="1268" t="s">
        <v>6671</v>
      </c>
      <c r="E296" s="1258" t="s">
        <v>2580</v>
      </c>
      <c r="F296" s="1258">
        <v>6</v>
      </c>
      <c r="G296" s="1269" t="s">
        <v>2234</v>
      </c>
      <c r="H296" s="1269" t="s">
        <v>6277</v>
      </c>
      <c r="I296" s="1270" t="s">
        <v>1918</v>
      </c>
      <c r="J296" s="1258">
        <v>5</v>
      </c>
      <c r="K296" s="1258">
        <v>8</v>
      </c>
      <c r="L296" s="1258">
        <v>10</v>
      </c>
      <c r="M296" s="1264">
        <v>12</v>
      </c>
      <c r="N296" s="1258">
        <v>30</v>
      </c>
      <c r="O296" s="1258">
        <v>60</v>
      </c>
      <c r="P296" s="1258">
        <v>100</v>
      </c>
      <c r="Q296" s="1264">
        <v>140</v>
      </c>
      <c r="R296" s="1258">
        <v>5</v>
      </c>
      <c r="S296" s="1258">
        <v>10</v>
      </c>
      <c r="T296" s="1258">
        <v>10</v>
      </c>
      <c r="U296" s="1264">
        <v>15</v>
      </c>
      <c r="V296" s="1260" t="s">
        <v>6672</v>
      </c>
      <c r="W296" s="1260" t="s">
        <v>5943</v>
      </c>
      <c r="X296" s="1260" t="s">
        <v>6673</v>
      </c>
      <c r="Y296" s="1260" t="s">
        <v>6674</v>
      </c>
      <c r="Z296" s="1261" t="s">
        <v>6675</v>
      </c>
    </row>
    <row r="297" spans="2:26" ht="12.75" customHeight="1" x14ac:dyDescent="0.2">
      <c r="B297" s="2465" t="str">
        <f t="shared" si="4"/>
        <v>Esencia10</v>
      </c>
      <c r="C297" s="1262"/>
      <c r="D297" s="1268" t="s">
        <v>6676</v>
      </c>
      <c r="E297" s="1258" t="s">
        <v>2580</v>
      </c>
      <c r="F297" s="1258">
        <v>10</v>
      </c>
      <c r="G297" s="1269" t="s">
        <v>3090</v>
      </c>
      <c r="H297" s="1269" t="s">
        <v>6277</v>
      </c>
      <c r="I297" s="1270" t="s">
        <v>1918</v>
      </c>
      <c r="J297" s="1258">
        <v>6</v>
      </c>
      <c r="K297" s="1258">
        <v>9</v>
      </c>
      <c r="L297" s="1258">
        <v>10</v>
      </c>
      <c r="M297" s="1264">
        <v>13</v>
      </c>
      <c r="N297" s="1258">
        <v>30</v>
      </c>
      <c r="O297" s="1258">
        <v>70</v>
      </c>
      <c r="P297" s="1258">
        <v>100</v>
      </c>
      <c r="Q297" s="1264">
        <v>150</v>
      </c>
      <c r="R297" s="1258">
        <v>10</v>
      </c>
      <c r="S297" s="1258">
        <v>20</v>
      </c>
      <c r="T297" s="1258">
        <v>20</v>
      </c>
      <c r="U297" s="1264">
        <v>25</v>
      </c>
      <c r="V297" s="1260" t="s">
        <v>6677</v>
      </c>
      <c r="W297" s="1260" t="s">
        <v>6678</v>
      </c>
      <c r="X297" s="1260" t="s">
        <v>6679</v>
      </c>
      <c r="Y297" s="1260" t="s">
        <v>6680</v>
      </c>
      <c r="Z297" s="1261" t="s">
        <v>6681</v>
      </c>
    </row>
    <row r="298" spans="2:26" ht="12.75" customHeight="1" x14ac:dyDescent="0.2">
      <c r="B298" s="2465" t="str">
        <f t="shared" si="4"/>
        <v>Esencia12</v>
      </c>
      <c r="C298" s="1262"/>
      <c r="D298" s="1268" t="s">
        <v>6682</v>
      </c>
      <c r="E298" s="1258" t="s">
        <v>2580</v>
      </c>
      <c r="F298" s="1258">
        <v>12</v>
      </c>
      <c r="G298" s="1269" t="s">
        <v>2234</v>
      </c>
      <c r="H298" s="1269" t="s">
        <v>1763</v>
      </c>
      <c r="I298" s="1270" t="s">
        <v>1918</v>
      </c>
      <c r="J298" s="1258">
        <v>6</v>
      </c>
      <c r="K298" s="1258">
        <v>9</v>
      </c>
      <c r="L298" s="1258">
        <v>10</v>
      </c>
      <c r="M298" s="1264">
        <v>13</v>
      </c>
      <c r="N298" s="1258">
        <v>40</v>
      </c>
      <c r="O298" s="1258">
        <v>60</v>
      </c>
      <c r="P298" s="1258">
        <v>90</v>
      </c>
      <c r="Q298" s="1264">
        <v>120</v>
      </c>
      <c r="R298" s="1258" t="s">
        <v>2234</v>
      </c>
      <c r="S298" s="1258" t="s">
        <v>2234</v>
      </c>
      <c r="T298" s="1258" t="s">
        <v>2234</v>
      </c>
      <c r="U298" s="1264" t="s">
        <v>2234</v>
      </c>
      <c r="V298" s="1260" t="s">
        <v>6683</v>
      </c>
      <c r="W298" s="1260" t="s">
        <v>6684</v>
      </c>
      <c r="X298" s="1260" t="s">
        <v>6685</v>
      </c>
      <c r="Y298" s="1260" t="s">
        <v>6686</v>
      </c>
      <c r="Z298" s="1261" t="s">
        <v>6687</v>
      </c>
    </row>
    <row r="299" spans="2:26" ht="12.75" customHeight="1" x14ac:dyDescent="0.2">
      <c r="B299" s="2465" t="str">
        <f t="shared" si="4"/>
        <v>Esencia16</v>
      </c>
      <c r="C299" s="1262"/>
      <c r="D299" s="1268" t="s">
        <v>725</v>
      </c>
      <c r="E299" s="1258" t="s">
        <v>2580</v>
      </c>
      <c r="F299" s="1258">
        <v>16</v>
      </c>
      <c r="G299" s="1269" t="s">
        <v>2234</v>
      </c>
      <c r="H299" s="1269" t="s">
        <v>1763</v>
      </c>
      <c r="I299" s="1270" t="s">
        <v>1918</v>
      </c>
      <c r="J299" s="1258">
        <v>8</v>
      </c>
      <c r="K299" s="1258">
        <v>10</v>
      </c>
      <c r="L299" s="1258">
        <v>13</v>
      </c>
      <c r="M299" s="1264">
        <v>15</v>
      </c>
      <c r="N299" s="1258">
        <v>80</v>
      </c>
      <c r="O299" s="1258">
        <v>100</v>
      </c>
      <c r="P299" s="1258">
        <v>120</v>
      </c>
      <c r="Q299" s="1264">
        <v>150</v>
      </c>
      <c r="R299" s="1258" t="s">
        <v>2234</v>
      </c>
      <c r="S299" s="1258" t="s">
        <v>2234</v>
      </c>
      <c r="T299" s="1258" t="s">
        <v>2234</v>
      </c>
      <c r="U299" s="1264" t="s">
        <v>2234</v>
      </c>
      <c r="V299" s="1260" t="s">
        <v>6688</v>
      </c>
      <c r="W299" s="1260" t="s">
        <v>6689</v>
      </c>
      <c r="X299" s="1260" t="s">
        <v>6690</v>
      </c>
      <c r="Y299" s="1260" t="s">
        <v>6691</v>
      </c>
      <c r="Z299" s="1261" t="s">
        <v>6692</v>
      </c>
    </row>
    <row r="300" spans="2:26" ht="12.75" customHeight="1" x14ac:dyDescent="0.2">
      <c r="B300" s="2465" t="str">
        <f t="shared" si="4"/>
        <v>Esencia20</v>
      </c>
      <c r="C300" s="1262"/>
      <c r="D300" s="1268" t="s">
        <v>6693</v>
      </c>
      <c r="E300" s="1258" t="s">
        <v>2580</v>
      </c>
      <c r="F300" s="1258">
        <v>20</v>
      </c>
      <c r="G300" s="1269" t="s">
        <v>3090</v>
      </c>
      <c r="H300" s="1269" t="s">
        <v>2431</v>
      </c>
      <c r="I300" s="1270" t="s">
        <v>1918</v>
      </c>
      <c r="J300" s="1258">
        <v>6</v>
      </c>
      <c r="K300" s="1258">
        <v>9</v>
      </c>
      <c r="L300" s="1258">
        <v>12</v>
      </c>
      <c r="M300" s="1264">
        <v>15</v>
      </c>
      <c r="N300" s="1258">
        <v>40</v>
      </c>
      <c r="O300" s="1258">
        <v>60</v>
      </c>
      <c r="P300" s="1258">
        <v>90</v>
      </c>
      <c r="Q300" s="1264">
        <v>120</v>
      </c>
      <c r="R300" s="1258">
        <v>5</v>
      </c>
      <c r="S300" s="1258">
        <v>10</v>
      </c>
      <c r="T300" s="1258">
        <v>10</v>
      </c>
      <c r="U300" s="1264">
        <v>15</v>
      </c>
      <c r="V300" s="1260" t="s">
        <v>6694</v>
      </c>
      <c r="W300" s="1260" t="s">
        <v>6695</v>
      </c>
      <c r="X300" s="1260" t="s">
        <v>6696</v>
      </c>
      <c r="Y300" s="1260" t="s">
        <v>6697</v>
      </c>
      <c r="Z300" s="1261" t="s">
        <v>6698</v>
      </c>
    </row>
    <row r="301" spans="2:26" ht="12.75" customHeight="1" x14ac:dyDescent="0.2">
      <c r="B301" s="2465" t="str">
        <f t="shared" si="4"/>
        <v>Esencia22</v>
      </c>
      <c r="C301" s="1262"/>
      <c r="D301" s="1268" t="s">
        <v>6699</v>
      </c>
      <c r="E301" s="1258" t="s">
        <v>2580</v>
      </c>
      <c r="F301" s="1258">
        <v>22</v>
      </c>
      <c r="G301" s="1269" t="s">
        <v>3090</v>
      </c>
      <c r="H301" s="1269" t="s">
        <v>1763</v>
      </c>
      <c r="I301" s="1270" t="s">
        <v>1918</v>
      </c>
      <c r="J301" s="1258">
        <v>6</v>
      </c>
      <c r="K301" s="1258">
        <v>9</v>
      </c>
      <c r="L301" s="1258">
        <v>12</v>
      </c>
      <c r="M301" s="1264">
        <v>15</v>
      </c>
      <c r="N301" s="1258">
        <v>60</v>
      </c>
      <c r="O301" s="1258">
        <v>180</v>
      </c>
      <c r="P301" s="1258">
        <v>240</v>
      </c>
      <c r="Q301" s="1264">
        <v>300</v>
      </c>
      <c r="R301" s="1258">
        <v>10</v>
      </c>
      <c r="S301" s="1258">
        <v>20</v>
      </c>
      <c r="T301" s="1258">
        <v>25</v>
      </c>
      <c r="U301" s="1264">
        <v>30</v>
      </c>
      <c r="V301" s="1260" t="s">
        <v>6700</v>
      </c>
      <c r="W301" s="1260" t="s">
        <v>6701</v>
      </c>
      <c r="X301" s="1260" t="s">
        <v>6702</v>
      </c>
      <c r="Y301" s="1260" t="s">
        <v>6703</v>
      </c>
      <c r="Z301" s="1261" t="s">
        <v>6704</v>
      </c>
    </row>
    <row r="302" spans="2:26" ht="12.75" customHeight="1" x14ac:dyDescent="0.2">
      <c r="B302" s="2465" t="str">
        <f t="shared" si="4"/>
        <v>Esencia26</v>
      </c>
      <c r="C302" s="1262"/>
      <c r="D302" s="1268" t="s">
        <v>6705</v>
      </c>
      <c r="E302" s="1258" t="s">
        <v>2580</v>
      </c>
      <c r="F302" s="1258">
        <v>26</v>
      </c>
      <c r="G302" s="1269" t="s">
        <v>2234</v>
      </c>
      <c r="H302" s="1269" t="s">
        <v>6706</v>
      </c>
      <c r="I302" s="1270" t="s">
        <v>1918</v>
      </c>
      <c r="J302" s="1258">
        <v>6</v>
      </c>
      <c r="K302" s="1258">
        <v>8</v>
      </c>
      <c r="L302" s="1258">
        <v>10</v>
      </c>
      <c r="M302" s="1264">
        <v>12</v>
      </c>
      <c r="N302" s="1258">
        <v>50</v>
      </c>
      <c r="O302" s="1258">
        <v>80</v>
      </c>
      <c r="P302" s="1258">
        <v>100</v>
      </c>
      <c r="Q302" s="1264">
        <v>140</v>
      </c>
      <c r="R302" s="1258">
        <v>5</v>
      </c>
      <c r="S302" s="1258">
        <v>10</v>
      </c>
      <c r="T302" s="1258">
        <v>10</v>
      </c>
      <c r="U302" s="1264">
        <v>15</v>
      </c>
      <c r="V302" s="1260" t="s">
        <v>5710</v>
      </c>
      <c r="W302" s="1260" t="s">
        <v>5584</v>
      </c>
      <c r="X302" s="1260" t="s">
        <v>5387</v>
      </c>
      <c r="Y302" s="1260" t="s">
        <v>5585</v>
      </c>
      <c r="Z302" s="1261" t="s">
        <v>6707</v>
      </c>
    </row>
    <row r="303" spans="2:26" ht="12.75" customHeight="1" x14ac:dyDescent="0.2">
      <c r="B303" s="2465" t="str">
        <f t="shared" si="4"/>
        <v>Esencia30</v>
      </c>
      <c r="C303" s="1262"/>
      <c r="D303" s="1268" t="s">
        <v>6708</v>
      </c>
      <c r="E303" s="1258" t="s">
        <v>2580</v>
      </c>
      <c r="F303" s="1258">
        <v>30</v>
      </c>
      <c r="G303" s="1269" t="s">
        <v>2234</v>
      </c>
      <c r="H303" s="1269" t="s">
        <v>6706</v>
      </c>
      <c r="I303" s="1270" t="s">
        <v>1918</v>
      </c>
      <c r="J303" s="1258">
        <v>6</v>
      </c>
      <c r="K303" s="1258">
        <v>9</v>
      </c>
      <c r="L303" s="1258">
        <v>12</v>
      </c>
      <c r="M303" s="1264">
        <v>15</v>
      </c>
      <c r="N303" s="1258">
        <v>60</v>
      </c>
      <c r="O303" s="1258">
        <v>90</v>
      </c>
      <c r="P303" s="1258">
        <v>120</v>
      </c>
      <c r="Q303" s="1264">
        <v>150</v>
      </c>
      <c r="R303" s="1258" t="s">
        <v>2234</v>
      </c>
      <c r="S303" s="1258" t="s">
        <v>2234</v>
      </c>
      <c r="T303" s="1258" t="s">
        <v>2234</v>
      </c>
      <c r="U303" s="1264" t="s">
        <v>2234</v>
      </c>
      <c r="V303" s="1260" t="s">
        <v>6709</v>
      </c>
      <c r="W303" s="1260" t="s">
        <v>6710</v>
      </c>
      <c r="X303" s="1260" t="s">
        <v>6711</v>
      </c>
      <c r="Y303" s="1260" t="s">
        <v>6712</v>
      </c>
      <c r="Z303" s="1261" t="s">
        <v>6713</v>
      </c>
    </row>
    <row r="304" spans="2:26" ht="12.75" customHeight="1" x14ac:dyDescent="0.2">
      <c r="B304" s="2465" t="str">
        <f t="shared" si="4"/>
        <v>Esencia32</v>
      </c>
      <c r="C304" s="1262"/>
      <c r="D304" s="1268" t="s">
        <v>6714</v>
      </c>
      <c r="E304" s="1258" t="s">
        <v>2580</v>
      </c>
      <c r="F304" s="1258">
        <v>32</v>
      </c>
      <c r="G304" s="1269" t="s">
        <v>2234</v>
      </c>
      <c r="H304" s="1269" t="s">
        <v>6277</v>
      </c>
      <c r="I304" s="1270" t="s">
        <v>1918</v>
      </c>
      <c r="J304" s="1258">
        <v>7</v>
      </c>
      <c r="K304" s="1258">
        <v>10</v>
      </c>
      <c r="L304" s="1258">
        <v>13</v>
      </c>
      <c r="M304" s="1264">
        <v>15</v>
      </c>
      <c r="N304" s="1258">
        <v>60</v>
      </c>
      <c r="O304" s="1258">
        <v>90</v>
      </c>
      <c r="P304" s="1258">
        <v>120</v>
      </c>
      <c r="Q304" s="1264">
        <v>150</v>
      </c>
      <c r="R304" s="1258" t="s">
        <v>2234</v>
      </c>
      <c r="S304" s="1258" t="s">
        <v>2234</v>
      </c>
      <c r="T304" s="1258" t="s">
        <v>2234</v>
      </c>
      <c r="U304" s="1264" t="s">
        <v>2234</v>
      </c>
      <c r="V304" s="1260" t="s">
        <v>5709</v>
      </c>
      <c r="W304" s="1260" t="s">
        <v>5710</v>
      </c>
      <c r="X304" s="1260" t="s">
        <v>5387</v>
      </c>
      <c r="Y304" s="1260" t="s">
        <v>5585</v>
      </c>
      <c r="Z304" s="1261" t="s">
        <v>6715</v>
      </c>
    </row>
    <row r="305" spans="2:26" ht="12.75" customHeight="1" x14ac:dyDescent="0.2">
      <c r="B305" s="2465" t="str">
        <f t="shared" si="4"/>
        <v>Esencia36</v>
      </c>
      <c r="C305" s="1262"/>
      <c r="D305" s="1268" t="s">
        <v>6716</v>
      </c>
      <c r="E305" s="1258" t="s">
        <v>2580</v>
      </c>
      <c r="F305" s="1258">
        <v>36</v>
      </c>
      <c r="G305" s="1269" t="s">
        <v>3090</v>
      </c>
      <c r="H305" s="1269" t="s">
        <v>1763</v>
      </c>
      <c r="I305" s="1270" t="s">
        <v>1918</v>
      </c>
      <c r="J305" s="1258">
        <v>7</v>
      </c>
      <c r="K305" s="1258">
        <v>10</v>
      </c>
      <c r="L305" s="1258">
        <v>13</v>
      </c>
      <c r="M305" s="1264">
        <v>15</v>
      </c>
      <c r="N305" s="1258">
        <v>120</v>
      </c>
      <c r="O305" s="1258">
        <v>200</v>
      </c>
      <c r="P305" s="1258">
        <v>280</v>
      </c>
      <c r="Q305" s="1264">
        <v>360</v>
      </c>
      <c r="R305" s="1258">
        <v>25</v>
      </c>
      <c r="S305" s="1258">
        <v>40</v>
      </c>
      <c r="T305" s="1258">
        <v>60</v>
      </c>
      <c r="U305" s="1264">
        <v>80</v>
      </c>
      <c r="V305" s="1260" t="s">
        <v>6717</v>
      </c>
      <c r="W305" s="1260" t="s">
        <v>5735</v>
      </c>
      <c r="X305" s="1260" t="s">
        <v>6718</v>
      </c>
      <c r="Y305" s="1260" t="s">
        <v>5736</v>
      </c>
      <c r="Z305" s="1261" t="s">
        <v>6719</v>
      </c>
    </row>
    <row r="306" spans="2:26" ht="12.75" customHeight="1" x14ac:dyDescent="0.2">
      <c r="B306" s="2465" t="str">
        <f t="shared" si="4"/>
        <v>Esencia40</v>
      </c>
      <c r="C306" s="1262"/>
      <c r="D306" s="1268" t="s">
        <v>732</v>
      </c>
      <c r="E306" s="1258" t="s">
        <v>2580</v>
      </c>
      <c r="F306" s="1258">
        <v>40</v>
      </c>
      <c r="G306" s="1269" t="s">
        <v>2234</v>
      </c>
      <c r="H306" s="1269" t="s">
        <v>6277</v>
      </c>
      <c r="I306" s="1270" t="s">
        <v>1918</v>
      </c>
      <c r="J306" s="1258">
        <v>7</v>
      </c>
      <c r="K306" s="1258">
        <v>9</v>
      </c>
      <c r="L306" s="1258">
        <v>12</v>
      </c>
      <c r="M306" s="1264">
        <v>15</v>
      </c>
      <c r="N306" s="1258">
        <v>100</v>
      </c>
      <c r="O306" s="1258">
        <v>180</v>
      </c>
      <c r="P306" s="1258">
        <v>240</v>
      </c>
      <c r="Q306" s="1264">
        <v>300</v>
      </c>
      <c r="R306" s="1258">
        <v>10</v>
      </c>
      <c r="S306" s="1258">
        <v>20</v>
      </c>
      <c r="T306" s="1258">
        <v>25</v>
      </c>
      <c r="U306" s="1264">
        <v>30</v>
      </c>
      <c r="V306" s="1260" t="s">
        <v>5612</v>
      </c>
      <c r="W306" s="1260" t="s">
        <v>6720</v>
      </c>
      <c r="X306" s="1260" t="s">
        <v>5473</v>
      </c>
      <c r="Y306" s="1260" t="s">
        <v>5613</v>
      </c>
      <c r="Z306" s="1261" t="s">
        <v>6721</v>
      </c>
    </row>
    <row r="307" spans="2:26" ht="12.75" customHeight="1" x14ac:dyDescent="0.2">
      <c r="B307" s="2465" t="str">
        <f t="shared" si="4"/>
        <v>Esencia42</v>
      </c>
      <c r="C307" s="1262"/>
      <c r="D307" s="1268" t="s">
        <v>6722</v>
      </c>
      <c r="E307" s="1258" t="s">
        <v>2580</v>
      </c>
      <c r="F307" s="1258">
        <v>42</v>
      </c>
      <c r="G307" s="1269" t="s">
        <v>2234</v>
      </c>
      <c r="H307" s="1269" t="s">
        <v>6277</v>
      </c>
      <c r="I307" s="1270" t="s">
        <v>1918</v>
      </c>
      <c r="J307" s="1258">
        <v>7</v>
      </c>
      <c r="K307" s="1258">
        <v>10</v>
      </c>
      <c r="L307" s="1258">
        <v>13</v>
      </c>
      <c r="M307" s="1264">
        <v>15</v>
      </c>
      <c r="N307" s="1258">
        <v>120</v>
      </c>
      <c r="O307" s="1258">
        <v>180</v>
      </c>
      <c r="P307" s="1258">
        <v>240</v>
      </c>
      <c r="Q307" s="1264">
        <v>300</v>
      </c>
      <c r="R307" s="1258">
        <v>10</v>
      </c>
      <c r="S307" s="1258">
        <v>10</v>
      </c>
      <c r="T307" s="1258">
        <v>15</v>
      </c>
      <c r="U307" s="1264">
        <v>15</v>
      </c>
      <c r="V307" s="1260" t="s">
        <v>6723</v>
      </c>
      <c r="W307" s="1260" t="s">
        <v>6724</v>
      </c>
      <c r="X307" s="1260" t="s">
        <v>6725</v>
      </c>
      <c r="Y307" s="1260" t="s">
        <v>6726</v>
      </c>
      <c r="Z307" s="1261" t="s">
        <v>6727</v>
      </c>
    </row>
    <row r="308" spans="2:26" ht="12.75" customHeight="1" x14ac:dyDescent="0.2">
      <c r="B308" s="2465" t="str">
        <f t="shared" si="4"/>
        <v>Esencia46</v>
      </c>
      <c r="C308" s="1262"/>
      <c r="D308" s="1268" t="s">
        <v>6728</v>
      </c>
      <c r="E308" s="1258" t="s">
        <v>2580</v>
      </c>
      <c r="F308" s="1258">
        <v>46</v>
      </c>
      <c r="G308" s="1269" t="s">
        <v>3090</v>
      </c>
      <c r="H308" s="1269" t="s">
        <v>6706</v>
      </c>
      <c r="I308" s="1270" t="s">
        <v>1918</v>
      </c>
      <c r="J308" s="1258">
        <v>9</v>
      </c>
      <c r="K308" s="1258">
        <v>11</v>
      </c>
      <c r="L308" s="1258">
        <v>13</v>
      </c>
      <c r="M308" s="1264">
        <v>16</v>
      </c>
      <c r="N308" s="1258">
        <v>80</v>
      </c>
      <c r="O308" s="1258">
        <v>140</v>
      </c>
      <c r="P308" s="1258">
        <v>180</v>
      </c>
      <c r="Q308" s="1264">
        <v>240</v>
      </c>
      <c r="R308" s="1258">
        <v>10</v>
      </c>
      <c r="S308" s="1258">
        <v>15</v>
      </c>
      <c r="T308" s="1258">
        <v>15</v>
      </c>
      <c r="U308" s="1264">
        <v>20</v>
      </c>
      <c r="V308" s="1260" t="s">
        <v>6729</v>
      </c>
      <c r="W308" s="1260" t="s">
        <v>6730</v>
      </c>
      <c r="X308" s="1260" t="s">
        <v>6731</v>
      </c>
      <c r="Y308" s="1260" t="s">
        <v>6732</v>
      </c>
      <c r="Z308" s="1261" t="s">
        <v>6733</v>
      </c>
    </row>
    <row r="309" spans="2:26" ht="12.75" customHeight="1" x14ac:dyDescent="0.2">
      <c r="B309" s="2465" t="str">
        <f t="shared" si="4"/>
        <v>Esencia50</v>
      </c>
      <c r="C309" s="1262"/>
      <c r="D309" s="1268" t="s">
        <v>6734</v>
      </c>
      <c r="E309" s="1258" t="s">
        <v>2580</v>
      </c>
      <c r="F309" s="1258">
        <v>50</v>
      </c>
      <c r="G309" s="1269" t="s">
        <v>2234</v>
      </c>
      <c r="H309" s="1269" t="s">
        <v>1763</v>
      </c>
      <c r="I309" s="1270" t="s">
        <v>1918</v>
      </c>
      <c r="J309" s="1258">
        <v>8</v>
      </c>
      <c r="K309" s="1258">
        <v>10</v>
      </c>
      <c r="L309" s="1258">
        <v>13</v>
      </c>
      <c r="M309" s="1264">
        <v>15</v>
      </c>
      <c r="N309" s="1258">
        <v>60</v>
      </c>
      <c r="O309" s="1258">
        <v>180</v>
      </c>
      <c r="P309" s="1258">
        <v>240</v>
      </c>
      <c r="Q309" s="1264">
        <v>300</v>
      </c>
      <c r="R309" s="1258">
        <v>10</v>
      </c>
      <c r="S309" s="1258">
        <v>10</v>
      </c>
      <c r="T309" s="1258">
        <v>15</v>
      </c>
      <c r="U309" s="1264">
        <v>15</v>
      </c>
      <c r="V309" s="1260" t="s">
        <v>6735</v>
      </c>
      <c r="W309" s="1260" t="s">
        <v>6736</v>
      </c>
      <c r="X309" s="1260" t="s">
        <v>6737</v>
      </c>
      <c r="Y309" s="1260" t="s">
        <v>6738</v>
      </c>
      <c r="Z309" s="1261" t="s">
        <v>9669</v>
      </c>
    </row>
    <row r="310" spans="2:26" ht="12.75" customHeight="1" x14ac:dyDescent="0.2">
      <c r="B310" s="2465" t="str">
        <f t="shared" si="4"/>
        <v>Esencia52</v>
      </c>
      <c r="C310" s="1262"/>
      <c r="D310" s="1268" t="s">
        <v>6739</v>
      </c>
      <c r="E310" s="1258" t="s">
        <v>2580</v>
      </c>
      <c r="F310" s="1258">
        <v>52</v>
      </c>
      <c r="G310" s="1269" t="s">
        <v>2234</v>
      </c>
      <c r="H310" s="1269" t="s">
        <v>1763</v>
      </c>
      <c r="I310" s="1270" t="s">
        <v>1918</v>
      </c>
      <c r="J310" s="1258">
        <v>8</v>
      </c>
      <c r="K310" s="1258">
        <v>11</v>
      </c>
      <c r="L310" s="1258">
        <v>13</v>
      </c>
      <c r="M310" s="1264">
        <v>16</v>
      </c>
      <c r="N310" s="1258">
        <v>100</v>
      </c>
      <c r="O310" s="1258">
        <v>120</v>
      </c>
      <c r="P310" s="1258">
        <v>140</v>
      </c>
      <c r="Q310" s="1264">
        <v>160</v>
      </c>
      <c r="R310" s="1258">
        <v>10</v>
      </c>
      <c r="S310" s="1258">
        <v>15</v>
      </c>
      <c r="T310" s="1258">
        <v>15</v>
      </c>
      <c r="U310" s="1264">
        <v>20</v>
      </c>
      <c r="V310" s="1260" t="s">
        <v>6740</v>
      </c>
      <c r="W310" s="1260" t="s">
        <v>6741</v>
      </c>
      <c r="X310" s="1260" t="s">
        <v>6742</v>
      </c>
      <c r="Y310" s="1260" t="s">
        <v>6743</v>
      </c>
      <c r="Z310" s="1261" t="s">
        <v>6744</v>
      </c>
    </row>
    <row r="311" spans="2:26" ht="12.75" customHeight="1" x14ac:dyDescent="0.2">
      <c r="B311" s="2465" t="str">
        <f t="shared" si="4"/>
        <v>Esencia56</v>
      </c>
      <c r="C311" s="1262"/>
      <c r="D311" s="1268" t="s">
        <v>6745</v>
      </c>
      <c r="E311" s="1258" t="s">
        <v>2580</v>
      </c>
      <c r="F311" s="1258">
        <v>56</v>
      </c>
      <c r="G311" s="1269" t="s">
        <v>3090</v>
      </c>
      <c r="H311" s="1269" t="s">
        <v>6706</v>
      </c>
      <c r="I311" s="1270" t="s">
        <v>1918</v>
      </c>
      <c r="J311" s="1258">
        <v>8</v>
      </c>
      <c r="K311" s="1258">
        <v>10</v>
      </c>
      <c r="L311" s="1258">
        <v>12</v>
      </c>
      <c r="M311" s="1264">
        <v>15</v>
      </c>
      <c r="N311" s="1258">
        <v>100</v>
      </c>
      <c r="O311" s="1258">
        <v>180</v>
      </c>
      <c r="P311" s="1258">
        <v>240</v>
      </c>
      <c r="Q311" s="1264">
        <v>300</v>
      </c>
      <c r="R311" s="1258">
        <v>20</v>
      </c>
      <c r="S311" s="1258">
        <v>40</v>
      </c>
      <c r="T311" s="1258">
        <v>50</v>
      </c>
      <c r="U311" s="1264">
        <v>60</v>
      </c>
      <c r="V311" s="1260" t="s">
        <v>5708</v>
      </c>
      <c r="W311" s="1260" t="s">
        <v>5709</v>
      </c>
      <c r="X311" s="1260" t="s">
        <v>6603</v>
      </c>
      <c r="Y311" s="1260" t="s">
        <v>5387</v>
      </c>
      <c r="Z311" s="1261" t="s">
        <v>6746</v>
      </c>
    </row>
    <row r="312" spans="2:26" ht="12.75" customHeight="1" x14ac:dyDescent="0.2">
      <c r="B312" s="2465" t="str">
        <f t="shared" si="4"/>
        <v>Esencia60</v>
      </c>
      <c r="C312" s="1262"/>
      <c r="D312" s="1268" t="s">
        <v>6747</v>
      </c>
      <c r="E312" s="1258" t="s">
        <v>2580</v>
      </c>
      <c r="F312" s="1258">
        <v>60</v>
      </c>
      <c r="G312" s="1269" t="s">
        <v>2234</v>
      </c>
      <c r="H312" s="1269" t="s">
        <v>6706</v>
      </c>
      <c r="I312" s="1270" t="s">
        <v>1918</v>
      </c>
      <c r="J312" s="1258">
        <v>8</v>
      </c>
      <c r="K312" s="1258">
        <v>10</v>
      </c>
      <c r="L312" s="1258">
        <v>12</v>
      </c>
      <c r="M312" s="1264">
        <v>15</v>
      </c>
      <c r="N312" s="1258">
        <v>100</v>
      </c>
      <c r="O312" s="1258">
        <v>180</v>
      </c>
      <c r="P312" s="1258">
        <v>240</v>
      </c>
      <c r="Q312" s="1264">
        <v>300</v>
      </c>
      <c r="R312" s="1258" t="s">
        <v>2234</v>
      </c>
      <c r="S312" s="1258" t="s">
        <v>2234</v>
      </c>
      <c r="T312" s="1258" t="s">
        <v>2234</v>
      </c>
      <c r="U312" s="1264" t="s">
        <v>2234</v>
      </c>
      <c r="V312" s="1260" t="s">
        <v>5753</v>
      </c>
      <c r="W312" s="1260" t="s">
        <v>5710</v>
      </c>
      <c r="X312" s="1260" t="s">
        <v>5387</v>
      </c>
      <c r="Y312" s="1260" t="s">
        <v>5585</v>
      </c>
      <c r="Z312" s="1261" t="s">
        <v>6748</v>
      </c>
    </row>
    <row r="313" spans="2:26" ht="12.75" customHeight="1" x14ac:dyDescent="0.2">
      <c r="B313" s="2465" t="str">
        <f t="shared" si="4"/>
        <v>Esencia62</v>
      </c>
      <c r="C313" s="1262"/>
      <c r="D313" s="1268" t="s">
        <v>6749</v>
      </c>
      <c r="E313" s="1258" t="s">
        <v>2580</v>
      </c>
      <c r="F313" s="1258">
        <v>62</v>
      </c>
      <c r="G313" s="1269" t="s">
        <v>2234</v>
      </c>
      <c r="H313" s="1269" t="s">
        <v>6706</v>
      </c>
      <c r="I313" s="1270" t="s">
        <v>1918</v>
      </c>
      <c r="J313" s="1258">
        <v>8</v>
      </c>
      <c r="K313" s="1258">
        <v>10</v>
      </c>
      <c r="L313" s="1258">
        <v>12</v>
      </c>
      <c r="M313" s="1264">
        <v>15</v>
      </c>
      <c r="N313" s="1258">
        <v>100</v>
      </c>
      <c r="O313" s="1258">
        <v>180</v>
      </c>
      <c r="P313" s="1258">
        <v>240</v>
      </c>
      <c r="Q313" s="1264">
        <v>300</v>
      </c>
      <c r="R313" s="1258" t="s">
        <v>2234</v>
      </c>
      <c r="S313" s="1258" t="s">
        <v>2234</v>
      </c>
      <c r="T313" s="1258" t="s">
        <v>2234</v>
      </c>
      <c r="U313" s="1264" t="s">
        <v>2234</v>
      </c>
      <c r="V313" s="1260" t="s">
        <v>5709</v>
      </c>
      <c r="W313" s="1260" t="s">
        <v>5387</v>
      </c>
      <c r="X313" s="1260" t="s">
        <v>5586</v>
      </c>
      <c r="Y313" s="1260" t="s">
        <v>6750</v>
      </c>
      <c r="Z313" s="1261" t="s">
        <v>6751</v>
      </c>
    </row>
    <row r="314" spans="2:26" ht="12.75" customHeight="1" x14ac:dyDescent="0.2">
      <c r="B314" s="2465" t="str">
        <f t="shared" si="4"/>
        <v>Esencia66</v>
      </c>
      <c r="C314" s="1262"/>
      <c r="D314" s="1268" t="s">
        <v>740</v>
      </c>
      <c r="E314" s="1258" t="s">
        <v>2580</v>
      </c>
      <c r="F314" s="1258">
        <v>66</v>
      </c>
      <c r="G314" s="1269" t="s">
        <v>3090</v>
      </c>
      <c r="H314" s="1269" t="s">
        <v>1764</v>
      </c>
      <c r="I314" s="1270" t="s">
        <v>1918</v>
      </c>
      <c r="J314" s="1258">
        <v>8</v>
      </c>
      <c r="K314" s="1258">
        <v>10</v>
      </c>
      <c r="L314" s="1258">
        <v>13</v>
      </c>
      <c r="M314" s="1264">
        <v>15</v>
      </c>
      <c r="N314" s="1258">
        <v>120</v>
      </c>
      <c r="O314" s="1258">
        <v>180</v>
      </c>
      <c r="P314" s="1258">
        <v>240</v>
      </c>
      <c r="Q314" s="1264">
        <v>300</v>
      </c>
      <c r="R314" s="1258">
        <v>15</v>
      </c>
      <c r="S314" s="1258">
        <v>20</v>
      </c>
      <c r="T314" s="1258">
        <v>25</v>
      </c>
      <c r="U314" s="1264">
        <v>30</v>
      </c>
      <c r="V314" s="1260" t="s">
        <v>6752</v>
      </c>
      <c r="W314" s="1260" t="s">
        <v>6753</v>
      </c>
      <c r="X314" s="1260" t="s">
        <v>6754</v>
      </c>
      <c r="Y314" s="1260" t="s">
        <v>6755</v>
      </c>
      <c r="Z314" s="1261" t="s">
        <v>6756</v>
      </c>
    </row>
    <row r="315" spans="2:26" ht="12.75" customHeight="1" x14ac:dyDescent="0.2">
      <c r="B315" s="2465" t="str">
        <f t="shared" si="4"/>
        <v>Esencia70</v>
      </c>
      <c r="C315" s="1262"/>
      <c r="D315" s="1268" t="s">
        <v>6757</v>
      </c>
      <c r="E315" s="1258" t="s">
        <v>2580</v>
      </c>
      <c r="F315" s="1258">
        <v>70</v>
      </c>
      <c r="G315" s="1269" t="s">
        <v>3090</v>
      </c>
      <c r="H315" s="1269" t="s">
        <v>1762</v>
      </c>
      <c r="I315" s="1270" t="s">
        <v>1918</v>
      </c>
      <c r="J315" s="1258">
        <v>8</v>
      </c>
      <c r="K315" s="1258">
        <v>10</v>
      </c>
      <c r="L315" s="1258">
        <v>13</v>
      </c>
      <c r="M315" s="1264">
        <v>15</v>
      </c>
      <c r="N315" s="1258">
        <v>120</v>
      </c>
      <c r="O315" s="1258">
        <v>180</v>
      </c>
      <c r="P315" s="1258">
        <v>240</v>
      </c>
      <c r="Q315" s="1264">
        <v>300</v>
      </c>
      <c r="R315" s="1258">
        <v>25</v>
      </c>
      <c r="S315" s="1258">
        <v>40</v>
      </c>
      <c r="T315" s="1258">
        <v>50</v>
      </c>
      <c r="U315" s="1264">
        <v>60</v>
      </c>
      <c r="V315" s="1260" t="s">
        <v>5753</v>
      </c>
      <c r="W315" s="1260" t="s">
        <v>5709</v>
      </c>
      <c r="X315" s="1260" t="s">
        <v>5710</v>
      </c>
      <c r="Y315" s="1260" t="s">
        <v>5387</v>
      </c>
      <c r="Z315" s="1261" t="s">
        <v>6758</v>
      </c>
    </row>
    <row r="316" spans="2:26" ht="12.75" customHeight="1" x14ac:dyDescent="0.2">
      <c r="B316" s="2465" t="str">
        <f t="shared" si="4"/>
        <v>Esencia72</v>
      </c>
      <c r="C316" s="1262"/>
      <c r="D316" s="1268" t="s">
        <v>6759</v>
      </c>
      <c r="E316" s="1258" t="s">
        <v>2580</v>
      </c>
      <c r="F316" s="1258">
        <v>72</v>
      </c>
      <c r="G316" s="1269" t="s">
        <v>3696</v>
      </c>
      <c r="H316" s="1269" t="s">
        <v>1762</v>
      </c>
      <c r="I316" s="1270" t="s">
        <v>1918</v>
      </c>
      <c r="J316" s="1258">
        <v>8</v>
      </c>
      <c r="K316" s="1258">
        <v>10</v>
      </c>
      <c r="L316" s="1258">
        <v>13</v>
      </c>
      <c r="M316" s="1264">
        <v>15</v>
      </c>
      <c r="N316" s="1258">
        <v>140</v>
      </c>
      <c r="O316" s="1258">
        <v>180</v>
      </c>
      <c r="P316" s="1258">
        <v>240</v>
      </c>
      <c r="Q316" s="1264">
        <v>300</v>
      </c>
      <c r="R316" s="1258">
        <v>15</v>
      </c>
      <c r="S316" s="1258">
        <v>20</v>
      </c>
      <c r="T316" s="1258">
        <v>25</v>
      </c>
      <c r="U316" s="1264">
        <v>30</v>
      </c>
      <c r="V316" s="1260" t="s">
        <v>5719</v>
      </c>
      <c r="W316" s="1260" t="s">
        <v>6760</v>
      </c>
      <c r="X316" s="1260" t="s">
        <v>6761</v>
      </c>
      <c r="Y316" s="1260" t="s">
        <v>6762</v>
      </c>
      <c r="Z316" s="1261" t="s">
        <v>6763</v>
      </c>
    </row>
    <row r="317" spans="2:26" ht="12.75" customHeight="1" x14ac:dyDescent="0.2">
      <c r="B317" s="2465" t="str">
        <f t="shared" si="4"/>
        <v>Esencia76</v>
      </c>
      <c r="C317" s="1262"/>
      <c r="D317" s="1268" t="s">
        <v>6764</v>
      </c>
      <c r="E317" s="1258" t="s">
        <v>2580</v>
      </c>
      <c r="F317" s="1258">
        <v>76</v>
      </c>
      <c r="G317" s="1269" t="s">
        <v>2234</v>
      </c>
      <c r="H317" s="1269" t="s">
        <v>1762</v>
      </c>
      <c r="I317" s="1270" t="s">
        <v>1918</v>
      </c>
      <c r="J317" s="1258">
        <v>9</v>
      </c>
      <c r="K317" s="1258">
        <v>12</v>
      </c>
      <c r="L317" s="1258">
        <v>15</v>
      </c>
      <c r="M317" s="1264">
        <v>18</v>
      </c>
      <c r="N317" s="1258">
        <v>180</v>
      </c>
      <c r="O317" s="1258">
        <v>240</v>
      </c>
      <c r="P317" s="1258">
        <v>300</v>
      </c>
      <c r="Q317" s="1264">
        <v>540</v>
      </c>
      <c r="R317" s="1258" t="s">
        <v>2234</v>
      </c>
      <c r="S317" s="1258" t="s">
        <v>2234</v>
      </c>
      <c r="T317" s="1258" t="s">
        <v>2234</v>
      </c>
      <c r="U317" s="1264" t="s">
        <v>2234</v>
      </c>
      <c r="V317" s="1260" t="s">
        <v>6765</v>
      </c>
      <c r="W317" s="1260" t="s">
        <v>6766</v>
      </c>
      <c r="X317" s="1260" t="s">
        <v>6767</v>
      </c>
      <c r="Y317" s="1260" t="s">
        <v>6768</v>
      </c>
      <c r="Z317" s="1261" t="s">
        <v>6769</v>
      </c>
    </row>
    <row r="318" spans="2:26" ht="12.75" customHeight="1" x14ac:dyDescent="0.2">
      <c r="B318" s="2465" t="str">
        <f t="shared" si="4"/>
        <v>Esencia80</v>
      </c>
      <c r="C318" s="1262"/>
      <c r="D318" s="1268" t="s">
        <v>6770</v>
      </c>
      <c r="E318" s="1258" t="s">
        <v>2580</v>
      </c>
      <c r="F318" s="1258">
        <v>80</v>
      </c>
      <c r="G318" s="1269" t="s">
        <v>2234</v>
      </c>
      <c r="H318" s="1269" t="s">
        <v>1763</v>
      </c>
      <c r="I318" s="1270" t="s">
        <v>1918</v>
      </c>
      <c r="J318" s="1258">
        <v>10</v>
      </c>
      <c r="K318" s="1258">
        <v>13</v>
      </c>
      <c r="L318" s="1258">
        <v>15</v>
      </c>
      <c r="M318" s="1264">
        <v>17</v>
      </c>
      <c r="N318" s="1258">
        <v>250</v>
      </c>
      <c r="O318" s="1258">
        <v>500</v>
      </c>
      <c r="P318" s="1258">
        <v>1000</v>
      </c>
      <c r="Q318" s="1264">
        <v>2500</v>
      </c>
      <c r="R318" s="1258" t="s">
        <v>2234</v>
      </c>
      <c r="S318" s="1258" t="s">
        <v>2234</v>
      </c>
      <c r="T318" s="1258" t="s">
        <v>2234</v>
      </c>
      <c r="U318" s="1264" t="s">
        <v>2234</v>
      </c>
      <c r="V318" s="1260" t="s">
        <v>6771</v>
      </c>
      <c r="W318" s="1260" t="s">
        <v>6772</v>
      </c>
      <c r="X318" s="1260" t="s">
        <v>6773</v>
      </c>
      <c r="Y318" s="1260" t="s">
        <v>6774</v>
      </c>
      <c r="Z318" s="1261" t="s">
        <v>6775</v>
      </c>
    </row>
    <row r="319" spans="2:26" ht="12.75" customHeight="1" x14ac:dyDescent="0.2">
      <c r="B319" s="2465" t="str">
        <f t="shared" si="4"/>
        <v>Esencia82</v>
      </c>
      <c r="C319" s="1262"/>
      <c r="D319" s="1268" t="s">
        <v>6776</v>
      </c>
      <c r="E319" s="1258" t="s">
        <v>2580</v>
      </c>
      <c r="F319" s="1258">
        <v>82</v>
      </c>
      <c r="G319" s="1269" t="s">
        <v>3090</v>
      </c>
      <c r="H319" s="1269" t="s">
        <v>1763</v>
      </c>
      <c r="I319" s="1270" t="s">
        <v>1918</v>
      </c>
      <c r="J319" s="1258">
        <v>10</v>
      </c>
      <c r="K319" s="1258">
        <v>12</v>
      </c>
      <c r="L319" s="1258">
        <v>14</v>
      </c>
      <c r="M319" s="1264">
        <v>16</v>
      </c>
      <c r="N319" s="1258">
        <v>250</v>
      </c>
      <c r="O319" s="1258">
        <v>350</v>
      </c>
      <c r="P319" s="1258">
        <v>500</v>
      </c>
      <c r="Q319" s="1264">
        <v>700</v>
      </c>
      <c r="R319" s="1258">
        <v>50</v>
      </c>
      <c r="S319" s="1258">
        <v>70</v>
      </c>
      <c r="T319" s="1258">
        <v>100</v>
      </c>
      <c r="U319" s="1264">
        <v>140</v>
      </c>
      <c r="V319" s="1260" t="s">
        <v>5786</v>
      </c>
      <c r="W319" s="1260" t="s">
        <v>5426</v>
      </c>
      <c r="X319" s="1260" t="s">
        <v>6633</v>
      </c>
      <c r="Y319" s="1260" t="s">
        <v>6634</v>
      </c>
      <c r="Z319" s="1261" t="s">
        <v>6777</v>
      </c>
    </row>
    <row r="320" spans="2:26" ht="12.75" customHeight="1" x14ac:dyDescent="0.2">
      <c r="B320" s="2465" t="str">
        <f t="shared" si="4"/>
        <v>Esencia86</v>
      </c>
      <c r="C320" s="1262"/>
      <c r="D320" s="1268" t="s">
        <v>6778</v>
      </c>
      <c r="E320" s="1258" t="s">
        <v>2580</v>
      </c>
      <c r="F320" s="1258">
        <v>86</v>
      </c>
      <c r="G320" s="1269" t="s">
        <v>2234</v>
      </c>
      <c r="H320" s="1269" t="s">
        <v>1918</v>
      </c>
      <c r="I320" s="1270" t="s">
        <v>1918</v>
      </c>
      <c r="J320" s="1258">
        <v>10</v>
      </c>
      <c r="K320" s="1258">
        <v>12</v>
      </c>
      <c r="L320" s="1258">
        <v>14</v>
      </c>
      <c r="M320" s="1264">
        <v>16</v>
      </c>
      <c r="N320" s="1258">
        <v>200</v>
      </c>
      <c r="O320" s="1258">
        <v>300</v>
      </c>
      <c r="P320" s="1258">
        <v>400</v>
      </c>
      <c r="Q320" s="1264">
        <v>500</v>
      </c>
      <c r="R320" s="1258" t="s">
        <v>2234</v>
      </c>
      <c r="S320" s="1258" t="s">
        <v>2234</v>
      </c>
      <c r="T320" s="1258" t="s">
        <v>2234</v>
      </c>
      <c r="U320" s="1264" t="s">
        <v>2234</v>
      </c>
      <c r="V320" s="1260" t="s">
        <v>6779</v>
      </c>
      <c r="W320" s="1260" t="s">
        <v>6780</v>
      </c>
      <c r="X320" s="1260" t="s">
        <v>6781</v>
      </c>
      <c r="Y320" s="1260" t="s">
        <v>6782</v>
      </c>
      <c r="Z320" s="1261" t="s">
        <v>6783</v>
      </c>
    </row>
    <row r="321" spans="2:26" ht="12.75" customHeight="1" x14ac:dyDescent="0.2">
      <c r="B321" s="2465" t="str">
        <f t="shared" si="4"/>
        <v>Esencia90</v>
      </c>
      <c r="C321" s="1262"/>
      <c r="D321" s="1268" t="s">
        <v>747</v>
      </c>
      <c r="E321" s="1258" t="s">
        <v>2580</v>
      </c>
      <c r="F321" s="1258">
        <v>90</v>
      </c>
      <c r="G321" s="1269" t="s">
        <v>2234</v>
      </c>
      <c r="H321" s="1269" t="s">
        <v>1763</v>
      </c>
      <c r="I321" s="1270" t="s">
        <v>1918</v>
      </c>
      <c r="J321" s="1258">
        <v>10</v>
      </c>
      <c r="K321" s="1258">
        <v>12</v>
      </c>
      <c r="L321" s="1258">
        <v>13</v>
      </c>
      <c r="M321" s="1264">
        <v>16</v>
      </c>
      <c r="N321" s="1258">
        <v>250</v>
      </c>
      <c r="O321" s="1258">
        <v>450</v>
      </c>
      <c r="P321" s="1258">
        <v>600</v>
      </c>
      <c r="Q321" s="1264">
        <v>750</v>
      </c>
      <c r="R321" s="1258" t="s">
        <v>2234</v>
      </c>
      <c r="S321" s="1258" t="s">
        <v>2234</v>
      </c>
      <c r="T321" s="1258" t="s">
        <v>2234</v>
      </c>
      <c r="U321" s="1264" t="s">
        <v>2234</v>
      </c>
      <c r="V321" s="1260" t="s">
        <v>6624</v>
      </c>
      <c r="W321" s="1260" t="s">
        <v>6784</v>
      </c>
      <c r="X321" s="1260" t="s">
        <v>6785</v>
      </c>
      <c r="Y321" s="1260" t="s">
        <v>6786</v>
      </c>
      <c r="Z321" s="1261" t="s">
        <v>6787</v>
      </c>
    </row>
    <row r="322" spans="2:26" ht="12.75" customHeight="1" x14ac:dyDescent="0.2">
      <c r="B322" s="2465" t="str">
        <f t="shared" si="4"/>
        <v>Esencia92</v>
      </c>
      <c r="C322" s="1262"/>
      <c r="D322" s="1268" t="s">
        <v>6788</v>
      </c>
      <c r="E322" s="1258" t="s">
        <v>2580</v>
      </c>
      <c r="F322" s="1258">
        <v>92</v>
      </c>
      <c r="G322" s="1269" t="s">
        <v>3090</v>
      </c>
      <c r="H322" s="1269" t="s">
        <v>1764</v>
      </c>
      <c r="I322" s="1270" t="s">
        <v>1918</v>
      </c>
      <c r="J322" s="1258">
        <v>10</v>
      </c>
      <c r="K322" s="1258">
        <v>13</v>
      </c>
      <c r="L322" s="1258">
        <v>15</v>
      </c>
      <c r="M322" s="1264">
        <v>18</v>
      </c>
      <c r="N322" s="1258">
        <v>300</v>
      </c>
      <c r="O322" s="1258">
        <v>500</v>
      </c>
      <c r="P322" s="1258">
        <v>750</v>
      </c>
      <c r="Q322" s="1264">
        <v>1000</v>
      </c>
      <c r="R322" s="1258">
        <v>60</v>
      </c>
      <c r="S322" s="1258">
        <v>75</v>
      </c>
      <c r="T322" s="1258">
        <v>85</v>
      </c>
      <c r="U322" s="1264">
        <v>100</v>
      </c>
      <c r="V322" s="1260" t="s">
        <v>6789</v>
      </c>
      <c r="W322" s="1260" t="s">
        <v>6790</v>
      </c>
      <c r="X322" s="1260" t="s">
        <v>6791</v>
      </c>
      <c r="Y322" s="1260" t="s">
        <v>6792</v>
      </c>
      <c r="Z322" s="1261" t="s">
        <v>6793</v>
      </c>
    </row>
    <row r="323" spans="2:26" ht="12.75" customHeight="1" x14ac:dyDescent="0.2">
      <c r="B323" s="2465" t="str">
        <f t="shared" si="4"/>
        <v>Esencia96</v>
      </c>
      <c r="C323" s="1262"/>
      <c r="D323" s="1268" t="s">
        <v>749</v>
      </c>
      <c r="E323" s="1258" t="s">
        <v>2580</v>
      </c>
      <c r="F323" s="1258">
        <v>96</v>
      </c>
      <c r="G323" s="1269" t="s">
        <v>2234</v>
      </c>
      <c r="H323" s="1269" t="s">
        <v>1763</v>
      </c>
      <c r="I323" s="1270" t="s">
        <v>1918</v>
      </c>
      <c r="J323" s="1258">
        <v>10</v>
      </c>
      <c r="K323" s="1258">
        <v>13</v>
      </c>
      <c r="L323" s="1258">
        <v>15</v>
      </c>
      <c r="M323" s="1264">
        <v>18</v>
      </c>
      <c r="N323" s="1258">
        <v>400</v>
      </c>
      <c r="O323" s="1258">
        <v>500</v>
      </c>
      <c r="P323" s="1258">
        <v>600</v>
      </c>
      <c r="Q323" s="1264">
        <v>700</v>
      </c>
      <c r="R323" s="1258" t="s">
        <v>2234</v>
      </c>
      <c r="S323" s="1258" t="s">
        <v>2234</v>
      </c>
      <c r="T323" s="1258" t="s">
        <v>2234</v>
      </c>
      <c r="U323" s="1264" t="s">
        <v>2234</v>
      </c>
      <c r="V323" s="1260" t="s">
        <v>6794</v>
      </c>
      <c r="W323" s="1260" t="s">
        <v>6795</v>
      </c>
      <c r="X323" s="1260" t="s">
        <v>6796</v>
      </c>
      <c r="Y323" s="1260" t="s">
        <v>6797</v>
      </c>
      <c r="Z323" s="1261" t="s">
        <v>6798</v>
      </c>
    </row>
    <row r="324" spans="2:26" ht="12.75" customHeight="1" x14ac:dyDescent="0.2">
      <c r="B324" s="2465" t="str">
        <f t="shared" si="4"/>
        <v>Esencia100</v>
      </c>
      <c r="C324" s="1262"/>
      <c r="D324" s="1268" t="s">
        <v>6799</v>
      </c>
      <c r="E324" s="1258" t="s">
        <v>2580</v>
      </c>
      <c r="F324" s="1258">
        <v>100</v>
      </c>
      <c r="G324" s="1269" t="s">
        <v>3090</v>
      </c>
      <c r="H324" s="1269" t="s">
        <v>1764</v>
      </c>
      <c r="I324" s="1270" t="s">
        <v>1918</v>
      </c>
      <c r="J324" s="1258">
        <v>12</v>
      </c>
      <c r="K324" s="1258">
        <v>14</v>
      </c>
      <c r="L324" s="1258">
        <v>16</v>
      </c>
      <c r="M324" s="1264">
        <v>18</v>
      </c>
      <c r="N324" s="1258">
        <v>600</v>
      </c>
      <c r="O324" s="1258">
        <v>800</v>
      </c>
      <c r="P324" s="1258">
        <v>1200</v>
      </c>
      <c r="Q324" s="1264">
        <v>1500</v>
      </c>
      <c r="R324" s="1258">
        <v>120</v>
      </c>
      <c r="S324" s="1258">
        <v>160</v>
      </c>
      <c r="T324" s="1258">
        <v>240</v>
      </c>
      <c r="U324" s="1264">
        <v>300</v>
      </c>
      <c r="V324" s="1260" t="s">
        <v>6800</v>
      </c>
      <c r="W324" s="1260" t="s">
        <v>6801</v>
      </c>
      <c r="X324" s="1260" t="s">
        <v>6802</v>
      </c>
      <c r="Y324" s="1260" t="s">
        <v>6803</v>
      </c>
      <c r="Z324" s="1261" t="s">
        <v>6804</v>
      </c>
    </row>
    <row r="325" spans="2:26" ht="12.75" customHeight="1" x14ac:dyDescent="0.2">
      <c r="B325" s="2465" t="str">
        <f t="shared" si="4"/>
        <v/>
      </c>
      <c r="C325" s="1262"/>
      <c r="D325" s="1268" t="s">
        <v>9674</v>
      </c>
      <c r="E325" s="1258"/>
      <c r="F325" s="1258"/>
      <c r="G325" s="1269"/>
      <c r="H325" s="1269"/>
      <c r="I325" s="1270"/>
      <c r="J325" s="1258"/>
      <c r="K325" s="1258"/>
      <c r="L325" s="1258"/>
      <c r="M325" s="1264"/>
      <c r="N325" s="1258"/>
      <c r="O325" s="1258"/>
      <c r="P325" s="1258"/>
      <c r="Q325" s="1264"/>
      <c r="R325" s="1258"/>
      <c r="S325" s="1258"/>
      <c r="T325" s="1258"/>
      <c r="U325" s="1264"/>
      <c r="V325" s="1260"/>
      <c r="W325" s="1260"/>
      <c r="X325" s="1260"/>
      <c r="Y325" s="1260"/>
      <c r="Z325" s="1261"/>
    </row>
    <row r="326" spans="2:26" ht="12.75" customHeight="1" x14ac:dyDescent="0.2">
      <c r="B326" s="2465" t="str">
        <f t="shared" si="4"/>
        <v>Ilusión2</v>
      </c>
      <c r="C326" s="1262"/>
      <c r="D326" s="1268" t="s">
        <v>6805</v>
      </c>
      <c r="E326" s="1258" t="s">
        <v>2582</v>
      </c>
      <c r="F326" s="1258">
        <v>2</v>
      </c>
      <c r="G326" s="1269" t="s">
        <v>2234</v>
      </c>
      <c r="H326" s="1269" t="s">
        <v>5271</v>
      </c>
      <c r="I326" s="1270" t="s">
        <v>1918</v>
      </c>
      <c r="J326" s="1258">
        <v>5</v>
      </c>
      <c r="K326" s="1258">
        <v>8</v>
      </c>
      <c r="L326" s="1258">
        <v>10</v>
      </c>
      <c r="M326" s="1264">
        <v>12</v>
      </c>
      <c r="N326" s="1258">
        <v>30</v>
      </c>
      <c r="O326" s="1258">
        <v>50</v>
      </c>
      <c r="P326" s="1258">
        <v>90</v>
      </c>
      <c r="Q326" s="1264">
        <v>120</v>
      </c>
      <c r="R326" s="1258">
        <v>5</v>
      </c>
      <c r="S326" s="1258">
        <v>5</v>
      </c>
      <c r="T326" s="1258">
        <v>10</v>
      </c>
      <c r="U326" s="1264">
        <v>10</v>
      </c>
      <c r="V326" s="1260" t="s">
        <v>6806</v>
      </c>
      <c r="W326" s="1260" t="s">
        <v>6807</v>
      </c>
      <c r="X326" s="1260" t="s">
        <v>5382</v>
      </c>
      <c r="Y326" s="1260" t="s">
        <v>5383</v>
      </c>
      <c r="Z326" s="1261" t="s">
        <v>6808</v>
      </c>
    </row>
    <row r="327" spans="2:26" ht="12.75" customHeight="1" x14ac:dyDescent="0.2">
      <c r="B327" s="2465" t="str">
        <f t="shared" si="4"/>
        <v>Ilusión6</v>
      </c>
      <c r="C327" s="1262"/>
      <c r="D327" s="1268" t="s">
        <v>6809</v>
      </c>
      <c r="E327" s="1258" t="s">
        <v>2582</v>
      </c>
      <c r="F327" s="1258">
        <v>6</v>
      </c>
      <c r="G327" s="1269" t="s">
        <v>2234</v>
      </c>
      <c r="H327" s="1269" t="s">
        <v>5271</v>
      </c>
      <c r="I327" s="1270" t="s">
        <v>1918</v>
      </c>
      <c r="J327" s="1258">
        <v>5</v>
      </c>
      <c r="K327" s="1258">
        <v>8</v>
      </c>
      <c r="L327" s="1258">
        <v>10</v>
      </c>
      <c r="M327" s="1264">
        <v>12</v>
      </c>
      <c r="N327" s="1258">
        <v>30</v>
      </c>
      <c r="O327" s="1258">
        <v>50</v>
      </c>
      <c r="P327" s="1258">
        <v>90</v>
      </c>
      <c r="Q327" s="1264">
        <v>120</v>
      </c>
      <c r="R327" s="1258">
        <v>5</v>
      </c>
      <c r="S327" s="1258">
        <v>5</v>
      </c>
      <c r="T327" s="1258">
        <v>10</v>
      </c>
      <c r="U327" s="1264">
        <v>10</v>
      </c>
      <c r="V327" s="1260" t="s">
        <v>6806</v>
      </c>
      <c r="W327" s="1260" t="s">
        <v>6807</v>
      </c>
      <c r="X327" s="1260" t="s">
        <v>5382</v>
      </c>
      <c r="Y327" s="1260" t="s">
        <v>5383</v>
      </c>
      <c r="Z327" s="1261" t="s">
        <v>6810</v>
      </c>
    </row>
    <row r="328" spans="2:26" ht="12.75" customHeight="1" x14ac:dyDescent="0.2">
      <c r="B328" s="2465" t="str">
        <f t="shared" ref="B328:B391" si="5">E328&amp;F328</f>
        <v>Ilusión10</v>
      </c>
      <c r="C328" s="1262"/>
      <c r="D328" s="1268" t="s">
        <v>6811</v>
      </c>
      <c r="E328" s="1258" t="s">
        <v>2582</v>
      </c>
      <c r="F328" s="1258">
        <v>10</v>
      </c>
      <c r="G328" s="1269" t="s">
        <v>2234</v>
      </c>
      <c r="H328" s="1269" t="s">
        <v>5271</v>
      </c>
      <c r="I328" s="1270" t="s">
        <v>1918</v>
      </c>
      <c r="J328" s="1258">
        <v>5</v>
      </c>
      <c r="K328" s="1258">
        <v>8</v>
      </c>
      <c r="L328" s="1258">
        <v>10</v>
      </c>
      <c r="M328" s="1264">
        <v>12</v>
      </c>
      <c r="N328" s="1258">
        <v>30</v>
      </c>
      <c r="O328" s="1258">
        <v>50</v>
      </c>
      <c r="P328" s="1258">
        <v>90</v>
      </c>
      <c r="Q328" s="1264">
        <v>120</v>
      </c>
      <c r="R328" s="1258">
        <v>5</v>
      </c>
      <c r="S328" s="1258">
        <v>5</v>
      </c>
      <c r="T328" s="1258">
        <v>10</v>
      </c>
      <c r="U328" s="1264">
        <v>10</v>
      </c>
      <c r="V328" s="1260" t="s">
        <v>6806</v>
      </c>
      <c r="W328" s="1260" t="s">
        <v>6807</v>
      </c>
      <c r="X328" s="1260" t="s">
        <v>5382</v>
      </c>
      <c r="Y328" s="1260" t="s">
        <v>5383</v>
      </c>
      <c r="Z328" s="1261" t="s">
        <v>9675</v>
      </c>
    </row>
    <row r="329" spans="2:26" ht="12.75" customHeight="1" x14ac:dyDescent="0.2">
      <c r="B329" s="2465" t="str">
        <f t="shared" si="5"/>
        <v>Ilusión12</v>
      </c>
      <c r="C329" s="1262"/>
      <c r="D329" s="1268" t="s">
        <v>6812</v>
      </c>
      <c r="E329" s="1258" t="s">
        <v>2582</v>
      </c>
      <c r="F329" s="1258">
        <v>12</v>
      </c>
      <c r="G329" s="1269" t="s">
        <v>2234</v>
      </c>
      <c r="H329" s="1269" t="s">
        <v>5271</v>
      </c>
      <c r="I329" s="1270" t="s">
        <v>1918</v>
      </c>
      <c r="J329" s="1258">
        <v>6</v>
      </c>
      <c r="K329" s="1258">
        <v>8</v>
      </c>
      <c r="L329" s="1258">
        <v>10</v>
      </c>
      <c r="M329" s="1264">
        <v>12</v>
      </c>
      <c r="N329" s="1258">
        <v>40</v>
      </c>
      <c r="O329" s="1258">
        <v>70</v>
      </c>
      <c r="P329" s="1258">
        <v>100</v>
      </c>
      <c r="Q329" s="1264">
        <v>120</v>
      </c>
      <c r="R329" s="1258">
        <v>5</v>
      </c>
      <c r="S329" s="1258">
        <v>5</v>
      </c>
      <c r="T329" s="1258">
        <v>10</v>
      </c>
      <c r="U329" s="1264">
        <v>10</v>
      </c>
      <c r="V329" s="1260" t="s">
        <v>6813</v>
      </c>
      <c r="W329" s="1260" t="s">
        <v>6814</v>
      </c>
      <c r="X329" s="1260" t="s">
        <v>6815</v>
      </c>
      <c r="Y329" s="1260" t="s">
        <v>6816</v>
      </c>
      <c r="Z329" s="1261" t="s">
        <v>6817</v>
      </c>
    </row>
    <row r="330" spans="2:26" ht="12.75" customHeight="1" x14ac:dyDescent="0.2">
      <c r="B330" s="2465" t="str">
        <f t="shared" si="5"/>
        <v>Ilusión16</v>
      </c>
      <c r="C330" s="1262"/>
      <c r="D330" s="1268" t="s">
        <v>9676</v>
      </c>
      <c r="E330" s="1258" t="s">
        <v>2582</v>
      </c>
      <c r="F330" s="1258">
        <v>16</v>
      </c>
      <c r="G330" s="1269" t="s">
        <v>2234</v>
      </c>
      <c r="H330" s="1269" t="s">
        <v>1765</v>
      </c>
      <c r="I330" s="1270" t="s">
        <v>1918</v>
      </c>
      <c r="J330" s="1258">
        <v>6</v>
      </c>
      <c r="K330" s="1258">
        <v>8</v>
      </c>
      <c r="L330" s="1258">
        <v>10</v>
      </c>
      <c r="M330" s="1264">
        <v>12</v>
      </c>
      <c r="N330" s="1258">
        <v>60</v>
      </c>
      <c r="O330" s="1258">
        <v>160</v>
      </c>
      <c r="P330" s="1258">
        <v>200</v>
      </c>
      <c r="Q330" s="1264">
        <v>240</v>
      </c>
      <c r="R330" s="1258">
        <v>10</v>
      </c>
      <c r="S330" s="1258">
        <v>20</v>
      </c>
      <c r="T330" s="1258">
        <v>20</v>
      </c>
      <c r="U330" s="1264">
        <v>25</v>
      </c>
      <c r="V330" s="1260" t="s">
        <v>6818</v>
      </c>
      <c r="W330" s="1260" t="s">
        <v>6819</v>
      </c>
      <c r="X330" s="1260" t="s">
        <v>6820</v>
      </c>
      <c r="Y330" s="1260" t="s">
        <v>6821</v>
      </c>
      <c r="Z330" s="1261" t="s">
        <v>9677</v>
      </c>
    </row>
    <row r="331" spans="2:26" ht="12.75" customHeight="1" x14ac:dyDescent="0.2">
      <c r="B331" s="2465" t="str">
        <f t="shared" si="5"/>
        <v>Ilusión20</v>
      </c>
      <c r="C331" s="1262"/>
      <c r="D331" s="1268" t="s">
        <v>758</v>
      </c>
      <c r="E331" s="1258" t="s">
        <v>2582</v>
      </c>
      <c r="F331" s="1258">
        <v>20</v>
      </c>
      <c r="G331" s="1269" t="s">
        <v>2234</v>
      </c>
      <c r="H331" s="1269" t="s">
        <v>1763</v>
      </c>
      <c r="I331" s="1270" t="s">
        <v>1918</v>
      </c>
      <c r="J331" s="1258">
        <v>6</v>
      </c>
      <c r="K331" s="1258">
        <v>8</v>
      </c>
      <c r="L331" s="1258">
        <v>10</v>
      </c>
      <c r="M331" s="1264">
        <v>13</v>
      </c>
      <c r="N331" s="1258">
        <v>50</v>
      </c>
      <c r="O331" s="1258">
        <v>80</v>
      </c>
      <c r="P331" s="1258">
        <v>100</v>
      </c>
      <c r="Q331" s="1264">
        <v>120</v>
      </c>
      <c r="R331" s="1258">
        <v>5</v>
      </c>
      <c r="S331" s="1258">
        <v>10</v>
      </c>
      <c r="T331" s="1258">
        <v>10</v>
      </c>
      <c r="U331" s="1264">
        <v>15</v>
      </c>
      <c r="V331" s="1260" t="s">
        <v>6822</v>
      </c>
      <c r="W331" s="1260" t="s">
        <v>6823</v>
      </c>
      <c r="X331" s="1260" t="s">
        <v>6824</v>
      </c>
      <c r="Y331" s="1260" t="s">
        <v>6825</v>
      </c>
      <c r="Z331" s="1261" t="s">
        <v>6826</v>
      </c>
    </row>
    <row r="332" spans="2:26" ht="12.75" customHeight="1" x14ac:dyDescent="0.2">
      <c r="B332" s="2465" t="str">
        <f t="shared" si="5"/>
        <v>Ilusión22</v>
      </c>
      <c r="C332" s="1262"/>
      <c r="D332" s="1268" t="s">
        <v>6827</v>
      </c>
      <c r="E332" s="1258" t="s">
        <v>2582</v>
      </c>
      <c r="F332" s="1258">
        <v>22</v>
      </c>
      <c r="G332" s="1269" t="s">
        <v>3090</v>
      </c>
      <c r="H332" s="1269" t="s">
        <v>5271</v>
      </c>
      <c r="I332" s="1270" t="s">
        <v>1918</v>
      </c>
      <c r="J332" s="1258">
        <v>6</v>
      </c>
      <c r="K332" s="1258">
        <v>9</v>
      </c>
      <c r="L332" s="1258">
        <v>12</v>
      </c>
      <c r="M332" s="1264">
        <v>15</v>
      </c>
      <c r="N332" s="1258">
        <v>60</v>
      </c>
      <c r="O332" s="1258">
        <v>90</v>
      </c>
      <c r="P332" s="1258">
        <v>120</v>
      </c>
      <c r="Q332" s="1264">
        <v>150</v>
      </c>
      <c r="R332" s="1258">
        <v>10</v>
      </c>
      <c r="S332" s="1258">
        <v>10</v>
      </c>
      <c r="T332" s="1258">
        <v>15</v>
      </c>
      <c r="U332" s="1264">
        <v>15</v>
      </c>
      <c r="V332" s="1260" t="s">
        <v>5709</v>
      </c>
      <c r="W332" s="1260" t="s">
        <v>5584</v>
      </c>
      <c r="X332" s="1260" t="s">
        <v>5585</v>
      </c>
      <c r="Y332" s="1260" t="s">
        <v>5586</v>
      </c>
      <c r="Z332" s="1261" t="s">
        <v>6828</v>
      </c>
    </row>
    <row r="333" spans="2:26" ht="12.75" customHeight="1" x14ac:dyDescent="0.2">
      <c r="B333" s="2465" t="str">
        <f t="shared" si="5"/>
        <v>Ilusión26</v>
      </c>
      <c r="C333" s="1262"/>
      <c r="D333" s="1268" t="s">
        <v>6829</v>
      </c>
      <c r="E333" s="1258" t="s">
        <v>2582</v>
      </c>
      <c r="F333" s="1258">
        <v>26</v>
      </c>
      <c r="G333" s="1269" t="s">
        <v>2234</v>
      </c>
      <c r="H333" s="1269" t="s">
        <v>5271</v>
      </c>
      <c r="I333" s="1270" t="s">
        <v>1918</v>
      </c>
      <c r="J333" s="1258">
        <v>6</v>
      </c>
      <c r="K333" s="1258">
        <v>9</v>
      </c>
      <c r="L333" s="1258">
        <v>12</v>
      </c>
      <c r="M333" s="1264">
        <v>15</v>
      </c>
      <c r="N333" s="1258">
        <v>60</v>
      </c>
      <c r="O333" s="1258">
        <v>90</v>
      </c>
      <c r="P333" s="1258">
        <v>120</v>
      </c>
      <c r="Q333" s="1264">
        <v>150</v>
      </c>
      <c r="R333" s="1258">
        <v>5</v>
      </c>
      <c r="S333" s="1258">
        <v>5</v>
      </c>
      <c r="T333" s="1258">
        <v>10</v>
      </c>
      <c r="U333" s="1264">
        <v>10</v>
      </c>
      <c r="V333" s="1260" t="s">
        <v>6830</v>
      </c>
      <c r="W333" s="1260" t="s">
        <v>6831</v>
      </c>
      <c r="X333" s="1260" t="s">
        <v>6832</v>
      </c>
      <c r="Y333" s="1260" t="s">
        <v>6833</v>
      </c>
      <c r="Z333" s="1261" t="s">
        <v>9678</v>
      </c>
    </row>
    <row r="334" spans="2:26" ht="12.75" customHeight="1" x14ac:dyDescent="0.2">
      <c r="B334" s="2465" t="str">
        <f t="shared" si="5"/>
        <v>Ilusión30</v>
      </c>
      <c r="C334" s="1262"/>
      <c r="D334" s="1268" t="s">
        <v>6834</v>
      </c>
      <c r="E334" s="1258" t="s">
        <v>2582</v>
      </c>
      <c r="F334" s="1258">
        <v>30</v>
      </c>
      <c r="G334" s="1269" t="s">
        <v>2234</v>
      </c>
      <c r="H334" s="1269" t="s">
        <v>5271</v>
      </c>
      <c r="I334" s="1270" t="s">
        <v>1918</v>
      </c>
      <c r="J334" s="1258">
        <v>8</v>
      </c>
      <c r="K334" s="1258">
        <v>10</v>
      </c>
      <c r="L334" s="1258">
        <v>12</v>
      </c>
      <c r="M334" s="1264">
        <v>14</v>
      </c>
      <c r="N334" s="1258">
        <v>60</v>
      </c>
      <c r="O334" s="1258">
        <v>90</v>
      </c>
      <c r="P334" s="1258">
        <v>120</v>
      </c>
      <c r="Q334" s="1264">
        <v>150</v>
      </c>
      <c r="R334" s="1258">
        <v>10</v>
      </c>
      <c r="S334" s="1258">
        <v>10</v>
      </c>
      <c r="T334" s="1258">
        <v>15</v>
      </c>
      <c r="U334" s="1264">
        <v>15</v>
      </c>
      <c r="V334" s="1260" t="s">
        <v>6835</v>
      </c>
      <c r="W334" s="1260" t="s">
        <v>6836</v>
      </c>
      <c r="X334" s="1260" t="s">
        <v>6837</v>
      </c>
      <c r="Y334" s="1260" t="s">
        <v>6838</v>
      </c>
      <c r="Z334" s="1261" t="s">
        <v>6839</v>
      </c>
    </row>
    <row r="335" spans="2:26" ht="12.75" customHeight="1" x14ac:dyDescent="0.2">
      <c r="B335" s="2465" t="str">
        <f t="shared" si="5"/>
        <v>Ilusión32</v>
      </c>
      <c r="C335" s="1262"/>
      <c r="D335" s="1268" t="s">
        <v>6840</v>
      </c>
      <c r="E335" s="1258" t="s">
        <v>2582</v>
      </c>
      <c r="F335" s="1258">
        <v>32</v>
      </c>
      <c r="G335" s="1269" t="s">
        <v>2234</v>
      </c>
      <c r="H335" s="1269" t="s">
        <v>5271</v>
      </c>
      <c r="I335" s="1270" t="s">
        <v>1918</v>
      </c>
      <c r="J335" s="1258">
        <v>6</v>
      </c>
      <c r="K335" s="1258">
        <v>9</v>
      </c>
      <c r="L335" s="1258">
        <v>12</v>
      </c>
      <c r="M335" s="1264">
        <v>15</v>
      </c>
      <c r="N335" s="1258">
        <v>80</v>
      </c>
      <c r="O335" s="1258">
        <v>180</v>
      </c>
      <c r="P335" s="1258">
        <v>240</v>
      </c>
      <c r="Q335" s="1264">
        <v>300</v>
      </c>
      <c r="R335" s="1258">
        <v>5</v>
      </c>
      <c r="S335" s="1258">
        <v>5</v>
      </c>
      <c r="T335" s="1258">
        <v>10</v>
      </c>
      <c r="U335" s="1264">
        <v>10</v>
      </c>
      <c r="V335" s="1260" t="s">
        <v>6841</v>
      </c>
      <c r="W335" s="1260" t="s">
        <v>6842</v>
      </c>
      <c r="X335" s="1260" t="s">
        <v>6843</v>
      </c>
      <c r="Y335" s="1260" t="s">
        <v>6844</v>
      </c>
      <c r="Z335" s="1261" t="s">
        <v>6845</v>
      </c>
    </row>
    <row r="336" spans="2:26" ht="12.75" customHeight="1" x14ac:dyDescent="0.2">
      <c r="B336" s="2465" t="str">
        <f t="shared" si="5"/>
        <v>Ilusión36</v>
      </c>
      <c r="C336" s="1262"/>
      <c r="D336" s="1268" t="s">
        <v>763</v>
      </c>
      <c r="E336" s="1258" t="s">
        <v>2582</v>
      </c>
      <c r="F336" s="1258">
        <v>36</v>
      </c>
      <c r="G336" s="1269" t="s">
        <v>2234</v>
      </c>
      <c r="H336" s="1269" t="s">
        <v>6219</v>
      </c>
      <c r="I336" s="1270" t="s">
        <v>1918</v>
      </c>
      <c r="J336" s="1258">
        <v>6</v>
      </c>
      <c r="K336" s="1258">
        <v>9</v>
      </c>
      <c r="L336" s="1258">
        <v>11</v>
      </c>
      <c r="M336" s="1264">
        <v>13</v>
      </c>
      <c r="N336" s="1258">
        <v>50</v>
      </c>
      <c r="O336" s="1258">
        <v>70</v>
      </c>
      <c r="P336" s="1258">
        <v>90</v>
      </c>
      <c r="Q336" s="1264">
        <v>120</v>
      </c>
      <c r="R336" s="1258">
        <v>5</v>
      </c>
      <c r="S336" s="1258">
        <v>5</v>
      </c>
      <c r="T336" s="1258">
        <v>5</v>
      </c>
      <c r="U336" s="1264">
        <v>10</v>
      </c>
      <c r="V336" s="1260" t="s">
        <v>6846</v>
      </c>
      <c r="W336" s="1260" t="s">
        <v>6842</v>
      </c>
      <c r="X336" s="1260" t="s">
        <v>6847</v>
      </c>
      <c r="Y336" s="1260" t="s">
        <v>6843</v>
      </c>
      <c r="Z336" s="1261" t="s">
        <v>6848</v>
      </c>
    </row>
    <row r="337" spans="2:26" ht="12.75" customHeight="1" x14ac:dyDescent="0.2">
      <c r="B337" s="2465" t="str">
        <f t="shared" si="5"/>
        <v>Ilusión40</v>
      </c>
      <c r="C337" s="1262"/>
      <c r="D337" s="1268" t="s">
        <v>6849</v>
      </c>
      <c r="E337" s="1258" t="s">
        <v>2582</v>
      </c>
      <c r="F337" s="1258">
        <v>40</v>
      </c>
      <c r="G337" s="1269" t="s">
        <v>3090</v>
      </c>
      <c r="H337" s="1269" t="s">
        <v>5271</v>
      </c>
      <c r="I337" s="1270" t="s">
        <v>1918</v>
      </c>
      <c r="J337" s="1258">
        <v>7</v>
      </c>
      <c r="K337" s="1258">
        <v>10</v>
      </c>
      <c r="L337" s="1258">
        <v>13</v>
      </c>
      <c r="M337" s="1264">
        <v>15</v>
      </c>
      <c r="N337" s="1258">
        <v>60</v>
      </c>
      <c r="O337" s="1258">
        <v>90</v>
      </c>
      <c r="P337" s="1258">
        <v>120</v>
      </c>
      <c r="Q337" s="1264">
        <v>150</v>
      </c>
      <c r="R337" s="1258">
        <v>5</v>
      </c>
      <c r="S337" s="1258">
        <v>5</v>
      </c>
      <c r="T337" s="1258">
        <v>10</v>
      </c>
      <c r="U337" s="1264">
        <v>10</v>
      </c>
      <c r="V337" s="1260" t="s">
        <v>6850</v>
      </c>
      <c r="W337" s="1260" t="s">
        <v>6851</v>
      </c>
      <c r="X337" s="1260" t="s">
        <v>6852</v>
      </c>
      <c r="Y337" s="1260" t="s">
        <v>6853</v>
      </c>
      <c r="Z337" s="1261" t="s">
        <v>6854</v>
      </c>
    </row>
    <row r="338" spans="2:26" ht="12.75" customHeight="1" x14ac:dyDescent="0.2">
      <c r="B338" s="2465" t="str">
        <f t="shared" si="5"/>
        <v>Ilusión42</v>
      </c>
      <c r="C338" s="1262"/>
      <c r="D338" s="1268" t="s">
        <v>9679</v>
      </c>
      <c r="E338" s="1258" t="s">
        <v>2582</v>
      </c>
      <c r="F338" s="1258">
        <v>42</v>
      </c>
      <c r="G338" s="1269" t="s">
        <v>3090</v>
      </c>
      <c r="H338" s="1269" t="s">
        <v>1763</v>
      </c>
      <c r="I338" s="1270" t="s">
        <v>1918</v>
      </c>
      <c r="J338" s="1258">
        <v>7</v>
      </c>
      <c r="K338" s="1258">
        <v>10</v>
      </c>
      <c r="L338" s="1258">
        <v>12</v>
      </c>
      <c r="M338" s="1264">
        <v>14</v>
      </c>
      <c r="N338" s="1258">
        <v>80</v>
      </c>
      <c r="O338" s="1258">
        <v>100</v>
      </c>
      <c r="P338" s="1258">
        <v>120</v>
      </c>
      <c r="Q338" s="1264">
        <v>140</v>
      </c>
      <c r="R338" s="1258">
        <v>10</v>
      </c>
      <c r="S338" s="1258">
        <v>10</v>
      </c>
      <c r="T338" s="1258">
        <v>15</v>
      </c>
      <c r="U338" s="1264">
        <v>15</v>
      </c>
      <c r="V338" s="1260" t="s">
        <v>6855</v>
      </c>
      <c r="W338" s="1260" t="s">
        <v>6856</v>
      </c>
      <c r="X338" s="1260" t="s">
        <v>6857</v>
      </c>
      <c r="Y338" s="1260" t="s">
        <v>6858</v>
      </c>
      <c r="Z338" s="1261" t="s">
        <v>6859</v>
      </c>
    </row>
    <row r="339" spans="2:26" ht="12.75" customHeight="1" x14ac:dyDescent="0.2">
      <c r="B339" s="2465" t="str">
        <f t="shared" si="5"/>
        <v>Ilusión46</v>
      </c>
      <c r="C339" s="1262"/>
      <c r="D339" s="1268" t="s">
        <v>6860</v>
      </c>
      <c r="E339" s="1258" t="s">
        <v>2582</v>
      </c>
      <c r="F339" s="1258">
        <v>46</v>
      </c>
      <c r="G339" s="1269" t="s">
        <v>3090</v>
      </c>
      <c r="H339" s="1269" t="s">
        <v>5271</v>
      </c>
      <c r="I339" s="1270" t="s">
        <v>1918</v>
      </c>
      <c r="J339" s="1258">
        <v>7</v>
      </c>
      <c r="K339" s="1258">
        <v>10</v>
      </c>
      <c r="L339" s="1258">
        <v>13</v>
      </c>
      <c r="M339" s="1264">
        <v>15</v>
      </c>
      <c r="N339" s="1258">
        <v>80</v>
      </c>
      <c r="O339" s="1258">
        <v>120</v>
      </c>
      <c r="P339" s="1258">
        <v>160</v>
      </c>
      <c r="Q339" s="1264">
        <v>200</v>
      </c>
      <c r="R339" s="1258">
        <v>10</v>
      </c>
      <c r="S339" s="1258">
        <v>15</v>
      </c>
      <c r="T339" s="1258">
        <v>20</v>
      </c>
      <c r="U339" s="1264">
        <v>20</v>
      </c>
      <c r="V339" s="1260" t="s">
        <v>6861</v>
      </c>
      <c r="W339" s="1260" t="s">
        <v>6862</v>
      </c>
      <c r="X339" s="1260" t="s">
        <v>6863</v>
      </c>
      <c r="Y339" s="1260" t="s">
        <v>6864</v>
      </c>
      <c r="Z339" s="1261" t="s">
        <v>6865</v>
      </c>
    </row>
    <row r="340" spans="2:26" ht="12.75" customHeight="1" x14ac:dyDescent="0.2">
      <c r="B340" s="2465" t="str">
        <f t="shared" si="5"/>
        <v>Ilusión50</v>
      </c>
      <c r="C340" s="1262"/>
      <c r="D340" s="1268" t="s">
        <v>5033</v>
      </c>
      <c r="E340" s="1258" t="s">
        <v>2582</v>
      </c>
      <c r="F340" s="1258">
        <v>50</v>
      </c>
      <c r="G340" s="1269" t="s">
        <v>2234</v>
      </c>
      <c r="H340" s="1269" t="s">
        <v>5271</v>
      </c>
      <c r="I340" s="1270" t="s">
        <v>1918</v>
      </c>
      <c r="J340" s="1258">
        <v>6</v>
      </c>
      <c r="K340" s="1258">
        <v>9</v>
      </c>
      <c r="L340" s="1258">
        <v>12</v>
      </c>
      <c r="M340" s="1264">
        <v>15</v>
      </c>
      <c r="N340" s="1258">
        <v>120</v>
      </c>
      <c r="O340" s="1258">
        <v>180</v>
      </c>
      <c r="P340" s="1258">
        <v>240</v>
      </c>
      <c r="Q340" s="1264">
        <v>300</v>
      </c>
      <c r="R340" s="1258">
        <v>10</v>
      </c>
      <c r="S340" s="1258">
        <v>10</v>
      </c>
      <c r="T340" s="1258">
        <v>15</v>
      </c>
      <c r="U340" s="1264">
        <v>15</v>
      </c>
      <c r="V340" s="1260" t="s">
        <v>6866</v>
      </c>
      <c r="W340" s="1260" t="s">
        <v>6867</v>
      </c>
      <c r="X340" s="1260" t="s">
        <v>6868</v>
      </c>
      <c r="Y340" s="1260" t="s">
        <v>6869</v>
      </c>
      <c r="Z340" s="1261" t="s">
        <v>6870</v>
      </c>
    </row>
    <row r="341" spans="2:26" ht="12.75" customHeight="1" x14ac:dyDescent="0.2">
      <c r="B341" s="2465" t="str">
        <f t="shared" si="5"/>
        <v>Ilusión52</v>
      </c>
      <c r="C341" s="1262"/>
      <c r="D341" s="1268" t="s">
        <v>6871</v>
      </c>
      <c r="E341" s="1258" t="s">
        <v>2582</v>
      </c>
      <c r="F341" s="1258">
        <v>52</v>
      </c>
      <c r="G341" s="1269" t="s">
        <v>3090</v>
      </c>
      <c r="H341" s="1269" t="s">
        <v>5271</v>
      </c>
      <c r="I341" s="1270" t="s">
        <v>1918</v>
      </c>
      <c r="J341" s="1258">
        <v>7</v>
      </c>
      <c r="K341" s="1258">
        <v>10</v>
      </c>
      <c r="L341" s="1258">
        <v>13</v>
      </c>
      <c r="M341" s="1264">
        <v>15</v>
      </c>
      <c r="N341" s="1258">
        <v>120</v>
      </c>
      <c r="O341" s="1258">
        <v>180</v>
      </c>
      <c r="P341" s="1258">
        <v>240</v>
      </c>
      <c r="Q341" s="1264">
        <v>300</v>
      </c>
      <c r="R341" s="1258">
        <v>15</v>
      </c>
      <c r="S341" s="1258">
        <v>20</v>
      </c>
      <c r="T341" s="1258">
        <v>25</v>
      </c>
      <c r="U341" s="1264">
        <v>30</v>
      </c>
      <c r="V341" s="1260" t="s">
        <v>6872</v>
      </c>
      <c r="W341" s="1260" t="s">
        <v>6873</v>
      </c>
      <c r="X341" s="1260" t="s">
        <v>6874</v>
      </c>
      <c r="Y341" s="1260" t="s">
        <v>6875</v>
      </c>
      <c r="Z341" s="1261" t="s">
        <v>6876</v>
      </c>
    </row>
    <row r="342" spans="2:26" ht="12.75" customHeight="1" x14ac:dyDescent="0.2">
      <c r="B342" s="2465" t="str">
        <f t="shared" si="5"/>
        <v>Ilusión56</v>
      </c>
      <c r="C342" s="1262"/>
      <c r="D342" s="1268" t="s">
        <v>769</v>
      </c>
      <c r="E342" s="1258" t="s">
        <v>2582</v>
      </c>
      <c r="F342" s="1258">
        <v>56</v>
      </c>
      <c r="G342" s="1269" t="s">
        <v>3090</v>
      </c>
      <c r="H342" s="1269" t="s">
        <v>6219</v>
      </c>
      <c r="I342" s="1270" t="s">
        <v>1918</v>
      </c>
      <c r="J342" s="1258">
        <v>8</v>
      </c>
      <c r="K342" s="1258">
        <v>11</v>
      </c>
      <c r="L342" s="1258">
        <v>14</v>
      </c>
      <c r="M342" s="1264">
        <v>16</v>
      </c>
      <c r="N342" s="1258">
        <v>100</v>
      </c>
      <c r="O342" s="1258">
        <v>120</v>
      </c>
      <c r="P342" s="1258">
        <v>140</v>
      </c>
      <c r="Q342" s="1264">
        <v>160</v>
      </c>
      <c r="R342" s="1258">
        <v>10</v>
      </c>
      <c r="S342" s="1258">
        <v>15</v>
      </c>
      <c r="T342" s="1258">
        <v>15</v>
      </c>
      <c r="U342" s="1264">
        <v>20</v>
      </c>
      <c r="V342" s="1260" t="s">
        <v>5753</v>
      </c>
      <c r="W342" s="1260" t="s">
        <v>5709</v>
      </c>
      <c r="X342" s="1260" t="s">
        <v>5710</v>
      </c>
      <c r="Y342" s="1260" t="s">
        <v>5584</v>
      </c>
      <c r="Z342" s="1261" t="s">
        <v>9680</v>
      </c>
    </row>
    <row r="343" spans="2:26" ht="12.75" customHeight="1" x14ac:dyDescent="0.2">
      <c r="B343" s="2465" t="str">
        <f t="shared" si="5"/>
        <v>Ilusión60</v>
      </c>
      <c r="C343" s="1262"/>
      <c r="D343" s="1268" t="s">
        <v>9681</v>
      </c>
      <c r="E343" s="1258" t="s">
        <v>2582</v>
      </c>
      <c r="F343" s="1258">
        <v>60</v>
      </c>
      <c r="G343" s="1269" t="s">
        <v>2234</v>
      </c>
      <c r="H343" s="1269" t="s">
        <v>1763</v>
      </c>
      <c r="I343" s="1270" t="s">
        <v>1918</v>
      </c>
      <c r="J343" s="1258">
        <v>7</v>
      </c>
      <c r="K343" s="1258">
        <v>10</v>
      </c>
      <c r="L343" s="1258">
        <v>12</v>
      </c>
      <c r="M343" s="1264">
        <v>15</v>
      </c>
      <c r="N343" s="1258">
        <v>80</v>
      </c>
      <c r="O343" s="1258">
        <v>180</v>
      </c>
      <c r="P343" s="1258">
        <v>300</v>
      </c>
      <c r="Q343" s="1264">
        <v>500</v>
      </c>
      <c r="R343" s="1258" t="s">
        <v>2234</v>
      </c>
      <c r="S343" s="1258" t="s">
        <v>2234</v>
      </c>
      <c r="T343" s="1258" t="s">
        <v>2234</v>
      </c>
      <c r="U343" s="1264" t="s">
        <v>2234</v>
      </c>
      <c r="V343" s="1260" t="s">
        <v>6877</v>
      </c>
      <c r="W343" s="1260" t="s">
        <v>6878</v>
      </c>
      <c r="X343" s="1260" t="s">
        <v>6879</v>
      </c>
      <c r="Y343" s="1260" t="s">
        <v>6880</v>
      </c>
      <c r="Z343" s="1261" t="s">
        <v>6881</v>
      </c>
    </row>
    <row r="344" spans="2:26" ht="12.75" customHeight="1" x14ac:dyDescent="0.2">
      <c r="B344" s="2465" t="str">
        <f t="shared" si="5"/>
        <v>Ilusión62</v>
      </c>
      <c r="C344" s="1262"/>
      <c r="D344" s="1268" t="s">
        <v>6882</v>
      </c>
      <c r="E344" s="1258" t="s">
        <v>2582</v>
      </c>
      <c r="F344" s="1258">
        <v>62</v>
      </c>
      <c r="G344" s="1269" t="s">
        <v>2234</v>
      </c>
      <c r="H344" s="1269" t="s">
        <v>5271</v>
      </c>
      <c r="I344" s="1270" t="s">
        <v>1918</v>
      </c>
      <c r="J344" s="1258">
        <v>8</v>
      </c>
      <c r="K344" s="1258">
        <v>11</v>
      </c>
      <c r="L344" s="1258">
        <v>13</v>
      </c>
      <c r="M344" s="1264">
        <v>16</v>
      </c>
      <c r="N344" s="1258">
        <v>100</v>
      </c>
      <c r="O344" s="1258">
        <v>120</v>
      </c>
      <c r="P344" s="1258">
        <v>150</v>
      </c>
      <c r="Q344" s="1264">
        <v>200</v>
      </c>
      <c r="R344" s="1258">
        <v>10</v>
      </c>
      <c r="S344" s="1258">
        <v>15</v>
      </c>
      <c r="T344" s="1258">
        <v>15</v>
      </c>
      <c r="U344" s="1264">
        <v>20</v>
      </c>
      <c r="V344" s="1260" t="s">
        <v>6850</v>
      </c>
      <c r="W344" s="1260" t="s">
        <v>6851</v>
      </c>
      <c r="X344" s="1260" t="s">
        <v>6852</v>
      </c>
      <c r="Y344" s="1260" t="s">
        <v>6853</v>
      </c>
      <c r="Z344" s="1261" t="s">
        <v>9682</v>
      </c>
    </row>
    <row r="345" spans="2:26" ht="12.75" customHeight="1" x14ac:dyDescent="0.2">
      <c r="B345" s="2465" t="str">
        <f t="shared" si="5"/>
        <v>Ilusión66</v>
      </c>
      <c r="C345" s="1262"/>
      <c r="D345" s="1268" t="s">
        <v>772</v>
      </c>
      <c r="E345" s="1258" t="s">
        <v>2582</v>
      </c>
      <c r="F345" s="1258">
        <v>66</v>
      </c>
      <c r="G345" s="1269" t="s">
        <v>2234</v>
      </c>
      <c r="H345" s="1269" t="s">
        <v>6219</v>
      </c>
      <c r="I345" s="1270" t="s">
        <v>1918</v>
      </c>
      <c r="J345" s="1258">
        <v>7</v>
      </c>
      <c r="K345" s="1258">
        <v>10</v>
      </c>
      <c r="L345" s="1258">
        <v>12</v>
      </c>
      <c r="M345" s="1264">
        <v>14</v>
      </c>
      <c r="N345" s="1258">
        <v>60</v>
      </c>
      <c r="O345" s="1258">
        <v>100</v>
      </c>
      <c r="P345" s="1258">
        <v>140</v>
      </c>
      <c r="Q345" s="1264">
        <v>200</v>
      </c>
      <c r="R345" s="1258">
        <v>10</v>
      </c>
      <c r="S345" s="1258">
        <v>10</v>
      </c>
      <c r="T345" s="1258">
        <v>15</v>
      </c>
      <c r="U345" s="1264">
        <v>15</v>
      </c>
      <c r="V345" s="1260" t="s">
        <v>5710</v>
      </c>
      <c r="W345" s="1260" t="s">
        <v>5584</v>
      </c>
      <c r="X345" s="1260" t="s">
        <v>5387</v>
      </c>
      <c r="Y345" s="1260" t="s">
        <v>5585</v>
      </c>
      <c r="Z345" s="1261" t="s">
        <v>6883</v>
      </c>
    </row>
    <row r="346" spans="2:26" ht="12.75" customHeight="1" x14ac:dyDescent="0.2">
      <c r="B346" s="2465" t="str">
        <f t="shared" si="5"/>
        <v>Ilusión70</v>
      </c>
      <c r="C346" s="1262"/>
      <c r="D346" s="1268" t="s">
        <v>6884</v>
      </c>
      <c r="E346" s="1258" t="s">
        <v>2582</v>
      </c>
      <c r="F346" s="1258">
        <v>70</v>
      </c>
      <c r="G346" s="1269" t="s">
        <v>2234</v>
      </c>
      <c r="H346" s="1269" t="s">
        <v>1761</v>
      </c>
      <c r="I346" s="1270" t="s">
        <v>1918</v>
      </c>
      <c r="J346" s="1258">
        <v>6</v>
      </c>
      <c r="K346" s="1258">
        <v>9</v>
      </c>
      <c r="L346" s="1258">
        <v>12</v>
      </c>
      <c r="M346" s="1264">
        <v>15</v>
      </c>
      <c r="N346" s="1258">
        <v>80</v>
      </c>
      <c r="O346" s="1258">
        <v>140</v>
      </c>
      <c r="P346" s="1258">
        <v>220</v>
      </c>
      <c r="Q346" s="1264">
        <v>300</v>
      </c>
      <c r="R346" s="1258" t="s">
        <v>2234</v>
      </c>
      <c r="S346" s="1258" t="s">
        <v>2234</v>
      </c>
      <c r="T346" s="1258" t="s">
        <v>2234</v>
      </c>
      <c r="U346" s="1264" t="s">
        <v>2234</v>
      </c>
      <c r="V346" s="1260" t="s">
        <v>6885</v>
      </c>
      <c r="W346" s="1260" t="s">
        <v>6886</v>
      </c>
      <c r="X346" s="1260" t="s">
        <v>6887</v>
      </c>
      <c r="Y346" s="1260" t="s">
        <v>6888</v>
      </c>
      <c r="Z346" s="1261" t="s">
        <v>6889</v>
      </c>
    </row>
    <row r="347" spans="2:26" ht="12.75" customHeight="1" x14ac:dyDescent="0.2">
      <c r="B347" s="2465" t="str">
        <f t="shared" si="5"/>
        <v>Ilusión72</v>
      </c>
      <c r="C347" s="1262"/>
      <c r="D347" s="1268" t="s">
        <v>6890</v>
      </c>
      <c r="E347" s="1258" t="s">
        <v>2582</v>
      </c>
      <c r="F347" s="1258">
        <v>72</v>
      </c>
      <c r="G347" s="1269" t="s">
        <v>3090</v>
      </c>
      <c r="H347" s="1269" t="s">
        <v>6219</v>
      </c>
      <c r="I347" s="1270" t="s">
        <v>1918</v>
      </c>
      <c r="J347" s="1258">
        <v>8</v>
      </c>
      <c r="K347" s="1258">
        <v>10</v>
      </c>
      <c r="L347" s="1258">
        <v>13</v>
      </c>
      <c r="M347" s="1264">
        <v>16</v>
      </c>
      <c r="N347" s="1258">
        <v>120</v>
      </c>
      <c r="O347" s="1258">
        <v>180</v>
      </c>
      <c r="P347" s="1258">
        <v>240</v>
      </c>
      <c r="Q347" s="1264">
        <v>320</v>
      </c>
      <c r="R347" s="1258">
        <v>15</v>
      </c>
      <c r="S347" s="1258">
        <v>20</v>
      </c>
      <c r="T347" s="1258">
        <v>25</v>
      </c>
      <c r="U347" s="1264">
        <v>35</v>
      </c>
      <c r="V347" s="1260" t="s">
        <v>6891</v>
      </c>
      <c r="W347" s="1260" t="s">
        <v>5726</v>
      </c>
      <c r="X347" s="1260" t="s">
        <v>6892</v>
      </c>
      <c r="Y347" s="1260" t="s">
        <v>5727</v>
      </c>
      <c r="Z347" s="1261" t="s">
        <v>9683</v>
      </c>
    </row>
    <row r="348" spans="2:26" ht="12.75" customHeight="1" x14ac:dyDescent="0.2">
      <c r="B348" s="2465" t="str">
        <f t="shared" si="5"/>
        <v>Ilusión76</v>
      </c>
      <c r="C348" s="1262"/>
      <c r="D348" s="1268" t="s">
        <v>6893</v>
      </c>
      <c r="E348" s="1258" t="s">
        <v>2582</v>
      </c>
      <c r="F348" s="1258">
        <v>76</v>
      </c>
      <c r="G348" s="1269" t="s">
        <v>3090</v>
      </c>
      <c r="H348" s="1269" t="s">
        <v>6219</v>
      </c>
      <c r="I348" s="1270" t="s">
        <v>1918</v>
      </c>
      <c r="J348" s="1258">
        <v>8</v>
      </c>
      <c r="K348" s="1258">
        <v>10</v>
      </c>
      <c r="L348" s="1258">
        <v>13</v>
      </c>
      <c r="M348" s="1264">
        <v>16</v>
      </c>
      <c r="N348" s="1258">
        <v>140</v>
      </c>
      <c r="O348" s="1258">
        <v>200</v>
      </c>
      <c r="P348" s="1258">
        <v>260</v>
      </c>
      <c r="Q348" s="1264">
        <v>320</v>
      </c>
      <c r="R348" s="1258">
        <v>15</v>
      </c>
      <c r="S348" s="1258">
        <v>20</v>
      </c>
      <c r="T348" s="1258">
        <v>30</v>
      </c>
      <c r="U348" s="1264">
        <v>35</v>
      </c>
      <c r="V348" s="1260" t="s">
        <v>6891</v>
      </c>
      <c r="W348" s="1260" t="s">
        <v>5726</v>
      </c>
      <c r="X348" s="1260" t="s">
        <v>6892</v>
      </c>
      <c r="Y348" s="1260" t="s">
        <v>5727</v>
      </c>
      <c r="Z348" s="1261" t="s">
        <v>9684</v>
      </c>
    </row>
    <row r="349" spans="2:26" ht="12.75" customHeight="1" x14ac:dyDescent="0.2">
      <c r="B349" s="2465" t="str">
        <f t="shared" si="5"/>
        <v>Ilusión80</v>
      </c>
      <c r="C349" s="1262"/>
      <c r="D349" s="1268" t="s">
        <v>5034</v>
      </c>
      <c r="E349" s="1258" t="s">
        <v>2582</v>
      </c>
      <c r="F349" s="1258">
        <v>80</v>
      </c>
      <c r="G349" s="1269" t="s">
        <v>3090</v>
      </c>
      <c r="H349" s="1269" t="s">
        <v>5271</v>
      </c>
      <c r="I349" s="1270" t="s">
        <v>1918</v>
      </c>
      <c r="J349" s="1258">
        <v>9</v>
      </c>
      <c r="K349" s="1258">
        <v>12</v>
      </c>
      <c r="L349" s="1258">
        <v>15</v>
      </c>
      <c r="M349" s="1264">
        <v>18</v>
      </c>
      <c r="N349" s="1258">
        <v>250</v>
      </c>
      <c r="O349" s="1258">
        <v>350</v>
      </c>
      <c r="P349" s="1258">
        <v>500</v>
      </c>
      <c r="Q349" s="1264">
        <v>700</v>
      </c>
      <c r="R349" s="1258">
        <v>25</v>
      </c>
      <c r="S349" s="1258">
        <v>35</v>
      </c>
      <c r="T349" s="1258">
        <v>50</v>
      </c>
      <c r="U349" s="1264">
        <v>70</v>
      </c>
      <c r="V349" s="1260" t="s">
        <v>6894</v>
      </c>
      <c r="W349" s="1260" t="s">
        <v>6895</v>
      </c>
      <c r="X349" s="1260" t="s">
        <v>6896</v>
      </c>
      <c r="Y349" s="1260" t="s">
        <v>6897</v>
      </c>
      <c r="Z349" s="1261" t="s">
        <v>6898</v>
      </c>
    </row>
    <row r="350" spans="2:26" ht="12.75" customHeight="1" x14ac:dyDescent="0.2">
      <c r="B350" s="2465" t="str">
        <f t="shared" si="5"/>
        <v>Ilusión82</v>
      </c>
      <c r="C350" s="1262"/>
      <c r="D350" s="1268" t="s">
        <v>6899</v>
      </c>
      <c r="E350" s="1258" t="s">
        <v>2582</v>
      </c>
      <c r="F350" s="1258">
        <v>82</v>
      </c>
      <c r="G350" s="1269" t="s">
        <v>2234</v>
      </c>
      <c r="H350" s="1269" t="s">
        <v>1763</v>
      </c>
      <c r="I350" s="1270" t="s">
        <v>1918</v>
      </c>
      <c r="J350" s="1258">
        <v>9</v>
      </c>
      <c r="K350" s="1258">
        <v>12</v>
      </c>
      <c r="L350" s="1258">
        <v>15</v>
      </c>
      <c r="M350" s="1264">
        <v>18</v>
      </c>
      <c r="N350" s="1258">
        <v>250</v>
      </c>
      <c r="O350" s="1258">
        <v>360</v>
      </c>
      <c r="P350" s="1258">
        <v>450</v>
      </c>
      <c r="Q350" s="1264">
        <v>600</v>
      </c>
      <c r="R350" s="1258" t="s">
        <v>2234</v>
      </c>
      <c r="S350" s="1258" t="s">
        <v>2234</v>
      </c>
      <c r="T350" s="1258" t="s">
        <v>2234</v>
      </c>
      <c r="U350" s="1264" t="s">
        <v>2234</v>
      </c>
      <c r="V350" s="1260" t="s">
        <v>6900</v>
      </c>
      <c r="W350" s="1260" t="s">
        <v>6901</v>
      </c>
      <c r="X350" s="1260" t="s">
        <v>6902</v>
      </c>
      <c r="Y350" s="1260" t="s">
        <v>6903</v>
      </c>
      <c r="Z350" s="1261" t="s">
        <v>6904</v>
      </c>
    </row>
    <row r="351" spans="2:26" ht="12.75" customHeight="1" x14ac:dyDescent="0.2">
      <c r="B351" s="2465" t="str">
        <f t="shared" si="5"/>
        <v>Ilusión86</v>
      </c>
      <c r="C351" s="1262"/>
      <c r="D351" s="1268" t="s">
        <v>6905</v>
      </c>
      <c r="E351" s="1258" t="s">
        <v>2582</v>
      </c>
      <c r="F351" s="1258">
        <v>86</v>
      </c>
      <c r="G351" s="1269" t="s">
        <v>2234</v>
      </c>
      <c r="H351" s="1269" t="s">
        <v>6219</v>
      </c>
      <c r="I351" s="1270" t="s">
        <v>1918</v>
      </c>
      <c r="J351" s="1258">
        <v>10</v>
      </c>
      <c r="K351" s="1258">
        <v>12</v>
      </c>
      <c r="L351" s="1258">
        <v>14</v>
      </c>
      <c r="M351" s="1264">
        <v>16</v>
      </c>
      <c r="N351" s="1258">
        <v>200</v>
      </c>
      <c r="O351" s="1258">
        <v>250</v>
      </c>
      <c r="P351" s="1258">
        <v>300</v>
      </c>
      <c r="Q351" s="1264">
        <v>350</v>
      </c>
      <c r="R351" s="1258">
        <v>20</v>
      </c>
      <c r="S351" s="1258">
        <v>25</v>
      </c>
      <c r="T351" s="1258">
        <v>30</v>
      </c>
      <c r="U351" s="1264">
        <v>35</v>
      </c>
      <c r="V351" s="1260" t="s">
        <v>6861</v>
      </c>
      <c r="W351" s="1260" t="s">
        <v>6906</v>
      </c>
      <c r="X351" s="1260" t="s">
        <v>6907</v>
      </c>
      <c r="Y351" s="1260" t="s">
        <v>6908</v>
      </c>
      <c r="Z351" s="1261" t="s">
        <v>6909</v>
      </c>
    </row>
    <row r="352" spans="2:26" ht="12.75" customHeight="1" x14ac:dyDescent="0.2">
      <c r="B352" s="2465" t="str">
        <f t="shared" si="5"/>
        <v>Ilusión90</v>
      </c>
      <c r="C352" s="1262"/>
      <c r="D352" s="1268" t="s">
        <v>779</v>
      </c>
      <c r="E352" s="1258" t="s">
        <v>2582</v>
      </c>
      <c r="F352" s="1258">
        <v>90</v>
      </c>
      <c r="G352" s="1269" t="s">
        <v>3090</v>
      </c>
      <c r="H352" s="1269" t="s">
        <v>5271</v>
      </c>
      <c r="I352" s="1270" t="s">
        <v>1918</v>
      </c>
      <c r="J352" s="1258">
        <v>11</v>
      </c>
      <c r="K352" s="1258">
        <v>13</v>
      </c>
      <c r="L352" s="1258">
        <v>15</v>
      </c>
      <c r="M352" s="1264">
        <v>17</v>
      </c>
      <c r="N352" s="1258">
        <v>250</v>
      </c>
      <c r="O352" s="1258">
        <v>300</v>
      </c>
      <c r="P352" s="1258">
        <v>400</v>
      </c>
      <c r="Q352" s="1264">
        <v>500</v>
      </c>
      <c r="R352" s="1258">
        <v>25</v>
      </c>
      <c r="S352" s="1258">
        <v>30</v>
      </c>
      <c r="T352" s="1258">
        <v>40</v>
      </c>
      <c r="U352" s="1264">
        <v>50</v>
      </c>
      <c r="V352" s="1260" t="s">
        <v>5709</v>
      </c>
      <c r="W352" s="1260" t="s">
        <v>5710</v>
      </c>
      <c r="X352" s="1260" t="s">
        <v>5584</v>
      </c>
      <c r="Y352" s="1260" t="s">
        <v>5387</v>
      </c>
      <c r="Z352" s="1261" t="s">
        <v>6910</v>
      </c>
    </row>
    <row r="353" spans="2:26" ht="12.75" customHeight="1" x14ac:dyDescent="0.2">
      <c r="B353" s="2465" t="str">
        <f t="shared" si="5"/>
        <v>Ilusión92</v>
      </c>
      <c r="C353" s="1262"/>
      <c r="D353" s="1268" t="s">
        <v>6911</v>
      </c>
      <c r="E353" s="1258" t="s">
        <v>2582</v>
      </c>
      <c r="F353" s="1258">
        <v>92</v>
      </c>
      <c r="G353" s="1269" t="s">
        <v>3090</v>
      </c>
      <c r="H353" s="1269" t="s">
        <v>1763</v>
      </c>
      <c r="I353" s="1270" t="s">
        <v>1918</v>
      </c>
      <c r="J353" s="1258">
        <v>13</v>
      </c>
      <c r="K353" s="1258">
        <v>15</v>
      </c>
      <c r="L353" s="1258">
        <v>17</v>
      </c>
      <c r="M353" s="1264">
        <v>19</v>
      </c>
      <c r="N353" s="1258">
        <v>500</v>
      </c>
      <c r="O353" s="1258">
        <v>800</v>
      </c>
      <c r="P353" s="1258">
        <v>1200</v>
      </c>
      <c r="Q353" s="1264">
        <v>1500</v>
      </c>
      <c r="R353" s="1258">
        <v>100</v>
      </c>
      <c r="S353" s="1258">
        <v>160</v>
      </c>
      <c r="T353" s="1258">
        <v>240</v>
      </c>
      <c r="U353" s="1264">
        <v>300</v>
      </c>
      <c r="V353" s="1260" t="s">
        <v>6912</v>
      </c>
      <c r="W353" s="1260" t="s">
        <v>5428</v>
      </c>
      <c r="X353" s="1260" t="s">
        <v>6913</v>
      </c>
      <c r="Y353" s="1260" t="s">
        <v>6914</v>
      </c>
      <c r="Z353" s="1261" t="s">
        <v>6915</v>
      </c>
    </row>
    <row r="354" spans="2:26" ht="12.75" customHeight="1" x14ac:dyDescent="0.2">
      <c r="B354" s="2465" t="str">
        <f t="shared" si="5"/>
        <v>Ilusión96</v>
      </c>
      <c r="C354" s="1262"/>
      <c r="D354" s="1268" t="s">
        <v>6916</v>
      </c>
      <c r="E354" s="1258" t="s">
        <v>2582</v>
      </c>
      <c r="F354" s="1258">
        <v>96</v>
      </c>
      <c r="G354" s="1269" t="s">
        <v>2234</v>
      </c>
      <c r="H354" s="1269" t="s">
        <v>5271</v>
      </c>
      <c r="I354" s="1270" t="s">
        <v>1918</v>
      </c>
      <c r="J354" s="1258">
        <v>13</v>
      </c>
      <c r="K354" s="1258">
        <v>15</v>
      </c>
      <c r="L354" s="1258">
        <v>17</v>
      </c>
      <c r="M354" s="1264">
        <v>19</v>
      </c>
      <c r="N354" s="1258">
        <v>500</v>
      </c>
      <c r="O354" s="1258">
        <v>900</v>
      </c>
      <c r="P354" s="1258">
        <v>1400</v>
      </c>
      <c r="Q354" s="1264">
        <v>2000</v>
      </c>
      <c r="R354" s="1258">
        <v>50</v>
      </c>
      <c r="S354" s="1258">
        <v>90</v>
      </c>
      <c r="T354" s="1258">
        <v>140</v>
      </c>
      <c r="U354" s="1264">
        <v>200</v>
      </c>
      <c r="V354" s="1260" t="s">
        <v>6917</v>
      </c>
      <c r="W354" s="1260" t="s">
        <v>6918</v>
      </c>
      <c r="X354" s="1260" t="s">
        <v>6919</v>
      </c>
      <c r="Y354" s="1260" t="s">
        <v>6920</v>
      </c>
      <c r="Z354" s="1261" t="s">
        <v>9685</v>
      </c>
    </row>
    <row r="355" spans="2:26" ht="12.75" customHeight="1" x14ac:dyDescent="0.2">
      <c r="B355" s="2465" t="str">
        <f t="shared" si="5"/>
        <v>Ilusión100</v>
      </c>
      <c r="C355" s="1262"/>
      <c r="D355" s="1268" t="s">
        <v>6921</v>
      </c>
      <c r="E355" s="1258" t="s">
        <v>2582</v>
      </c>
      <c r="F355" s="1258">
        <v>100</v>
      </c>
      <c r="G355" s="1269" t="s">
        <v>2234</v>
      </c>
      <c r="H355" s="1269" t="s">
        <v>5271</v>
      </c>
      <c r="I355" s="1270" t="s">
        <v>1918</v>
      </c>
      <c r="J355" s="1258">
        <v>14</v>
      </c>
      <c r="K355" s="1258">
        <v>16</v>
      </c>
      <c r="L355" s="1258">
        <v>18</v>
      </c>
      <c r="M355" s="1264">
        <v>19</v>
      </c>
      <c r="N355" s="1258">
        <v>600</v>
      </c>
      <c r="O355" s="1258">
        <v>1000</v>
      </c>
      <c r="P355" s="1258">
        <v>2000</v>
      </c>
      <c r="Q355" s="1264">
        <v>3000</v>
      </c>
      <c r="R355" s="1258" t="s">
        <v>2234</v>
      </c>
      <c r="S355" s="1258" t="s">
        <v>2234</v>
      </c>
      <c r="T355" s="1258" t="s">
        <v>2234</v>
      </c>
      <c r="U355" s="1264" t="s">
        <v>2234</v>
      </c>
      <c r="V355" s="1260" t="s">
        <v>5710</v>
      </c>
      <c r="W355" s="1260" t="s">
        <v>6922</v>
      </c>
      <c r="X355" s="1260" t="s">
        <v>5934</v>
      </c>
      <c r="Y355" s="1260" t="s">
        <v>5586</v>
      </c>
      <c r="Z355" s="1261" t="s">
        <v>6923</v>
      </c>
    </row>
    <row r="356" spans="2:26" ht="12.75" customHeight="1" x14ac:dyDescent="0.2">
      <c r="B356" s="2465" t="str">
        <f t="shared" si="5"/>
        <v/>
      </c>
      <c r="C356" s="1262"/>
      <c r="D356" s="1268" t="s">
        <v>783</v>
      </c>
      <c r="E356" s="1258"/>
      <c r="F356" s="1258"/>
      <c r="G356" s="1269"/>
      <c r="H356" s="1269"/>
      <c r="I356" s="1270"/>
      <c r="J356" s="1258"/>
      <c r="K356" s="1258"/>
      <c r="L356" s="1258"/>
      <c r="M356" s="1264"/>
      <c r="N356" s="1258"/>
      <c r="O356" s="1258"/>
      <c r="P356" s="1258"/>
      <c r="Q356" s="1264"/>
      <c r="R356" s="1258"/>
      <c r="S356" s="1258"/>
      <c r="T356" s="1258"/>
      <c r="U356" s="1264"/>
      <c r="V356" s="1260"/>
      <c r="W356" s="1260"/>
      <c r="X356" s="1260"/>
      <c r="Y356" s="1260"/>
      <c r="Z356" s="1261"/>
    </row>
    <row r="357" spans="2:26" ht="12.75" customHeight="1" x14ac:dyDescent="0.2">
      <c r="B357" s="2465" t="str">
        <f t="shared" si="5"/>
        <v>Nigromancia2</v>
      </c>
      <c r="C357" s="1262"/>
      <c r="D357" s="1268" t="s">
        <v>784</v>
      </c>
      <c r="E357" s="1258" t="s">
        <v>2584</v>
      </c>
      <c r="F357" s="1258">
        <v>2</v>
      </c>
      <c r="G357" s="1269" t="s">
        <v>2234</v>
      </c>
      <c r="H357" s="1269" t="s">
        <v>1765</v>
      </c>
      <c r="I357" s="1270" t="s">
        <v>1918</v>
      </c>
      <c r="J357" s="1258">
        <v>6</v>
      </c>
      <c r="K357" s="1258">
        <v>8</v>
      </c>
      <c r="L357" s="1258">
        <v>10</v>
      </c>
      <c r="M357" s="1264">
        <v>12</v>
      </c>
      <c r="N357" s="1258">
        <v>30</v>
      </c>
      <c r="O357" s="1258">
        <v>60</v>
      </c>
      <c r="P357" s="1258">
        <v>90</v>
      </c>
      <c r="Q357" s="1264">
        <v>120</v>
      </c>
      <c r="R357" s="1258">
        <v>5</v>
      </c>
      <c r="S357" s="1258">
        <v>10</v>
      </c>
      <c r="T357" s="1258">
        <v>10</v>
      </c>
      <c r="U357" s="1264">
        <v>15</v>
      </c>
      <c r="V357" s="1260" t="s">
        <v>6924</v>
      </c>
      <c r="W357" s="1260" t="s">
        <v>6925</v>
      </c>
      <c r="X357" s="1260" t="s">
        <v>6926</v>
      </c>
      <c r="Y357" s="1260" t="s">
        <v>6927</v>
      </c>
      <c r="Z357" s="1261" t="s">
        <v>6928</v>
      </c>
    </row>
    <row r="358" spans="2:26" ht="12.75" customHeight="1" x14ac:dyDescent="0.2">
      <c r="B358" s="2465" t="str">
        <f t="shared" si="5"/>
        <v>Nigromancia6</v>
      </c>
      <c r="C358" s="1262"/>
      <c r="D358" s="1268" t="s">
        <v>6929</v>
      </c>
      <c r="E358" s="1258" t="s">
        <v>2584</v>
      </c>
      <c r="F358" s="1258">
        <v>6</v>
      </c>
      <c r="G358" s="1269" t="s">
        <v>2234</v>
      </c>
      <c r="H358" s="1269" t="s">
        <v>1763</v>
      </c>
      <c r="I358" s="1270" t="s">
        <v>1918</v>
      </c>
      <c r="J358" s="1258">
        <v>6</v>
      </c>
      <c r="K358" s="1258">
        <v>8</v>
      </c>
      <c r="L358" s="1258">
        <v>10</v>
      </c>
      <c r="M358" s="1264">
        <v>12</v>
      </c>
      <c r="N358" s="1258">
        <v>30</v>
      </c>
      <c r="O358" s="1258">
        <v>60</v>
      </c>
      <c r="P358" s="1258">
        <v>90</v>
      </c>
      <c r="Q358" s="1264">
        <v>120</v>
      </c>
      <c r="R358" s="1258">
        <v>5</v>
      </c>
      <c r="S358" s="1258">
        <v>10</v>
      </c>
      <c r="T358" s="1258">
        <v>10</v>
      </c>
      <c r="U358" s="1264">
        <v>15</v>
      </c>
      <c r="V358" s="1260" t="s">
        <v>6930</v>
      </c>
      <c r="W358" s="1260" t="s">
        <v>6931</v>
      </c>
      <c r="X358" s="1260" t="s">
        <v>6932</v>
      </c>
      <c r="Y358" s="1260" t="s">
        <v>6933</v>
      </c>
      <c r="Z358" s="1261" t="s">
        <v>6934</v>
      </c>
    </row>
    <row r="359" spans="2:26" ht="12.75" customHeight="1" x14ac:dyDescent="0.2">
      <c r="B359" s="2465" t="str">
        <f t="shared" si="5"/>
        <v>Nigromancia8</v>
      </c>
      <c r="C359" s="1262"/>
      <c r="D359" s="1268" t="s">
        <v>786</v>
      </c>
      <c r="E359" s="1258" t="s">
        <v>2584</v>
      </c>
      <c r="F359" s="1258">
        <v>8</v>
      </c>
      <c r="G359" s="1269" t="s">
        <v>2234</v>
      </c>
      <c r="H359" s="1269" t="s">
        <v>1763</v>
      </c>
      <c r="I359" s="1270" t="s">
        <v>1918</v>
      </c>
      <c r="J359" s="1258">
        <v>6</v>
      </c>
      <c r="K359" s="1258">
        <v>8</v>
      </c>
      <c r="L359" s="1258">
        <v>11</v>
      </c>
      <c r="M359" s="1264">
        <v>13</v>
      </c>
      <c r="N359" s="1258">
        <v>40</v>
      </c>
      <c r="O359" s="1258">
        <v>120</v>
      </c>
      <c r="P359" s="1258">
        <v>200</v>
      </c>
      <c r="Q359" s="1264">
        <v>300</v>
      </c>
      <c r="R359" s="1258">
        <v>5</v>
      </c>
      <c r="S359" s="1258">
        <v>10</v>
      </c>
      <c r="T359" s="1258">
        <v>10</v>
      </c>
      <c r="U359" s="1264">
        <v>15</v>
      </c>
      <c r="V359" s="1260" t="s">
        <v>6515</v>
      </c>
      <c r="W359" s="1260" t="s">
        <v>6516</v>
      </c>
      <c r="X359" s="1260" t="s">
        <v>5473</v>
      </c>
      <c r="Y359" s="1260" t="s">
        <v>6138</v>
      </c>
      <c r="Z359" s="1261" t="s">
        <v>6935</v>
      </c>
    </row>
    <row r="360" spans="2:26" ht="12.75" customHeight="1" x14ac:dyDescent="0.2">
      <c r="B360" s="2465" t="str">
        <f t="shared" si="5"/>
        <v>Nigromancia10</v>
      </c>
      <c r="C360" s="1262"/>
      <c r="D360" s="1268" t="s">
        <v>787</v>
      </c>
      <c r="E360" s="1258" t="s">
        <v>2584</v>
      </c>
      <c r="F360" s="1258">
        <v>10</v>
      </c>
      <c r="G360" s="1269" t="s">
        <v>2234</v>
      </c>
      <c r="H360" s="1269" t="s">
        <v>2431</v>
      </c>
      <c r="I360" s="1270" t="s">
        <v>1919</v>
      </c>
      <c r="J360" s="1258">
        <v>6</v>
      </c>
      <c r="K360" s="1258">
        <v>9</v>
      </c>
      <c r="L360" s="1258">
        <v>11</v>
      </c>
      <c r="M360" s="1264">
        <v>13</v>
      </c>
      <c r="N360" s="1258">
        <v>40</v>
      </c>
      <c r="O360" s="1258">
        <v>60</v>
      </c>
      <c r="P360" s="1258">
        <v>80</v>
      </c>
      <c r="Q360" s="1264">
        <v>100</v>
      </c>
      <c r="R360" s="1258">
        <v>5</v>
      </c>
      <c r="S360" s="1258">
        <v>5</v>
      </c>
      <c r="T360" s="1258">
        <v>10</v>
      </c>
      <c r="U360" s="1264">
        <v>15</v>
      </c>
      <c r="V360" s="1260" t="s">
        <v>6936</v>
      </c>
      <c r="W360" s="1260" t="s">
        <v>6937</v>
      </c>
      <c r="X360" s="1260" t="s">
        <v>6938</v>
      </c>
      <c r="Y360" s="1260" t="s">
        <v>6939</v>
      </c>
      <c r="Z360" s="1261" t="s">
        <v>6940</v>
      </c>
    </row>
    <row r="361" spans="2:26" ht="12.75" customHeight="1" x14ac:dyDescent="0.2">
      <c r="B361" s="2465" t="str">
        <f t="shared" si="5"/>
        <v>Nigromancia12</v>
      </c>
      <c r="C361" s="1262"/>
      <c r="D361" s="1268" t="s">
        <v>788</v>
      </c>
      <c r="E361" s="1258" t="s">
        <v>2584</v>
      </c>
      <c r="F361" s="1258">
        <v>12</v>
      </c>
      <c r="G361" s="1269" t="s">
        <v>2234</v>
      </c>
      <c r="H361" s="1269" t="s">
        <v>1762</v>
      </c>
      <c r="I361" s="1270" t="s">
        <v>1919</v>
      </c>
      <c r="J361" s="1258">
        <v>6</v>
      </c>
      <c r="K361" s="1258">
        <v>9</v>
      </c>
      <c r="L361" s="1258">
        <v>12</v>
      </c>
      <c r="M361" s="1264">
        <v>14</v>
      </c>
      <c r="N361" s="1258">
        <v>50</v>
      </c>
      <c r="O361" s="1258">
        <v>140</v>
      </c>
      <c r="P361" s="1258">
        <v>230</v>
      </c>
      <c r="Q361" s="1264">
        <v>320</v>
      </c>
      <c r="R361" s="1258"/>
      <c r="S361" s="1258"/>
      <c r="T361" s="1258"/>
      <c r="U361" s="1264"/>
      <c r="V361" s="1260" t="s">
        <v>5753</v>
      </c>
      <c r="W361" s="1260" t="s">
        <v>5710</v>
      </c>
      <c r="X361" s="1260" t="s">
        <v>5387</v>
      </c>
      <c r="Y361" s="1260" t="s">
        <v>5586</v>
      </c>
      <c r="Z361" s="1261" t="s">
        <v>6941</v>
      </c>
    </row>
    <row r="362" spans="2:26" ht="12.75" customHeight="1" x14ac:dyDescent="0.2">
      <c r="B362" s="2465" t="str">
        <f t="shared" si="5"/>
        <v>Nigromancia16</v>
      </c>
      <c r="C362" s="1262"/>
      <c r="D362" s="1268" t="s">
        <v>6942</v>
      </c>
      <c r="E362" s="1258" t="s">
        <v>2584</v>
      </c>
      <c r="F362" s="1258">
        <v>16</v>
      </c>
      <c r="G362" s="1269" t="s">
        <v>2234</v>
      </c>
      <c r="H362" s="1269" t="s">
        <v>1765</v>
      </c>
      <c r="I362" s="1270" t="s">
        <v>1918</v>
      </c>
      <c r="J362" s="1258">
        <v>6</v>
      </c>
      <c r="K362" s="1258">
        <v>9</v>
      </c>
      <c r="L362" s="1258">
        <v>11</v>
      </c>
      <c r="M362" s="1264">
        <v>13</v>
      </c>
      <c r="N362" s="1258">
        <v>50</v>
      </c>
      <c r="O362" s="1258">
        <v>80</v>
      </c>
      <c r="P362" s="1258">
        <v>100</v>
      </c>
      <c r="Q362" s="1264">
        <v>120</v>
      </c>
      <c r="R362" s="1258">
        <v>5</v>
      </c>
      <c r="S362" s="1258">
        <v>10</v>
      </c>
      <c r="T362" s="1258">
        <v>10</v>
      </c>
      <c r="U362" s="1264">
        <v>15</v>
      </c>
      <c r="V362" s="1260" t="s">
        <v>6752</v>
      </c>
      <c r="W362" s="1260" t="s">
        <v>5944</v>
      </c>
      <c r="X362" s="1260" t="s">
        <v>6674</v>
      </c>
      <c r="Y362" s="1260" t="s">
        <v>6943</v>
      </c>
      <c r="Z362" s="1261" t="s">
        <v>6944</v>
      </c>
    </row>
    <row r="363" spans="2:26" ht="12.75" customHeight="1" x14ac:dyDescent="0.2">
      <c r="B363" s="2465" t="str">
        <f t="shared" si="5"/>
        <v>Nigromancia18</v>
      </c>
      <c r="C363" s="1262"/>
      <c r="D363" s="1268" t="s">
        <v>790</v>
      </c>
      <c r="E363" s="1258" t="s">
        <v>2584</v>
      </c>
      <c r="F363" s="1258">
        <v>18</v>
      </c>
      <c r="G363" s="1269" t="s">
        <v>2234</v>
      </c>
      <c r="H363" s="1269" t="s">
        <v>6277</v>
      </c>
      <c r="I363" s="1270" t="s">
        <v>1918</v>
      </c>
      <c r="J363" s="1258">
        <v>6</v>
      </c>
      <c r="K363" s="1258">
        <v>9</v>
      </c>
      <c r="L363" s="1258">
        <v>12</v>
      </c>
      <c r="M363" s="1264">
        <v>15</v>
      </c>
      <c r="N363" s="1258">
        <v>60</v>
      </c>
      <c r="O363" s="1258">
        <v>90</v>
      </c>
      <c r="P363" s="1258">
        <v>120</v>
      </c>
      <c r="Q363" s="1264">
        <v>150</v>
      </c>
      <c r="R363" s="1258">
        <v>5</v>
      </c>
      <c r="S363" s="1258">
        <v>5</v>
      </c>
      <c r="T363" s="1258">
        <v>5</v>
      </c>
      <c r="U363" s="1264">
        <v>5</v>
      </c>
      <c r="V363" s="1260" t="s">
        <v>5742</v>
      </c>
      <c r="W363" s="1260" t="s">
        <v>5743</v>
      </c>
      <c r="X363" s="1260" t="s">
        <v>5744</v>
      </c>
      <c r="Y363" s="1260" t="s">
        <v>6945</v>
      </c>
      <c r="Z363" s="1261" t="s">
        <v>6946</v>
      </c>
    </row>
    <row r="364" spans="2:26" ht="12.75" customHeight="1" x14ac:dyDescent="0.2">
      <c r="B364" s="2465" t="str">
        <f t="shared" si="5"/>
        <v>Nigromancia20</v>
      </c>
      <c r="C364" s="1262"/>
      <c r="D364" s="1268" t="s">
        <v>6947</v>
      </c>
      <c r="E364" s="1258" t="s">
        <v>2584</v>
      </c>
      <c r="F364" s="1258">
        <v>20</v>
      </c>
      <c r="G364" s="1269" t="s">
        <v>2234</v>
      </c>
      <c r="H364" s="1269" t="s">
        <v>1762</v>
      </c>
      <c r="I364" s="1270" t="s">
        <v>1918</v>
      </c>
      <c r="J364" s="1258">
        <v>7</v>
      </c>
      <c r="K364" s="1258">
        <v>10</v>
      </c>
      <c r="L364" s="1258">
        <v>13</v>
      </c>
      <c r="M364" s="1264">
        <v>15</v>
      </c>
      <c r="N364" s="1258">
        <v>60</v>
      </c>
      <c r="O364" s="1258">
        <v>90</v>
      </c>
      <c r="P364" s="1258">
        <v>120</v>
      </c>
      <c r="Q364" s="1264">
        <v>150</v>
      </c>
      <c r="R364" s="1258">
        <v>10</v>
      </c>
      <c r="S364" s="1258">
        <v>10</v>
      </c>
      <c r="T364" s="1258">
        <v>15</v>
      </c>
      <c r="U364" s="1264">
        <v>15</v>
      </c>
      <c r="V364" s="1260" t="s">
        <v>6948</v>
      </c>
      <c r="W364" s="1260" t="s">
        <v>5948</v>
      </c>
      <c r="X364" s="1260" t="s">
        <v>6949</v>
      </c>
      <c r="Y364" s="1260" t="s">
        <v>6950</v>
      </c>
      <c r="Z364" s="1261" t="s">
        <v>6951</v>
      </c>
    </row>
    <row r="365" spans="2:26" ht="12.75" customHeight="1" x14ac:dyDescent="0.2">
      <c r="B365" s="2465" t="str">
        <f t="shared" si="5"/>
        <v>Nigromancia22</v>
      </c>
      <c r="C365" s="1262"/>
      <c r="D365" s="1268" t="s">
        <v>792</v>
      </c>
      <c r="E365" s="1258" t="s">
        <v>2584</v>
      </c>
      <c r="F365" s="1258">
        <v>22</v>
      </c>
      <c r="G365" s="1269" t="s">
        <v>2234</v>
      </c>
      <c r="H365" s="1269" t="s">
        <v>1763</v>
      </c>
      <c r="I365" s="1270" t="s">
        <v>1918</v>
      </c>
      <c r="J365" s="1258">
        <v>8</v>
      </c>
      <c r="K365" s="1258">
        <v>10</v>
      </c>
      <c r="L365" s="1258">
        <v>12</v>
      </c>
      <c r="M365" s="1264">
        <v>14</v>
      </c>
      <c r="N365" s="1258">
        <v>80</v>
      </c>
      <c r="O365" s="1258">
        <v>100</v>
      </c>
      <c r="P365" s="1258">
        <v>120</v>
      </c>
      <c r="Q365" s="1264">
        <v>140</v>
      </c>
      <c r="R365" s="1258"/>
      <c r="S365" s="1258"/>
      <c r="T365" s="1258"/>
      <c r="U365" s="1264"/>
      <c r="V365" s="1260" t="s">
        <v>6952</v>
      </c>
      <c r="W365" s="1260" t="s">
        <v>6953</v>
      </c>
      <c r="X365" s="1260" t="s">
        <v>6954</v>
      </c>
      <c r="Y365" s="1260" t="s">
        <v>6955</v>
      </c>
      <c r="Z365" s="1261" t="s">
        <v>6956</v>
      </c>
    </row>
    <row r="366" spans="2:26" ht="12.75" customHeight="1" x14ac:dyDescent="0.2">
      <c r="B366" s="2465" t="str">
        <f t="shared" si="5"/>
        <v>Nigromancia26</v>
      </c>
      <c r="C366" s="1262"/>
      <c r="D366" s="1268" t="s">
        <v>6957</v>
      </c>
      <c r="E366" s="1258" t="s">
        <v>2584</v>
      </c>
      <c r="F366" s="1258">
        <v>26</v>
      </c>
      <c r="G366" s="1269" t="s">
        <v>2234</v>
      </c>
      <c r="H366" s="1269" t="s">
        <v>1761</v>
      </c>
      <c r="I366" s="1270" t="s">
        <v>1918</v>
      </c>
      <c r="J366" s="1258">
        <v>6</v>
      </c>
      <c r="K366" s="1258">
        <v>9</v>
      </c>
      <c r="L366" s="1258">
        <v>12</v>
      </c>
      <c r="M366" s="1264">
        <v>15</v>
      </c>
      <c r="N366" s="1258">
        <v>60</v>
      </c>
      <c r="O366" s="1258">
        <v>90</v>
      </c>
      <c r="P366" s="1258">
        <v>120</v>
      </c>
      <c r="Q366" s="1264">
        <v>150</v>
      </c>
      <c r="R366" s="1258"/>
      <c r="S366" s="1258"/>
      <c r="T366" s="1258"/>
      <c r="U366" s="1264"/>
      <c r="V366" s="1260" t="s">
        <v>6958</v>
      </c>
      <c r="W366" s="1260" t="s">
        <v>5894</v>
      </c>
      <c r="X366" s="1260" t="s">
        <v>6959</v>
      </c>
      <c r="Y366" s="1260" t="s">
        <v>6960</v>
      </c>
      <c r="Z366" s="1261" t="s">
        <v>6961</v>
      </c>
    </row>
    <row r="367" spans="2:26" ht="12.75" customHeight="1" x14ac:dyDescent="0.2">
      <c r="B367" s="2465" t="str">
        <f t="shared" si="5"/>
        <v>Nigromancia28</v>
      </c>
      <c r="C367" s="1262"/>
      <c r="D367" s="1268" t="s">
        <v>6962</v>
      </c>
      <c r="E367" s="1258" t="s">
        <v>2584</v>
      </c>
      <c r="F367" s="1258">
        <v>28</v>
      </c>
      <c r="G367" s="1269" t="s">
        <v>3090</v>
      </c>
      <c r="H367" s="1269" t="s">
        <v>1763</v>
      </c>
      <c r="I367" s="1270" t="s">
        <v>1918</v>
      </c>
      <c r="J367" s="1258">
        <v>7</v>
      </c>
      <c r="K367" s="1258">
        <v>10</v>
      </c>
      <c r="L367" s="1258">
        <v>13</v>
      </c>
      <c r="M367" s="1264">
        <v>15</v>
      </c>
      <c r="N367" s="1258">
        <v>80</v>
      </c>
      <c r="O367" s="1258">
        <v>180</v>
      </c>
      <c r="P367" s="1258">
        <v>300</v>
      </c>
      <c r="Q367" s="1264">
        <v>450</v>
      </c>
      <c r="R367" s="1258">
        <v>10</v>
      </c>
      <c r="S367" s="1258">
        <v>20</v>
      </c>
      <c r="T367" s="1258">
        <v>25</v>
      </c>
      <c r="U367" s="1264">
        <v>30</v>
      </c>
      <c r="V367" s="1260" t="s">
        <v>6963</v>
      </c>
      <c r="W367" s="1260" t="s">
        <v>6964</v>
      </c>
      <c r="X367" s="1260" t="s">
        <v>6965</v>
      </c>
      <c r="Y367" s="1260" t="s">
        <v>6966</v>
      </c>
      <c r="Z367" s="1261" t="s">
        <v>6967</v>
      </c>
    </row>
    <row r="368" spans="2:26" ht="12.75" customHeight="1" x14ac:dyDescent="0.2">
      <c r="B368" s="2465" t="str">
        <f t="shared" si="5"/>
        <v>Nigromancia30</v>
      </c>
      <c r="C368" s="1262"/>
      <c r="D368" s="1268" t="s">
        <v>795</v>
      </c>
      <c r="E368" s="1258" t="s">
        <v>2584</v>
      </c>
      <c r="F368" s="1258">
        <v>30</v>
      </c>
      <c r="G368" s="1269" t="s">
        <v>3090</v>
      </c>
      <c r="H368" s="1269" t="s">
        <v>1763</v>
      </c>
      <c r="I368" s="1270" t="s">
        <v>1918</v>
      </c>
      <c r="J368" s="1258">
        <v>8</v>
      </c>
      <c r="K368" s="1258">
        <v>10</v>
      </c>
      <c r="L368" s="1258">
        <v>12</v>
      </c>
      <c r="M368" s="1264">
        <v>14</v>
      </c>
      <c r="N368" s="1258">
        <v>80</v>
      </c>
      <c r="O368" s="1258">
        <v>100</v>
      </c>
      <c r="P368" s="1258">
        <v>120</v>
      </c>
      <c r="Q368" s="1264">
        <v>140</v>
      </c>
      <c r="R368" s="1258">
        <v>10</v>
      </c>
      <c r="S368" s="1258">
        <v>10</v>
      </c>
      <c r="T368" s="1258">
        <v>15</v>
      </c>
      <c r="U368" s="1264">
        <v>15</v>
      </c>
      <c r="V368" s="1260" t="s">
        <v>6968</v>
      </c>
      <c r="W368" s="1260" t="s">
        <v>6969</v>
      </c>
      <c r="X368" s="1260" t="s">
        <v>6970</v>
      </c>
      <c r="Y368" s="1260" t="s">
        <v>6971</v>
      </c>
      <c r="Z368" s="1261" t="s">
        <v>6972</v>
      </c>
    </row>
    <row r="369" spans="2:26" ht="12.75" customHeight="1" x14ac:dyDescent="0.2">
      <c r="B369" s="2465" t="str">
        <f t="shared" si="5"/>
        <v>Nigromancia32</v>
      </c>
      <c r="C369" s="1262"/>
      <c r="D369" s="1268" t="s">
        <v>796</v>
      </c>
      <c r="E369" s="1258" t="s">
        <v>2584</v>
      </c>
      <c r="F369" s="1258">
        <v>32</v>
      </c>
      <c r="G369" s="1269" t="s">
        <v>2234</v>
      </c>
      <c r="H369" s="1269" t="s">
        <v>1762</v>
      </c>
      <c r="I369" s="1270" t="s">
        <v>1918</v>
      </c>
      <c r="J369" s="1258">
        <v>8</v>
      </c>
      <c r="K369" s="1258">
        <v>10</v>
      </c>
      <c r="L369" s="1258">
        <v>13</v>
      </c>
      <c r="M369" s="1264">
        <v>15</v>
      </c>
      <c r="N369" s="1258">
        <v>60</v>
      </c>
      <c r="O369" s="1258">
        <v>140</v>
      </c>
      <c r="P369" s="1258">
        <v>220</v>
      </c>
      <c r="Q369" s="1264">
        <v>300</v>
      </c>
      <c r="R369" s="1258"/>
      <c r="S369" s="1258"/>
      <c r="T369" s="1258"/>
      <c r="U369" s="1264"/>
      <c r="V369" s="1260" t="s">
        <v>5710</v>
      </c>
      <c r="W369" s="1260" t="s">
        <v>5387</v>
      </c>
      <c r="X369" s="1260" t="s">
        <v>5934</v>
      </c>
      <c r="Y369" s="1260" t="s">
        <v>6973</v>
      </c>
      <c r="Z369" s="1261" t="s">
        <v>6974</v>
      </c>
    </row>
    <row r="370" spans="2:26" ht="12.75" customHeight="1" x14ac:dyDescent="0.2">
      <c r="B370" s="2465" t="str">
        <f t="shared" si="5"/>
        <v>Nigromancia36</v>
      </c>
      <c r="C370" s="1262"/>
      <c r="D370" s="1268" t="s">
        <v>797</v>
      </c>
      <c r="E370" s="1258" t="s">
        <v>2584</v>
      </c>
      <c r="F370" s="1258">
        <v>36</v>
      </c>
      <c r="G370" s="1269" t="s">
        <v>2234</v>
      </c>
      <c r="H370" s="1269" t="s">
        <v>1762</v>
      </c>
      <c r="I370" s="1270" t="s">
        <v>1918</v>
      </c>
      <c r="J370" s="1258">
        <v>8</v>
      </c>
      <c r="K370" s="1258">
        <v>10</v>
      </c>
      <c r="L370" s="1258">
        <v>13</v>
      </c>
      <c r="M370" s="1264">
        <v>15</v>
      </c>
      <c r="N370" s="1258">
        <v>80</v>
      </c>
      <c r="O370" s="1258">
        <v>160</v>
      </c>
      <c r="P370" s="1258">
        <v>240</v>
      </c>
      <c r="Q370" s="1264">
        <v>320</v>
      </c>
      <c r="R370" s="1258"/>
      <c r="S370" s="1258"/>
      <c r="T370" s="1258"/>
      <c r="U370" s="1264"/>
      <c r="V370" s="1260" t="s">
        <v>5710</v>
      </c>
      <c r="W370" s="1260" t="s">
        <v>5387</v>
      </c>
      <c r="X370" s="1260" t="s">
        <v>5934</v>
      </c>
      <c r="Y370" s="1260" t="s">
        <v>6973</v>
      </c>
      <c r="Z370" s="1261" t="s">
        <v>6975</v>
      </c>
    </row>
    <row r="371" spans="2:26" ht="12.75" customHeight="1" x14ac:dyDescent="0.2">
      <c r="B371" s="2465" t="str">
        <f t="shared" si="5"/>
        <v>Nigromancia38</v>
      </c>
      <c r="C371" s="1262"/>
      <c r="D371" s="1268" t="s">
        <v>798</v>
      </c>
      <c r="E371" s="1258" t="s">
        <v>2584</v>
      </c>
      <c r="F371" s="1258">
        <v>38</v>
      </c>
      <c r="G371" s="1269" t="s">
        <v>2234</v>
      </c>
      <c r="H371" s="1269" t="s">
        <v>1762</v>
      </c>
      <c r="I371" s="1270" t="s">
        <v>1918</v>
      </c>
      <c r="J371" s="1258">
        <v>8</v>
      </c>
      <c r="K371" s="1258">
        <v>10</v>
      </c>
      <c r="L371" s="1258">
        <v>13</v>
      </c>
      <c r="M371" s="1264">
        <v>15</v>
      </c>
      <c r="N371" s="1258">
        <v>60</v>
      </c>
      <c r="O371" s="1258">
        <v>150</v>
      </c>
      <c r="P371" s="1258">
        <v>240</v>
      </c>
      <c r="Q371" s="1264">
        <v>320</v>
      </c>
      <c r="R371" s="1258">
        <v>5</v>
      </c>
      <c r="S371" s="1258">
        <v>10</v>
      </c>
      <c r="T371" s="1258">
        <v>15</v>
      </c>
      <c r="U371" s="1264">
        <v>15</v>
      </c>
      <c r="V371" s="1260" t="s">
        <v>5710</v>
      </c>
      <c r="W371" s="1260" t="s">
        <v>5387</v>
      </c>
      <c r="X371" s="1260" t="s">
        <v>5934</v>
      </c>
      <c r="Y371" s="1260" t="s">
        <v>6973</v>
      </c>
      <c r="Z371" s="1261" t="s">
        <v>6976</v>
      </c>
    </row>
    <row r="372" spans="2:26" ht="12.75" customHeight="1" x14ac:dyDescent="0.2">
      <c r="B372" s="2465" t="str">
        <f t="shared" si="5"/>
        <v>Nigromancia40</v>
      </c>
      <c r="C372" s="1262"/>
      <c r="D372" s="1268" t="s">
        <v>799</v>
      </c>
      <c r="E372" s="1258" t="s">
        <v>2584</v>
      </c>
      <c r="F372" s="1258">
        <v>40</v>
      </c>
      <c r="G372" s="1269" t="s">
        <v>3090</v>
      </c>
      <c r="H372" s="1269" t="s">
        <v>1762</v>
      </c>
      <c r="I372" s="1270" t="s">
        <v>1918</v>
      </c>
      <c r="J372" s="1258">
        <v>9</v>
      </c>
      <c r="K372" s="1258">
        <v>11</v>
      </c>
      <c r="L372" s="1258">
        <v>14</v>
      </c>
      <c r="M372" s="1264">
        <v>16</v>
      </c>
      <c r="N372" s="1258">
        <v>100</v>
      </c>
      <c r="O372" s="1258">
        <v>140</v>
      </c>
      <c r="P372" s="1258">
        <v>180</v>
      </c>
      <c r="Q372" s="1264">
        <v>250</v>
      </c>
      <c r="R372" s="1258">
        <v>10</v>
      </c>
      <c r="S372" s="1258">
        <v>15</v>
      </c>
      <c r="T372" s="1258">
        <v>20</v>
      </c>
      <c r="U372" s="1264">
        <v>25</v>
      </c>
      <c r="V372" s="1260" t="s">
        <v>6977</v>
      </c>
      <c r="W372" s="1260" t="s">
        <v>6978</v>
      </c>
      <c r="X372" s="1260" t="s">
        <v>5949</v>
      </c>
      <c r="Y372" s="1260" t="s">
        <v>6979</v>
      </c>
      <c r="Z372" s="1261" t="s">
        <v>6980</v>
      </c>
    </row>
    <row r="373" spans="2:26" ht="12.75" customHeight="1" x14ac:dyDescent="0.2">
      <c r="B373" s="2465" t="str">
        <f t="shared" si="5"/>
        <v>Nigromancia42</v>
      </c>
      <c r="C373" s="1262"/>
      <c r="D373" s="1268" t="s">
        <v>800</v>
      </c>
      <c r="E373" s="1258" t="s">
        <v>2584</v>
      </c>
      <c r="F373" s="1258">
        <v>42</v>
      </c>
      <c r="G373" s="1269" t="s">
        <v>3090</v>
      </c>
      <c r="H373" s="1269" t="s">
        <v>6277</v>
      </c>
      <c r="I373" s="1270" t="s">
        <v>1918</v>
      </c>
      <c r="J373" s="1258">
        <v>9</v>
      </c>
      <c r="K373" s="1258">
        <v>12</v>
      </c>
      <c r="L373" s="1258">
        <v>14</v>
      </c>
      <c r="M373" s="1264">
        <v>16</v>
      </c>
      <c r="N373" s="1258">
        <v>100</v>
      </c>
      <c r="O373" s="1258">
        <v>140</v>
      </c>
      <c r="P373" s="1258">
        <v>180</v>
      </c>
      <c r="Q373" s="1264">
        <v>220</v>
      </c>
      <c r="R373" s="1258">
        <v>10</v>
      </c>
      <c r="S373" s="1258">
        <v>15</v>
      </c>
      <c r="T373" s="1258">
        <v>20</v>
      </c>
      <c r="U373" s="1264">
        <v>25</v>
      </c>
      <c r="V373" s="1260" t="s">
        <v>6515</v>
      </c>
      <c r="W373" s="1260" t="s">
        <v>6630</v>
      </c>
      <c r="X373" s="1260" t="s">
        <v>6981</v>
      </c>
      <c r="Y373" s="1260" t="s">
        <v>5612</v>
      </c>
      <c r="Z373" s="1261" t="s">
        <v>6982</v>
      </c>
    </row>
    <row r="374" spans="2:26" ht="12.75" customHeight="1" x14ac:dyDescent="0.2">
      <c r="B374" s="2465" t="str">
        <f t="shared" si="5"/>
        <v>Nigromancia46</v>
      </c>
      <c r="C374" s="1262"/>
      <c r="D374" s="1268" t="s">
        <v>801</v>
      </c>
      <c r="E374" s="1258" t="s">
        <v>2584</v>
      </c>
      <c r="F374" s="1258">
        <v>46</v>
      </c>
      <c r="G374" s="1269" t="s">
        <v>2234</v>
      </c>
      <c r="H374" s="1269" t="s">
        <v>2431</v>
      </c>
      <c r="I374" s="1270" t="s">
        <v>1919</v>
      </c>
      <c r="J374" s="1258">
        <v>9</v>
      </c>
      <c r="K374" s="1258">
        <v>11</v>
      </c>
      <c r="L374" s="1258">
        <v>13</v>
      </c>
      <c r="M374" s="1264">
        <v>15</v>
      </c>
      <c r="N374" s="1258">
        <v>80</v>
      </c>
      <c r="O374" s="1258">
        <v>160</v>
      </c>
      <c r="P374" s="1258">
        <v>240</v>
      </c>
      <c r="Q374" s="1264">
        <v>300</v>
      </c>
      <c r="R374" s="1258">
        <v>5</v>
      </c>
      <c r="S374" s="1258">
        <v>10</v>
      </c>
      <c r="T374" s="1258">
        <v>15</v>
      </c>
      <c r="U374" s="1264">
        <v>15</v>
      </c>
      <c r="V374" s="1260" t="s">
        <v>6983</v>
      </c>
      <c r="W374" s="1260" t="s">
        <v>6984</v>
      </c>
      <c r="X374" s="1260" t="s">
        <v>6985</v>
      </c>
      <c r="Y374" s="1260" t="s">
        <v>6986</v>
      </c>
      <c r="Z374" s="1261" t="s">
        <v>6987</v>
      </c>
    </row>
    <row r="375" spans="2:26" ht="12.75" customHeight="1" x14ac:dyDescent="0.2">
      <c r="B375" s="2465" t="str">
        <f t="shared" si="5"/>
        <v>Nigromancia48</v>
      </c>
      <c r="C375" s="1262"/>
      <c r="D375" s="1268" t="s">
        <v>802</v>
      </c>
      <c r="E375" s="1258" t="s">
        <v>2584</v>
      </c>
      <c r="F375" s="1258">
        <v>48</v>
      </c>
      <c r="G375" s="1269" t="s">
        <v>3090</v>
      </c>
      <c r="H375" s="1269" t="s">
        <v>1762</v>
      </c>
      <c r="I375" s="1270" t="s">
        <v>1919</v>
      </c>
      <c r="J375" s="1258">
        <v>9</v>
      </c>
      <c r="K375" s="1258">
        <v>11</v>
      </c>
      <c r="L375" s="1258">
        <v>13</v>
      </c>
      <c r="M375" s="1264">
        <v>15</v>
      </c>
      <c r="N375" s="1258">
        <v>140</v>
      </c>
      <c r="O375" s="1258">
        <v>180</v>
      </c>
      <c r="P375" s="1258">
        <v>240</v>
      </c>
      <c r="Q375" s="1264">
        <v>300</v>
      </c>
      <c r="R375" s="1258">
        <v>30</v>
      </c>
      <c r="S375" s="1258">
        <v>40</v>
      </c>
      <c r="T375" s="1258">
        <v>50</v>
      </c>
      <c r="U375" s="1264">
        <v>60</v>
      </c>
      <c r="V375" s="1260" t="s">
        <v>5753</v>
      </c>
      <c r="W375" s="1260" t="s">
        <v>5709</v>
      </c>
      <c r="X375" s="1260" t="s">
        <v>5710</v>
      </c>
      <c r="Y375" s="1260" t="s">
        <v>5584</v>
      </c>
      <c r="Z375" s="1261" t="s">
        <v>6988</v>
      </c>
    </row>
    <row r="376" spans="2:26" ht="12.75" customHeight="1" x14ac:dyDescent="0.2">
      <c r="B376" s="2465" t="str">
        <f t="shared" si="5"/>
        <v>Nigromancia50</v>
      </c>
      <c r="C376" s="1262"/>
      <c r="D376" s="1268" t="s">
        <v>803</v>
      </c>
      <c r="E376" s="1258" t="s">
        <v>2584</v>
      </c>
      <c r="F376" s="1258">
        <v>50</v>
      </c>
      <c r="G376" s="1269" t="s">
        <v>2234</v>
      </c>
      <c r="H376" s="1269" t="s">
        <v>1763</v>
      </c>
      <c r="I376" s="1270" t="s">
        <v>1918</v>
      </c>
      <c r="J376" s="1258">
        <v>9</v>
      </c>
      <c r="K376" s="1258">
        <v>11</v>
      </c>
      <c r="L376" s="1258">
        <v>13</v>
      </c>
      <c r="M376" s="1264">
        <v>15</v>
      </c>
      <c r="N376" s="1258">
        <v>140</v>
      </c>
      <c r="O376" s="1258">
        <v>180</v>
      </c>
      <c r="P376" s="1258">
        <v>240</v>
      </c>
      <c r="Q376" s="1264">
        <v>300</v>
      </c>
      <c r="R376" s="1258">
        <v>15</v>
      </c>
      <c r="S376" s="1258">
        <v>20</v>
      </c>
      <c r="T376" s="1258">
        <v>25</v>
      </c>
      <c r="U376" s="1264">
        <v>30</v>
      </c>
      <c r="V376" s="1260" t="s">
        <v>6989</v>
      </c>
      <c r="W376" s="1260" t="s">
        <v>6990</v>
      </c>
      <c r="X376" s="1260" t="s">
        <v>6991</v>
      </c>
      <c r="Y376" s="1260" t="s">
        <v>6992</v>
      </c>
      <c r="Z376" s="1261" t="s">
        <v>6993</v>
      </c>
    </row>
    <row r="377" spans="2:26" ht="12.75" customHeight="1" x14ac:dyDescent="0.2">
      <c r="B377" s="2465" t="str">
        <f t="shared" si="5"/>
        <v>Nigromancia52</v>
      </c>
      <c r="C377" s="1262"/>
      <c r="D377" s="1268" t="s">
        <v>804</v>
      </c>
      <c r="E377" s="1258" t="s">
        <v>2584</v>
      </c>
      <c r="F377" s="1258">
        <v>52</v>
      </c>
      <c r="G377" s="1269" t="s">
        <v>2234</v>
      </c>
      <c r="H377" s="1269" t="s">
        <v>1763</v>
      </c>
      <c r="I377" s="1270" t="s">
        <v>1918</v>
      </c>
      <c r="J377" s="1258">
        <v>10</v>
      </c>
      <c r="K377" s="1258">
        <v>12</v>
      </c>
      <c r="L377" s="1258">
        <v>14</v>
      </c>
      <c r="M377" s="1264">
        <v>16</v>
      </c>
      <c r="N377" s="1258">
        <v>100</v>
      </c>
      <c r="O377" s="1258">
        <v>180</v>
      </c>
      <c r="P377" s="1258">
        <v>240</v>
      </c>
      <c r="Q377" s="1264">
        <v>300</v>
      </c>
      <c r="R377" s="1258">
        <v>10</v>
      </c>
      <c r="S377" s="1258">
        <v>20</v>
      </c>
      <c r="T377" s="1258">
        <v>25</v>
      </c>
      <c r="U377" s="1264">
        <v>30</v>
      </c>
      <c r="V377" s="1260" t="s">
        <v>6994</v>
      </c>
      <c r="W377" s="1260" t="s">
        <v>6995</v>
      </c>
      <c r="X377" s="1260" t="s">
        <v>6996</v>
      </c>
      <c r="Y377" s="1260" t="s">
        <v>6997</v>
      </c>
      <c r="Z377" s="1261" t="s">
        <v>6998</v>
      </c>
    </row>
    <row r="378" spans="2:26" ht="12.75" customHeight="1" x14ac:dyDescent="0.2">
      <c r="B378" s="2465" t="str">
        <f t="shared" si="5"/>
        <v>Nigromancia56</v>
      </c>
      <c r="C378" s="1262"/>
      <c r="D378" s="1268" t="s">
        <v>805</v>
      </c>
      <c r="E378" s="1258" t="s">
        <v>2584</v>
      </c>
      <c r="F378" s="1258">
        <v>56</v>
      </c>
      <c r="G378" s="1269" t="s">
        <v>2234</v>
      </c>
      <c r="H378" s="1269" t="s">
        <v>1763</v>
      </c>
      <c r="I378" s="1270" t="s">
        <v>1918</v>
      </c>
      <c r="J378" s="1258">
        <v>9</v>
      </c>
      <c r="K378" s="1258">
        <v>11</v>
      </c>
      <c r="L378" s="1258">
        <v>13</v>
      </c>
      <c r="M378" s="1264">
        <v>16</v>
      </c>
      <c r="N378" s="1258">
        <v>100</v>
      </c>
      <c r="O378" s="1258">
        <v>200</v>
      </c>
      <c r="P378" s="1258">
        <v>300</v>
      </c>
      <c r="Q378" s="1264">
        <v>400</v>
      </c>
      <c r="R378" s="1258">
        <v>10</v>
      </c>
      <c r="S378" s="1258">
        <v>20</v>
      </c>
      <c r="T378" s="1258">
        <v>30</v>
      </c>
      <c r="U378" s="1264">
        <v>40</v>
      </c>
      <c r="V378" s="1260" t="s">
        <v>5735</v>
      </c>
      <c r="W378" s="1260" t="s">
        <v>5736</v>
      </c>
      <c r="X378" s="1260" t="s">
        <v>5737</v>
      </c>
      <c r="Y378" s="1260" t="s">
        <v>6999</v>
      </c>
      <c r="Z378" s="1261" t="s">
        <v>7000</v>
      </c>
    </row>
    <row r="379" spans="2:26" ht="12.75" customHeight="1" x14ac:dyDescent="0.2">
      <c r="B379" s="2465" t="str">
        <f t="shared" si="5"/>
        <v>Nigromancia58</v>
      </c>
      <c r="C379" s="1262"/>
      <c r="D379" s="1268" t="s">
        <v>806</v>
      </c>
      <c r="E379" s="1258" t="s">
        <v>2584</v>
      </c>
      <c r="F379" s="1258">
        <v>58</v>
      </c>
      <c r="G379" s="1269" t="s">
        <v>2234</v>
      </c>
      <c r="H379" s="1269" t="s">
        <v>1763</v>
      </c>
      <c r="I379" s="1270" t="s">
        <v>1918</v>
      </c>
      <c r="J379" s="1258">
        <v>9</v>
      </c>
      <c r="K379" s="1258">
        <v>12</v>
      </c>
      <c r="L379" s="1258">
        <v>14</v>
      </c>
      <c r="M379" s="1264">
        <v>16</v>
      </c>
      <c r="N379" s="1258">
        <v>100</v>
      </c>
      <c r="O379" s="1258">
        <v>140</v>
      </c>
      <c r="P379" s="1258">
        <v>160</v>
      </c>
      <c r="Q379" s="1264">
        <v>180</v>
      </c>
      <c r="R379" s="1258"/>
      <c r="S379" s="1258"/>
      <c r="T379" s="1258"/>
      <c r="U379" s="1264"/>
      <c r="V379" s="1260" t="s">
        <v>7001</v>
      </c>
      <c r="W379" s="1260" t="s">
        <v>7002</v>
      </c>
      <c r="X379" s="1260" t="s">
        <v>7003</v>
      </c>
      <c r="Y379" s="1260" t="s">
        <v>7004</v>
      </c>
      <c r="Z379" s="1261" t="s">
        <v>7005</v>
      </c>
    </row>
    <row r="380" spans="2:26" ht="12.75" customHeight="1" x14ac:dyDescent="0.2">
      <c r="B380" s="2465" t="str">
        <f t="shared" si="5"/>
        <v>Nigromancia60</v>
      </c>
      <c r="C380" s="1262"/>
      <c r="D380" s="1268" t="s">
        <v>807</v>
      </c>
      <c r="E380" s="1258" t="s">
        <v>2584</v>
      </c>
      <c r="F380" s="1258">
        <v>60</v>
      </c>
      <c r="G380" s="1269" t="s">
        <v>3090</v>
      </c>
      <c r="H380" s="1269" t="s">
        <v>1763</v>
      </c>
      <c r="I380" s="1270" t="s">
        <v>1918</v>
      </c>
      <c r="J380" s="1258">
        <v>10</v>
      </c>
      <c r="K380" s="1258">
        <v>12</v>
      </c>
      <c r="L380" s="1258">
        <v>14</v>
      </c>
      <c r="M380" s="1264">
        <v>16</v>
      </c>
      <c r="N380" s="1258">
        <v>200</v>
      </c>
      <c r="O380" s="1258">
        <v>240</v>
      </c>
      <c r="P380" s="1258">
        <v>280</v>
      </c>
      <c r="Q380" s="1264">
        <v>320</v>
      </c>
      <c r="R380" s="1258">
        <v>20</v>
      </c>
      <c r="S380" s="1258">
        <v>25</v>
      </c>
      <c r="T380" s="1258">
        <v>30</v>
      </c>
      <c r="U380" s="1264">
        <v>35</v>
      </c>
      <c r="V380" s="1260" t="s">
        <v>7006</v>
      </c>
      <c r="W380" s="1260" t="s">
        <v>7007</v>
      </c>
      <c r="X380" s="1260" t="s">
        <v>7008</v>
      </c>
      <c r="Y380" s="1260" t="s">
        <v>7009</v>
      </c>
      <c r="Z380" s="1261" t="s">
        <v>7010</v>
      </c>
    </row>
    <row r="381" spans="2:26" ht="12.75" customHeight="1" x14ac:dyDescent="0.2">
      <c r="B381" s="2465" t="str">
        <f t="shared" si="5"/>
        <v>Nigromancia62</v>
      </c>
      <c r="C381" s="1262"/>
      <c r="D381" s="1268" t="s">
        <v>808</v>
      </c>
      <c r="E381" s="1258" t="s">
        <v>2584</v>
      </c>
      <c r="F381" s="1258">
        <v>62</v>
      </c>
      <c r="G381" s="1269" t="s">
        <v>2234</v>
      </c>
      <c r="H381" s="1269" t="s">
        <v>1762</v>
      </c>
      <c r="I381" s="1270" t="s">
        <v>1918</v>
      </c>
      <c r="J381" s="1258">
        <v>9</v>
      </c>
      <c r="K381" s="1258">
        <v>12</v>
      </c>
      <c r="L381" s="1258">
        <v>15</v>
      </c>
      <c r="M381" s="1264">
        <v>18</v>
      </c>
      <c r="N381" s="1258">
        <v>180</v>
      </c>
      <c r="O381" s="1258">
        <v>240</v>
      </c>
      <c r="P381" s="1258">
        <v>300</v>
      </c>
      <c r="Q381" s="1264">
        <v>360</v>
      </c>
      <c r="R381" s="1258"/>
      <c r="S381" s="1258"/>
      <c r="T381" s="1258"/>
      <c r="U381" s="1264"/>
      <c r="V381" s="1260" t="s">
        <v>5753</v>
      </c>
      <c r="W381" s="1260" t="s">
        <v>7011</v>
      </c>
      <c r="X381" s="1260" t="s">
        <v>5584</v>
      </c>
      <c r="Y381" s="1260" t="s">
        <v>7012</v>
      </c>
      <c r="Z381" s="1261" t="s">
        <v>7013</v>
      </c>
    </row>
    <row r="382" spans="2:26" ht="12.75" customHeight="1" x14ac:dyDescent="0.2">
      <c r="B382" s="2465" t="str">
        <f t="shared" si="5"/>
        <v>Nigromancia66</v>
      </c>
      <c r="C382" s="1262"/>
      <c r="D382" s="1268" t="s">
        <v>809</v>
      </c>
      <c r="E382" s="1258" t="s">
        <v>2584</v>
      </c>
      <c r="F382" s="1258">
        <v>66</v>
      </c>
      <c r="G382" s="1269" t="s">
        <v>2234</v>
      </c>
      <c r="H382" s="1269" t="s">
        <v>1762</v>
      </c>
      <c r="I382" s="1270" t="s">
        <v>1918</v>
      </c>
      <c r="J382" s="1258">
        <v>10</v>
      </c>
      <c r="K382" s="1258">
        <v>12</v>
      </c>
      <c r="L382" s="1258">
        <v>14</v>
      </c>
      <c r="M382" s="1264">
        <v>16</v>
      </c>
      <c r="N382" s="1258">
        <v>100</v>
      </c>
      <c r="O382" s="1258">
        <v>140</v>
      </c>
      <c r="P382" s="1258">
        <v>180</v>
      </c>
      <c r="Q382" s="1264">
        <v>220</v>
      </c>
      <c r="R382" s="1258"/>
      <c r="S382" s="1258"/>
      <c r="T382" s="1258"/>
      <c r="U382" s="1264"/>
      <c r="V382" s="1260" t="s">
        <v>7014</v>
      </c>
      <c r="W382" s="1260" t="s">
        <v>7015</v>
      </c>
      <c r="X382" s="1260" t="s">
        <v>5959</v>
      </c>
      <c r="Y382" s="1260" t="s">
        <v>5960</v>
      </c>
      <c r="Z382" s="1261" t="s">
        <v>7016</v>
      </c>
    </row>
    <row r="383" spans="2:26" ht="12.75" customHeight="1" x14ac:dyDescent="0.2">
      <c r="B383" s="2465" t="str">
        <f t="shared" si="5"/>
        <v>Nigromancia68</v>
      </c>
      <c r="C383" s="1262"/>
      <c r="D383" s="1268" t="s">
        <v>810</v>
      </c>
      <c r="E383" s="1258" t="s">
        <v>2584</v>
      </c>
      <c r="F383" s="1258">
        <v>68</v>
      </c>
      <c r="G383" s="1269" t="s">
        <v>2234</v>
      </c>
      <c r="H383" s="1269" t="s">
        <v>1761</v>
      </c>
      <c r="I383" s="1270" t="s">
        <v>1918</v>
      </c>
      <c r="J383" s="1258">
        <v>9</v>
      </c>
      <c r="K383" s="1258">
        <v>11</v>
      </c>
      <c r="L383" s="1258">
        <v>13</v>
      </c>
      <c r="M383" s="1264">
        <v>16</v>
      </c>
      <c r="N383" s="1258">
        <v>140</v>
      </c>
      <c r="O383" s="1258">
        <v>260</v>
      </c>
      <c r="P383" s="1258">
        <v>380</v>
      </c>
      <c r="Q383" s="1264">
        <v>500</v>
      </c>
      <c r="R383" s="1258"/>
      <c r="S383" s="1258"/>
      <c r="T383" s="1258"/>
      <c r="U383" s="1264"/>
      <c r="V383" s="1260" t="s">
        <v>5894</v>
      </c>
      <c r="W383" s="1260" t="s">
        <v>5895</v>
      </c>
      <c r="X383" s="1260" t="s">
        <v>5937</v>
      </c>
      <c r="Y383" s="1260" t="s">
        <v>7017</v>
      </c>
      <c r="Z383" s="1261" t="s">
        <v>7018</v>
      </c>
    </row>
    <row r="384" spans="2:26" ht="12.75" customHeight="1" x14ac:dyDescent="0.2">
      <c r="B384" s="2465" t="str">
        <f t="shared" si="5"/>
        <v>Nigromancia70</v>
      </c>
      <c r="C384" s="1262"/>
      <c r="D384" s="1268" t="s">
        <v>811</v>
      </c>
      <c r="E384" s="1258" t="s">
        <v>2584</v>
      </c>
      <c r="F384" s="1258">
        <v>70</v>
      </c>
      <c r="G384" s="1269" t="s">
        <v>3090</v>
      </c>
      <c r="H384" s="1269" t="s">
        <v>1763</v>
      </c>
      <c r="I384" s="1270" t="s">
        <v>1918</v>
      </c>
      <c r="J384" s="1258">
        <v>9</v>
      </c>
      <c r="K384" s="1258">
        <v>12</v>
      </c>
      <c r="L384" s="1258">
        <v>15</v>
      </c>
      <c r="M384" s="1264">
        <v>17</v>
      </c>
      <c r="N384" s="1258">
        <v>250</v>
      </c>
      <c r="O384" s="1258">
        <v>360</v>
      </c>
      <c r="P384" s="1258">
        <v>500</v>
      </c>
      <c r="Q384" s="1264">
        <v>800</v>
      </c>
      <c r="R384" s="1258">
        <v>50</v>
      </c>
      <c r="S384" s="1258">
        <v>80</v>
      </c>
      <c r="T384" s="1258">
        <v>100</v>
      </c>
      <c r="U384" s="1264">
        <v>160</v>
      </c>
      <c r="V384" s="1260" t="s">
        <v>5741</v>
      </c>
      <c r="W384" s="1260" t="s">
        <v>6633</v>
      </c>
      <c r="X384" s="1260" t="s">
        <v>6634</v>
      </c>
      <c r="Y384" s="1260" t="s">
        <v>7019</v>
      </c>
      <c r="Z384" s="1261" t="s">
        <v>7020</v>
      </c>
    </row>
    <row r="385" spans="2:26" ht="12.75" customHeight="1" x14ac:dyDescent="0.2">
      <c r="B385" s="2465" t="str">
        <f t="shared" si="5"/>
        <v>Nigromancia72</v>
      </c>
      <c r="C385" s="1262"/>
      <c r="D385" s="1268" t="s">
        <v>7021</v>
      </c>
      <c r="E385" s="1258" t="s">
        <v>2584</v>
      </c>
      <c r="F385" s="1258">
        <v>72</v>
      </c>
      <c r="G385" s="1269" t="s">
        <v>2234</v>
      </c>
      <c r="H385" s="1269" t="s">
        <v>1762</v>
      </c>
      <c r="I385" s="1270" t="s">
        <v>1918</v>
      </c>
      <c r="J385" s="1258">
        <v>10</v>
      </c>
      <c r="K385" s="1258">
        <v>13</v>
      </c>
      <c r="L385" s="1258">
        <v>15</v>
      </c>
      <c r="M385" s="1264">
        <v>18</v>
      </c>
      <c r="N385" s="1258">
        <v>180</v>
      </c>
      <c r="O385" s="1258">
        <v>240</v>
      </c>
      <c r="P385" s="1258">
        <v>300</v>
      </c>
      <c r="Q385" s="1264">
        <v>360</v>
      </c>
      <c r="R385" s="1258"/>
      <c r="S385" s="1258"/>
      <c r="T385" s="1258"/>
      <c r="U385" s="1264"/>
      <c r="V385" s="1260" t="s">
        <v>7015</v>
      </c>
      <c r="W385" s="1260" t="s">
        <v>5960</v>
      </c>
      <c r="X385" s="1260" t="s">
        <v>5962</v>
      </c>
      <c r="Y385" s="1260" t="s">
        <v>7022</v>
      </c>
      <c r="Z385" s="1261" t="s">
        <v>7023</v>
      </c>
    </row>
    <row r="386" spans="2:26" ht="12.75" customHeight="1" x14ac:dyDescent="0.2">
      <c r="B386" s="2465" t="str">
        <f t="shared" si="5"/>
        <v>Nigromancia76</v>
      </c>
      <c r="C386" s="1262"/>
      <c r="D386" s="1268" t="s">
        <v>813</v>
      </c>
      <c r="E386" s="1258" t="s">
        <v>2584</v>
      </c>
      <c r="F386" s="1258">
        <v>76</v>
      </c>
      <c r="G386" s="1269" t="s">
        <v>2234</v>
      </c>
      <c r="H386" s="1269" t="s">
        <v>1762</v>
      </c>
      <c r="I386" s="1270" t="s">
        <v>1918</v>
      </c>
      <c r="J386" s="1258">
        <v>10</v>
      </c>
      <c r="K386" s="1258">
        <v>13</v>
      </c>
      <c r="L386" s="1258">
        <v>15</v>
      </c>
      <c r="M386" s="1264">
        <v>18</v>
      </c>
      <c r="N386" s="1258">
        <v>250</v>
      </c>
      <c r="O386" s="1258">
        <v>360</v>
      </c>
      <c r="P386" s="1258">
        <v>450</v>
      </c>
      <c r="Q386" s="1264">
        <v>540</v>
      </c>
      <c r="R386" s="1258"/>
      <c r="S386" s="1258"/>
      <c r="T386" s="1258"/>
      <c r="U386" s="1264"/>
      <c r="V386" s="1260" t="s">
        <v>7015</v>
      </c>
      <c r="W386" s="1260" t="s">
        <v>5960</v>
      </c>
      <c r="X386" s="1260" t="s">
        <v>5962</v>
      </c>
      <c r="Y386" s="1260" t="s">
        <v>7022</v>
      </c>
      <c r="Z386" s="1261" t="s">
        <v>7024</v>
      </c>
    </row>
    <row r="387" spans="2:26" ht="12.75" customHeight="1" x14ac:dyDescent="0.2">
      <c r="B387" s="2465" t="str">
        <f t="shared" si="5"/>
        <v>Nigromancia78</v>
      </c>
      <c r="C387" s="1262"/>
      <c r="D387" s="1268" t="s">
        <v>7025</v>
      </c>
      <c r="E387" s="1258" t="s">
        <v>2584</v>
      </c>
      <c r="F387" s="1258">
        <v>78</v>
      </c>
      <c r="G387" s="1269" t="s">
        <v>2234</v>
      </c>
      <c r="H387" s="1269" t="s">
        <v>1762</v>
      </c>
      <c r="I387" s="1270" t="s">
        <v>1918</v>
      </c>
      <c r="J387" s="1258">
        <v>10</v>
      </c>
      <c r="K387" s="1258">
        <v>12</v>
      </c>
      <c r="L387" s="1258">
        <v>14</v>
      </c>
      <c r="M387" s="1264">
        <v>16</v>
      </c>
      <c r="N387" s="1258">
        <v>200</v>
      </c>
      <c r="O387" s="1258">
        <v>240</v>
      </c>
      <c r="P387" s="1258">
        <v>280</v>
      </c>
      <c r="Q387" s="1264">
        <v>320</v>
      </c>
      <c r="R387" s="1258"/>
      <c r="S387" s="1258"/>
      <c r="T387" s="1258"/>
      <c r="U387" s="1264"/>
      <c r="V387" s="1260" t="s">
        <v>5709</v>
      </c>
      <c r="W387" s="1260" t="s">
        <v>5710</v>
      </c>
      <c r="X387" s="1260" t="s">
        <v>5584</v>
      </c>
      <c r="Y387" s="1260" t="s">
        <v>5387</v>
      </c>
      <c r="Z387" s="1261" t="s">
        <v>7026</v>
      </c>
    </row>
    <row r="388" spans="2:26" ht="12.75" customHeight="1" x14ac:dyDescent="0.2">
      <c r="B388" s="2465" t="str">
        <f t="shared" si="5"/>
        <v>Nigromancia80</v>
      </c>
      <c r="C388" s="1262"/>
      <c r="D388" s="1268" t="s">
        <v>815</v>
      </c>
      <c r="E388" s="1258" t="s">
        <v>2584</v>
      </c>
      <c r="F388" s="1258">
        <v>80</v>
      </c>
      <c r="G388" s="1269" t="s">
        <v>2234</v>
      </c>
      <c r="H388" s="1269" t="s">
        <v>1763</v>
      </c>
      <c r="I388" s="1270" t="s">
        <v>1918</v>
      </c>
      <c r="J388" s="1258">
        <v>10</v>
      </c>
      <c r="K388" s="1258">
        <v>13</v>
      </c>
      <c r="L388" s="1258">
        <v>15</v>
      </c>
      <c r="M388" s="1264">
        <v>17</v>
      </c>
      <c r="N388" s="1258">
        <v>250</v>
      </c>
      <c r="O388" s="1258">
        <v>500</v>
      </c>
      <c r="P388" s="1258">
        <v>1000</v>
      </c>
      <c r="Q388" s="1264">
        <v>2500</v>
      </c>
      <c r="R388" s="1258"/>
      <c r="S388" s="1258"/>
      <c r="T388" s="1258"/>
      <c r="U388" s="1264" t="s">
        <v>5702</v>
      </c>
      <c r="V388" s="1260" t="s">
        <v>7027</v>
      </c>
      <c r="W388" s="1260" t="s">
        <v>7028</v>
      </c>
      <c r="X388" s="1260" t="s">
        <v>7029</v>
      </c>
      <c r="Y388" s="1260" t="s">
        <v>7030</v>
      </c>
      <c r="Z388" s="1261" t="s">
        <v>7031</v>
      </c>
    </row>
    <row r="389" spans="2:26" ht="12.75" customHeight="1" x14ac:dyDescent="0.2">
      <c r="B389" s="2465" t="str">
        <f t="shared" si="5"/>
        <v>Nigromancia82</v>
      </c>
      <c r="C389" s="1262"/>
      <c r="D389" s="1268" t="s">
        <v>816</v>
      </c>
      <c r="E389" s="1258" t="s">
        <v>2584</v>
      </c>
      <c r="F389" s="1258">
        <v>82</v>
      </c>
      <c r="G389" s="1269" t="s">
        <v>2234</v>
      </c>
      <c r="H389" s="1269" t="s">
        <v>1763</v>
      </c>
      <c r="I389" s="1270" t="s">
        <v>1918</v>
      </c>
      <c r="J389" s="1258">
        <v>9</v>
      </c>
      <c r="K389" s="1258">
        <v>12</v>
      </c>
      <c r="L389" s="1258">
        <v>14</v>
      </c>
      <c r="M389" s="1264">
        <v>16</v>
      </c>
      <c r="N389" s="1258">
        <v>350</v>
      </c>
      <c r="O389" s="1258">
        <v>500</v>
      </c>
      <c r="P389" s="1258">
        <v>800</v>
      </c>
      <c r="Q389" s="1264">
        <v>1200</v>
      </c>
      <c r="R389" s="1258"/>
      <c r="S389" s="1258"/>
      <c r="T389" s="1258"/>
      <c r="U389" s="1264"/>
      <c r="V389" s="1260" t="s">
        <v>7001</v>
      </c>
      <c r="W389" s="1260" t="s">
        <v>7002</v>
      </c>
      <c r="X389" s="1260" t="s">
        <v>7003</v>
      </c>
      <c r="Y389" s="1260" t="s">
        <v>7004</v>
      </c>
      <c r="Z389" s="1261" t="s">
        <v>7032</v>
      </c>
    </row>
    <row r="390" spans="2:26" ht="12.75" customHeight="1" x14ac:dyDescent="0.2">
      <c r="B390" s="2465" t="str">
        <f t="shared" si="5"/>
        <v>Nigromancia86</v>
      </c>
      <c r="C390" s="1262"/>
      <c r="D390" s="1268" t="s">
        <v>817</v>
      </c>
      <c r="E390" s="1258" t="s">
        <v>2584</v>
      </c>
      <c r="F390" s="1258">
        <v>86</v>
      </c>
      <c r="G390" s="1269" t="s">
        <v>2234</v>
      </c>
      <c r="H390" s="1269" t="s">
        <v>1763</v>
      </c>
      <c r="I390" s="1270" t="s">
        <v>1918</v>
      </c>
      <c r="J390" s="1258">
        <v>9</v>
      </c>
      <c r="K390" s="1258">
        <v>12</v>
      </c>
      <c r="L390" s="1258">
        <v>14</v>
      </c>
      <c r="M390" s="1264">
        <v>16</v>
      </c>
      <c r="N390" s="1258">
        <v>300</v>
      </c>
      <c r="O390" s="1258">
        <v>400</v>
      </c>
      <c r="P390" s="1258">
        <v>500</v>
      </c>
      <c r="Q390" s="1264">
        <v>600</v>
      </c>
      <c r="R390" s="1258">
        <v>15</v>
      </c>
      <c r="S390" s="1258">
        <v>20</v>
      </c>
      <c r="T390" s="1258">
        <v>25</v>
      </c>
      <c r="U390" s="1264">
        <v>30</v>
      </c>
      <c r="V390" s="1260" t="s">
        <v>5612</v>
      </c>
      <c r="W390" s="1260" t="s">
        <v>5571</v>
      </c>
      <c r="X390" s="1260" t="s">
        <v>5473</v>
      </c>
      <c r="Y390" s="1260" t="s">
        <v>7033</v>
      </c>
      <c r="Z390" s="1261" t="s">
        <v>7034</v>
      </c>
    </row>
    <row r="391" spans="2:26" ht="12.75" customHeight="1" x14ac:dyDescent="0.2">
      <c r="B391" s="2465" t="str">
        <f t="shared" si="5"/>
        <v>Nigromancia88</v>
      </c>
      <c r="C391" s="1262"/>
      <c r="D391" s="1268" t="s">
        <v>7035</v>
      </c>
      <c r="E391" s="1258" t="s">
        <v>2584</v>
      </c>
      <c r="F391" s="1258">
        <v>88</v>
      </c>
      <c r="G391" s="1269" t="s">
        <v>3090</v>
      </c>
      <c r="H391" s="1269" t="s">
        <v>1763</v>
      </c>
      <c r="I391" s="1270" t="s">
        <v>1918</v>
      </c>
      <c r="J391" s="1258">
        <v>9</v>
      </c>
      <c r="K391" s="1258">
        <v>12</v>
      </c>
      <c r="L391" s="1258">
        <v>14</v>
      </c>
      <c r="M391" s="1264">
        <v>16</v>
      </c>
      <c r="N391" s="1258">
        <v>350</v>
      </c>
      <c r="O391" s="1258">
        <v>600</v>
      </c>
      <c r="P391" s="1258">
        <v>900</v>
      </c>
      <c r="Q391" s="1264">
        <v>1500</v>
      </c>
      <c r="R391" s="1258">
        <v>35</v>
      </c>
      <c r="S391" s="1258">
        <v>60</v>
      </c>
      <c r="T391" s="1258">
        <v>90</v>
      </c>
      <c r="U391" s="1264">
        <v>150</v>
      </c>
      <c r="V391" s="1260" t="s">
        <v>5613</v>
      </c>
      <c r="W391" s="1260" t="s">
        <v>6624</v>
      </c>
      <c r="X391" s="1260" t="s">
        <v>6648</v>
      </c>
      <c r="Y391" s="1260" t="s">
        <v>7036</v>
      </c>
      <c r="Z391" s="1261" t="s">
        <v>7037</v>
      </c>
    </row>
    <row r="392" spans="2:26" ht="12.75" customHeight="1" x14ac:dyDescent="0.2">
      <c r="B392" s="2465" t="str">
        <f t="shared" ref="B392:B455" si="6">E392&amp;F392</f>
        <v>Nigromancia90</v>
      </c>
      <c r="C392" s="1262"/>
      <c r="D392" s="1268" t="s">
        <v>819</v>
      </c>
      <c r="E392" s="1258" t="s">
        <v>2584</v>
      </c>
      <c r="F392" s="1258">
        <v>90</v>
      </c>
      <c r="G392" s="1269" t="s">
        <v>2234</v>
      </c>
      <c r="H392" s="1269" t="s">
        <v>1763</v>
      </c>
      <c r="I392" s="1270" t="s">
        <v>1918</v>
      </c>
      <c r="J392" s="1258">
        <v>10</v>
      </c>
      <c r="K392" s="1258">
        <v>13</v>
      </c>
      <c r="L392" s="1258">
        <v>16</v>
      </c>
      <c r="M392" s="1264">
        <v>18</v>
      </c>
      <c r="N392" s="1258">
        <v>200</v>
      </c>
      <c r="O392" s="1258">
        <v>300</v>
      </c>
      <c r="P392" s="1258">
        <v>400</v>
      </c>
      <c r="Q392" s="1264">
        <v>500</v>
      </c>
      <c r="R392" s="1258"/>
      <c r="S392" s="1258"/>
      <c r="T392" s="1258"/>
      <c r="U392" s="1264"/>
      <c r="V392" s="1260" t="s">
        <v>7038</v>
      </c>
      <c r="W392" s="1260" t="s">
        <v>7039</v>
      </c>
      <c r="X392" s="1260" t="s">
        <v>7040</v>
      </c>
      <c r="Y392" s="1260" t="s">
        <v>7041</v>
      </c>
      <c r="Z392" s="1261" t="s">
        <v>7042</v>
      </c>
    </row>
    <row r="393" spans="2:26" ht="12.75" customHeight="1" x14ac:dyDescent="0.2">
      <c r="B393" s="2465" t="str">
        <f t="shared" si="6"/>
        <v>Nigromancia92</v>
      </c>
      <c r="C393" s="1262"/>
      <c r="D393" s="1268" t="s">
        <v>820</v>
      </c>
      <c r="E393" s="1258" t="s">
        <v>2584</v>
      </c>
      <c r="F393" s="1258">
        <v>92</v>
      </c>
      <c r="G393" s="1269" t="s">
        <v>2234</v>
      </c>
      <c r="H393" s="1269" t="s">
        <v>1763</v>
      </c>
      <c r="I393" s="1270" t="s">
        <v>1918</v>
      </c>
      <c r="J393" s="1258">
        <v>12</v>
      </c>
      <c r="K393" s="1258">
        <v>14</v>
      </c>
      <c r="L393" s="1258">
        <v>16</v>
      </c>
      <c r="M393" s="1264">
        <v>18</v>
      </c>
      <c r="N393" s="1258">
        <v>350</v>
      </c>
      <c r="O393" s="1258">
        <v>500</v>
      </c>
      <c r="P393" s="1258">
        <v>900</v>
      </c>
      <c r="Q393" s="1264">
        <v>1500</v>
      </c>
      <c r="R393" s="1258"/>
      <c r="S393" s="1258"/>
      <c r="T393" s="1258"/>
      <c r="U393" s="1264"/>
      <c r="V393" s="1260" t="s">
        <v>7043</v>
      </c>
      <c r="W393" s="1260" t="s">
        <v>7044</v>
      </c>
      <c r="X393" s="1260" t="s">
        <v>7045</v>
      </c>
      <c r="Y393" s="1260" t="s">
        <v>7046</v>
      </c>
      <c r="Z393" s="1261" t="s">
        <v>7047</v>
      </c>
    </row>
    <row r="394" spans="2:26" ht="12.75" customHeight="1" x14ac:dyDescent="0.2">
      <c r="B394" s="2465" t="str">
        <f t="shared" si="6"/>
        <v>Nigromancia96</v>
      </c>
      <c r="C394" s="1262"/>
      <c r="D394" s="1268" t="s">
        <v>7048</v>
      </c>
      <c r="E394" s="1258" t="s">
        <v>2584</v>
      </c>
      <c r="F394" s="1258">
        <v>96</v>
      </c>
      <c r="G394" s="1269" t="s">
        <v>3090</v>
      </c>
      <c r="H394" s="1269" t="s">
        <v>5271</v>
      </c>
      <c r="I394" s="1270" t="s">
        <v>1918</v>
      </c>
      <c r="J394" s="1258">
        <v>12</v>
      </c>
      <c r="K394" s="1258">
        <v>14</v>
      </c>
      <c r="L394" s="1258">
        <v>16</v>
      </c>
      <c r="M394" s="1264">
        <v>18</v>
      </c>
      <c r="N394" s="1258">
        <v>300</v>
      </c>
      <c r="O394" s="1258">
        <v>600</v>
      </c>
      <c r="P394" s="1258">
        <v>1000</v>
      </c>
      <c r="Q394" s="1264">
        <v>2000</v>
      </c>
      <c r="R394" s="1258">
        <v>30</v>
      </c>
      <c r="S394" s="1258">
        <v>60</v>
      </c>
      <c r="T394" s="1258">
        <v>100</v>
      </c>
      <c r="U394" s="1264">
        <v>200</v>
      </c>
      <c r="V394" s="1260" t="s">
        <v>6654</v>
      </c>
      <c r="W394" s="1260" t="s">
        <v>7049</v>
      </c>
      <c r="X394" s="1260" t="s">
        <v>7050</v>
      </c>
      <c r="Y394" s="1260" t="s">
        <v>7051</v>
      </c>
      <c r="Z394" s="1261" t="s">
        <v>7052</v>
      </c>
    </row>
    <row r="395" spans="2:26" ht="12.75" customHeight="1" x14ac:dyDescent="0.2">
      <c r="B395" s="2465" t="str">
        <f t="shared" si="6"/>
        <v>Nigromancia98</v>
      </c>
      <c r="C395" s="1262"/>
      <c r="D395" s="1268" t="s">
        <v>822</v>
      </c>
      <c r="E395" s="1258" t="s">
        <v>2584</v>
      </c>
      <c r="F395" s="1258">
        <v>98</v>
      </c>
      <c r="G395" s="1269" t="s">
        <v>2234</v>
      </c>
      <c r="H395" s="1269" t="s">
        <v>5271</v>
      </c>
      <c r="I395" s="1270" t="s">
        <v>1918</v>
      </c>
      <c r="J395" s="1258">
        <v>16</v>
      </c>
      <c r="K395" s="1258">
        <v>17</v>
      </c>
      <c r="L395" s="1258">
        <v>18</v>
      </c>
      <c r="M395" s="1264">
        <v>19</v>
      </c>
      <c r="N395" s="1258">
        <v>400</v>
      </c>
      <c r="O395" s="1258">
        <v>800</v>
      </c>
      <c r="P395" s="1258">
        <v>1600</v>
      </c>
      <c r="Q395" s="1264">
        <v>3200</v>
      </c>
      <c r="R395" s="1258"/>
      <c r="S395" s="1258"/>
      <c r="T395" s="1258"/>
      <c r="U395" s="1264" t="s">
        <v>5702</v>
      </c>
      <c r="V395" s="1260" t="s">
        <v>7053</v>
      </c>
      <c r="W395" s="1260" t="s">
        <v>7054</v>
      </c>
      <c r="X395" s="1260" t="s">
        <v>7055</v>
      </c>
      <c r="Y395" s="1260" t="s">
        <v>7056</v>
      </c>
      <c r="Z395" s="1261" t="s">
        <v>7057</v>
      </c>
    </row>
    <row r="396" spans="2:26" ht="12.75" customHeight="1" x14ac:dyDescent="0.2">
      <c r="B396" s="2465" t="str">
        <f t="shared" si="6"/>
        <v>Nigromancia100</v>
      </c>
      <c r="C396" s="1262"/>
      <c r="D396" s="1268" t="s">
        <v>7058</v>
      </c>
      <c r="E396" s="1258" t="s">
        <v>2584</v>
      </c>
      <c r="F396" s="1258">
        <v>100</v>
      </c>
      <c r="G396" s="1269" t="s">
        <v>2234</v>
      </c>
      <c r="H396" s="1269" t="s">
        <v>5271</v>
      </c>
      <c r="I396" s="1270" t="s">
        <v>1918</v>
      </c>
      <c r="J396" s="1258">
        <v>17</v>
      </c>
      <c r="K396" s="1258">
        <v>18</v>
      </c>
      <c r="L396" s="1258">
        <v>19</v>
      </c>
      <c r="M396" s="1264">
        <v>20</v>
      </c>
      <c r="N396" s="1258">
        <v>900</v>
      </c>
      <c r="O396" s="1258">
        <v>2000</v>
      </c>
      <c r="P396" s="1258">
        <v>3500</v>
      </c>
      <c r="Q396" s="1264">
        <v>5000</v>
      </c>
      <c r="R396" s="1258">
        <v>45</v>
      </c>
      <c r="S396" s="1258">
        <v>100</v>
      </c>
      <c r="T396" s="1258">
        <v>175</v>
      </c>
      <c r="U396" s="1264">
        <v>250</v>
      </c>
      <c r="V396" s="1260" t="s">
        <v>5742</v>
      </c>
      <c r="W396" s="1260" t="s">
        <v>5743</v>
      </c>
      <c r="X396" s="1260" t="s">
        <v>5744</v>
      </c>
      <c r="Y396" s="1260" t="s">
        <v>7059</v>
      </c>
      <c r="Z396" s="1261" t="s">
        <v>7060</v>
      </c>
    </row>
    <row r="397" spans="2:26" ht="12.75" customHeight="1" x14ac:dyDescent="0.2">
      <c r="B397" s="2465" t="str">
        <f t="shared" si="6"/>
        <v/>
      </c>
      <c r="C397" s="1262"/>
      <c r="D397" s="1268" t="s">
        <v>824</v>
      </c>
      <c r="E397" s="1258"/>
      <c r="F397" s="1258"/>
      <c r="G397" s="1269"/>
      <c r="H397" s="1269"/>
      <c r="I397" s="1270"/>
      <c r="J397" s="1258"/>
      <c r="K397" s="1258"/>
      <c r="L397" s="1258"/>
      <c r="M397" s="1264"/>
      <c r="N397" s="1258"/>
      <c r="O397" s="1258"/>
      <c r="P397" s="1258"/>
      <c r="Q397" s="1264"/>
      <c r="R397" s="1258"/>
      <c r="S397" s="1258"/>
      <c r="T397" s="1258"/>
      <c r="U397" s="1264"/>
      <c r="V397" s="1260"/>
      <c r="W397" s="1260"/>
      <c r="X397" s="1260"/>
      <c r="Y397" s="1260"/>
      <c r="Z397" s="1261"/>
    </row>
    <row r="398" spans="2:26" ht="12.75" customHeight="1" x14ac:dyDescent="0.2">
      <c r="B398" s="2481" t="str">
        <f t="shared" si="6"/>
        <v>Libre acceso10</v>
      </c>
      <c r="C398" s="1262"/>
      <c r="D398" s="1268" t="s">
        <v>825</v>
      </c>
      <c r="E398" s="1258" t="s">
        <v>826</v>
      </c>
      <c r="F398" s="1258">
        <v>10</v>
      </c>
      <c r="G398" s="1269" t="s">
        <v>2234</v>
      </c>
      <c r="H398" s="1269" t="s">
        <v>1763</v>
      </c>
      <c r="I398" s="1270" t="s">
        <v>1918</v>
      </c>
      <c r="J398" s="1258">
        <v>5</v>
      </c>
      <c r="K398" s="1258">
        <v>8</v>
      </c>
      <c r="L398" s="1258">
        <v>10</v>
      </c>
      <c r="M398" s="1264">
        <v>12</v>
      </c>
      <c r="N398" s="1258">
        <v>30</v>
      </c>
      <c r="O398" s="1258">
        <v>70</v>
      </c>
      <c r="P398" s="1258">
        <v>100</v>
      </c>
      <c r="Q398" s="1264">
        <v>140</v>
      </c>
      <c r="R398" s="1258"/>
      <c r="S398" s="1258"/>
      <c r="T398" s="1258"/>
      <c r="U398" s="1264"/>
      <c r="V398" s="1260" t="s">
        <v>7061</v>
      </c>
      <c r="W398" s="1260" t="s">
        <v>7062</v>
      </c>
      <c r="X398" s="1260" t="s">
        <v>7063</v>
      </c>
      <c r="Y398" s="1260" t="s">
        <v>7064</v>
      </c>
      <c r="Z398" s="1261" t="s">
        <v>7065</v>
      </c>
    </row>
    <row r="399" spans="2:26" ht="12.75" customHeight="1" x14ac:dyDescent="0.2">
      <c r="B399" s="2465" t="str">
        <f t="shared" si="6"/>
        <v>Libre acceso10</v>
      </c>
      <c r="C399" s="1262"/>
      <c r="D399" s="1268" t="s">
        <v>827</v>
      </c>
      <c r="E399" s="1258" t="s">
        <v>826</v>
      </c>
      <c r="F399" s="1258">
        <v>10</v>
      </c>
      <c r="G399" s="1269" t="s">
        <v>2234</v>
      </c>
      <c r="H399" s="1269" t="s">
        <v>1763</v>
      </c>
      <c r="I399" s="1270" t="s">
        <v>1918</v>
      </c>
      <c r="J399" s="1258">
        <v>5</v>
      </c>
      <c r="K399" s="1258">
        <v>8</v>
      </c>
      <c r="L399" s="1258">
        <v>10</v>
      </c>
      <c r="M399" s="1264">
        <v>12</v>
      </c>
      <c r="N399" s="1258">
        <v>30</v>
      </c>
      <c r="O399" s="1258">
        <v>70</v>
      </c>
      <c r="P399" s="1258">
        <v>90</v>
      </c>
      <c r="Q399" s="1264">
        <v>120</v>
      </c>
      <c r="R399" s="1258">
        <v>5</v>
      </c>
      <c r="S399" s="1258">
        <v>10</v>
      </c>
      <c r="T399" s="1258">
        <v>10</v>
      </c>
      <c r="U399" s="1264">
        <v>15</v>
      </c>
      <c r="V399" s="1260" t="s">
        <v>7066</v>
      </c>
      <c r="W399" s="1260" t="s">
        <v>7067</v>
      </c>
      <c r="X399" s="1260" t="s">
        <v>7068</v>
      </c>
      <c r="Y399" s="1260" t="s">
        <v>7069</v>
      </c>
      <c r="Z399" s="1261" t="s">
        <v>7070</v>
      </c>
    </row>
    <row r="400" spans="2:26" ht="12.75" customHeight="1" x14ac:dyDescent="0.2">
      <c r="B400" s="2465" t="str">
        <f t="shared" si="6"/>
        <v>Libre acceso10</v>
      </c>
      <c r="C400" s="1262"/>
      <c r="D400" s="1268" t="s">
        <v>7071</v>
      </c>
      <c r="E400" s="1258" t="s">
        <v>826</v>
      </c>
      <c r="F400" s="1258">
        <v>10</v>
      </c>
      <c r="G400" s="1269" t="s">
        <v>2234</v>
      </c>
      <c r="H400" s="1269" t="s">
        <v>1763</v>
      </c>
      <c r="I400" s="1270" t="s">
        <v>1918</v>
      </c>
      <c r="J400" s="1258">
        <v>5</v>
      </c>
      <c r="K400" s="1258">
        <v>8</v>
      </c>
      <c r="L400" s="1258">
        <v>10</v>
      </c>
      <c r="M400" s="1264">
        <v>12</v>
      </c>
      <c r="N400" s="1258">
        <v>30</v>
      </c>
      <c r="O400" s="1258">
        <v>60</v>
      </c>
      <c r="P400" s="1258">
        <v>100</v>
      </c>
      <c r="Q400" s="1264">
        <v>140</v>
      </c>
      <c r="R400" s="1258"/>
      <c r="S400" s="1258"/>
      <c r="T400" s="1258"/>
      <c r="U400" s="1264"/>
      <c r="V400" s="1260" t="s">
        <v>5655</v>
      </c>
      <c r="W400" s="1260" t="s">
        <v>5482</v>
      </c>
      <c r="X400" s="1260" t="s">
        <v>5693</v>
      </c>
      <c r="Y400" s="1260" t="s">
        <v>6563</v>
      </c>
      <c r="Z400" s="1261" t="s">
        <v>7072</v>
      </c>
    </row>
    <row r="401" spans="2:26" ht="12.75" customHeight="1" x14ac:dyDescent="0.2">
      <c r="B401" s="2465" t="str">
        <f t="shared" si="6"/>
        <v>Libre acceso10</v>
      </c>
      <c r="C401" s="1262"/>
      <c r="D401" s="1268" t="s">
        <v>2273</v>
      </c>
      <c r="E401" s="1258" t="s">
        <v>826</v>
      </c>
      <c r="F401" s="1258">
        <v>10</v>
      </c>
      <c r="G401" s="1269" t="s">
        <v>2234</v>
      </c>
      <c r="H401" s="1269" t="s">
        <v>1763</v>
      </c>
      <c r="I401" s="1270" t="s">
        <v>1918</v>
      </c>
      <c r="J401" s="1258">
        <v>5</v>
      </c>
      <c r="K401" s="1258">
        <v>8</v>
      </c>
      <c r="L401" s="1258">
        <v>10</v>
      </c>
      <c r="M401" s="1264">
        <v>12</v>
      </c>
      <c r="N401" s="1258">
        <v>50</v>
      </c>
      <c r="O401" s="1258">
        <v>80</v>
      </c>
      <c r="P401" s="1258">
        <v>100</v>
      </c>
      <c r="Q401" s="1264">
        <v>140</v>
      </c>
      <c r="R401" s="1258">
        <v>5</v>
      </c>
      <c r="S401" s="1258">
        <v>10</v>
      </c>
      <c r="T401" s="1258">
        <v>10</v>
      </c>
      <c r="U401" s="1264">
        <v>15</v>
      </c>
      <c r="V401" s="1260" t="s">
        <v>7073</v>
      </c>
      <c r="W401" s="1260" t="s">
        <v>7074</v>
      </c>
      <c r="X401" s="1260" t="s">
        <v>7075</v>
      </c>
      <c r="Y401" s="1260" t="s">
        <v>7076</v>
      </c>
      <c r="Z401" s="1261" t="s">
        <v>7077</v>
      </c>
    </row>
    <row r="402" spans="2:26" ht="12.75" customHeight="1" x14ac:dyDescent="0.2">
      <c r="B402" s="2465" t="str">
        <f t="shared" si="6"/>
        <v>Libre acceso10</v>
      </c>
      <c r="C402" s="1262"/>
      <c r="D402" s="1268" t="s">
        <v>7078</v>
      </c>
      <c r="E402" s="1258" t="s">
        <v>826</v>
      </c>
      <c r="F402" s="1258">
        <v>10</v>
      </c>
      <c r="G402" s="1269" t="s">
        <v>2234</v>
      </c>
      <c r="H402" s="1269" t="s">
        <v>1763</v>
      </c>
      <c r="I402" s="1270" t="s">
        <v>1918</v>
      </c>
      <c r="J402" s="1258">
        <v>5</v>
      </c>
      <c r="K402" s="1258">
        <v>8</v>
      </c>
      <c r="L402" s="1258">
        <v>10</v>
      </c>
      <c r="M402" s="1264">
        <v>12</v>
      </c>
      <c r="N402" s="1258">
        <v>50</v>
      </c>
      <c r="O402" s="1258">
        <v>80</v>
      </c>
      <c r="P402" s="1258">
        <v>100</v>
      </c>
      <c r="Q402" s="1264">
        <v>120</v>
      </c>
      <c r="R402" s="1258">
        <v>5</v>
      </c>
      <c r="S402" s="1258">
        <v>5</v>
      </c>
      <c r="T402" s="1258">
        <v>5</v>
      </c>
      <c r="U402" s="1264">
        <v>10</v>
      </c>
      <c r="V402" s="1260" t="s">
        <v>7079</v>
      </c>
      <c r="W402" s="1260" t="s">
        <v>7080</v>
      </c>
      <c r="X402" s="1260" t="s">
        <v>7081</v>
      </c>
      <c r="Y402" s="1260" t="s">
        <v>7082</v>
      </c>
      <c r="Z402" s="1261" t="s">
        <v>7083</v>
      </c>
    </row>
    <row r="403" spans="2:26" ht="12.75" customHeight="1" x14ac:dyDescent="0.2">
      <c r="B403" s="2465" t="str">
        <f t="shared" si="6"/>
        <v>Libre acceso10</v>
      </c>
      <c r="C403" s="1262"/>
      <c r="D403" s="1268" t="s">
        <v>831</v>
      </c>
      <c r="E403" s="1258" t="s">
        <v>826</v>
      </c>
      <c r="F403" s="1258">
        <v>10</v>
      </c>
      <c r="G403" s="1269" t="s">
        <v>2234</v>
      </c>
      <c r="H403" s="1269" t="s">
        <v>1763</v>
      </c>
      <c r="I403" s="1270" t="s">
        <v>1918</v>
      </c>
      <c r="J403" s="1258">
        <v>5</v>
      </c>
      <c r="K403" s="1258">
        <v>8</v>
      </c>
      <c r="L403" s="1258">
        <v>10</v>
      </c>
      <c r="M403" s="1264">
        <v>12</v>
      </c>
      <c r="N403" s="1258">
        <v>40</v>
      </c>
      <c r="O403" s="1258">
        <v>80</v>
      </c>
      <c r="P403" s="1258">
        <v>120</v>
      </c>
      <c r="Q403" s="1264">
        <v>160</v>
      </c>
      <c r="R403" s="1258"/>
      <c r="S403" s="1258"/>
      <c r="T403" s="1258"/>
      <c r="U403" s="1264"/>
      <c r="V403" s="1260" t="s">
        <v>7084</v>
      </c>
      <c r="W403" s="1260" t="s">
        <v>7085</v>
      </c>
      <c r="X403" s="1260" t="s">
        <v>7086</v>
      </c>
      <c r="Y403" s="1260" t="s">
        <v>7087</v>
      </c>
      <c r="Z403" s="1261" t="s">
        <v>7088</v>
      </c>
    </row>
    <row r="404" spans="2:26" ht="12.75" customHeight="1" x14ac:dyDescent="0.2">
      <c r="B404" s="2465" t="str">
        <f t="shared" si="6"/>
        <v>Libre acceso10</v>
      </c>
      <c r="C404" s="1262"/>
      <c r="D404" s="1268" t="s">
        <v>7089</v>
      </c>
      <c r="E404" s="1258" t="s">
        <v>826</v>
      </c>
      <c r="F404" s="1258">
        <v>10</v>
      </c>
      <c r="G404" s="1269" t="s">
        <v>2234</v>
      </c>
      <c r="H404" s="1269" t="s">
        <v>1763</v>
      </c>
      <c r="I404" s="1270" t="s">
        <v>1918</v>
      </c>
      <c r="J404" s="1258">
        <v>5</v>
      </c>
      <c r="K404" s="1258">
        <v>8</v>
      </c>
      <c r="L404" s="1258">
        <v>10</v>
      </c>
      <c r="M404" s="1264">
        <v>12</v>
      </c>
      <c r="N404" s="1258">
        <v>40</v>
      </c>
      <c r="O404" s="1258">
        <v>80</v>
      </c>
      <c r="P404" s="1258">
        <v>110</v>
      </c>
      <c r="Q404" s="1264">
        <v>130</v>
      </c>
      <c r="R404" s="1258">
        <v>5</v>
      </c>
      <c r="S404" s="1258">
        <v>10</v>
      </c>
      <c r="T404" s="1258">
        <v>10</v>
      </c>
      <c r="U404" s="1264">
        <v>15</v>
      </c>
      <c r="V404" s="1260" t="s">
        <v>5642</v>
      </c>
      <c r="W404" s="1260" t="s">
        <v>7090</v>
      </c>
      <c r="X404" s="1260" t="s">
        <v>7091</v>
      </c>
      <c r="Y404" s="1260" t="s">
        <v>7092</v>
      </c>
      <c r="Z404" s="1261" t="s">
        <v>7093</v>
      </c>
    </row>
    <row r="405" spans="2:26" ht="12.75" customHeight="1" x14ac:dyDescent="0.2">
      <c r="B405" s="2465" t="str">
        <f t="shared" si="6"/>
        <v>Libre acceso10</v>
      </c>
      <c r="C405" s="1262"/>
      <c r="D405" s="1268" t="s">
        <v>7094</v>
      </c>
      <c r="E405" s="1258" t="s">
        <v>826</v>
      </c>
      <c r="F405" s="1258">
        <v>10</v>
      </c>
      <c r="G405" s="1269" t="s">
        <v>2234</v>
      </c>
      <c r="H405" s="1269" t="s">
        <v>1763</v>
      </c>
      <c r="I405" s="1270" t="s">
        <v>1918</v>
      </c>
      <c r="J405" s="1258">
        <v>5</v>
      </c>
      <c r="K405" s="1258">
        <v>8</v>
      </c>
      <c r="L405" s="1258">
        <v>10</v>
      </c>
      <c r="M405" s="1264">
        <v>12</v>
      </c>
      <c r="N405" s="1258">
        <v>40</v>
      </c>
      <c r="O405" s="1258">
        <v>80</v>
      </c>
      <c r="P405" s="1258">
        <v>120</v>
      </c>
      <c r="Q405" s="1264">
        <v>160</v>
      </c>
      <c r="R405" s="1258"/>
      <c r="S405" s="1258"/>
      <c r="T405" s="1258"/>
      <c r="U405" s="1264" t="s">
        <v>5702</v>
      </c>
      <c r="V405" s="1260" t="s">
        <v>7095</v>
      </c>
      <c r="W405" s="1260" t="s">
        <v>7096</v>
      </c>
      <c r="X405" s="1260" t="s">
        <v>7097</v>
      </c>
      <c r="Y405" s="1260" t="s">
        <v>7098</v>
      </c>
      <c r="Z405" s="1261" t="s">
        <v>7099</v>
      </c>
    </row>
    <row r="406" spans="2:26" ht="12.75" customHeight="1" x14ac:dyDescent="0.2">
      <c r="B406" s="2465" t="str">
        <f t="shared" si="6"/>
        <v>Libre acceso10</v>
      </c>
      <c r="C406" s="1262"/>
      <c r="D406" s="1268" t="s">
        <v>833</v>
      </c>
      <c r="E406" s="1258" t="s">
        <v>826</v>
      </c>
      <c r="F406" s="1258">
        <v>10</v>
      </c>
      <c r="G406" s="1269" t="s">
        <v>2234</v>
      </c>
      <c r="H406" s="1269" t="s">
        <v>1763</v>
      </c>
      <c r="I406" s="1270" t="s">
        <v>1919</v>
      </c>
      <c r="J406" s="1258">
        <v>5</v>
      </c>
      <c r="K406" s="1258">
        <v>8</v>
      </c>
      <c r="L406" s="1258">
        <v>10</v>
      </c>
      <c r="M406" s="1264">
        <v>12</v>
      </c>
      <c r="N406" s="1258">
        <v>40</v>
      </c>
      <c r="O406" s="1258">
        <v>80</v>
      </c>
      <c r="P406" s="1258">
        <v>160</v>
      </c>
      <c r="Q406" s="1264">
        <v>240</v>
      </c>
      <c r="R406" s="1258">
        <v>5</v>
      </c>
      <c r="S406" s="1258">
        <v>15</v>
      </c>
      <c r="T406" s="1258">
        <v>20</v>
      </c>
      <c r="U406" s="1264">
        <v>25</v>
      </c>
      <c r="V406" s="1260" t="s">
        <v>7100</v>
      </c>
      <c r="W406" s="1260" t="s">
        <v>7100</v>
      </c>
      <c r="X406" s="1260" t="s">
        <v>7100</v>
      </c>
      <c r="Y406" s="1260" t="s">
        <v>7100</v>
      </c>
      <c r="Z406" s="1261" t="s">
        <v>7101</v>
      </c>
    </row>
    <row r="407" spans="2:26" ht="12.75" customHeight="1" x14ac:dyDescent="0.2">
      <c r="B407" s="2465" t="str">
        <f t="shared" si="6"/>
        <v>Libre acceso10</v>
      </c>
      <c r="C407" s="1262"/>
      <c r="D407" s="1268" t="s">
        <v>834</v>
      </c>
      <c r="E407" s="1258" t="s">
        <v>826</v>
      </c>
      <c r="F407" s="1258">
        <v>10</v>
      </c>
      <c r="G407" s="1269" t="s">
        <v>3090</v>
      </c>
      <c r="H407" s="1269" t="s">
        <v>1763</v>
      </c>
      <c r="I407" s="1270" t="s">
        <v>1918</v>
      </c>
      <c r="J407" s="1258">
        <v>5</v>
      </c>
      <c r="K407" s="1258">
        <v>8</v>
      </c>
      <c r="L407" s="1258">
        <v>10</v>
      </c>
      <c r="M407" s="1264">
        <v>12</v>
      </c>
      <c r="N407" s="1258">
        <v>30</v>
      </c>
      <c r="O407" s="1258">
        <v>70</v>
      </c>
      <c r="P407" s="1258">
        <v>120</v>
      </c>
      <c r="Q407" s="1264">
        <v>180</v>
      </c>
      <c r="R407" s="1258">
        <v>5</v>
      </c>
      <c r="S407" s="1258">
        <v>10</v>
      </c>
      <c r="T407" s="1258">
        <v>15</v>
      </c>
      <c r="U407" s="1264">
        <v>20</v>
      </c>
      <c r="V407" s="1260" t="s">
        <v>7102</v>
      </c>
      <c r="W407" s="1260" t="s">
        <v>7103</v>
      </c>
      <c r="X407" s="1260" t="s">
        <v>7104</v>
      </c>
      <c r="Y407" s="1260" t="s">
        <v>7105</v>
      </c>
      <c r="Z407" s="1261" t="s">
        <v>7106</v>
      </c>
    </row>
    <row r="408" spans="2:26" ht="12.75" customHeight="1" x14ac:dyDescent="0.2">
      <c r="B408" s="2465" t="str">
        <f t="shared" si="6"/>
        <v>Libre acceso10</v>
      </c>
      <c r="C408" s="1262"/>
      <c r="D408" s="1268" t="s">
        <v>829</v>
      </c>
      <c r="E408" s="1258" t="s">
        <v>826</v>
      </c>
      <c r="F408" s="1258">
        <v>10</v>
      </c>
      <c r="G408" s="1269" t="s">
        <v>2234</v>
      </c>
      <c r="H408" s="1269" t="s">
        <v>1763</v>
      </c>
      <c r="I408" s="1270" t="s">
        <v>1918</v>
      </c>
      <c r="J408" s="1258">
        <v>5</v>
      </c>
      <c r="K408" s="1258">
        <v>8</v>
      </c>
      <c r="L408" s="1258">
        <v>10</v>
      </c>
      <c r="M408" s="1264">
        <v>12</v>
      </c>
      <c r="N408" s="1258">
        <v>40</v>
      </c>
      <c r="O408" s="1258">
        <v>80</v>
      </c>
      <c r="P408" s="1258">
        <v>120</v>
      </c>
      <c r="Q408" s="1264">
        <v>150</v>
      </c>
      <c r="R408" s="1258">
        <v>5</v>
      </c>
      <c r="S408" s="1258">
        <v>5</v>
      </c>
      <c r="T408" s="1258">
        <v>10</v>
      </c>
      <c r="U408" s="1264">
        <v>10</v>
      </c>
      <c r="V408" s="1260" t="s">
        <v>7107</v>
      </c>
      <c r="W408" s="1260" t="s">
        <v>7108</v>
      </c>
      <c r="X408" s="1260" t="s">
        <v>7109</v>
      </c>
      <c r="Y408" s="1260" t="s">
        <v>7110</v>
      </c>
      <c r="Z408" s="1261" t="s">
        <v>7111</v>
      </c>
    </row>
    <row r="409" spans="2:26" ht="12.75" customHeight="1" x14ac:dyDescent="0.2">
      <c r="B409" s="2465" t="str">
        <f t="shared" si="6"/>
        <v>Libre acceso10</v>
      </c>
      <c r="C409" s="1262"/>
      <c r="D409" s="1268" t="s">
        <v>835</v>
      </c>
      <c r="E409" s="1258" t="s">
        <v>826</v>
      </c>
      <c r="F409" s="1258">
        <v>10</v>
      </c>
      <c r="G409" s="1269" t="s">
        <v>3090</v>
      </c>
      <c r="H409" s="1269" t="s">
        <v>1762</v>
      </c>
      <c r="I409" s="1270" t="s">
        <v>1918</v>
      </c>
      <c r="J409" s="1258">
        <v>5</v>
      </c>
      <c r="K409" s="1258">
        <v>8</v>
      </c>
      <c r="L409" s="1258">
        <v>10</v>
      </c>
      <c r="M409" s="1264">
        <v>12</v>
      </c>
      <c r="N409" s="1258">
        <v>30</v>
      </c>
      <c r="O409" s="1258">
        <v>80</v>
      </c>
      <c r="P409" s="1258">
        <v>100</v>
      </c>
      <c r="Q409" s="1264">
        <v>120</v>
      </c>
      <c r="R409" s="1258">
        <v>5</v>
      </c>
      <c r="S409" s="1258">
        <v>5</v>
      </c>
      <c r="T409" s="1258">
        <v>5</v>
      </c>
      <c r="U409" s="1264">
        <v>10</v>
      </c>
      <c r="V409" s="1260" t="s">
        <v>7112</v>
      </c>
      <c r="W409" s="1260" t="s">
        <v>6520</v>
      </c>
      <c r="X409" s="1260" t="s">
        <v>7113</v>
      </c>
      <c r="Y409" s="1260" t="s">
        <v>7114</v>
      </c>
      <c r="Z409" s="1261" t="s">
        <v>7115</v>
      </c>
    </row>
    <row r="410" spans="2:26" ht="12.75" customHeight="1" x14ac:dyDescent="0.2">
      <c r="B410" s="2465" t="str">
        <f t="shared" si="6"/>
        <v>Libre acceso</v>
      </c>
      <c r="C410" s="1262"/>
      <c r="D410" s="1268" t="s">
        <v>7116</v>
      </c>
      <c r="E410" s="1258" t="s">
        <v>826</v>
      </c>
      <c r="F410" s="1258"/>
      <c r="G410" s="1269"/>
      <c r="H410" s="1269" t="s">
        <v>1763</v>
      </c>
      <c r="I410" s="1270"/>
      <c r="J410" s="1258"/>
      <c r="K410" s="1258"/>
      <c r="L410" s="1258"/>
      <c r="M410" s="1264"/>
      <c r="N410" s="1258"/>
      <c r="O410" s="1258"/>
      <c r="P410" s="1258"/>
      <c r="Q410" s="1264"/>
      <c r="R410" s="1258"/>
      <c r="S410" s="1258"/>
      <c r="T410" s="1258"/>
      <c r="U410" s="1264"/>
      <c r="V410" s="1260"/>
      <c r="W410" s="1260"/>
      <c r="X410" s="1260"/>
      <c r="Y410" s="1260"/>
      <c r="Z410" s="1261"/>
    </row>
    <row r="411" spans="2:26" ht="12.75" customHeight="1" x14ac:dyDescent="0.2">
      <c r="B411" s="2465" t="str">
        <f t="shared" si="6"/>
        <v>Libre acceso20</v>
      </c>
      <c r="C411" s="1262"/>
      <c r="D411" s="1268" t="s">
        <v>837</v>
      </c>
      <c r="E411" s="1258" t="s">
        <v>826</v>
      </c>
      <c r="F411" s="1258">
        <v>20</v>
      </c>
      <c r="G411" s="1271" t="s">
        <v>2234</v>
      </c>
      <c r="H411" s="1269" t="s">
        <v>1763</v>
      </c>
      <c r="I411" s="1270" t="s">
        <v>1918</v>
      </c>
      <c r="J411" s="1258">
        <v>6</v>
      </c>
      <c r="K411" s="1258">
        <v>9</v>
      </c>
      <c r="L411" s="1258">
        <v>11</v>
      </c>
      <c r="M411" s="1264">
        <v>13</v>
      </c>
      <c r="N411" s="1258">
        <v>40</v>
      </c>
      <c r="O411" s="1258">
        <v>80</v>
      </c>
      <c r="P411" s="1258">
        <v>120</v>
      </c>
      <c r="Q411" s="1264">
        <v>160</v>
      </c>
      <c r="R411" s="1258">
        <v>5</v>
      </c>
      <c r="S411" s="1258">
        <v>10</v>
      </c>
      <c r="T411" s="1258">
        <v>15</v>
      </c>
      <c r="U411" s="1264">
        <v>20</v>
      </c>
      <c r="V411" s="1260" t="s">
        <v>7117</v>
      </c>
      <c r="W411" s="1260" t="s">
        <v>7118</v>
      </c>
      <c r="X411" s="1260" t="s">
        <v>7119</v>
      </c>
      <c r="Y411" s="1260" t="s">
        <v>7120</v>
      </c>
      <c r="Z411" s="1261" t="s">
        <v>7121</v>
      </c>
    </row>
    <row r="412" spans="2:26" ht="12.75" customHeight="1" x14ac:dyDescent="0.2">
      <c r="B412" s="2465" t="str">
        <f t="shared" si="6"/>
        <v>Libre acceso20</v>
      </c>
      <c r="C412" s="1262"/>
      <c r="D412" s="1268" t="s">
        <v>838</v>
      </c>
      <c r="E412" s="1258" t="s">
        <v>826</v>
      </c>
      <c r="F412" s="1258">
        <v>20</v>
      </c>
      <c r="G412" s="1271" t="s">
        <v>2234</v>
      </c>
      <c r="H412" s="1269" t="s">
        <v>1763</v>
      </c>
      <c r="I412" s="1270" t="s">
        <v>1918</v>
      </c>
      <c r="J412" s="1258">
        <v>6</v>
      </c>
      <c r="K412" s="1258">
        <v>9</v>
      </c>
      <c r="L412" s="1258">
        <v>11</v>
      </c>
      <c r="M412" s="1264">
        <v>13</v>
      </c>
      <c r="N412" s="1258">
        <v>40</v>
      </c>
      <c r="O412" s="1258">
        <v>70</v>
      </c>
      <c r="P412" s="1258">
        <v>100</v>
      </c>
      <c r="Q412" s="1264">
        <v>130</v>
      </c>
      <c r="R412" s="1258">
        <v>5</v>
      </c>
      <c r="S412" s="1258">
        <v>10</v>
      </c>
      <c r="T412" s="1258">
        <v>10</v>
      </c>
      <c r="U412" s="1264">
        <v>15</v>
      </c>
      <c r="V412" s="1260" t="s">
        <v>7122</v>
      </c>
      <c r="W412" s="1260" t="s">
        <v>7123</v>
      </c>
      <c r="X412" s="1260" t="s">
        <v>7124</v>
      </c>
      <c r="Y412" s="1260" t="s">
        <v>7125</v>
      </c>
      <c r="Z412" s="1261" t="s">
        <v>7126</v>
      </c>
    </row>
    <row r="413" spans="2:26" ht="12.75" customHeight="1" x14ac:dyDescent="0.2">
      <c r="B413" s="2465" t="str">
        <f t="shared" si="6"/>
        <v>Libre acceso20</v>
      </c>
      <c r="C413" s="1262"/>
      <c r="D413" s="1268" t="s">
        <v>839</v>
      </c>
      <c r="E413" s="1258" t="s">
        <v>826</v>
      </c>
      <c r="F413" s="1258">
        <v>20</v>
      </c>
      <c r="G413" s="1269" t="s">
        <v>3090</v>
      </c>
      <c r="H413" s="1269" t="s">
        <v>1763</v>
      </c>
      <c r="I413" s="1270" t="s">
        <v>1918</v>
      </c>
      <c r="J413" s="1258">
        <v>6</v>
      </c>
      <c r="K413" s="1258">
        <v>9</v>
      </c>
      <c r="L413" s="1258">
        <v>11</v>
      </c>
      <c r="M413" s="1264">
        <v>13</v>
      </c>
      <c r="N413" s="1258">
        <v>50</v>
      </c>
      <c r="O413" s="1258">
        <v>80</v>
      </c>
      <c r="P413" s="1258">
        <v>110</v>
      </c>
      <c r="Q413" s="1264">
        <v>130</v>
      </c>
      <c r="R413" s="1258">
        <v>5</v>
      </c>
      <c r="S413" s="1258">
        <v>5</v>
      </c>
      <c r="T413" s="1258">
        <v>10</v>
      </c>
      <c r="U413" s="1264">
        <v>10</v>
      </c>
      <c r="V413" s="1260" t="s">
        <v>5655</v>
      </c>
      <c r="W413" s="1260" t="s">
        <v>5781</v>
      </c>
      <c r="X413" s="1260" t="s">
        <v>7127</v>
      </c>
      <c r="Y413" s="1260" t="s">
        <v>5693</v>
      </c>
      <c r="Z413" s="1261" t="s">
        <v>7128</v>
      </c>
    </row>
    <row r="414" spans="2:26" ht="12.75" customHeight="1" x14ac:dyDescent="0.2">
      <c r="B414" s="2465" t="str">
        <f t="shared" si="6"/>
        <v>Libre acceso20</v>
      </c>
      <c r="C414" s="1262"/>
      <c r="D414" s="1268" t="s">
        <v>840</v>
      </c>
      <c r="E414" s="1258" t="s">
        <v>826</v>
      </c>
      <c r="F414" s="1258">
        <v>20</v>
      </c>
      <c r="G414" s="1271" t="s">
        <v>2234</v>
      </c>
      <c r="H414" s="1269" t="s">
        <v>1763</v>
      </c>
      <c r="I414" s="1270" t="s">
        <v>1918</v>
      </c>
      <c r="J414" s="1258">
        <v>6</v>
      </c>
      <c r="K414" s="1258">
        <v>9</v>
      </c>
      <c r="L414" s="1258">
        <v>11</v>
      </c>
      <c r="M414" s="1264">
        <v>13</v>
      </c>
      <c r="N414" s="1258">
        <v>50</v>
      </c>
      <c r="O414" s="1258">
        <v>100</v>
      </c>
      <c r="P414" s="1258">
        <v>160</v>
      </c>
      <c r="Q414" s="1264">
        <v>240</v>
      </c>
      <c r="R414" s="1258">
        <v>5</v>
      </c>
      <c r="S414" s="1258">
        <v>10</v>
      </c>
      <c r="T414" s="1258">
        <v>10</v>
      </c>
      <c r="U414" s="1264">
        <v>15</v>
      </c>
      <c r="V414" s="1260" t="s">
        <v>5470</v>
      </c>
      <c r="W414" s="1260" t="s">
        <v>5471</v>
      </c>
      <c r="X414" s="1260" t="s">
        <v>5612</v>
      </c>
      <c r="Y414" s="1260" t="s">
        <v>7129</v>
      </c>
      <c r="Z414" s="1261" t="s">
        <v>7130</v>
      </c>
    </row>
    <row r="415" spans="2:26" ht="12.75" customHeight="1" x14ac:dyDescent="0.2">
      <c r="B415" s="2465" t="str">
        <f t="shared" si="6"/>
        <v>Libre acceso20</v>
      </c>
      <c r="C415" s="1262"/>
      <c r="D415" s="1268" t="s">
        <v>841</v>
      </c>
      <c r="E415" s="1258" t="s">
        <v>826</v>
      </c>
      <c r="F415" s="1258">
        <v>20</v>
      </c>
      <c r="G415" s="1271" t="s">
        <v>2234</v>
      </c>
      <c r="H415" s="1269" t="s">
        <v>1763</v>
      </c>
      <c r="I415" s="1270" t="s">
        <v>1918</v>
      </c>
      <c r="J415" s="1258">
        <v>6</v>
      </c>
      <c r="K415" s="1258">
        <v>9</v>
      </c>
      <c r="L415" s="1258">
        <v>11</v>
      </c>
      <c r="M415" s="1264">
        <v>13</v>
      </c>
      <c r="N415" s="1258">
        <v>60</v>
      </c>
      <c r="O415" s="1258">
        <v>90</v>
      </c>
      <c r="P415" s="1258">
        <v>120</v>
      </c>
      <c r="Q415" s="1264">
        <v>150</v>
      </c>
      <c r="R415" s="1258"/>
      <c r="S415" s="1258"/>
      <c r="T415" s="1258"/>
      <c r="U415" s="1264"/>
      <c r="V415" s="1260" t="s">
        <v>5654</v>
      </c>
      <c r="W415" s="1260" t="s">
        <v>5656</v>
      </c>
      <c r="X415" s="1260" t="s">
        <v>7131</v>
      </c>
      <c r="Y415" s="1260" t="s">
        <v>7127</v>
      </c>
      <c r="Z415" s="1261" t="s">
        <v>7132</v>
      </c>
    </row>
    <row r="416" spans="2:26" ht="12.75" customHeight="1" x14ac:dyDescent="0.2">
      <c r="B416" s="2465" t="str">
        <f t="shared" si="6"/>
        <v>Libre acceso20</v>
      </c>
      <c r="C416" s="1262"/>
      <c r="D416" s="1268" t="s">
        <v>2270</v>
      </c>
      <c r="E416" s="1258" t="s">
        <v>826</v>
      </c>
      <c r="F416" s="1258">
        <v>20</v>
      </c>
      <c r="G416" s="1271" t="s">
        <v>2234</v>
      </c>
      <c r="H416" s="1269" t="s">
        <v>1763</v>
      </c>
      <c r="I416" s="1270" t="s">
        <v>1918</v>
      </c>
      <c r="J416" s="1258">
        <v>6</v>
      </c>
      <c r="K416" s="1258">
        <v>9</v>
      </c>
      <c r="L416" s="1258">
        <v>11</v>
      </c>
      <c r="M416" s="1264">
        <v>13</v>
      </c>
      <c r="N416" s="1258">
        <v>50</v>
      </c>
      <c r="O416" s="1258">
        <v>80</v>
      </c>
      <c r="P416" s="1258">
        <v>120</v>
      </c>
      <c r="Q416" s="1264">
        <v>160</v>
      </c>
      <c r="R416" s="1258">
        <v>5</v>
      </c>
      <c r="S416" s="1258">
        <v>10</v>
      </c>
      <c r="T416" s="1258">
        <v>15</v>
      </c>
      <c r="U416" s="1264">
        <v>20</v>
      </c>
      <c r="V416" s="1260" t="s">
        <v>7133</v>
      </c>
      <c r="W416" s="1260" t="s">
        <v>7134</v>
      </c>
      <c r="X416" s="1260" t="s">
        <v>7135</v>
      </c>
      <c r="Y416" s="1260" t="s">
        <v>7136</v>
      </c>
      <c r="Z416" s="1261" t="s">
        <v>7137</v>
      </c>
    </row>
    <row r="417" spans="2:26" ht="12.75" customHeight="1" x14ac:dyDescent="0.2">
      <c r="B417" s="2465" t="str">
        <f t="shared" si="6"/>
        <v>Libre acceso20</v>
      </c>
      <c r="C417" s="1262"/>
      <c r="D417" s="1268" t="s">
        <v>842</v>
      </c>
      <c r="E417" s="1258" t="s">
        <v>826</v>
      </c>
      <c r="F417" s="1258">
        <v>20</v>
      </c>
      <c r="G417" s="1269" t="s">
        <v>3090</v>
      </c>
      <c r="H417" s="1269" t="s">
        <v>1763</v>
      </c>
      <c r="I417" s="1270" t="s">
        <v>1918</v>
      </c>
      <c r="J417" s="1258">
        <v>5</v>
      </c>
      <c r="K417" s="1258">
        <v>8</v>
      </c>
      <c r="L417" s="1258">
        <v>10</v>
      </c>
      <c r="M417" s="1264">
        <v>12</v>
      </c>
      <c r="N417" s="1258">
        <v>40</v>
      </c>
      <c r="O417" s="1258">
        <v>80</v>
      </c>
      <c r="P417" s="1258">
        <v>100</v>
      </c>
      <c r="Q417" s="1264">
        <v>120</v>
      </c>
      <c r="R417" s="1258">
        <v>5</v>
      </c>
      <c r="S417" s="1258">
        <v>10</v>
      </c>
      <c r="T417" s="1258">
        <v>10</v>
      </c>
      <c r="U417" s="1264">
        <v>15</v>
      </c>
      <c r="V417" s="1260" t="s">
        <v>7138</v>
      </c>
      <c r="W417" s="1260" t="s">
        <v>7139</v>
      </c>
      <c r="X417" s="1260" t="s">
        <v>7140</v>
      </c>
      <c r="Y417" s="1260" t="s">
        <v>7141</v>
      </c>
      <c r="Z417" s="1261" t="s">
        <v>7142</v>
      </c>
    </row>
    <row r="418" spans="2:26" ht="12.75" customHeight="1" x14ac:dyDescent="0.2">
      <c r="B418" s="2465" t="str">
        <f t="shared" si="6"/>
        <v>Libre acceso20</v>
      </c>
      <c r="C418" s="1262"/>
      <c r="D418" s="1268" t="s">
        <v>843</v>
      </c>
      <c r="E418" s="1258" t="s">
        <v>826</v>
      </c>
      <c r="F418" s="1258">
        <v>20</v>
      </c>
      <c r="G418" s="1271" t="s">
        <v>2234</v>
      </c>
      <c r="H418" s="1269" t="s">
        <v>1763</v>
      </c>
      <c r="I418" s="1270" t="s">
        <v>1918</v>
      </c>
      <c r="J418" s="1258">
        <v>6</v>
      </c>
      <c r="K418" s="1258">
        <v>9</v>
      </c>
      <c r="L418" s="1258">
        <v>11</v>
      </c>
      <c r="M418" s="1264">
        <v>13</v>
      </c>
      <c r="N418" s="1258">
        <v>30</v>
      </c>
      <c r="O418" s="1258">
        <v>80</v>
      </c>
      <c r="P418" s="1258">
        <v>140</v>
      </c>
      <c r="Q418" s="1264">
        <v>180</v>
      </c>
      <c r="R418" s="1258">
        <v>5</v>
      </c>
      <c r="S418" s="1258">
        <v>5</v>
      </c>
      <c r="T418" s="1258">
        <v>10</v>
      </c>
      <c r="U418" s="1264">
        <v>15</v>
      </c>
      <c r="V418" s="1260" t="s">
        <v>7143</v>
      </c>
      <c r="W418" s="1260" t="s">
        <v>7144</v>
      </c>
      <c r="X418" s="1260" t="s">
        <v>7145</v>
      </c>
      <c r="Y418" s="1260" t="s">
        <v>7146</v>
      </c>
      <c r="Z418" s="1261" t="s">
        <v>7147</v>
      </c>
    </row>
    <row r="419" spans="2:26" ht="12.75" customHeight="1" x14ac:dyDescent="0.2">
      <c r="B419" s="2465" t="str">
        <f t="shared" si="6"/>
        <v>Libre acceso20</v>
      </c>
      <c r="C419" s="1262"/>
      <c r="D419" s="1268" t="s">
        <v>844</v>
      </c>
      <c r="E419" s="1258" t="s">
        <v>826</v>
      </c>
      <c r="F419" s="1258">
        <v>20</v>
      </c>
      <c r="G419" s="1269" t="s">
        <v>3090</v>
      </c>
      <c r="H419" s="1269" t="s">
        <v>1763</v>
      </c>
      <c r="I419" s="1270" t="s">
        <v>1918</v>
      </c>
      <c r="J419" s="1258">
        <v>6</v>
      </c>
      <c r="K419" s="1258">
        <v>9</v>
      </c>
      <c r="L419" s="1258">
        <v>11</v>
      </c>
      <c r="M419" s="1264">
        <v>13</v>
      </c>
      <c r="N419" s="1258">
        <v>40</v>
      </c>
      <c r="O419" s="1258">
        <v>80</v>
      </c>
      <c r="P419" s="1258">
        <v>120</v>
      </c>
      <c r="Q419" s="1264">
        <v>160</v>
      </c>
      <c r="R419" s="1258">
        <v>5</v>
      </c>
      <c r="S419" s="1258">
        <v>10</v>
      </c>
      <c r="T419" s="1258">
        <v>10</v>
      </c>
      <c r="U419" s="1264">
        <v>15</v>
      </c>
      <c r="V419" s="1260" t="s">
        <v>5781</v>
      </c>
      <c r="W419" s="1260" t="s">
        <v>5483</v>
      </c>
      <c r="X419" s="1260" t="s">
        <v>6006</v>
      </c>
      <c r="Y419" s="1260" t="s">
        <v>7148</v>
      </c>
      <c r="Z419" s="1261" t="s">
        <v>7149</v>
      </c>
    </row>
    <row r="420" spans="2:26" ht="12.75" customHeight="1" x14ac:dyDescent="0.2">
      <c r="B420" s="2465" t="str">
        <f t="shared" si="6"/>
        <v>Libre acceso20</v>
      </c>
      <c r="C420" s="1262"/>
      <c r="D420" s="1268" t="s">
        <v>2552</v>
      </c>
      <c r="E420" s="1258" t="s">
        <v>826</v>
      </c>
      <c r="F420" s="1258">
        <v>20</v>
      </c>
      <c r="G420" s="1269" t="s">
        <v>3090</v>
      </c>
      <c r="H420" s="1269" t="s">
        <v>1763</v>
      </c>
      <c r="I420" s="1270" t="s">
        <v>1918</v>
      </c>
      <c r="J420" s="1258">
        <v>6</v>
      </c>
      <c r="K420" s="1258">
        <v>9</v>
      </c>
      <c r="L420" s="1258">
        <v>11</v>
      </c>
      <c r="M420" s="1264">
        <v>13</v>
      </c>
      <c r="N420" s="1258">
        <v>50</v>
      </c>
      <c r="O420" s="1258">
        <v>80</v>
      </c>
      <c r="P420" s="1258">
        <v>110</v>
      </c>
      <c r="Q420" s="1264">
        <v>150</v>
      </c>
      <c r="R420" s="1258">
        <v>5</v>
      </c>
      <c r="S420" s="1258">
        <v>5</v>
      </c>
      <c r="T420" s="1258">
        <v>10</v>
      </c>
      <c r="U420" s="1264">
        <v>15</v>
      </c>
      <c r="V420" s="1260" t="s">
        <v>7150</v>
      </c>
      <c r="W420" s="1260" t="s">
        <v>7151</v>
      </c>
      <c r="X420" s="1260" t="s">
        <v>7152</v>
      </c>
      <c r="Y420" s="1260" t="s">
        <v>7153</v>
      </c>
      <c r="Z420" s="1261" t="s">
        <v>7154</v>
      </c>
    </row>
    <row r="421" spans="2:26" ht="12.75" customHeight="1" x14ac:dyDescent="0.2">
      <c r="B421" s="2465" t="str">
        <f t="shared" si="6"/>
        <v>Libre acceso20</v>
      </c>
      <c r="C421" s="1262"/>
      <c r="D421" s="1268" t="s">
        <v>845</v>
      </c>
      <c r="E421" s="1258" t="s">
        <v>826</v>
      </c>
      <c r="F421" s="1258">
        <v>20</v>
      </c>
      <c r="G421" s="1269" t="s">
        <v>3090</v>
      </c>
      <c r="H421" s="1269" t="s">
        <v>1763</v>
      </c>
      <c r="I421" s="1270" t="s">
        <v>1918</v>
      </c>
      <c r="J421" s="1258">
        <v>6</v>
      </c>
      <c r="K421" s="1258">
        <v>9</v>
      </c>
      <c r="L421" s="1258">
        <v>11</v>
      </c>
      <c r="M421" s="1264">
        <v>13</v>
      </c>
      <c r="N421" s="1258">
        <v>60</v>
      </c>
      <c r="O421" s="1258">
        <v>140</v>
      </c>
      <c r="P421" s="1258">
        <v>220</v>
      </c>
      <c r="Q421" s="1264">
        <v>340</v>
      </c>
      <c r="R421" s="1258">
        <v>10</v>
      </c>
      <c r="S421" s="1258">
        <v>15</v>
      </c>
      <c r="T421" s="1258">
        <v>25</v>
      </c>
      <c r="U421" s="1264">
        <v>35</v>
      </c>
      <c r="V421" s="1260" t="s">
        <v>5693</v>
      </c>
      <c r="W421" s="1260" t="s">
        <v>5782</v>
      </c>
      <c r="X421" s="1260" t="s">
        <v>7155</v>
      </c>
      <c r="Y421" s="1260" t="s">
        <v>7156</v>
      </c>
      <c r="Z421" s="1261" t="s">
        <v>7157</v>
      </c>
    </row>
    <row r="422" spans="2:26" ht="12.75" customHeight="1" x14ac:dyDescent="0.2">
      <c r="B422" s="2465" t="str">
        <f t="shared" si="6"/>
        <v>Libre acceso20</v>
      </c>
      <c r="C422" s="1262"/>
      <c r="D422" s="1268" t="s">
        <v>846</v>
      </c>
      <c r="E422" s="1258" t="s">
        <v>826</v>
      </c>
      <c r="F422" s="1258">
        <v>20</v>
      </c>
      <c r="G422" s="1269" t="s">
        <v>3090</v>
      </c>
      <c r="H422" s="1269" t="s">
        <v>1762</v>
      </c>
      <c r="I422" s="1270" t="s">
        <v>1918</v>
      </c>
      <c r="J422" s="1258">
        <v>6</v>
      </c>
      <c r="K422" s="1258">
        <v>9</v>
      </c>
      <c r="L422" s="1258">
        <v>11</v>
      </c>
      <c r="M422" s="1264">
        <v>13</v>
      </c>
      <c r="N422" s="1258">
        <v>60</v>
      </c>
      <c r="O422" s="1258">
        <v>120</v>
      </c>
      <c r="P422" s="1258">
        <v>180</v>
      </c>
      <c r="Q422" s="1264">
        <v>240</v>
      </c>
      <c r="R422" s="1258">
        <v>10</v>
      </c>
      <c r="S422" s="1258">
        <v>20</v>
      </c>
      <c r="T422" s="1258">
        <v>20</v>
      </c>
      <c r="U422" s="1264">
        <v>25</v>
      </c>
      <c r="V422" s="1260" t="s">
        <v>5472</v>
      </c>
      <c r="W422" s="1260" t="s">
        <v>5571</v>
      </c>
      <c r="X422" s="1260" t="s">
        <v>5473</v>
      </c>
      <c r="Y422" s="1260" t="s">
        <v>5613</v>
      </c>
      <c r="Z422" s="1261" t="s">
        <v>7158</v>
      </c>
    </row>
    <row r="423" spans="2:26" ht="12.75" customHeight="1" x14ac:dyDescent="0.2">
      <c r="B423" s="2465" t="str">
        <f t="shared" si="6"/>
        <v/>
      </c>
      <c r="C423" s="1262"/>
      <c r="D423" s="1268" t="s">
        <v>7159</v>
      </c>
      <c r="E423" s="1258"/>
      <c r="F423" s="1258"/>
      <c r="G423" s="1269"/>
      <c r="H423" s="1269"/>
      <c r="I423" s="1270"/>
      <c r="J423" s="1258"/>
      <c r="K423" s="1258"/>
      <c r="L423" s="1258"/>
      <c r="M423" s="1264"/>
      <c r="N423" s="1258"/>
      <c r="O423" s="1258"/>
      <c r="P423" s="1258"/>
      <c r="Q423" s="1264"/>
      <c r="R423" s="1258"/>
      <c r="S423" s="1258"/>
      <c r="T423" s="1258"/>
      <c r="U423" s="1264"/>
      <c r="V423" s="1260"/>
      <c r="W423" s="1260"/>
      <c r="X423" s="1260"/>
      <c r="Y423" s="1260"/>
      <c r="Z423" s="1261"/>
    </row>
    <row r="424" spans="2:26" ht="12.75" customHeight="1" x14ac:dyDescent="0.2">
      <c r="B424" s="2465" t="str">
        <f t="shared" si="6"/>
        <v>Libre acceso30</v>
      </c>
      <c r="C424" s="1262"/>
      <c r="D424" s="1268" t="s">
        <v>848</v>
      </c>
      <c r="E424" s="1258" t="s">
        <v>826</v>
      </c>
      <c r="F424" s="1258">
        <v>30</v>
      </c>
      <c r="G424" s="1269" t="s">
        <v>2234</v>
      </c>
      <c r="H424" s="1269" t="s">
        <v>6219</v>
      </c>
      <c r="I424" s="1270" t="s">
        <v>1918</v>
      </c>
      <c r="J424" s="1258">
        <v>10</v>
      </c>
      <c r="K424" s="1258">
        <v>12</v>
      </c>
      <c r="L424" s="1258">
        <v>14</v>
      </c>
      <c r="M424" s="1264">
        <v>16</v>
      </c>
      <c r="N424" s="1258">
        <v>100</v>
      </c>
      <c r="O424" s="1258">
        <v>120</v>
      </c>
      <c r="P424" s="1258">
        <v>140</v>
      </c>
      <c r="Q424" s="1264">
        <v>160</v>
      </c>
      <c r="R424" s="1258">
        <v>10</v>
      </c>
      <c r="S424" s="1258">
        <v>15</v>
      </c>
      <c r="T424" s="1258">
        <v>15</v>
      </c>
      <c r="U424" s="1264">
        <v>20</v>
      </c>
      <c r="V424" s="1260" t="s">
        <v>7160</v>
      </c>
      <c r="W424" s="1260" t="s">
        <v>7161</v>
      </c>
      <c r="X424" s="1260" t="s">
        <v>5948</v>
      </c>
      <c r="Y424" s="1260" t="s">
        <v>6949</v>
      </c>
      <c r="Z424" s="1261" t="s">
        <v>7162</v>
      </c>
    </row>
    <row r="425" spans="2:26" ht="12.75" customHeight="1" x14ac:dyDescent="0.2">
      <c r="B425" s="2465" t="str">
        <f t="shared" si="6"/>
        <v>Libre acceso30</v>
      </c>
      <c r="C425" s="1262"/>
      <c r="D425" s="1268" t="s">
        <v>849</v>
      </c>
      <c r="E425" s="1258" t="s">
        <v>826</v>
      </c>
      <c r="F425" s="1258">
        <v>30</v>
      </c>
      <c r="G425" s="1269" t="s">
        <v>2234</v>
      </c>
      <c r="H425" s="1269" t="s">
        <v>6219</v>
      </c>
      <c r="I425" s="1270" t="s">
        <v>1918</v>
      </c>
      <c r="J425" s="1258">
        <v>6</v>
      </c>
      <c r="K425" s="1258">
        <v>9</v>
      </c>
      <c r="L425" s="1258">
        <v>11</v>
      </c>
      <c r="M425" s="1264">
        <v>13</v>
      </c>
      <c r="N425" s="1258">
        <v>50</v>
      </c>
      <c r="O425" s="1258">
        <v>70</v>
      </c>
      <c r="P425" s="1258">
        <v>100</v>
      </c>
      <c r="Q425" s="1264">
        <v>130</v>
      </c>
      <c r="R425" s="1258">
        <v>5</v>
      </c>
      <c r="S425" s="1258">
        <v>10</v>
      </c>
      <c r="T425" s="1258">
        <v>10</v>
      </c>
      <c r="U425" s="1264">
        <v>15</v>
      </c>
      <c r="V425" s="1260" t="s">
        <v>5709</v>
      </c>
      <c r="W425" s="1260" t="s">
        <v>5710</v>
      </c>
      <c r="X425" s="1260" t="s">
        <v>5584</v>
      </c>
      <c r="Y425" s="1260" t="s">
        <v>5387</v>
      </c>
      <c r="Z425" s="1261" t="s">
        <v>7163</v>
      </c>
    </row>
    <row r="426" spans="2:26" ht="12.75" customHeight="1" x14ac:dyDescent="0.2">
      <c r="B426" s="2465" t="str">
        <f t="shared" si="6"/>
        <v>Libre acceso30</v>
      </c>
      <c r="C426" s="1262"/>
      <c r="D426" s="1268" t="s">
        <v>850</v>
      </c>
      <c r="E426" s="1258" t="s">
        <v>826</v>
      </c>
      <c r="F426" s="1258">
        <v>30</v>
      </c>
      <c r="G426" s="1269" t="s">
        <v>2234</v>
      </c>
      <c r="H426" s="1269" t="s">
        <v>1763</v>
      </c>
      <c r="I426" s="1270" t="s">
        <v>1918</v>
      </c>
      <c r="J426" s="1258">
        <v>6</v>
      </c>
      <c r="K426" s="1258">
        <v>9</v>
      </c>
      <c r="L426" s="1258">
        <v>11</v>
      </c>
      <c r="M426" s="1264">
        <v>13</v>
      </c>
      <c r="N426" s="1258">
        <v>100</v>
      </c>
      <c r="O426" s="1258">
        <v>120</v>
      </c>
      <c r="P426" s="1258">
        <v>140</v>
      </c>
      <c r="Q426" s="1264">
        <v>160</v>
      </c>
      <c r="R426" s="1258"/>
      <c r="S426" s="1258"/>
      <c r="T426" s="1258"/>
      <c r="U426" s="1264"/>
      <c r="V426" s="1260" t="s">
        <v>7164</v>
      </c>
      <c r="W426" s="1260" t="s">
        <v>7165</v>
      </c>
      <c r="X426" s="1260" t="s">
        <v>7166</v>
      </c>
      <c r="Y426" s="1260" t="s">
        <v>7167</v>
      </c>
      <c r="Z426" s="1261" t="s">
        <v>7168</v>
      </c>
    </row>
    <row r="427" spans="2:26" ht="12.75" customHeight="1" x14ac:dyDescent="0.2">
      <c r="B427" s="2465" t="str">
        <f t="shared" si="6"/>
        <v>Libre acceso30</v>
      </c>
      <c r="C427" s="1262"/>
      <c r="D427" s="1268" t="s">
        <v>851</v>
      </c>
      <c r="E427" s="1258" t="s">
        <v>826</v>
      </c>
      <c r="F427" s="1258">
        <v>30</v>
      </c>
      <c r="G427" s="1269" t="s">
        <v>2234</v>
      </c>
      <c r="H427" s="1269" t="s">
        <v>2431</v>
      </c>
      <c r="I427" s="1270" t="s">
        <v>1919</v>
      </c>
      <c r="J427" s="1258">
        <v>6</v>
      </c>
      <c r="K427" s="1258">
        <v>9</v>
      </c>
      <c r="L427" s="1258">
        <v>11</v>
      </c>
      <c r="M427" s="1264">
        <v>13</v>
      </c>
      <c r="N427" s="1258">
        <v>60</v>
      </c>
      <c r="O427" s="1258">
        <v>120</v>
      </c>
      <c r="P427" s="1258">
        <v>180</v>
      </c>
      <c r="Q427" s="1264">
        <v>240</v>
      </c>
      <c r="R427" s="1258">
        <v>10</v>
      </c>
      <c r="S427" s="1258">
        <v>20</v>
      </c>
      <c r="T427" s="1258">
        <v>20</v>
      </c>
      <c r="U427" s="1264">
        <v>25</v>
      </c>
      <c r="V427" s="1260" t="s">
        <v>6055</v>
      </c>
      <c r="W427" s="1260" t="s">
        <v>7169</v>
      </c>
      <c r="X427" s="1260" t="s">
        <v>7170</v>
      </c>
      <c r="Y427" s="1260" t="s">
        <v>7171</v>
      </c>
      <c r="Z427" s="1261" t="s">
        <v>7172</v>
      </c>
    </row>
    <row r="428" spans="2:26" ht="12.75" customHeight="1" x14ac:dyDescent="0.2">
      <c r="B428" s="2465" t="str">
        <f t="shared" si="6"/>
        <v>Libre acceso30</v>
      </c>
      <c r="C428" s="1262"/>
      <c r="D428" s="1268" t="s">
        <v>852</v>
      </c>
      <c r="E428" s="1258" t="s">
        <v>826</v>
      </c>
      <c r="F428" s="1258">
        <v>30</v>
      </c>
      <c r="G428" s="1269" t="s">
        <v>2234</v>
      </c>
      <c r="H428" s="1269" t="s">
        <v>1763</v>
      </c>
      <c r="I428" s="1270" t="s">
        <v>1918</v>
      </c>
      <c r="J428" s="1258">
        <v>6</v>
      </c>
      <c r="K428" s="1258">
        <v>9</v>
      </c>
      <c r="L428" s="1258">
        <v>12</v>
      </c>
      <c r="M428" s="1264">
        <v>15</v>
      </c>
      <c r="N428" s="1258">
        <v>60</v>
      </c>
      <c r="O428" s="1258">
        <v>90</v>
      </c>
      <c r="P428" s="1258">
        <v>120</v>
      </c>
      <c r="Q428" s="1264">
        <v>150</v>
      </c>
      <c r="R428" s="1258">
        <v>10</v>
      </c>
      <c r="S428" s="1258">
        <v>10</v>
      </c>
      <c r="T428" s="1258">
        <v>15</v>
      </c>
      <c r="U428" s="1264">
        <v>15</v>
      </c>
      <c r="V428" s="1260" t="s">
        <v>6552</v>
      </c>
      <c r="W428" s="1260" t="s">
        <v>6553</v>
      </c>
      <c r="X428" s="1260" t="s">
        <v>6554</v>
      </c>
      <c r="Y428" s="1260" t="s">
        <v>6555</v>
      </c>
      <c r="Z428" s="1261" t="s">
        <v>7173</v>
      </c>
    </row>
    <row r="429" spans="2:26" ht="12.75" customHeight="1" x14ac:dyDescent="0.2">
      <c r="B429" s="2465" t="str">
        <f t="shared" si="6"/>
        <v>Libre acceso30</v>
      </c>
      <c r="C429" s="1262"/>
      <c r="D429" s="1268" t="s">
        <v>853</v>
      </c>
      <c r="E429" s="1258" t="s">
        <v>826</v>
      </c>
      <c r="F429" s="1258">
        <v>30</v>
      </c>
      <c r="G429" s="1269" t="s">
        <v>3090</v>
      </c>
      <c r="H429" s="1269" t="s">
        <v>1763</v>
      </c>
      <c r="I429" s="1270" t="s">
        <v>1918</v>
      </c>
      <c r="J429" s="1258">
        <v>7</v>
      </c>
      <c r="K429" s="1258">
        <v>10</v>
      </c>
      <c r="L429" s="1258">
        <v>12</v>
      </c>
      <c r="M429" s="1264">
        <v>15</v>
      </c>
      <c r="N429" s="1258">
        <v>100</v>
      </c>
      <c r="O429" s="1258">
        <v>160</v>
      </c>
      <c r="P429" s="1258">
        <v>200</v>
      </c>
      <c r="Q429" s="1264">
        <v>240</v>
      </c>
      <c r="R429" s="1258">
        <v>20</v>
      </c>
      <c r="S429" s="1258">
        <v>35</v>
      </c>
      <c r="T429" s="1258">
        <v>40</v>
      </c>
      <c r="U429" s="1264">
        <v>50</v>
      </c>
      <c r="V429" s="1260" t="s">
        <v>7174</v>
      </c>
      <c r="W429" s="1260" t="s">
        <v>7175</v>
      </c>
      <c r="X429" s="1260" t="s">
        <v>7176</v>
      </c>
      <c r="Y429" s="1260" t="s">
        <v>7177</v>
      </c>
      <c r="Z429" s="1261" t="s">
        <v>7178</v>
      </c>
    </row>
    <row r="430" spans="2:26" ht="12.75" customHeight="1" x14ac:dyDescent="0.2">
      <c r="B430" s="2465" t="str">
        <f t="shared" si="6"/>
        <v>Libre acceso30</v>
      </c>
      <c r="C430" s="1262"/>
      <c r="D430" s="1268" t="s">
        <v>854</v>
      </c>
      <c r="E430" s="1258" t="s">
        <v>826</v>
      </c>
      <c r="F430" s="1258">
        <v>30</v>
      </c>
      <c r="G430" s="1269" t="s">
        <v>3090</v>
      </c>
      <c r="H430" s="1269" t="s">
        <v>1763</v>
      </c>
      <c r="I430" s="1270" t="s">
        <v>1918</v>
      </c>
      <c r="J430" s="1258">
        <v>6</v>
      </c>
      <c r="K430" s="1258">
        <v>9</v>
      </c>
      <c r="L430" s="1258">
        <v>11</v>
      </c>
      <c r="M430" s="1264">
        <v>13</v>
      </c>
      <c r="N430" s="1258">
        <v>80</v>
      </c>
      <c r="O430" s="1258">
        <v>140</v>
      </c>
      <c r="P430" s="1258">
        <v>200</v>
      </c>
      <c r="Q430" s="1264">
        <v>260</v>
      </c>
      <c r="R430" s="1258">
        <v>10</v>
      </c>
      <c r="S430" s="1258">
        <v>15</v>
      </c>
      <c r="T430" s="1258">
        <v>20</v>
      </c>
      <c r="U430" s="1264">
        <v>30</v>
      </c>
      <c r="V430" s="1260" t="s">
        <v>5472</v>
      </c>
      <c r="W430" s="1260" t="s">
        <v>5571</v>
      </c>
      <c r="X430" s="1260" t="s">
        <v>5473</v>
      </c>
      <c r="Y430" s="1260" t="s">
        <v>5613</v>
      </c>
      <c r="Z430" s="1261" t="s">
        <v>7179</v>
      </c>
    </row>
    <row r="431" spans="2:26" ht="12.75" customHeight="1" x14ac:dyDescent="0.2">
      <c r="B431" s="2465" t="str">
        <f t="shared" si="6"/>
        <v>Libre acceso30</v>
      </c>
      <c r="C431" s="1262"/>
      <c r="D431" s="1268" t="s">
        <v>3177</v>
      </c>
      <c r="E431" s="1258" t="s">
        <v>826</v>
      </c>
      <c r="F431" s="1258">
        <v>30</v>
      </c>
      <c r="G431" s="1269" t="s">
        <v>2234</v>
      </c>
      <c r="H431" s="1269" t="s">
        <v>7180</v>
      </c>
      <c r="I431" s="1270" t="s">
        <v>1918</v>
      </c>
      <c r="J431" s="1258">
        <v>6</v>
      </c>
      <c r="K431" s="1258">
        <v>9</v>
      </c>
      <c r="L431" s="1258">
        <v>12</v>
      </c>
      <c r="M431" s="1264">
        <v>15</v>
      </c>
      <c r="N431" s="1258">
        <v>60</v>
      </c>
      <c r="O431" s="1258">
        <v>90</v>
      </c>
      <c r="P431" s="1258">
        <v>120</v>
      </c>
      <c r="Q431" s="1264">
        <v>150</v>
      </c>
      <c r="R431" s="1258">
        <v>5</v>
      </c>
      <c r="S431" s="1258">
        <v>5</v>
      </c>
      <c r="T431" s="1258">
        <v>10</v>
      </c>
      <c r="U431" s="1264">
        <v>10</v>
      </c>
      <c r="V431" s="1260" t="s">
        <v>7181</v>
      </c>
      <c r="W431" s="1260" t="s">
        <v>7182</v>
      </c>
      <c r="X431" s="1260" t="s">
        <v>7183</v>
      </c>
      <c r="Y431" s="1260" t="s">
        <v>7184</v>
      </c>
      <c r="Z431" s="1261" t="s">
        <v>7185</v>
      </c>
    </row>
    <row r="432" spans="2:26" ht="12.75" customHeight="1" x14ac:dyDescent="0.2">
      <c r="B432" s="2465" t="str">
        <f t="shared" si="6"/>
        <v>Libre acceso30</v>
      </c>
      <c r="C432" s="1262"/>
      <c r="D432" s="1268" t="s">
        <v>855</v>
      </c>
      <c r="E432" s="1258" t="s">
        <v>826</v>
      </c>
      <c r="F432" s="1258">
        <v>30</v>
      </c>
      <c r="G432" s="1269" t="s">
        <v>2234</v>
      </c>
      <c r="H432" s="1269" t="s">
        <v>1763</v>
      </c>
      <c r="I432" s="1270" t="s">
        <v>1918</v>
      </c>
      <c r="J432" s="1258">
        <v>6</v>
      </c>
      <c r="K432" s="1258">
        <v>9</v>
      </c>
      <c r="L432" s="1258">
        <v>11</v>
      </c>
      <c r="M432" s="1264">
        <v>13</v>
      </c>
      <c r="N432" s="1258">
        <v>80</v>
      </c>
      <c r="O432" s="1258">
        <v>100</v>
      </c>
      <c r="P432" s="1258">
        <v>120</v>
      </c>
      <c r="Q432" s="1264">
        <v>140</v>
      </c>
      <c r="R432" s="1258"/>
      <c r="S432" s="1258"/>
      <c r="T432" s="1258"/>
      <c r="U432" s="1264" t="s">
        <v>5702</v>
      </c>
      <c r="V432" s="1260" t="s">
        <v>7186</v>
      </c>
      <c r="W432" s="1260" t="s">
        <v>7187</v>
      </c>
      <c r="X432" s="1260" t="s">
        <v>7188</v>
      </c>
      <c r="Y432" s="1260" t="s">
        <v>7189</v>
      </c>
      <c r="Z432" s="1261" t="s">
        <v>7190</v>
      </c>
    </row>
    <row r="433" spans="2:26" ht="12.75" customHeight="1" x14ac:dyDescent="0.2">
      <c r="B433" s="2465" t="str">
        <f t="shared" si="6"/>
        <v>Libre acceso30</v>
      </c>
      <c r="C433" s="1262"/>
      <c r="D433" s="1268" t="s">
        <v>856</v>
      </c>
      <c r="E433" s="1258" t="s">
        <v>826</v>
      </c>
      <c r="F433" s="1258">
        <v>30</v>
      </c>
      <c r="G433" s="1269" t="s">
        <v>2234</v>
      </c>
      <c r="H433" s="1269" t="s">
        <v>1763</v>
      </c>
      <c r="I433" s="1270" t="s">
        <v>1918</v>
      </c>
      <c r="J433" s="1258">
        <v>6</v>
      </c>
      <c r="K433" s="1258">
        <v>9</v>
      </c>
      <c r="L433" s="1258">
        <v>11</v>
      </c>
      <c r="M433" s="1264">
        <v>13</v>
      </c>
      <c r="N433" s="1258">
        <v>80</v>
      </c>
      <c r="O433" s="1258">
        <v>120</v>
      </c>
      <c r="P433" s="1258">
        <v>160</v>
      </c>
      <c r="Q433" s="1264">
        <v>200</v>
      </c>
      <c r="R433" s="1258">
        <v>10</v>
      </c>
      <c r="S433" s="1258">
        <v>10</v>
      </c>
      <c r="T433" s="1258">
        <v>15</v>
      </c>
      <c r="U433" s="1264">
        <v>15</v>
      </c>
      <c r="V433" s="1260" t="s">
        <v>7191</v>
      </c>
      <c r="W433" s="1260" t="s">
        <v>7192</v>
      </c>
      <c r="X433" s="1260" t="s">
        <v>7193</v>
      </c>
      <c r="Y433" s="1260" t="s">
        <v>7194</v>
      </c>
      <c r="Z433" s="1261" t="s">
        <v>7195</v>
      </c>
    </row>
    <row r="434" spans="2:26" ht="12.75" customHeight="1" x14ac:dyDescent="0.2">
      <c r="B434" s="2465" t="str">
        <f t="shared" si="6"/>
        <v>Libre acceso30</v>
      </c>
      <c r="C434" s="1262"/>
      <c r="D434" s="1268" t="s">
        <v>2493</v>
      </c>
      <c r="E434" s="1258" t="s">
        <v>826</v>
      </c>
      <c r="F434" s="1258">
        <v>30</v>
      </c>
      <c r="G434" s="1269" t="s">
        <v>2234</v>
      </c>
      <c r="H434" s="1269" t="s">
        <v>1763</v>
      </c>
      <c r="I434" s="1270" t="s">
        <v>1918</v>
      </c>
      <c r="J434" s="1258">
        <v>6</v>
      </c>
      <c r="K434" s="1258">
        <v>9</v>
      </c>
      <c r="L434" s="1258">
        <v>11</v>
      </c>
      <c r="M434" s="1264">
        <v>13</v>
      </c>
      <c r="N434" s="1258">
        <v>50</v>
      </c>
      <c r="O434" s="1258">
        <v>80</v>
      </c>
      <c r="P434" s="1258">
        <v>100</v>
      </c>
      <c r="Q434" s="1264">
        <v>120</v>
      </c>
      <c r="R434" s="1258">
        <v>5</v>
      </c>
      <c r="S434" s="1258">
        <v>10</v>
      </c>
      <c r="T434" s="1258">
        <v>10</v>
      </c>
      <c r="U434" s="1264">
        <v>15</v>
      </c>
      <c r="V434" s="1260" t="s">
        <v>7196</v>
      </c>
      <c r="W434" s="1260" t="s">
        <v>7197</v>
      </c>
      <c r="X434" s="1260" t="s">
        <v>7198</v>
      </c>
      <c r="Y434" s="1260" t="s">
        <v>7199</v>
      </c>
      <c r="Z434" s="1261" t="s">
        <v>7200</v>
      </c>
    </row>
    <row r="435" spans="2:26" ht="12.75" customHeight="1" x14ac:dyDescent="0.2">
      <c r="B435" s="2465" t="str">
        <f t="shared" si="6"/>
        <v>Libre acceso30</v>
      </c>
      <c r="C435" s="1262"/>
      <c r="D435" s="1268" t="s">
        <v>857</v>
      </c>
      <c r="E435" s="1258" t="s">
        <v>826</v>
      </c>
      <c r="F435" s="1258">
        <v>30</v>
      </c>
      <c r="G435" s="1269" t="s">
        <v>3090</v>
      </c>
      <c r="H435" s="1269" t="s">
        <v>1764</v>
      </c>
      <c r="I435" s="1270" t="s">
        <v>1918</v>
      </c>
      <c r="J435" s="1258">
        <v>6</v>
      </c>
      <c r="K435" s="1258">
        <v>9</v>
      </c>
      <c r="L435" s="1258">
        <v>12</v>
      </c>
      <c r="M435" s="1264">
        <v>15</v>
      </c>
      <c r="N435" s="1258">
        <v>60</v>
      </c>
      <c r="O435" s="1258">
        <v>90</v>
      </c>
      <c r="P435" s="1258">
        <v>120</v>
      </c>
      <c r="Q435" s="1264">
        <v>150</v>
      </c>
      <c r="R435" s="1258">
        <v>5</v>
      </c>
      <c r="S435" s="1258">
        <v>5</v>
      </c>
      <c r="T435" s="1258">
        <v>10</v>
      </c>
      <c r="U435" s="1264">
        <v>10</v>
      </c>
      <c r="V435" s="1260" t="s">
        <v>5482</v>
      </c>
      <c r="W435" s="1260" t="s">
        <v>5782</v>
      </c>
      <c r="X435" s="1260" t="s">
        <v>7201</v>
      </c>
      <c r="Y435" s="1260" t="s">
        <v>7202</v>
      </c>
      <c r="Z435" s="1261" t="s">
        <v>7203</v>
      </c>
    </row>
    <row r="436" spans="2:26" ht="12.75" customHeight="1" x14ac:dyDescent="0.2">
      <c r="B436" s="2465" t="str">
        <f t="shared" si="6"/>
        <v/>
      </c>
      <c r="C436" s="1262"/>
      <c r="D436" s="1268" t="s">
        <v>7204</v>
      </c>
      <c r="E436" s="1258"/>
      <c r="F436" s="1258"/>
      <c r="G436" s="1269"/>
      <c r="H436" s="1269"/>
      <c r="I436" s="1270"/>
      <c r="J436" s="1258"/>
      <c r="K436" s="1258"/>
      <c r="L436" s="1258"/>
      <c r="M436" s="1264"/>
      <c r="N436" s="1258"/>
      <c r="O436" s="1258"/>
      <c r="P436" s="1258"/>
      <c r="Q436" s="1264"/>
      <c r="R436" s="1258"/>
      <c r="S436" s="1258"/>
      <c r="T436" s="1258"/>
      <c r="U436" s="1264"/>
      <c r="V436" s="1260"/>
      <c r="W436" s="1260"/>
      <c r="X436" s="1260"/>
      <c r="Y436" s="1260"/>
      <c r="Z436" s="1261"/>
    </row>
    <row r="437" spans="2:26" ht="12.75" customHeight="1" x14ac:dyDescent="0.2">
      <c r="B437" s="2465" t="str">
        <f t="shared" si="6"/>
        <v>Libre acceso40</v>
      </c>
      <c r="C437" s="1262"/>
      <c r="D437" s="1268" t="s">
        <v>859</v>
      </c>
      <c r="E437" s="1258" t="s">
        <v>826</v>
      </c>
      <c r="F437" s="1258">
        <v>40</v>
      </c>
      <c r="G437" s="1269" t="s">
        <v>3090</v>
      </c>
      <c r="H437" s="1269" t="s">
        <v>1763</v>
      </c>
      <c r="I437" s="1270" t="s">
        <v>1918</v>
      </c>
      <c r="J437" s="1258">
        <v>6</v>
      </c>
      <c r="K437" s="1258">
        <v>9</v>
      </c>
      <c r="L437" s="1258">
        <v>11</v>
      </c>
      <c r="M437" s="1264">
        <v>14</v>
      </c>
      <c r="N437" s="1258">
        <v>60</v>
      </c>
      <c r="O437" s="1258">
        <v>90</v>
      </c>
      <c r="P437" s="1258">
        <v>120</v>
      </c>
      <c r="Q437" s="1264">
        <v>150</v>
      </c>
      <c r="R437" s="1258">
        <v>10</v>
      </c>
      <c r="S437" s="1258">
        <v>10</v>
      </c>
      <c r="T437" s="1258">
        <v>15</v>
      </c>
      <c r="U437" s="1264">
        <v>15</v>
      </c>
      <c r="V437" s="1260" t="s">
        <v>7205</v>
      </c>
      <c r="W437" s="1260" t="s">
        <v>7206</v>
      </c>
      <c r="X437" s="1260" t="s">
        <v>7207</v>
      </c>
      <c r="Y437" s="1260" t="s">
        <v>7208</v>
      </c>
      <c r="Z437" s="1261" t="s">
        <v>7209</v>
      </c>
    </row>
    <row r="438" spans="2:26" ht="12.75" customHeight="1" x14ac:dyDescent="0.2">
      <c r="B438" s="2465" t="str">
        <f t="shared" si="6"/>
        <v>Libre acceso40</v>
      </c>
      <c r="C438" s="1262"/>
      <c r="D438" s="1268" t="s">
        <v>860</v>
      </c>
      <c r="E438" s="1258" t="s">
        <v>826</v>
      </c>
      <c r="F438" s="1258">
        <v>40</v>
      </c>
      <c r="G438" s="1269" t="s">
        <v>2234</v>
      </c>
      <c r="H438" s="1269" t="s">
        <v>1763</v>
      </c>
      <c r="I438" s="1270" t="s">
        <v>1918</v>
      </c>
      <c r="J438" s="1258">
        <v>7</v>
      </c>
      <c r="K438" s="1258">
        <v>10</v>
      </c>
      <c r="L438" s="1258">
        <v>12</v>
      </c>
      <c r="M438" s="1264">
        <v>14</v>
      </c>
      <c r="N438" s="1258">
        <v>150</v>
      </c>
      <c r="O438" s="1258">
        <v>200</v>
      </c>
      <c r="P438" s="1258">
        <v>240</v>
      </c>
      <c r="Q438" s="1264">
        <v>280</v>
      </c>
      <c r="R438" s="1258"/>
      <c r="S438" s="1258"/>
      <c r="T438" s="1258"/>
      <c r="U438" s="1264" t="s">
        <v>5702</v>
      </c>
      <c r="V438" s="1260" t="s">
        <v>7210</v>
      </c>
      <c r="W438" s="1260" t="s">
        <v>7211</v>
      </c>
      <c r="X438" s="1260" t="s">
        <v>7212</v>
      </c>
      <c r="Y438" s="1260" t="s">
        <v>7213</v>
      </c>
      <c r="Z438" s="1261" t="s">
        <v>7214</v>
      </c>
    </row>
    <row r="439" spans="2:26" ht="12.75" customHeight="1" x14ac:dyDescent="0.2">
      <c r="B439" s="2465" t="str">
        <f t="shared" si="6"/>
        <v>Libre acceso40</v>
      </c>
      <c r="C439" s="1262"/>
      <c r="D439" s="1268" t="s">
        <v>861</v>
      </c>
      <c r="E439" s="1258" t="s">
        <v>826</v>
      </c>
      <c r="F439" s="1258">
        <v>40</v>
      </c>
      <c r="G439" s="1269" t="s">
        <v>3090</v>
      </c>
      <c r="H439" s="1269" t="s">
        <v>1763</v>
      </c>
      <c r="I439" s="1270" t="s">
        <v>1918</v>
      </c>
      <c r="J439" s="1258">
        <v>7</v>
      </c>
      <c r="K439" s="1258">
        <v>10</v>
      </c>
      <c r="L439" s="1258">
        <v>12</v>
      </c>
      <c r="M439" s="1264">
        <v>15</v>
      </c>
      <c r="N439" s="1258">
        <v>100</v>
      </c>
      <c r="O439" s="1258">
        <v>150</v>
      </c>
      <c r="P439" s="1258">
        <v>200</v>
      </c>
      <c r="Q439" s="1264">
        <v>250</v>
      </c>
      <c r="R439" s="1258">
        <v>10</v>
      </c>
      <c r="S439" s="1258">
        <v>15</v>
      </c>
      <c r="T439" s="1258">
        <v>20</v>
      </c>
      <c r="U439" s="1264">
        <v>25</v>
      </c>
      <c r="V439" s="1260" t="s">
        <v>7215</v>
      </c>
      <c r="W439" s="1260" t="s">
        <v>7216</v>
      </c>
      <c r="X439" s="1260" t="s">
        <v>7217</v>
      </c>
      <c r="Y439" s="1260" t="s">
        <v>7218</v>
      </c>
      <c r="Z439" s="1261" t="s">
        <v>7219</v>
      </c>
    </row>
    <row r="440" spans="2:26" ht="12.75" customHeight="1" x14ac:dyDescent="0.2">
      <c r="B440" s="2465" t="str">
        <f t="shared" si="6"/>
        <v>Libre acceso40</v>
      </c>
      <c r="C440" s="1262"/>
      <c r="D440" s="1268" t="s">
        <v>862</v>
      </c>
      <c r="E440" s="1258" t="s">
        <v>826</v>
      </c>
      <c r="F440" s="1258">
        <v>40</v>
      </c>
      <c r="G440" s="1269" t="s">
        <v>2234</v>
      </c>
      <c r="H440" s="1269" t="s">
        <v>1764</v>
      </c>
      <c r="I440" s="1270" t="s">
        <v>1918</v>
      </c>
      <c r="J440" s="1258">
        <v>7</v>
      </c>
      <c r="K440" s="1258">
        <v>10</v>
      </c>
      <c r="L440" s="1258">
        <v>12</v>
      </c>
      <c r="M440" s="1264">
        <v>14</v>
      </c>
      <c r="N440" s="1258">
        <v>80</v>
      </c>
      <c r="O440" s="1258">
        <v>120</v>
      </c>
      <c r="P440" s="1258">
        <v>160</v>
      </c>
      <c r="Q440" s="1264">
        <v>200</v>
      </c>
      <c r="R440" s="1258">
        <v>10</v>
      </c>
      <c r="S440" s="1258">
        <v>10</v>
      </c>
      <c r="T440" s="1258">
        <v>15</v>
      </c>
      <c r="U440" s="1264">
        <v>15</v>
      </c>
      <c r="V440" s="1260" t="s">
        <v>7220</v>
      </c>
      <c r="W440" s="1260" t="s">
        <v>7221</v>
      </c>
      <c r="X440" s="1260" t="s">
        <v>7222</v>
      </c>
      <c r="Y440" s="1260" t="s">
        <v>7223</v>
      </c>
      <c r="Z440" s="1261" t="s">
        <v>7224</v>
      </c>
    </row>
    <row r="441" spans="2:26" ht="12.75" customHeight="1" x14ac:dyDescent="0.2">
      <c r="B441" s="2465" t="str">
        <f t="shared" si="6"/>
        <v>Libre acceso40</v>
      </c>
      <c r="C441" s="1262"/>
      <c r="D441" s="1268" t="s">
        <v>863</v>
      </c>
      <c r="E441" s="1258" t="s">
        <v>826</v>
      </c>
      <c r="F441" s="1258">
        <v>40</v>
      </c>
      <c r="G441" s="1269" t="s">
        <v>2234</v>
      </c>
      <c r="H441" s="1269" t="s">
        <v>1763</v>
      </c>
      <c r="I441" s="1270" t="s">
        <v>1918</v>
      </c>
      <c r="J441" s="1258">
        <v>7</v>
      </c>
      <c r="K441" s="1258">
        <v>10</v>
      </c>
      <c r="L441" s="1258">
        <v>12</v>
      </c>
      <c r="M441" s="1264">
        <v>14</v>
      </c>
      <c r="N441" s="1258">
        <v>80</v>
      </c>
      <c r="O441" s="1258">
        <v>100</v>
      </c>
      <c r="P441" s="1258">
        <v>120</v>
      </c>
      <c r="Q441" s="1264">
        <v>140</v>
      </c>
      <c r="R441" s="1258"/>
      <c r="S441" s="1258"/>
      <c r="T441" s="1258"/>
      <c r="U441" s="1264" t="s">
        <v>5702</v>
      </c>
      <c r="V441" s="1260" t="s">
        <v>7225</v>
      </c>
      <c r="W441" s="1260" t="s">
        <v>7226</v>
      </c>
      <c r="X441" s="1260" t="s">
        <v>7227</v>
      </c>
      <c r="Y441" s="1260" t="s">
        <v>7228</v>
      </c>
      <c r="Z441" s="1261" t="s">
        <v>7229</v>
      </c>
    </row>
    <row r="442" spans="2:26" ht="12.75" customHeight="1" x14ac:dyDescent="0.2">
      <c r="B442" s="2465" t="str">
        <f t="shared" si="6"/>
        <v>Libre acceso40</v>
      </c>
      <c r="C442" s="1262"/>
      <c r="D442" s="1268" t="s">
        <v>864</v>
      </c>
      <c r="E442" s="1258" t="s">
        <v>826</v>
      </c>
      <c r="F442" s="1258">
        <v>40</v>
      </c>
      <c r="G442" s="1269" t="s">
        <v>2234</v>
      </c>
      <c r="H442" s="1269" t="s">
        <v>1763</v>
      </c>
      <c r="I442" s="1270" t="s">
        <v>1918</v>
      </c>
      <c r="J442" s="1258">
        <v>8</v>
      </c>
      <c r="K442" s="1258">
        <v>11</v>
      </c>
      <c r="L442" s="1258">
        <v>13</v>
      </c>
      <c r="M442" s="1264">
        <v>16</v>
      </c>
      <c r="N442" s="1258">
        <v>80</v>
      </c>
      <c r="O442" s="1258">
        <v>140</v>
      </c>
      <c r="P442" s="1258">
        <v>200</v>
      </c>
      <c r="Q442" s="1264">
        <v>300</v>
      </c>
      <c r="R442" s="1258"/>
      <c r="S442" s="1258"/>
      <c r="T442" s="1258"/>
      <c r="U442" s="1264" t="s">
        <v>5702</v>
      </c>
      <c r="V442" s="1260" t="s">
        <v>7230</v>
      </c>
      <c r="W442" s="1260" t="s">
        <v>7231</v>
      </c>
      <c r="X442" s="1260" t="s">
        <v>7232</v>
      </c>
      <c r="Y442" s="1260" t="s">
        <v>7233</v>
      </c>
      <c r="Z442" s="1261" t="s">
        <v>7234</v>
      </c>
    </row>
    <row r="443" spans="2:26" ht="12.75" customHeight="1" x14ac:dyDescent="0.2">
      <c r="B443" s="2465" t="str">
        <f t="shared" si="6"/>
        <v>Libre acceso40</v>
      </c>
      <c r="C443" s="1262"/>
      <c r="D443" s="1268" t="s">
        <v>865</v>
      </c>
      <c r="E443" s="1258" t="s">
        <v>826</v>
      </c>
      <c r="F443" s="1258">
        <v>40</v>
      </c>
      <c r="G443" s="1269" t="s">
        <v>2234</v>
      </c>
      <c r="H443" s="1269" t="s">
        <v>1761</v>
      </c>
      <c r="I443" s="1270" t="s">
        <v>1918</v>
      </c>
      <c r="J443" s="1258">
        <v>6</v>
      </c>
      <c r="K443" s="1258">
        <v>9</v>
      </c>
      <c r="L443" s="1258">
        <v>11</v>
      </c>
      <c r="M443" s="1264">
        <v>14</v>
      </c>
      <c r="N443" s="1258">
        <v>60</v>
      </c>
      <c r="O443" s="1258">
        <v>90</v>
      </c>
      <c r="P443" s="1258">
        <v>120</v>
      </c>
      <c r="Q443" s="1264">
        <v>150</v>
      </c>
      <c r="R443" s="1258"/>
      <c r="S443" s="1258"/>
      <c r="T443" s="1258"/>
      <c r="U443" s="1264"/>
      <c r="V443" s="1260" t="s">
        <v>7235</v>
      </c>
      <c r="W443" s="1260" t="s">
        <v>7236</v>
      </c>
      <c r="X443" s="1260" t="s">
        <v>6958</v>
      </c>
      <c r="Y443" s="1260" t="s">
        <v>5894</v>
      </c>
      <c r="Z443" s="1261" t="s">
        <v>7237</v>
      </c>
    </row>
    <row r="444" spans="2:26" ht="12.75" customHeight="1" x14ac:dyDescent="0.2">
      <c r="B444" s="2465" t="str">
        <f t="shared" si="6"/>
        <v>Libre acceso40</v>
      </c>
      <c r="C444" s="1262"/>
      <c r="D444" s="1268" t="s">
        <v>866</v>
      </c>
      <c r="E444" s="1258" t="s">
        <v>826</v>
      </c>
      <c r="F444" s="1258">
        <v>40</v>
      </c>
      <c r="G444" s="1269" t="s">
        <v>2234</v>
      </c>
      <c r="H444" s="1269" t="s">
        <v>1763</v>
      </c>
      <c r="I444" s="1270" t="s">
        <v>1918</v>
      </c>
      <c r="J444" s="1258">
        <v>7</v>
      </c>
      <c r="K444" s="1258">
        <v>10</v>
      </c>
      <c r="L444" s="1258">
        <v>12</v>
      </c>
      <c r="M444" s="1264">
        <v>14</v>
      </c>
      <c r="N444" s="1258">
        <v>80</v>
      </c>
      <c r="O444" s="1258">
        <v>160</v>
      </c>
      <c r="P444" s="1258">
        <v>200</v>
      </c>
      <c r="Q444" s="1264">
        <v>240</v>
      </c>
      <c r="R444" s="1258">
        <v>5</v>
      </c>
      <c r="S444" s="1258">
        <v>10</v>
      </c>
      <c r="T444" s="1258">
        <v>10</v>
      </c>
      <c r="U444" s="1264">
        <v>15</v>
      </c>
      <c r="V444" s="1260" t="s">
        <v>5653</v>
      </c>
      <c r="W444" s="1260" t="s">
        <v>5655</v>
      </c>
      <c r="X444" s="1260" t="s">
        <v>5781</v>
      </c>
      <c r="Y444" s="1260" t="s">
        <v>5482</v>
      </c>
      <c r="Z444" s="1261" t="s">
        <v>7238</v>
      </c>
    </row>
    <row r="445" spans="2:26" ht="12.75" customHeight="1" x14ac:dyDescent="0.2">
      <c r="B445" s="2465" t="str">
        <f t="shared" si="6"/>
        <v>Libre acceso40</v>
      </c>
      <c r="C445" s="1262"/>
      <c r="D445" s="1268" t="s">
        <v>9692</v>
      </c>
      <c r="E445" s="1258" t="s">
        <v>826</v>
      </c>
      <c r="F445" s="1258">
        <v>40</v>
      </c>
      <c r="G445" s="1269" t="s">
        <v>3090</v>
      </c>
      <c r="H445" s="1269" t="s">
        <v>6219</v>
      </c>
      <c r="I445" s="1270" t="s">
        <v>1918</v>
      </c>
      <c r="J445" s="1258">
        <v>6</v>
      </c>
      <c r="K445" s="1258">
        <v>9</v>
      </c>
      <c r="L445" s="1258">
        <v>11</v>
      </c>
      <c r="M445" s="1264">
        <v>14</v>
      </c>
      <c r="N445" s="1258">
        <v>50</v>
      </c>
      <c r="O445" s="1258">
        <v>100</v>
      </c>
      <c r="P445" s="1258">
        <v>150</v>
      </c>
      <c r="Q445" s="1264">
        <v>200</v>
      </c>
      <c r="R445" s="1258">
        <v>5</v>
      </c>
      <c r="S445" s="1258">
        <v>10</v>
      </c>
      <c r="T445" s="1258">
        <v>15</v>
      </c>
      <c r="U445" s="1264">
        <v>15</v>
      </c>
      <c r="V445" s="1260" t="s">
        <v>5709</v>
      </c>
      <c r="W445" s="1260" t="s">
        <v>5584</v>
      </c>
      <c r="X445" s="1260" t="s">
        <v>5585</v>
      </c>
      <c r="Y445" s="1260" t="s">
        <v>5586</v>
      </c>
      <c r="Z445" s="1261" t="s">
        <v>7239</v>
      </c>
    </row>
    <row r="446" spans="2:26" ht="12.75" customHeight="1" x14ac:dyDescent="0.2">
      <c r="B446" s="2465" t="str">
        <f t="shared" si="6"/>
        <v>Libre acceso40</v>
      </c>
      <c r="C446" s="1262"/>
      <c r="D446" s="1268" t="s">
        <v>380</v>
      </c>
      <c r="E446" s="1258" t="s">
        <v>826</v>
      </c>
      <c r="F446" s="1258">
        <v>40</v>
      </c>
      <c r="G446" s="1269" t="s">
        <v>2234</v>
      </c>
      <c r="H446" s="1269" t="s">
        <v>1765</v>
      </c>
      <c r="I446" s="1270" t="s">
        <v>1918</v>
      </c>
      <c r="J446" s="1258">
        <v>7</v>
      </c>
      <c r="K446" s="1258">
        <v>10</v>
      </c>
      <c r="L446" s="1258">
        <v>13</v>
      </c>
      <c r="M446" s="1264">
        <v>16</v>
      </c>
      <c r="N446" s="1258">
        <v>60</v>
      </c>
      <c r="O446" s="1258">
        <v>90</v>
      </c>
      <c r="P446" s="1258">
        <v>120</v>
      </c>
      <c r="Q446" s="1264">
        <v>150</v>
      </c>
      <c r="R446" s="1258">
        <v>5</v>
      </c>
      <c r="S446" s="1258">
        <v>5</v>
      </c>
      <c r="T446" s="1258">
        <v>10</v>
      </c>
      <c r="U446" s="1264">
        <v>10</v>
      </c>
      <c r="V446" s="1260" t="s">
        <v>7240</v>
      </c>
      <c r="W446" s="1260" t="s">
        <v>7241</v>
      </c>
      <c r="X446" s="1260" t="s">
        <v>7242</v>
      </c>
      <c r="Y446" s="1260" t="s">
        <v>7243</v>
      </c>
      <c r="Z446" s="1261" t="s">
        <v>7244</v>
      </c>
    </row>
    <row r="447" spans="2:26" ht="12.75" customHeight="1" x14ac:dyDescent="0.2">
      <c r="B447" s="2465" t="str">
        <f t="shared" si="6"/>
        <v>Libre acceso40</v>
      </c>
      <c r="C447" s="1262"/>
      <c r="D447" s="1268" t="s">
        <v>868</v>
      </c>
      <c r="E447" s="1258" t="s">
        <v>826</v>
      </c>
      <c r="F447" s="1258">
        <v>40</v>
      </c>
      <c r="G447" s="1269" t="s">
        <v>2234</v>
      </c>
      <c r="H447" s="1269" t="s">
        <v>6219</v>
      </c>
      <c r="I447" s="1270" t="s">
        <v>1918</v>
      </c>
      <c r="J447" s="1258">
        <v>7</v>
      </c>
      <c r="K447" s="1258">
        <v>10</v>
      </c>
      <c r="L447" s="1258">
        <v>12</v>
      </c>
      <c r="M447" s="1264">
        <v>14</v>
      </c>
      <c r="N447" s="1258">
        <v>80</v>
      </c>
      <c r="O447" s="1258">
        <v>100</v>
      </c>
      <c r="P447" s="1258">
        <v>140</v>
      </c>
      <c r="Q447" s="1264">
        <v>180</v>
      </c>
      <c r="R447" s="1258">
        <v>10</v>
      </c>
      <c r="S447" s="1258">
        <v>10</v>
      </c>
      <c r="T447" s="1258">
        <v>15</v>
      </c>
      <c r="U447" s="1264">
        <v>20</v>
      </c>
      <c r="V447" s="1260" t="s">
        <v>7245</v>
      </c>
      <c r="W447" s="1260" t="s">
        <v>7246</v>
      </c>
      <c r="X447" s="1260" t="s">
        <v>7247</v>
      </c>
      <c r="Y447" s="1260" t="s">
        <v>7248</v>
      </c>
      <c r="Z447" s="1261" t="s">
        <v>7249</v>
      </c>
    </row>
    <row r="448" spans="2:26" ht="12.75" customHeight="1" x14ac:dyDescent="0.2">
      <c r="B448" s="2465" t="str">
        <f t="shared" si="6"/>
        <v>Libre acceso40</v>
      </c>
      <c r="C448" s="1262"/>
      <c r="D448" s="1268" t="s">
        <v>869</v>
      </c>
      <c r="E448" s="1258" t="s">
        <v>826</v>
      </c>
      <c r="F448" s="1258">
        <v>40</v>
      </c>
      <c r="G448" s="1269" t="s">
        <v>3090</v>
      </c>
      <c r="H448" s="1269" t="s">
        <v>7250</v>
      </c>
      <c r="I448" s="1270" t="s">
        <v>1918</v>
      </c>
      <c r="J448" s="1258">
        <v>7</v>
      </c>
      <c r="K448" s="1258">
        <v>10</v>
      </c>
      <c r="L448" s="1258">
        <v>12</v>
      </c>
      <c r="M448" s="1264">
        <v>14</v>
      </c>
      <c r="N448" s="1258">
        <v>80</v>
      </c>
      <c r="O448" s="1258">
        <v>100</v>
      </c>
      <c r="P448" s="1258">
        <v>120</v>
      </c>
      <c r="Q448" s="1264">
        <v>140</v>
      </c>
      <c r="R448" s="1258">
        <v>10</v>
      </c>
      <c r="S448" s="1258">
        <v>10</v>
      </c>
      <c r="T448" s="1258">
        <v>15</v>
      </c>
      <c r="U448" s="1264">
        <v>15</v>
      </c>
      <c r="V448" s="1260" t="s">
        <v>5753</v>
      </c>
      <c r="W448" s="1260" t="s">
        <v>7251</v>
      </c>
      <c r="X448" s="1260" t="s">
        <v>5709</v>
      </c>
      <c r="Y448" s="1260" t="s">
        <v>7011</v>
      </c>
      <c r="Z448" s="1261" t="s">
        <v>7252</v>
      </c>
    </row>
    <row r="449" spans="2:26" ht="12.75" customHeight="1" x14ac:dyDescent="0.2">
      <c r="B449" s="2465" t="str">
        <f t="shared" si="6"/>
        <v/>
      </c>
      <c r="C449" s="1262"/>
      <c r="D449" s="1268" t="s">
        <v>7253</v>
      </c>
      <c r="E449" s="1258"/>
      <c r="F449" s="1258"/>
      <c r="G449" s="1269"/>
      <c r="H449" s="1269"/>
      <c r="I449" s="1270"/>
      <c r="J449" s="1258"/>
      <c r="K449" s="1258"/>
      <c r="L449" s="1258"/>
      <c r="M449" s="1264"/>
      <c r="N449" s="1258"/>
      <c r="O449" s="1258"/>
      <c r="P449" s="1258"/>
      <c r="Q449" s="1264"/>
      <c r="R449" s="1258"/>
      <c r="S449" s="1258"/>
      <c r="T449" s="1258"/>
      <c r="U449" s="1264"/>
      <c r="V449" s="1260"/>
      <c r="W449" s="1260"/>
      <c r="X449" s="1260"/>
      <c r="Y449" s="1260"/>
      <c r="Z449" s="1261"/>
    </row>
    <row r="450" spans="2:26" ht="12.75" customHeight="1" x14ac:dyDescent="0.2">
      <c r="B450" s="2465" t="str">
        <f t="shared" si="6"/>
        <v>Libre acceso50</v>
      </c>
      <c r="C450" s="1262"/>
      <c r="D450" s="1268" t="s">
        <v>871</v>
      </c>
      <c r="E450" s="1258" t="s">
        <v>826</v>
      </c>
      <c r="F450" s="1258">
        <v>50</v>
      </c>
      <c r="G450" s="1269" t="s">
        <v>2234</v>
      </c>
      <c r="H450" s="1269" t="s">
        <v>1763</v>
      </c>
      <c r="I450" s="1270" t="s">
        <v>1918</v>
      </c>
      <c r="J450" s="1258">
        <v>6</v>
      </c>
      <c r="K450" s="1258">
        <v>9</v>
      </c>
      <c r="L450" s="1258">
        <v>12</v>
      </c>
      <c r="M450" s="1264">
        <v>15</v>
      </c>
      <c r="N450" s="1258">
        <v>60</v>
      </c>
      <c r="O450" s="1258">
        <v>90</v>
      </c>
      <c r="P450" s="1258">
        <v>120</v>
      </c>
      <c r="Q450" s="1264">
        <v>150</v>
      </c>
      <c r="R450" s="1258"/>
      <c r="S450" s="1258"/>
      <c r="T450" s="1258"/>
      <c r="U450" s="1264"/>
      <c r="V450" s="1260" t="s">
        <v>7216</v>
      </c>
      <c r="W450" s="1260" t="s">
        <v>7254</v>
      </c>
      <c r="X450" s="1260" t="s">
        <v>7255</v>
      </c>
      <c r="Y450" s="1260" t="s">
        <v>7256</v>
      </c>
      <c r="Z450" s="1261" t="s">
        <v>7257</v>
      </c>
    </row>
    <row r="451" spans="2:26" ht="12.75" customHeight="1" x14ac:dyDescent="0.2">
      <c r="B451" s="2465" t="str">
        <f t="shared" si="6"/>
        <v>Libre acceso50</v>
      </c>
      <c r="C451" s="1262"/>
      <c r="D451" s="2564" t="s">
        <v>9777</v>
      </c>
      <c r="E451" s="1258" t="s">
        <v>826</v>
      </c>
      <c r="F451" s="1258">
        <v>50</v>
      </c>
      <c r="G451" s="1269" t="s">
        <v>2234</v>
      </c>
      <c r="H451" s="1269" t="s">
        <v>1764</v>
      </c>
      <c r="I451" s="1270" t="s">
        <v>1918</v>
      </c>
      <c r="J451" s="1258">
        <v>8</v>
      </c>
      <c r="K451" s="1258">
        <v>10</v>
      </c>
      <c r="L451" s="1258">
        <v>12</v>
      </c>
      <c r="M451" s="1264">
        <v>15</v>
      </c>
      <c r="N451" s="1258">
        <v>120</v>
      </c>
      <c r="O451" s="1258">
        <v>180</v>
      </c>
      <c r="P451" s="1258">
        <v>240</v>
      </c>
      <c r="Q451" s="1264">
        <v>300</v>
      </c>
      <c r="R451" s="1258"/>
      <c r="S451" s="1258"/>
      <c r="T451" s="1258"/>
      <c r="U451" s="1264" t="s">
        <v>5702</v>
      </c>
      <c r="V451" s="1260" t="s">
        <v>9693</v>
      </c>
      <c r="W451" s="1260" t="s">
        <v>9694</v>
      </c>
      <c r="X451" s="1260" t="s">
        <v>9695</v>
      </c>
      <c r="Y451" s="1260" t="s">
        <v>9696</v>
      </c>
      <c r="Z451" s="1261" t="s">
        <v>7258</v>
      </c>
    </row>
    <row r="452" spans="2:26" ht="12.75" customHeight="1" x14ac:dyDescent="0.2">
      <c r="B452" s="2465" t="str">
        <f t="shared" si="6"/>
        <v>Libre acceso50</v>
      </c>
      <c r="C452" s="1262"/>
      <c r="D452" s="1268" t="s">
        <v>873</v>
      </c>
      <c r="E452" s="1258" t="s">
        <v>826</v>
      </c>
      <c r="F452" s="1258">
        <v>50</v>
      </c>
      <c r="G452" s="1269" t="s">
        <v>3090</v>
      </c>
      <c r="H452" s="1269" t="s">
        <v>6219</v>
      </c>
      <c r="I452" s="1270" t="s">
        <v>1918</v>
      </c>
      <c r="J452" s="1258">
        <v>8</v>
      </c>
      <c r="K452" s="1258">
        <v>10</v>
      </c>
      <c r="L452" s="1258">
        <v>13</v>
      </c>
      <c r="M452" s="1264">
        <v>16</v>
      </c>
      <c r="N452" s="1258">
        <v>200</v>
      </c>
      <c r="O452" s="1258">
        <v>350</v>
      </c>
      <c r="P452" s="1258">
        <v>500</v>
      </c>
      <c r="Q452" s="1264">
        <v>700</v>
      </c>
      <c r="R452" s="1258">
        <v>10</v>
      </c>
      <c r="S452" s="1258">
        <v>20</v>
      </c>
      <c r="T452" s="1258">
        <v>25</v>
      </c>
      <c r="U452" s="1264">
        <v>35</v>
      </c>
      <c r="V452" s="1260" t="s">
        <v>7259</v>
      </c>
      <c r="W452" s="1260" t="s">
        <v>7260</v>
      </c>
      <c r="X452" s="1260" t="s">
        <v>7261</v>
      </c>
      <c r="Y452" s="1260" t="s">
        <v>7262</v>
      </c>
      <c r="Z452" s="1261" t="s">
        <v>7263</v>
      </c>
    </row>
    <row r="453" spans="2:26" ht="12.75" customHeight="1" x14ac:dyDescent="0.2">
      <c r="B453" s="2465" t="str">
        <f t="shared" si="6"/>
        <v>Libre acceso50</v>
      </c>
      <c r="C453" s="1262"/>
      <c r="D453" s="1268" t="s">
        <v>874</v>
      </c>
      <c r="E453" s="1258" t="s">
        <v>826</v>
      </c>
      <c r="F453" s="1258">
        <v>50</v>
      </c>
      <c r="G453" s="1269" t="s">
        <v>2234</v>
      </c>
      <c r="H453" s="1269" t="s">
        <v>1764</v>
      </c>
      <c r="I453" s="1270" t="s">
        <v>1918</v>
      </c>
      <c r="J453" s="1258">
        <v>6</v>
      </c>
      <c r="K453" s="1258">
        <v>9</v>
      </c>
      <c r="L453" s="1258">
        <v>12</v>
      </c>
      <c r="M453" s="1264">
        <v>15</v>
      </c>
      <c r="N453" s="1258">
        <v>60</v>
      </c>
      <c r="O453" s="1258">
        <v>90</v>
      </c>
      <c r="P453" s="1258">
        <v>120</v>
      </c>
      <c r="Q453" s="1264">
        <v>150</v>
      </c>
      <c r="R453" s="1258">
        <v>5</v>
      </c>
      <c r="S453" s="1258">
        <v>5</v>
      </c>
      <c r="T453" s="1258">
        <v>10</v>
      </c>
      <c r="U453" s="1264">
        <v>10</v>
      </c>
      <c r="V453" s="1260" t="s">
        <v>7264</v>
      </c>
      <c r="W453" s="1260" t="s">
        <v>7265</v>
      </c>
      <c r="X453" s="1260" t="s">
        <v>7266</v>
      </c>
      <c r="Y453" s="1260" t="s">
        <v>7267</v>
      </c>
      <c r="Z453" s="1261" t="s">
        <v>7268</v>
      </c>
    </row>
    <row r="454" spans="2:26" ht="12.75" customHeight="1" x14ac:dyDescent="0.2">
      <c r="B454" s="2465" t="str">
        <f t="shared" si="6"/>
        <v>Libre acceso50</v>
      </c>
      <c r="C454" s="1262"/>
      <c r="D454" s="1268" t="s">
        <v>875</v>
      </c>
      <c r="E454" s="1258" t="s">
        <v>826</v>
      </c>
      <c r="F454" s="1258">
        <v>50</v>
      </c>
      <c r="G454" s="1269" t="s">
        <v>2234</v>
      </c>
      <c r="H454" s="1269" t="s">
        <v>1763</v>
      </c>
      <c r="I454" s="1270" t="s">
        <v>1918</v>
      </c>
      <c r="J454" s="1258">
        <v>8</v>
      </c>
      <c r="K454" s="1258">
        <v>10</v>
      </c>
      <c r="L454" s="1258">
        <v>12</v>
      </c>
      <c r="M454" s="1264">
        <v>15</v>
      </c>
      <c r="N454" s="1258">
        <v>100</v>
      </c>
      <c r="O454" s="1258">
        <v>140</v>
      </c>
      <c r="P454" s="1258">
        <v>180</v>
      </c>
      <c r="Q454" s="1264">
        <v>240</v>
      </c>
      <c r="R454" s="1258"/>
      <c r="S454" s="1258"/>
      <c r="T454" s="1258"/>
      <c r="U454" s="1264" t="s">
        <v>5702</v>
      </c>
      <c r="V454" s="1260" t="s">
        <v>7269</v>
      </c>
      <c r="W454" s="1260" t="s">
        <v>7270</v>
      </c>
      <c r="X454" s="1260" t="s">
        <v>7271</v>
      </c>
      <c r="Y454" s="1260" t="s">
        <v>7272</v>
      </c>
      <c r="Z454" s="1261" t="s">
        <v>7273</v>
      </c>
    </row>
    <row r="455" spans="2:26" ht="12.75" customHeight="1" x14ac:dyDescent="0.2">
      <c r="B455" s="2465" t="str">
        <f t="shared" si="6"/>
        <v>Libre acceso50</v>
      </c>
      <c r="C455" s="1262"/>
      <c r="D455" s="1268" t="s">
        <v>876</v>
      </c>
      <c r="E455" s="1258" t="s">
        <v>826</v>
      </c>
      <c r="F455" s="1258">
        <v>50</v>
      </c>
      <c r="G455" s="1269" t="s">
        <v>2234</v>
      </c>
      <c r="H455" s="1269" t="s">
        <v>1762</v>
      </c>
      <c r="I455" s="1270" t="s">
        <v>1918</v>
      </c>
      <c r="J455" s="1258">
        <v>8</v>
      </c>
      <c r="K455" s="1258">
        <v>10</v>
      </c>
      <c r="L455" s="1258">
        <v>12</v>
      </c>
      <c r="M455" s="1264">
        <v>15</v>
      </c>
      <c r="N455" s="1258">
        <v>60</v>
      </c>
      <c r="O455" s="1258">
        <v>100</v>
      </c>
      <c r="P455" s="1258">
        <v>140</v>
      </c>
      <c r="Q455" s="1264">
        <v>200</v>
      </c>
      <c r="R455" s="1258"/>
      <c r="S455" s="1258"/>
      <c r="T455" s="1258"/>
      <c r="U455" s="1264"/>
      <c r="V455" s="1260" t="s">
        <v>7274</v>
      </c>
      <c r="W455" s="1260" t="s">
        <v>7275</v>
      </c>
      <c r="X455" s="1260" t="s">
        <v>7276</v>
      </c>
      <c r="Y455" s="1260" t="s">
        <v>7277</v>
      </c>
      <c r="Z455" s="1261" t="s">
        <v>7278</v>
      </c>
    </row>
    <row r="456" spans="2:26" ht="12.75" customHeight="1" x14ac:dyDescent="0.2">
      <c r="B456" s="2465" t="str">
        <f t="shared" ref="B456:B519" si="7">E456&amp;F456</f>
        <v>Libre acceso50</v>
      </c>
      <c r="C456" s="1262"/>
      <c r="D456" s="1268" t="s">
        <v>877</v>
      </c>
      <c r="E456" s="1258" t="s">
        <v>826</v>
      </c>
      <c r="F456" s="1258">
        <v>50</v>
      </c>
      <c r="G456" s="1269" t="s">
        <v>2234</v>
      </c>
      <c r="H456" s="1269" t="s">
        <v>1764</v>
      </c>
      <c r="I456" s="1270" t="s">
        <v>1918</v>
      </c>
      <c r="J456" s="1258">
        <v>8</v>
      </c>
      <c r="K456" s="1258">
        <v>10</v>
      </c>
      <c r="L456" s="1258">
        <v>12</v>
      </c>
      <c r="M456" s="1264">
        <v>14</v>
      </c>
      <c r="N456" s="1258">
        <v>150</v>
      </c>
      <c r="O456" s="1258">
        <v>200</v>
      </c>
      <c r="P456" s="1258">
        <v>240</v>
      </c>
      <c r="Q456" s="1264">
        <v>280</v>
      </c>
      <c r="R456" s="1258">
        <v>10</v>
      </c>
      <c r="S456" s="1258">
        <v>10</v>
      </c>
      <c r="T456" s="1258">
        <v>15</v>
      </c>
      <c r="U456" s="1264">
        <v>15</v>
      </c>
      <c r="V456" s="1260" t="s">
        <v>7279</v>
      </c>
      <c r="W456" s="1260" t="s">
        <v>7280</v>
      </c>
      <c r="X456" s="1260" t="s">
        <v>7281</v>
      </c>
      <c r="Y456" s="1260" t="s">
        <v>7282</v>
      </c>
      <c r="Z456" s="1261" t="s">
        <v>7283</v>
      </c>
    </row>
    <row r="457" spans="2:26" ht="12.75" customHeight="1" x14ac:dyDescent="0.2">
      <c r="B457" s="2465" t="str">
        <f t="shared" si="7"/>
        <v>Libre acceso50</v>
      </c>
      <c r="C457" s="1262"/>
      <c r="D457" s="1268" t="s">
        <v>878</v>
      </c>
      <c r="E457" s="1258" t="s">
        <v>826</v>
      </c>
      <c r="F457" s="1258">
        <v>50</v>
      </c>
      <c r="G457" s="1269" t="s">
        <v>2234</v>
      </c>
      <c r="H457" s="1269" t="s">
        <v>1762</v>
      </c>
      <c r="I457" s="1270" t="s">
        <v>1918</v>
      </c>
      <c r="J457" s="1258">
        <v>8</v>
      </c>
      <c r="K457" s="1258">
        <v>10</v>
      </c>
      <c r="L457" s="1258">
        <v>12</v>
      </c>
      <c r="M457" s="1264">
        <v>15</v>
      </c>
      <c r="N457" s="1258">
        <v>100</v>
      </c>
      <c r="O457" s="1258">
        <v>160</v>
      </c>
      <c r="P457" s="1258">
        <v>200</v>
      </c>
      <c r="Q457" s="1264">
        <v>240</v>
      </c>
      <c r="R457" s="1258">
        <v>10</v>
      </c>
      <c r="S457" s="1258">
        <v>20</v>
      </c>
      <c r="T457" s="1258">
        <v>20</v>
      </c>
      <c r="U457" s="1264">
        <v>25</v>
      </c>
      <c r="V457" s="1260" t="s">
        <v>7284</v>
      </c>
      <c r="W457" s="1260" t="s">
        <v>5725</v>
      </c>
      <c r="X457" s="1260" t="s">
        <v>6891</v>
      </c>
      <c r="Y457" s="1260" t="s">
        <v>6892</v>
      </c>
      <c r="Z457" s="1261" t="s">
        <v>7285</v>
      </c>
    </row>
    <row r="458" spans="2:26" ht="12.75" customHeight="1" x14ac:dyDescent="0.2">
      <c r="B458" s="2465" t="str">
        <f t="shared" si="7"/>
        <v>Libre acceso50</v>
      </c>
      <c r="C458" s="1262"/>
      <c r="D458" s="1268" t="s">
        <v>879</v>
      </c>
      <c r="E458" s="1258" t="s">
        <v>826</v>
      </c>
      <c r="F458" s="1258">
        <v>50</v>
      </c>
      <c r="G458" s="1269" t="s">
        <v>2234</v>
      </c>
      <c r="H458" s="1269" t="s">
        <v>1762</v>
      </c>
      <c r="I458" s="1270" t="s">
        <v>1918</v>
      </c>
      <c r="J458" s="1258">
        <v>8</v>
      </c>
      <c r="K458" s="1258">
        <v>10</v>
      </c>
      <c r="L458" s="1258">
        <v>12</v>
      </c>
      <c r="M458" s="1264">
        <v>15</v>
      </c>
      <c r="N458" s="1258">
        <v>60</v>
      </c>
      <c r="O458" s="1258">
        <v>90</v>
      </c>
      <c r="P458" s="1258">
        <v>120</v>
      </c>
      <c r="Q458" s="1264">
        <v>150</v>
      </c>
      <c r="R458" s="1258">
        <v>10</v>
      </c>
      <c r="S458" s="1258">
        <v>10</v>
      </c>
      <c r="T458" s="1258">
        <v>15</v>
      </c>
      <c r="U458" s="1264">
        <v>15</v>
      </c>
      <c r="V458" s="1260" t="s">
        <v>7286</v>
      </c>
      <c r="W458" s="1260" t="s">
        <v>7287</v>
      </c>
      <c r="X458" s="1260" t="s">
        <v>7288</v>
      </c>
      <c r="Y458" s="1260" t="s">
        <v>7289</v>
      </c>
      <c r="Z458" s="1261" t="s">
        <v>7290</v>
      </c>
    </row>
    <row r="459" spans="2:26" ht="12.75" customHeight="1" x14ac:dyDescent="0.2">
      <c r="B459" s="2465" t="str">
        <f t="shared" si="7"/>
        <v>Libre acceso50</v>
      </c>
      <c r="C459" s="1262"/>
      <c r="D459" s="1268" t="s">
        <v>880</v>
      </c>
      <c r="E459" s="1258" t="s">
        <v>826</v>
      </c>
      <c r="F459" s="1258">
        <v>50</v>
      </c>
      <c r="G459" s="1269" t="s">
        <v>3090</v>
      </c>
      <c r="H459" s="1269" t="s">
        <v>1762</v>
      </c>
      <c r="I459" s="1270" t="s">
        <v>1918</v>
      </c>
      <c r="J459" s="1258">
        <v>8</v>
      </c>
      <c r="K459" s="1258">
        <v>10</v>
      </c>
      <c r="L459" s="1258">
        <v>12</v>
      </c>
      <c r="M459" s="1264">
        <v>14</v>
      </c>
      <c r="N459" s="1258">
        <v>80</v>
      </c>
      <c r="O459" s="1258">
        <v>120</v>
      </c>
      <c r="P459" s="1258">
        <v>180</v>
      </c>
      <c r="Q459" s="1264">
        <v>220</v>
      </c>
      <c r="R459" s="1258">
        <v>10</v>
      </c>
      <c r="S459" s="1258">
        <v>15</v>
      </c>
      <c r="T459" s="1258">
        <v>20</v>
      </c>
      <c r="U459" s="1264">
        <v>25</v>
      </c>
      <c r="V459" s="1260" t="s">
        <v>5725</v>
      </c>
      <c r="W459" s="1260" t="s">
        <v>6891</v>
      </c>
      <c r="X459" s="1260" t="s">
        <v>7291</v>
      </c>
      <c r="Y459" s="1260" t="s">
        <v>6892</v>
      </c>
      <c r="Z459" s="1261" t="s">
        <v>7292</v>
      </c>
    </row>
    <row r="460" spans="2:26" ht="12.75" customHeight="1" x14ac:dyDescent="0.2">
      <c r="B460" s="2465" t="str">
        <f t="shared" si="7"/>
        <v>Libre acceso50</v>
      </c>
      <c r="C460" s="1262"/>
      <c r="D460" s="1268" t="s">
        <v>881</v>
      </c>
      <c r="E460" s="1258" t="s">
        <v>826</v>
      </c>
      <c r="F460" s="1258">
        <v>50</v>
      </c>
      <c r="G460" s="1269" t="s">
        <v>2234</v>
      </c>
      <c r="H460" s="1269" t="s">
        <v>1763</v>
      </c>
      <c r="I460" s="1270" t="s">
        <v>1918</v>
      </c>
      <c r="J460" s="1258">
        <v>8</v>
      </c>
      <c r="K460" s="1258">
        <v>10</v>
      </c>
      <c r="L460" s="1258">
        <v>12</v>
      </c>
      <c r="M460" s="1264">
        <v>16</v>
      </c>
      <c r="N460" s="1258">
        <v>80</v>
      </c>
      <c r="O460" s="1258">
        <v>180</v>
      </c>
      <c r="P460" s="1258">
        <v>320</v>
      </c>
      <c r="Q460" s="1264">
        <v>500</v>
      </c>
      <c r="R460" s="1258"/>
      <c r="S460" s="1258"/>
      <c r="T460" s="1258"/>
      <c r="U460" s="1264" t="s">
        <v>5702</v>
      </c>
      <c r="V460" s="1260" t="s">
        <v>7293</v>
      </c>
      <c r="W460" s="1260" t="s">
        <v>7294</v>
      </c>
      <c r="X460" s="1260" t="s">
        <v>7295</v>
      </c>
      <c r="Y460" s="1260" t="s">
        <v>7296</v>
      </c>
      <c r="Z460" s="1261" t="s">
        <v>7297</v>
      </c>
    </row>
    <row r="461" spans="2:26" ht="12.75" customHeight="1" x14ac:dyDescent="0.2">
      <c r="B461" s="2465" t="str">
        <f t="shared" si="7"/>
        <v>Libre acceso50</v>
      </c>
      <c r="C461" s="1262"/>
      <c r="D461" s="1268" t="s">
        <v>882</v>
      </c>
      <c r="E461" s="1258" t="s">
        <v>826</v>
      </c>
      <c r="F461" s="1258">
        <v>50</v>
      </c>
      <c r="G461" s="1269" t="s">
        <v>3090</v>
      </c>
      <c r="H461" s="1269" t="s">
        <v>1762</v>
      </c>
      <c r="I461" s="1270" t="s">
        <v>1918</v>
      </c>
      <c r="J461" s="1258">
        <v>8</v>
      </c>
      <c r="K461" s="1258">
        <v>10</v>
      </c>
      <c r="L461" s="1258">
        <v>12</v>
      </c>
      <c r="M461" s="1264">
        <v>14</v>
      </c>
      <c r="N461" s="1258">
        <v>100</v>
      </c>
      <c r="O461" s="1258">
        <v>160</v>
      </c>
      <c r="P461" s="1258">
        <v>200</v>
      </c>
      <c r="Q461" s="1264">
        <v>240</v>
      </c>
      <c r="R461" s="1258">
        <v>10</v>
      </c>
      <c r="S461" s="1258">
        <v>20</v>
      </c>
      <c r="T461" s="1258">
        <v>20</v>
      </c>
      <c r="U461" s="1264">
        <v>25</v>
      </c>
      <c r="V461" s="1260" t="s">
        <v>7298</v>
      </c>
      <c r="W461" s="1260" t="s">
        <v>7299</v>
      </c>
      <c r="X461" s="1260" t="s">
        <v>7300</v>
      </c>
      <c r="Y461" s="1260" t="s">
        <v>7301</v>
      </c>
      <c r="Z461" s="1261" t="s">
        <v>7302</v>
      </c>
    </row>
    <row r="462" spans="2:26" ht="12.75" customHeight="1" x14ac:dyDescent="0.2">
      <c r="B462" s="2465" t="str">
        <f t="shared" si="7"/>
        <v/>
      </c>
      <c r="C462" s="1262"/>
      <c r="D462" s="1268" t="s">
        <v>7303</v>
      </c>
      <c r="E462" s="1258"/>
      <c r="F462" s="1258"/>
      <c r="G462" s="1269"/>
      <c r="H462" s="1269"/>
      <c r="I462" s="1270"/>
      <c r="J462" s="1258"/>
      <c r="K462" s="1258"/>
      <c r="L462" s="1258"/>
      <c r="M462" s="1264"/>
      <c r="N462" s="1258"/>
      <c r="O462" s="1258"/>
      <c r="P462" s="1258"/>
      <c r="Q462" s="1264"/>
      <c r="R462" s="1258"/>
      <c r="S462" s="1258"/>
      <c r="T462" s="1258"/>
      <c r="U462" s="1264"/>
      <c r="V462" s="1260"/>
      <c r="W462" s="1260"/>
      <c r="X462" s="1260"/>
      <c r="Y462" s="1260"/>
      <c r="Z462" s="1261"/>
    </row>
    <row r="463" spans="2:26" ht="12.75" customHeight="1" x14ac:dyDescent="0.2">
      <c r="B463" s="2465" t="str">
        <f t="shared" si="7"/>
        <v>Libre acceso60</v>
      </c>
      <c r="C463" s="1262"/>
      <c r="D463" s="1268" t="s">
        <v>884</v>
      </c>
      <c r="E463" s="1258" t="s">
        <v>826</v>
      </c>
      <c r="F463" s="1258">
        <v>60</v>
      </c>
      <c r="G463" s="1269" t="s">
        <v>3090</v>
      </c>
      <c r="H463" s="1269" t="s">
        <v>6219</v>
      </c>
      <c r="I463" s="1270" t="s">
        <v>1918</v>
      </c>
      <c r="J463" s="1258">
        <v>8</v>
      </c>
      <c r="K463" s="1258">
        <v>10</v>
      </c>
      <c r="L463" s="1258">
        <v>12</v>
      </c>
      <c r="M463" s="1264">
        <v>14</v>
      </c>
      <c r="N463" s="1258">
        <v>80</v>
      </c>
      <c r="O463" s="1258">
        <v>120</v>
      </c>
      <c r="P463" s="1258">
        <v>160</v>
      </c>
      <c r="Q463" s="1264">
        <v>200</v>
      </c>
      <c r="R463" s="1258">
        <v>10</v>
      </c>
      <c r="S463" s="1258">
        <v>10</v>
      </c>
      <c r="T463" s="1258">
        <v>15</v>
      </c>
      <c r="U463" s="1264">
        <v>15</v>
      </c>
      <c r="V463" s="1260" t="s">
        <v>7304</v>
      </c>
      <c r="W463" s="1260" t="s">
        <v>7305</v>
      </c>
      <c r="X463" s="1260" t="s">
        <v>5536</v>
      </c>
      <c r="Y463" s="1260" t="s">
        <v>5537</v>
      </c>
      <c r="Z463" s="1261" t="s">
        <v>9697</v>
      </c>
    </row>
    <row r="464" spans="2:26" ht="12.75" customHeight="1" x14ac:dyDescent="0.2">
      <c r="B464" s="2465" t="str">
        <f t="shared" si="7"/>
        <v>Libre acceso60</v>
      </c>
      <c r="C464" s="1262"/>
      <c r="D464" s="1268" t="s">
        <v>885</v>
      </c>
      <c r="E464" s="1258" t="s">
        <v>826</v>
      </c>
      <c r="F464" s="1258">
        <v>60</v>
      </c>
      <c r="G464" s="1269" t="s">
        <v>2234</v>
      </c>
      <c r="H464" s="1269" t="s">
        <v>6219</v>
      </c>
      <c r="I464" s="1270" t="s">
        <v>1918</v>
      </c>
      <c r="J464" s="1258">
        <v>8</v>
      </c>
      <c r="K464" s="1258">
        <v>10</v>
      </c>
      <c r="L464" s="1258">
        <v>13</v>
      </c>
      <c r="M464" s="1264">
        <v>15</v>
      </c>
      <c r="N464" s="1258">
        <v>80</v>
      </c>
      <c r="O464" s="1258">
        <v>120</v>
      </c>
      <c r="P464" s="1258">
        <v>160</v>
      </c>
      <c r="Q464" s="1264">
        <v>200</v>
      </c>
      <c r="R464" s="1258">
        <v>10</v>
      </c>
      <c r="S464" s="1258">
        <v>15</v>
      </c>
      <c r="T464" s="1258">
        <v>20</v>
      </c>
      <c r="U464" s="1264">
        <v>20</v>
      </c>
      <c r="V464" s="1260" t="s">
        <v>7306</v>
      </c>
      <c r="W464" s="1260" t="s">
        <v>7264</v>
      </c>
      <c r="X464" s="1260" t="s">
        <v>7307</v>
      </c>
      <c r="Y464" s="1260" t="s">
        <v>7308</v>
      </c>
      <c r="Z464" s="1261" t="s">
        <v>7309</v>
      </c>
    </row>
    <row r="465" spans="2:26" ht="12.75" customHeight="1" x14ac:dyDescent="0.2">
      <c r="B465" s="2465" t="str">
        <f t="shared" si="7"/>
        <v>Libre acceso60</v>
      </c>
      <c r="C465" s="1262"/>
      <c r="D465" s="1268" t="s">
        <v>886</v>
      </c>
      <c r="E465" s="1258" t="s">
        <v>826</v>
      </c>
      <c r="F465" s="1258">
        <v>60</v>
      </c>
      <c r="G465" s="1269" t="s">
        <v>2234</v>
      </c>
      <c r="H465" s="1269" t="s">
        <v>6219</v>
      </c>
      <c r="I465" s="1270" t="s">
        <v>1918</v>
      </c>
      <c r="J465" s="1258">
        <v>8</v>
      </c>
      <c r="K465" s="1258">
        <v>10</v>
      </c>
      <c r="L465" s="1258">
        <v>13</v>
      </c>
      <c r="M465" s="1264">
        <v>15</v>
      </c>
      <c r="N465" s="1258">
        <v>80</v>
      </c>
      <c r="O465" s="1258">
        <v>100</v>
      </c>
      <c r="P465" s="1258">
        <v>120</v>
      </c>
      <c r="Q465" s="1264">
        <v>140</v>
      </c>
      <c r="R465" s="1258">
        <v>5</v>
      </c>
      <c r="S465" s="1258">
        <v>5</v>
      </c>
      <c r="T465" s="1258">
        <v>10</v>
      </c>
      <c r="U465" s="1264">
        <v>10</v>
      </c>
      <c r="V465" s="1260" t="s">
        <v>7310</v>
      </c>
      <c r="W465" s="1260" t="s">
        <v>5322</v>
      </c>
      <c r="X465" s="1260" t="s">
        <v>7265</v>
      </c>
      <c r="Y465" s="1260" t="s">
        <v>7311</v>
      </c>
      <c r="Z465" s="1261" t="s">
        <v>7312</v>
      </c>
    </row>
    <row r="466" spans="2:26" ht="12.75" customHeight="1" x14ac:dyDescent="0.2">
      <c r="B466" s="2465" t="str">
        <f t="shared" si="7"/>
        <v>Libre acceso60</v>
      </c>
      <c r="C466" s="1262"/>
      <c r="D466" s="1268" t="s">
        <v>887</v>
      </c>
      <c r="E466" s="1258" t="s">
        <v>826</v>
      </c>
      <c r="F466" s="1258">
        <v>60</v>
      </c>
      <c r="G466" s="1269" t="s">
        <v>2234</v>
      </c>
      <c r="H466" s="1269" t="s">
        <v>6219</v>
      </c>
      <c r="I466" s="1270" t="s">
        <v>1918</v>
      </c>
      <c r="J466" s="1258">
        <v>8</v>
      </c>
      <c r="K466" s="1258">
        <v>10</v>
      </c>
      <c r="L466" s="1258">
        <v>12</v>
      </c>
      <c r="M466" s="1264">
        <v>14</v>
      </c>
      <c r="N466" s="1258">
        <v>80</v>
      </c>
      <c r="O466" s="1258">
        <v>100</v>
      </c>
      <c r="P466" s="1258">
        <v>120</v>
      </c>
      <c r="Q466" s="1264">
        <v>140</v>
      </c>
      <c r="R466" s="1258">
        <v>5</v>
      </c>
      <c r="S466" s="1258">
        <v>5</v>
      </c>
      <c r="T466" s="1258">
        <v>10</v>
      </c>
      <c r="U466" s="1264">
        <v>10</v>
      </c>
      <c r="V466" s="1260" t="s">
        <v>7310</v>
      </c>
      <c r="W466" s="1260" t="s">
        <v>7313</v>
      </c>
      <c r="X466" s="1260" t="s">
        <v>7314</v>
      </c>
      <c r="Y466" s="1260" t="s">
        <v>7315</v>
      </c>
      <c r="Z466" s="1261" t="s">
        <v>7316</v>
      </c>
    </row>
    <row r="467" spans="2:26" ht="12.75" customHeight="1" x14ac:dyDescent="0.2">
      <c r="B467" s="2465" t="str">
        <f t="shared" si="7"/>
        <v>Libre acceso60</v>
      </c>
      <c r="C467" s="1262"/>
      <c r="D467" s="1268" t="s">
        <v>888</v>
      </c>
      <c r="E467" s="1258" t="s">
        <v>826</v>
      </c>
      <c r="F467" s="1258">
        <v>60</v>
      </c>
      <c r="G467" s="1269" t="s">
        <v>2234</v>
      </c>
      <c r="H467" s="1269" t="s">
        <v>1763</v>
      </c>
      <c r="I467" s="1270" t="s">
        <v>1918</v>
      </c>
      <c r="J467" s="1258">
        <v>8</v>
      </c>
      <c r="K467" s="1258">
        <v>10</v>
      </c>
      <c r="L467" s="1258">
        <v>13</v>
      </c>
      <c r="M467" s="1264">
        <v>16</v>
      </c>
      <c r="N467" s="1258">
        <v>100</v>
      </c>
      <c r="O467" s="1258">
        <v>140</v>
      </c>
      <c r="P467" s="1258">
        <v>180</v>
      </c>
      <c r="Q467" s="1264">
        <v>220</v>
      </c>
      <c r="R467" s="1258"/>
      <c r="S467" s="1258"/>
      <c r="T467" s="1258"/>
      <c r="U467" s="1264"/>
      <c r="V467" s="1260" t="s">
        <v>7317</v>
      </c>
      <c r="W467" s="1260" t="s">
        <v>7318</v>
      </c>
      <c r="X467" s="1260" t="s">
        <v>7319</v>
      </c>
      <c r="Y467" s="1260" t="s">
        <v>7320</v>
      </c>
      <c r="Z467" s="1261" t="s">
        <v>7321</v>
      </c>
    </row>
    <row r="468" spans="2:26" ht="12.75" customHeight="1" x14ac:dyDescent="0.2">
      <c r="B468" s="2465" t="str">
        <f t="shared" si="7"/>
        <v>Libre acceso60</v>
      </c>
      <c r="C468" s="1262"/>
      <c r="D468" s="1268" t="s">
        <v>889</v>
      </c>
      <c r="E468" s="1258" t="s">
        <v>826</v>
      </c>
      <c r="F468" s="1258">
        <v>60</v>
      </c>
      <c r="G468" s="1269" t="s">
        <v>2234</v>
      </c>
      <c r="H468" s="1269" t="s">
        <v>1763</v>
      </c>
      <c r="I468" s="1270" t="s">
        <v>1918</v>
      </c>
      <c r="J468" s="1258">
        <v>8</v>
      </c>
      <c r="K468" s="1258">
        <v>10</v>
      </c>
      <c r="L468" s="1258">
        <v>13</v>
      </c>
      <c r="M468" s="1264">
        <v>15</v>
      </c>
      <c r="N468" s="1258">
        <v>60</v>
      </c>
      <c r="O468" s="1258">
        <v>90</v>
      </c>
      <c r="P468" s="1258">
        <v>120</v>
      </c>
      <c r="Q468" s="1264">
        <v>150</v>
      </c>
      <c r="R468" s="1258"/>
      <c r="S468" s="1258"/>
      <c r="T468" s="1258"/>
      <c r="U468" s="1264"/>
      <c r="V468" s="1260" t="s">
        <v>7322</v>
      </c>
      <c r="W468" s="1260" t="s">
        <v>6648</v>
      </c>
      <c r="X468" s="1260" t="s">
        <v>7323</v>
      </c>
      <c r="Y468" s="1260" t="s">
        <v>7036</v>
      </c>
      <c r="Z468" s="1261" t="s">
        <v>7324</v>
      </c>
    </row>
    <row r="469" spans="2:26" ht="12.75" customHeight="1" x14ac:dyDescent="0.2">
      <c r="B469" s="2465" t="str">
        <f t="shared" si="7"/>
        <v>Libre acceso60</v>
      </c>
      <c r="C469" s="1262"/>
      <c r="D469" s="1268" t="s">
        <v>890</v>
      </c>
      <c r="E469" s="1258" t="s">
        <v>826</v>
      </c>
      <c r="F469" s="1258">
        <v>60</v>
      </c>
      <c r="G469" s="1269" t="s">
        <v>3090</v>
      </c>
      <c r="H469" s="1269" t="s">
        <v>1763</v>
      </c>
      <c r="I469" s="1270" t="s">
        <v>1918</v>
      </c>
      <c r="J469" s="1258">
        <v>6</v>
      </c>
      <c r="K469" s="1258">
        <v>9</v>
      </c>
      <c r="L469" s="1258">
        <v>12</v>
      </c>
      <c r="M469" s="1264">
        <v>15</v>
      </c>
      <c r="N469" s="1258">
        <v>60</v>
      </c>
      <c r="O469" s="1258">
        <v>90</v>
      </c>
      <c r="P469" s="1258">
        <v>120</v>
      </c>
      <c r="Q469" s="1264">
        <v>150</v>
      </c>
      <c r="R469" s="1258">
        <v>15</v>
      </c>
      <c r="S469" s="1258">
        <v>20</v>
      </c>
      <c r="T469" s="1258">
        <v>25</v>
      </c>
      <c r="U469" s="1264">
        <v>30</v>
      </c>
      <c r="V469" s="1260" t="s">
        <v>5482</v>
      </c>
      <c r="W469" s="1260" t="s">
        <v>5782</v>
      </c>
      <c r="X469" s="1260" t="s">
        <v>7325</v>
      </c>
      <c r="Y469" s="1260" t="s">
        <v>7148</v>
      </c>
      <c r="Z469" s="1261" t="s">
        <v>7326</v>
      </c>
    </row>
    <row r="470" spans="2:26" ht="12.75" customHeight="1" x14ac:dyDescent="0.2">
      <c r="B470" s="2465" t="str">
        <f t="shared" si="7"/>
        <v>Libre acceso60</v>
      </c>
      <c r="C470" s="1262"/>
      <c r="D470" s="1268" t="s">
        <v>891</v>
      </c>
      <c r="E470" s="1258" t="s">
        <v>826</v>
      </c>
      <c r="F470" s="1258">
        <v>60</v>
      </c>
      <c r="G470" s="1269" t="s">
        <v>2234</v>
      </c>
      <c r="H470" s="1269" t="s">
        <v>1763</v>
      </c>
      <c r="I470" s="1270" t="s">
        <v>1918</v>
      </c>
      <c r="J470" s="1258">
        <v>8</v>
      </c>
      <c r="K470" s="1258">
        <v>10</v>
      </c>
      <c r="L470" s="1258">
        <v>12</v>
      </c>
      <c r="M470" s="1264">
        <v>15</v>
      </c>
      <c r="N470" s="1258">
        <v>60</v>
      </c>
      <c r="O470" s="1258">
        <v>80</v>
      </c>
      <c r="P470" s="1258">
        <v>100</v>
      </c>
      <c r="Q470" s="1264">
        <v>120</v>
      </c>
      <c r="R470" s="1258">
        <v>5</v>
      </c>
      <c r="S470" s="1258">
        <v>5</v>
      </c>
      <c r="T470" s="1258">
        <v>10</v>
      </c>
      <c r="U470" s="1264">
        <v>10</v>
      </c>
      <c r="V470" s="1260" t="s">
        <v>7327</v>
      </c>
      <c r="W470" s="1260" t="s">
        <v>7328</v>
      </c>
      <c r="X470" s="1260" t="s">
        <v>7329</v>
      </c>
      <c r="Y470" s="1260" t="s">
        <v>7330</v>
      </c>
      <c r="Z470" s="1261" t="s">
        <v>7331</v>
      </c>
    </row>
    <row r="471" spans="2:26" ht="12.75" customHeight="1" x14ac:dyDescent="0.2">
      <c r="B471" s="2465" t="str">
        <f t="shared" si="7"/>
        <v>Libre acceso60</v>
      </c>
      <c r="C471" s="1262"/>
      <c r="D471" s="1268" t="s">
        <v>892</v>
      </c>
      <c r="E471" s="1258" t="s">
        <v>826</v>
      </c>
      <c r="F471" s="1258">
        <v>60</v>
      </c>
      <c r="G471" s="1269" t="s">
        <v>2234</v>
      </c>
      <c r="H471" s="1269" t="s">
        <v>1763</v>
      </c>
      <c r="I471" s="1270" t="s">
        <v>1918</v>
      </c>
      <c r="J471" s="1258">
        <v>8</v>
      </c>
      <c r="K471" s="1258">
        <v>10</v>
      </c>
      <c r="L471" s="1258">
        <v>12</v>
      </c>
      <c r="M471" s="1264">
        <v>14</v>
      </c>
      <c r="N471" s="1258">
        <v>80</v>
      </c>
      <c r="O471" s="1258">
        <v>100</v>
      </c>
      <c r="P471" s="1258">
        <v>120</v>
      </c>
      <c r="Q471" s="1264">
        <v>140</v>
      </c>
      <c r="R471" s="1258"/>
      <c r="S471" s="1258"/>
      <c r="T471" s="1258"/>
      <c r="U471" s="1264"/>
      <c r="V471" s="1260" t="s">
        <v>7332</v>
      </c>
      <c r="W471" s="1260" t="s">
        <v>7333</v>
      </c>
      <c r="X471" s="1260" t="s">
        <v>7334</v>
      </c>
      <c r="Y471" s="1260" t="s">
        <v>7335</v>
      </c>
      <c r="Z471" s="1261" t="s">
        <v>7336</v>
      </c>
    </row>
    <row r="472" spans="2:26" ht="12.75" customHeight="1" x14ac:dyDescent="0.2">
      <c r="B472" s="2465" t="str">
        <f t="shared" si="7"/>
        <v>Libre acceso60</v>
      </c>
      <c r="C472" s="1262"/>
      <c r="D472" s="1268" t="s">
        <v>893</v>
      </c>
      <c r="E472" s="1258" t="s">
        <v>826</v>
      </c>
      <c r="F472" s="1258">
        <v>60</v>
      </c>
      <c r="G472" s="1269" t="s">
        <v>3090</v>
      </c>
      <c r="H472" s="1269" t="s">
        <v>1763</v>
      </c>
      <c r="I472" s="1270" t="s">
        <v>1918</v>
      </c>
      <c r="J472" s="1258">
        <v>8</v>
      </c>
      <c r="K472" s="1258">
        <v>10</v>
      </c>
      <c r="L472" s="1258">
        <v>12</v>
      </c>
      <c r="M472" s="1264">
        <v>15</v>
      </c>
      <c r="N472" s="1258">
        <v>100</v>
      </c>
      <c r="O472" s="1258">
        <v>140</v>
      </c>
      <c r="P472" s="1258">
        <v>180</v>
      </c>
      <c r="Q472" s="1264">
        <v>220</v>
      </c>
      <c r="R472" s="1258">
        <v>10</v>
      </c>
      <c r="S472" s="1258">
        <v>15</v>
      </c>
      <c r="T472" s="1258">
        <v>15</v>
      </c>
      <c r="U472" s="1264">
        <v>20</v>
      </c>
      <c r="V472" s="1260" t="s">
        <v>7337</v>
      </c>
      <c r="W472" s="1260" t="s">
        <v>7338</v>
      </c>
      <c r="X472" s="1260" t="s">
        <v>7339</v>
      </c>
      <c r="Y472" s="1260" t="s">
        <v>7340</v>
      </c>
      <c r="Z472" s="1261" t="s">
        <v>7341</v>
      </c>
    </row>
    <row r="473" spans="2:26" ht="12.75" customHeight="1" x14ac:dyDescent="0.2">
      <c r="B473" s="2465" t="str">
        <f t="shared" si="7"/>
        <v>Libre acceso60</v>
      </c>
      <c r="C473" s="1262"/>
      <c r="D473" s="1268" t="s">
        <v>894</v>
      </c>
      <c r="E473" s="1258" t="s">
        <v>826</v>
      </c>
      <c r="F473" s="1258">
        <v>60</v>
      </c>
      <c r="G473" s="1269" t="s">
        <v>2234</v>
      </c>
      <c r="H473" s="1269" t="s">
        <v>1764</v>
      </c>
      <c r="I473" s="1270" t="s">
        <v>1918</v>
      </c>
      <c r="J473" s="1258">
        <v>8</v>
      </c>
      <c r="K473" s="1258">
        <v>10</v>
      </c>
      <c r="L473" s="1258">
        <v>13</v>
      </c>
      <c r="M473" s="1264">
        <v>16</v>
      </c>
      <c r="N473" s="1258">
        <v>100</v>
      </c>
      <c r="O473" s="1258">
        <v>160</v>
      </c>
      <c r="P473" s="1258">
        <v>240</v>
      </c>
      <c r="Q473" s="1264">
        <v>320</v>
      </c>
      <c r="R473" s="1258">
        <v>10</v>
      </c>
      <c r="S473" s="1258">
        <v>20</v>
      </c>
      <c r="T473" s="1258">
        <v>25</v>
      </c>
      <c r="U473" s="1264">
        <v>35</v>
      </c>
      <c r="V473" s="1260" t="s">
        <v>7342</v>
      </c>
      <c r="W473" s="1260" t="s">
        <v>7343</v>
      </c>
      <c r="X473" s="1260" t="s">
        <v>7344</v>
      </c>
      <c r="Y473" s="1260" t="s">
        <v>7345</v>
      </c>
      <c r="Z473" s="1261" t="s">
        <v>7346</v>
      </c>
    </row>
    <row r="474" spans="2:26" ht="12.75" customHeight="1" x14ac:dyDescent="0.2">
      <c r="B474" s="2465" t="str">
        <f t="shared" si="7"/>
        <v>Libre acceso60</v>
      </c>
      <c r="C474" s="1262"/>
      <c r="D474" s="1268" t="s">
        <v>895</v>
      </c>
      <c r="E474" s="1258" t="s">
        <v>826</v>
      </c>
      <c r="F474" s="1258">
        <v>60</v>
      </c>
      <c r="G474" s="1269" t="s">
        <v>2234</v>
      </c>
      <c r="H474" s="1269" t="s">
        <v>1764</v>
      </c>
      <c r="I474" s="1270" t="s">
        <v>1918</v>
      </c>
      <c r="J474" s="1258">
        <v>8</v>
      </c>
      <c r="K474" s="1258">
        <v>10</v>
      </c>
      <c r="L474" s="1258">
        <v>12</v>
      </c>
      <c r="M474" s="1264">
        <v>14</v>
      </c>
      <c r="N474" s="1258">
        <v>80</v>
      </c>
      <c r="O474" s="1258">
        <v>100</v>
      </c>
      <c r="P474" s="1258">
        <v>120</v>
      </c>
      <c r="Q474" s="1264">
        <v>140</v>
      </c>
      <c r="R474" s="1258">
        <v>10</v>
      </c>
      <c r="S474" s="1258">
        <v>10</v>
      </c>
      <c r="T474" s="1258">
        <v>15</v>
      </c>
      <c r="U474" s="1264">
        <v>15</v>
      </c>
      <c r="V474" s="1260" t="s">
        <v>7347</v>
      </c>
      <c r="W474" s="1260" t="s">
        <v>7348</v>
      </c>
      <c r="X474" s="1260" t="s">
        <v>7349</v>
      </c>
      <c r="Y474" s="1260" t="s">
        <v>7350</v>
      </c>
      <c r="Z474" s="1261" t="s">
        <v>7351</v>
      </c>
    </row>
    <row r="475" spans="2:26" ht="12.75" customHeight="1" x14ac:dyDescent="0.2">
      <c r="B475" s="2465" t="str">
        <f t="shared" si="7"/>
        <v/>
      </c>
      <c r="C475" s="1262"/>
      <c r="D475" s="1268" t="s">
        <v>7352</v>
      </c>
      <c r="E475" s="1258"/>
      <c r="F475" s="1258"/>
      <c r="G475" s="1269"/>
      <c r="H475" s="1269"/>
      <c r="I475" s="1270"/>
      <c r="J475" s="1258"/>
      <c r="K475" s="1258"/>
      <c r="L475" s="1258"/>
      <c r="M475" s="1264"/>
      <c r="N475" s="1258"/>
      <c r="O475" s="1258"/>
      <c r="P475" s="1258"/>
      <c r="Q475" s="1264"/>
      <c r="R475" s="1258"/>
      <c r="S475" s="1258"/>
      <c r="T475" s="1258"/>
      <c r="U475" s="1264"/>
      <c r="V475" s="1260"/>
      <c r="W475" s="1260"/>
      <c r="X475" s="1260"/>
      <c r="Y475" s="1260"/>
      <c r="Z475" s="1261"/>
    </row>
    <row r="476" spans="2:26" ht="12.75" customHeight="1" x14ac:dyDescent="0.2">
      <c r="B476" s="2465" t="str">
        <f t="shared" si="7"/>
        <v>Libre acceso70</v>
      </c>
      <c r="C476" s="1262"/>
      <c r="D476" s="1268" t="s">
        <v>897</v>
      </c>
      <c r="E476" s="1258" t="s">
        <v>826</v>
      </c>
      <c r="F476" s="1258">
        <v>70</v>
      </c>
      <c r="G476" s="1269" t="s">
        <v>2234</v>
      </c>
      <c r="H476" s="1269" t="s">
        <v>6219</v>
      </c>
      <c r="I476" s="1270" t="s">
        <v>1918</v>
      </c>
      <c r="J476" s="1258">
        <v>8</v>
      </c>
      <c r="K476" s="1258">
        <v>9</v>
      </c>
      <c r="L476" s="1258">
        <v>13</v>
      </c>
      <c r="M476" s="1264">
        <v>16</v>
      </c>
      <c r="N476" s="1258">
        <v>140</v>
      </c>
      <c r="O476" s="1258">
        <v>200</v>
      </c>
      <c r="P476" s="1258">
        <v>240</v>
      </c>
      <c r="Q476" s="1264">
        <v>280</v>
      </c>
      <c r="R476" s="1258">
        <v>15</v>
      </c>
      <c r="S476" s="1258">
        <v>20</v>
      </c>
      <c r="T476" s="1258">
        <v>25</v>
      </c>
      <c r="U476" s="1264">
        <v>30</v>
      </c>
      <c r="V476" s="1260" t="s">
        <v>7353</v>
      </c>
      <c r="W476" s="1260" t="s">
        <v>7354</v>
      </c>
      <c r="X476" s="1260" t="s">
        <v>7355</v>
      </c>
      <c r="Y476" s="1260" t="s">
        <v>7356</v>
      </c>
      <c r="Z476" s="1261" t="s">
        <v>7357</v>
      </c>
    </row>
    <row r="477" spans="2:26" ht="12.75" customHeight="1" x14ac:dyDescent="0.2">
      <c r="B477" s="2465" t="str">
        <f t="shared" si="7"/>
        <v>Libre acceso70</v>
      </c>
      <c r="C477" s="1262"/>
      <c r="D477" s="1268" t="s">
        <v>898</v>
      </c>
      <c r="E477" s="1258" t="s">
        <v>826</v>
      </c>
      <c r="F477" s="1258">
        <v>70</v>
      </c>
      <c r="G477" s="1269" t="s">
        <v>2234</v>
      </c>
      <c r="H477" s="1269" t="s">
        <v>6219</v>
      </c>
      <c r="I477" s="1270" t="s">
        <v>1918</v>
      </c>
      <c r="J477" s="1258">
        <v>9</v>
      </c>
      <c r="K477" s="1258">
        <v>11</v>
      </c>
      <c r="L477" s="1258">
        <v>14</v>
      </c>
      <c r="M477" s="1264">
        <v>16</v>
      </c>
      <c r="N477" s="1258">
        <v>80</v>
      </c>
      <c r="O477" s="1258">
        <v>100</v>
      </c>
      <c r="P477" s="1258">
        <v>120</v>
      </c>
      <c r="Q477" s="1264">
        <v>140</v>
      </c>
      <c r="R477" s="1258">
        <v>10</v>
      </c>
      <c r="S477" s="1258">
        <v>10</v>
      </c>
      <c r="T477" s="1258">
        <v>15</v>
      </c>
      <c r="U477" s="1264">
        <v>15</v>
      </c>
      <c r="V477" s="1260" t="s">
        <v>5709</v>
      </c>
      <c r="W477" s="1260" t="s">
        <v>5710</v>
      </c>
      <c r="X477" s="1260" t="s">
        <v>5584</v>
      </c>
      <c r="Y477" s="1260" t="s">
        <v>5387</v>
      </c>
      <c r="Z477" s="1261" t="s">
        <v>7358</v>
      </c>
    </row>
    <row r="478" spans="2:26" ht="12.75" customHeight="1" x14ac:dyDescent="0.2">
      <c r="B478" s="2465" t="str">
        <f t="shared" si="7"/>
        <v>Libre acceso70</v>
      </c>
      <c r="C478" s="1262"/>
      <c r="D478" s="1268" t="s">
        <v>899</v>
      </c>
      <c r="E478" s="1258" t="s">
        <v>826</v>
      </c>
      <c r="F478" s="1258">
        <v>70</v>
      </c>
      <c r="G478" s="1269" t="s">
        <v>3090</v>
      </c>
      <c r="H478" s="1269" t="s">
        <v>1763</v>
      </c>
      <c r="I478" s="1270" t="s">
        <v>1918</v>
      </c>
      <c r="J478" s="1258">
        <v>9</v>
      </c>
      <c r="K478" s="1258">
        <v>11</v>
      </c>
      <c r="L478" s="1258">
        <v>14</v>
      </c>
      <c r="M478" s="1264">
        <v>16</v>
      </c>
      <c r="N478" s="1258">
        <v>140</v>
      </c>
      <c r="O478" s="1258">
        <v>200</v>
      </c>
      <c r="P478" s="1258">
        <v>240</v>
      </c>
      <c r="Q478" s="1264">
        <v>280</v>
      </c>
      <c r="R478" s="1258">
        <v>15</v>
      </c>
      <c r="S478" s="1258">
        <v>20</v>
      </c>
      <c r="T478" s="1258">
        <v>25</v>
      </c>
      <c r="U478" s="1264">
        <v>30</v>
      </c>
      <c r="V478" s="1260" t="s">
        <v>7359</v>
      </c>
      <c r="W478" s="1260" t="s">
        <v>7360</v>
      </c>
      <c r="X478" s="1260" t="s">
        <v>7361</v>
      </c>
      <c r="Y478" s="1260" t="s">
        <v>7362</v>
      </c>
      <c r="Z478" s="1261" t="s">
        <v>7363</v>
      </c>
    </row>
    <row r="479" spans="2:26" ht="12.75" customHeight="1" x14ac:dyDescent="0.2">
      <c r="B479" s="2465" t="str">
        <f t="shared" si="7"/>
        <v>Libre acceso70</v>
      </c>
      <c r="C479" s="1262"/>
      <c r="D479" s="1268" t="s">
        <v>900</v>
      </c>
      <c r="E479" s="1258" t="s">
        <v>826</v>
      </c>
      <c r="F479" s="1258">
        <v>70</v>
      </c>
      <c r="G479" s="1269" t="s">
        <v>2234</v>
      </c>
      <c r="H479" s="1269" t="s">
        <v>1763</v>
      </c>
      <c r="I479" s="1270" t="s">
        <v>1919</v>
      </c>
      <c r="J479" s="1258">
        <v>8</v>
      </c>
      <c r="K479" s="1258">
        <v>11</v>
      </c>
      <c r="L479" s="1258">
        <v>13</v>
      </c>
      <c r="M479" s="1264">
        <v>16</v>
      </c>
      <c r="N479" s="1258">
        <v>80</v>
      </c>
      <c r="O479" s="1258">
        <v>100</v>
      </c>
      <c r="P479" s="1258">
        <v>120</v>
      </c>
      <c r="Q479" s="1264">
        <v>140</v>
      </c>
      <c r="R479" s="1258">
        <v>20</v>
      </c>
      <c r="S479" s="1258">
        <v>20</v>
      </c>
      <c r="T479" s="1258">
        <v>25</v>
      </c>
      <c r="U479" s="1264">
        <v>30</v>
      </c>
      <c r="V479" s="1260" t="s">
        <v>7364</v>
      </c>
      <c r="W479" s="1260" t="s">
        <v>7365</v>
      </c>
      <c r="X479" s="1260" t="s">
        <v>7366</v>
      </c>
      <c r="Y479" s="1260" t="s">
        <v>7367</v>
      </c>
      <c r="Z479" s="1261" t="s">
        <v>7368</v>
      </c>
    </row>
    <row r="480" spans="2:26" ht="12.75" customHeight="1" x14ac:dyDescent="0.2">
      <c r="B480" s="2465" t="str">
        <f t="shared" si="7"/>
        <v>Libre acceso70</v>
      </c>
      <c r="C480" s="1262"/>
      <c r="D480" s="1268" t="s">
        <v>901</v>
      </c>
      <c r="E480" s="1258" t="s">
        <v>826</v>
      </c>
      <c r="F480" s="1258">
        <v>70</v>
      </c>
      <c r="G480" s="1269" t="s">
        <v>2234</v>
      </c>
      <c r="H480" s="1269" t="s">
        <v>1763</v>
      </c>
      <c r="I480" s="1270" t="s">
        <v>1918</v>
      </c>
      <c r="J480" s="1258">
        <v>9</v>
      </c>
      <c r="K480" s="1258">
        <v>11</v>
      </c>
      <c r="L480" s="1258">
        <v>14</v>
      </c>
      <c r="M480" s="1264">
        <v>16</v>
      </c>
      <c r="N480" s="1258">
        <v>80</v>
      </c>
      <c r="O480" s="1258">
        <v>160</v>
      </c>
      <c r="P480" s="1258">
        <v>240</v>
      </c>
      <c r="Q480" s="1264">
        <v>320</v>
      </c>
      <c r="R480" s="1258">
        <v>5</v>
      </c>
      <c r="S480" s="1258">
        <v>10</v>
      </c>
      <c r="T480" s="1258">
        <v>15</v>
      </c>
      <c r="U480" s="1264">
        <v>20</v>
      </c>
      <c r="V480" s="1260" t="s">
        <v>7369</v>
      </c>
      <c r="W480" s="1260" t="s">
        <v>6195</v>
      </c>
      <c r="X480" s="1260" t="s">
        <v>7370</v>
      </c>
      <c r="Y480" s="1260" t="s">
        <v>6196</v>
      </c>
      <c r="Z480" s="1261" t="s">
        <v>7371</v>
      </c>
    </row>
    <row r="481" spans="2:26" ht="12.75" customHeight="1" x14ac:dyDescent="0.2">
      <c r="B481" s="2465" t="str">
        <f t="shared" si="7"/>
        <v>Libre acceso70</v>
      </c>
      <c r="C481" s="1262"/>
      <c r="D481" s="1268" t="s">
        <v>902</v>
      </c>
      <c r="E481" s="1258" t="s">
        <v>826</v>
      </c>
      <c r="F481" s="1258">
        <v>70</v>
      </c>
      <c r="G481" s="1269" t="s">
        <v>3090</v>
      </c>
      <c r="H481" s="1269" t="s">
        <v>1763</v>
      </c>
      <c r="I481" s="1270" t="s">
        <v>1918</v>
      </c>
      <c r="J481" s="1258">
        <v>8</v>
      </c>
      <c r="K481" s="1258">
        <v>11</v>
      </c>
      <c r="L481" s="1258">
        <v>13</v>
      </c>
      <c r="M481" s="1264">
        <v>16</v>
      </c>
      <c r="N481" s="1258">
        <v>80</v>
      </c>
      <c r="O481" s="1258">
        <v>120</v>
      </c>
      <c r="P481" s="1258">
        <v>180</v>
      </c>
      <c r="Q481" s="1264">
        <v>220</v>
      </c>
      <c r="R481" s="1258">
        <v>5</v>
      </c>
      <c r="S481" s="1258">
        <v>5</v>
      </c>
      <c r="T481" s="1258">
        <v>10</v>
      </c>
      <c r="U481" s="1264">
        <v>15</v>
      </c>
      <c r="V481" s="1260" t="s">
        <v>7372</v>
      </c>
      <c r="W481" s="1260" t="s">
        <v>7373</v>
      </c>
      <c r="X481" s="1260" t="s">
        <v>7374</v>
      </c>
      <c r="Y481" s="1260" t="s">
        <v>7375</v>
      </c>
      <c r="Z481" s="1261" t="s">
        <v>7376</v>
      </c>
    </row>
    <row r="482" spans="2:26" ht="12.75" customHeight="1" x14ac:dyDescent="0.2">
      <c r="B482" s="2465" t="str">
        <f t="shared" si="7"/>
        <v>Libre acceso70</v>
      </c>
      <c r="C482" s="1262"/>
      <c r="D482" s="1268" t="s">
        <v>903</v>
      </c>
      <c r="E482" s="1258" t="s">
        <v>826</v>
      </c>
      <c r="F482" s="1258">
        <v>70</v>
      </c>
      <c r="G482" s="1269" t="s">
        <v>2234</v>
      </c>
      <c r="H482" s="1269" t="s">
        <v>1764</v>
      </c>
      <c r="I482" s="1270" t="s">
        <v>1918</v>
      </c>
      <c r="J482" s="1258">
        <v>8</v>
      </c>
      <c r="K482" s="1258">
        <v>11</v>
      </c>
      <c r="L482" s="1258">
        <v>13</v>
      </c>
      <c r="M482" s="1264">
        <v>16</v>
      </c>
      <c r="N482" s="1258">
        <v>140</v>
      </c>
      <c r="O482" s="1258">
        <v>200</v>
      </c>
      <c r="P482" s="1258">
        <v>240</v>
      </c>
      <c r="Q482" s="1264">
        <v>280</v>
      </c>
      <c r="R482" s="1258"/>
      <c r="S482" s="1258"/>
      <c r="T482" s="1258"/>
      <c r="U482" s="1264" t="s">
        <v>5702</v>
      </c>
      <c r="V482" s="1260" t="s">
        <v>7377</v>
      </c>
      <c r="W482" s="1260" t="s">
        <v>7378</v>
      </c>
      <c r="X482" s="1260" t="s">
        <v>7379</v>
      </c>
      <c r="Y482" s="1260" t="s">
        <v>7380</v>
      </c>
      <c r="Z482" s="1261" t="s">
        <v>7381</v>
      </c>
    </row>
    <row r="483" spans="2:26" ht="12.75" customHeight="1" x14ac:dyDescent="0.2">
      <c r="B483" s="2465" t="str">
        <f t="shared" si="7"/>
        <v>Libre acceso70</v>
      </c>
      <c r="C483" s="1262"/>
      <c r="D483" s="1268" t="s">
        <v>904</v>
      </c>
      <c r="E483" s="1258" t="s">
        <v>826</v>
      </c>
      <c r="F483" s="1258">
        <v>70</v>
      </c>
      <c r="G483" s="1269" t="s">
        <v>2234</v>
      </c>
      <c r="H483" s="1269" t="s">
        <v>1763</v>
      </c>
      <c r="I483" s="1270" t="s">
        <v>1918</v>
      </c>
      <c r="J483" s="1258">
        <v>8</v>
      </c>
      <c r="K483" s="1258">
        <v>11</v>
      </c>
      <c r="L483" s="1258">
        <v>13</v>
      </c>
      <c r="M483" s="1264">
        <v>16</v>
      </c>
      <c r="N483" s="1258">
        <v>100</v>
      </c>
      <c r="O483" s="1258">
        <v>120</v>
      </c>
      <c r="P483" s="1258">
        <v>140</v>
      </c>
      <c r="Q483" s="1264">
        <v>160</v>
      </c>
      <c r="R483" s="1258">
        <v>10</v>
      </c>
      <c r="S483" s="1258">
        <v>15</v>
      </c>
      <c r="T483" s="1258">
        <v>15</v>
      </c>
      <c r="U483" s="1264">
        <v>20</v>
      </c>
      <c r="V483" s="1260" t="s">
        <v>7382</v>
      </c>
      <c r="W483" s="1260" t="s">
        <v>7383</v>
      </c>
      <c r="X483" s="1260" t="s">
        <v>7384</v>
      </c>
      <c r="Y483" s="1260" t="s">
        <v>7385</v>
      </c>
      <c r="Z483" s="1261" t="s">
        <v>7386</v>
      </c>
    </row>
    <row r="484" spans="2:26" ht="12.75" customHeight="1" x14ac:dyDescent="0.2">
      <c r="B484" s="2465" t="str">
        <f t="shared" si="7"/>
        <v>Libre acceso70</v>
      </c>
      <c r="C484" s="1262"/>
      <c r="D484" s="1268" t="s">
        <v>7387</v>
      </c>
      <c r="E484" s="1258" t="s">
        <v>826</v>
      </c>
      <c r="F484" s="1258">
        <v>70</v>
      </c>
      <c r="G484" s="1269" t="s">
        <v>2234</v>
      </c>
      <c r="H484" s="1269" t="s">
        <v>1763</v>
      </c>
      <c r="I484" s="1270" t="s">
        <v>1918</v>
      </c>
      <c r="J484" s="1258">
        <v>9</v>
      </c>
      <c r="K484" s="1258">
        <v>11</v>
      </c>
      <c r="L484" s="1258">
        <v>14</v>
      </c>
      <c r="M484" s="1264">
        <v>16</v>
      </c>
      <c r="N484" s="1258">
        <v>100</v>
      </c>
      <c r="O484" s="1258">
        <v>120</v>
      </c>
      <c r="P484" s="1258">
        <v>140</v>
      </c>
      <c r="Q484" s="1264">
        <v>160</v>
      </c>
      <c r="R484" s="1258">
        <v>10</v>
      </c>
      <c r="S484" s="1258">
        <v>10</v>
      </c>
      <c r="T484" s="1258">
        <v>15</v>
      </c>
      <c r="U484" s="1264">
        <v>20</v>
      </c>
      <c r="V484" s="1260" t="s">
        <v>7388</v>
      </c>
      <c r="W484" s="1260" t="s">
        <v>7389</v>
      </c>
      <c r="X484" s="1260" t="s">
        <v>7390</v>
      </c>
      <c r="Y484" s="1260" t="s">
        <v>7391</v>
      </c>
      <c r="Z484" s="1261" t="s">
        <v>7392</v>
      </c>
    </row>
    <row r="485" spans="2:26" ht="12.75" customHeight="1" x14ac:dyDescent="0.2">
      <c r="B485" s="2465" t="str">
        <f t="shared" si="7"/>
        <v>Libre acceso70</v>
      </c>
      <c r="C485" s="1262"/>
      <c r="D485" s="1268" t="s">
        <v>2818</v>
      </c>
      <c r="E485" s="1258" t="s">
        <v>826</v>
      </c>
      <c r="F485" s="1258">
        <v>70</v>
      </c>
      <c r="G485" s="1269" t="s">
        <v>2234</v>
      </c>
      <c r="H485" s="1269" t="s">
        <v>6219</v>
      </c>
      <c r="I485" s="1270" t="s">
        <v>1918</v>
      </c>
      <c r="J485" s="1258">
        <v>8</v>
      </c>
      <c r="K485" s="1258">
        <v>11</v>
      </c>
      <c r="L485" s="1258">
        <v>13</v>
      </c>
      <c r="M485" s="1264">
        <v>16</v>
      </c>
      <c r="N485" s="1258">
        <v>120</v>
      </c>
      <c r="O485" s="1258">
        <v>160</v>
      </c>
      <c r="P485" s="1258">
        <v>200</v>
      </c>
      <c r="Q485" s="1264">
        <v>240</v>
      </c>
      <c r="R485" s="1258"/>
      <c r="S485" s="1258"/>
      <c r="T485" s="1258"/>
      <c r="U485" s="1264"/>
      <c r="V485" s="1260" t="s">
        <v>5725</v>
      </c>
      <c r="W485" s="1260" t="s">
        <v>6891</v>
      </c>
      <c r="X485" s="1260" t="s">
        <v>5726</v>
      </c>
      <c r="Y485" s="1260" t="s">
        <v>6892</v>
      </c>
      <c r="Z485" s="1261" t="s">
        <v>7393</v>
      </c>
    </row>
    <row r="486" spans="2:26" ht="12.75" customHeight="1" x14ac:dyDescent="0.2">
      <c r="B486" s="2465" t="str">
        <f t="shared" si="7"/>
        <v>Libre acceso70</v>
      </c>
      <c r="C486" s="1262"/>
      <c r="D486" s="1268" t="s">
        <v>7394</v>
      </c>
      <c r="E486" s="1258" t="s">
        <v>826</v>
      </c>
      <c r="F486" s="1258">
        <v>70</v>
      </c>
      <c r="G486" s="1269" t="s">
        <v>3090</v>
      </c>
      <c r="H486" s="1269" t="s">
        <v>6219</v>
      </c>
      <c r="I486" s="1270" t="s">
        <v>1918</v>
      </c>
      <c r="J486" s="1258">
        <v>8</v>
      </c>
      <c r="K486" s="1258">
        <v>11</v>
      </c>
      <c r="L486" s="1258">
        <v>13</v>
      </c>
      <c r="M486" s="1264">
        <v>16</v>
      </c>
      <c r="N486" s="1258">
        <v>120</v>
      </c>
      <c r="O486" s="1258">
        <v>180</v>
      </c>
      <c r="P486" s="1258">
        <v>220</v>
      </c>
      <c r="Q486" s="1264">
        <v>280</v>
      </c>
      <c r="R486" s="1258">
        <v>15</v>
      </c>
      <c r="S486" s="1258">
        <v>20</v>
      </c>
      <c r="T486" s="1258">
        <v>25</v>
      </c>
      <c r="U486" s="1264">
        <v>30</v>
      </c>
      <c r="V486" s="1260" t="s">
        <v>5725</v>
      </c>
      <c r="W486" s="1260" t="s">
        <v>6891</v>
      </c>
      <c r="X486" s="1260" t="s">
        <v>5726</v>
      </c>
      <c r="Y486" s="1260" t="s">
        <v>6892</v>
      </c>
      <c r="Z486" s="1261" t="s">
        <v>7395</v>
      </c>
    </row>
    <row r="487" spans="2:26" ht="12.75" customHeight="1" x14ac:dyDescent="0.2">
      <c r="B487" s="2465" t="str">
        <f t="shared" si="7"/>
        <v>Libre acceso70</v>
      </c>
      <c r="C487" s="1262"/>
      <c r="D487" s="1268" t="s">
        <v>7396</v>
      </c>
      <c r="E487" s="1258" t="s">
        <v>826</v>
      </c>
      <c r="F487" s="1258">
        <v>70</v>
      </c>
      <c r="G487" s="1269" t="s">
        <v>2234</v>
      </c>
      <c r="H487" s="1269" t="s">
        <v>1763</v>
      </c>
      <c r="I487" s="1270" t="s">
        <v>1918</v>
      </c>
      <c r="J487" s="1258">
        <v>9</v>
      </c>
      <c r="K487" s="1258">
        <v>11</v>
      </c>
      <c r="L487" s="1258">
        <v>14</v>
      </c>
      <c r="M487" s="1264">
        <v>16</v>
      </c>
      <c r="N487" s="1258">
        <v>100</v>
      </c>
      <c r="O487" s="1258">
        <v>120</v>
      </c>
      <c r="P487" s="1258">
        <v>140</v>
      </c>
      <c r="Q487" s="1264">
        <v>160</v>
      </c>
      <c r="R487" s="1258">
        <v>10</v>
      </c>
      <c r="S487" s="1258">
        <v>15</v>
      </c>
      <c r="T487" s="1258">
        <v>15</v>
      </c>
      <c r="U487" s="1264">
        <v>20</v>
      </c>
      <c r="V487" s="1260" t="s">
        <v>7388</v>
      </c>
      <c r="W487" s="1260" t="s">
        <v>7389</v>
      </c>
      <c r="X487" s="1260" t="s">
        <v>7390</v>
      </c>
      <c r="Y487" s="1260" t="s">
        <v>7391</v>
      </c>
      <c r="Z487" s="1261" t="s">
        <v>7397</v>
      </c>
    </row>
    <row r="488" spans="2:26" ht="12.75" customHeight="1" x14ac:dyDescent="0.2">
      <c r="B488" s="2465" t="str">
        <f t="shared" si="7"/>
        <v/>
      </c>
      <c r="C488" s="1262"/>
      <c r="D488" s="1268" t="s">
        <v>7398</v>
      </c>
      <c r="E488" s="1258"/>
      <c r="F488" s="1258"/>
      <c r="G488" s="1269"/>
      <c r="H488" s="1269"/>
      <c r="I488" s="1270"/>
      <c r="J488" s="1258"/>
      <c r="K488" s="1258"/>
      <c r="L488" s="1258"/>
      <c r="M488" s="1264"/>
      <c r="N488" s="1258"/>
      <c r="O488" s="1258"/>
      <c r="P488" s="1258"/>
      <c r="Q488" s="1264"/>
      <c r="R488" s="1258"/>
      <c r="S488" s="1258"/>
      <c r="T488" s="1258"/>
      <c r="U488" s="1264"/>
      <c r="V488" s="1260"/>
      <c r="W488" s="1260"/>
      <c r="X488" s="1260"/>
      <c r="Y488" s="1260"/>
      <c r="Z488" s="1261"/>
    </row>
    <row r="489" spans="2:26" ht="12.75" customHeight="1" x14ac:dyDescent="0.2">
      <c r="B489" s="2465" t="str">
        <f t="shared" si="7"/>
        <v>Libre acceso80</v>
      </c>
      <c r="C489" s="1262"/>
      <c r="D489" s="1268" t="s">
        <v>909</v>
      </c>
      <c r="E489" s="1258" t="s">
        <v>826</v>
      </c>
      <c r="F489" s="1258">
        <v>80</v>
      </c>
      <c r="G489" s="1269" t="s">
        <v>3090</v>
      </c>
      <c r="H489" s="1269" t="s">
        <v>6219</v>
      </c>
      <c r="I489" s="1270" t="s">
        <v>1918</v>
      </c>
      <c r="J489" s="1258">
        <v>8</v>
      </c>
      <c r="K489" s="1258">
        <v>11</v>
      </c>
      <c r="L489" s="1258">
        <v>13</v>
      </c>
      <c r="M489" s="1264">
        <v>16</v>
      </c>
      <c r="N489" s="1258">
        <v>150</v>
      </c>
      <c r="O489" s="1258">
        <v>200</v>
      </c>
      <c r="P489" s="1258">
        <v>250</v>
      </c>
      <c r="Q489" s="1264">
        <v>300</v>
      </c>
      <c r="R489" s="1258">
        <v>15</v>
      </c>
      <c r="S489" s="1258">
        <v>20</v>
      </c>
      <c r="T489" s="1258">
        <v>25</v>
      </c>
      <c r="U489" s="1264">
        <v>30</v>
      </c>
      <c r="V489" s="1260" t="s">
        <v>7399</v>
      </c>
      <c r="W489" s="1260" t="s">
        <v>7400</v>
      </c>
      <c r="X489" s="1260" t="s">
        <v>7401</v>
      </c>
      <c r="Y489" s="1260" t="s">
        <v>7402</v>
      </c>
      <c r="Z489" s="1261" t="s">
        <v>7403</v>
      </c>
    </row>
    <row r="490" spans="2:26" ht="12.75" customHeight="1" x14ac:dyDescent="0.2">
      <c r="B490" s="2465" t="str">
        <f t="shared" si="7"/>
        <v>Libre acceso80</v>
      </c>
      <c r="C490" s="1262"/>
      <c r="D490" s="1268" t="s">
        <v>910</v>
      </c>
      <c r="E490" s="1258" t="s">
        <v>826</v>
      </c>
      <c r="F490" s="1258">
        <v>80</v>
      </c>
      <c r="G490" s="1269" t="s">
        <v>2234</v>
      </c>
      <c r="H490" s="1269" t="s">
        <v>1763</v>
      </c>
      <c r="I490" s="1270" t="s">
        <v>1918</v>
      </c>
      <c r="J490" s="1258">
        <v>9</v>
      </c>
      <c r="K490" s="1258">
        <v>11</v>
      </c>
      <c r="L490" s="1258">
        <v>13</v>
      </c>
      <c r="M490" s="1264">
        <v>16</v>
      </c>
      <c r="N490" s="1258">
        <v>150</v>
      </c>
      <c r="O490" s="1258">
        <v>200</v>
      </c>
      <c r="P490" s="1258">
        <v>250</v>
      </c>
      <c r="Q490" s="1264">
        <v>300</v>
      </c>
      <c r="R490" s="1258"/>
      <c r="S490" s="1258"/>
      <c r="T490" s="1258"/>
      <c r="U490" s="1264"/>
      <c r="V490" s="1260" t="s">
        <v>7404</v>
      </c>
      <c r="W490" s="1260" t="s">
        <v>7405</v>
      </c>
      <c r="X490" s="1260" t="s">
        <v>7406</v>
      </c>
      <c r="Y490" s="1260" t="s">
        <v>7407</v>
      </c>
      <c r="Z490" s="1261" t="s">
        <v>7408</v>
      </c>
    </row>
    <row r="491" spans="2:26" ht="12.75" customHeight="1" x14ac:dyDescent="0.2">
      <c r="B491" s="2465" t="str">
        <f t="shared" si="7"/>
        <v>Libre acceso80</v>
      </c>
      <c r="C491" s="1262"/>
      <c r="D491" s="1268" t="s">
        <v>911</v>
      </c>
      <c r="E491" s="1258" t="s">
        <v>826</v>
      </c>
      <c r="F491" s="1258">
        <v>80</v>
      </c>
      <c r="G491" s="1269" t="s">
        <v>2234</v>
      </c>
      <c r="H491" s="1269" t="s">
        <v>6219</v>
      </c>
      <c r="I491" s="1270" t="s">
        <v>1918</v>
      </c>
      <c r="J491" s="1258">
        <v>8</v>
      </c>
      <c r="K491" s="1258">
        <v>11</v>
      </c>
      <c r="L491" s="1258">
        <v>13</v>
      </c>
      <c r="M491" s="1264">
        <v>16</v>
      </c>
      <c r="N491" s="1258">
        <v>120</v>
      </c>
      <c r="O491" s="1258">
        <v>180</v>
      </c>
      <c r="P491" s="1258">
        <v>240</v>
      </c>
      <c r="Q491" s="1264">
        <v>300</v>
      </c>
      <c r="R491" s="1258">
        <v>15</v>
      </c>
      <c r="S491" s="1258">
        <v>20</v>
      </c>
      <c r="T491" s="1258">
        <v>25</v>
      </c>
      <c r="U491" s="1264">
        <v>30</v>
      </c>
      <c r="V491" s="1260" t="s">
        <v>5709</v>
      </c>
      <c r="W491" s="1260" t="s">
        <v>5710</v>
      </c>
      <c r="X491" s="1260" t="s">
        <v>5387</v>
      </c>
      <c r="Y491" s="1260" t="s">
        <v>5934</v>
      </c>
      <c r="Z491" s="1261" t="s">
        <v>7409</v>
      </c>
    </row>
    <row r="492" spans="2:26" ht="12.75" customHeight="1" x14ac:dyDescent="0.2">
      <c r="B492" s="2465" t="str">
        <f t="shared" si="7"/>
        <v>Libre acceso80</v>
      </c>
      <c r="C492" s="1262"/>
      <c r="D492" s="1268" t="s">
        <v>7410</v>
      </c>
      <c r="E492" s="1258" t="s">
        <v>826</v>
      </c>
      <c r="F492" s="1258">
        <v>80</v>
      </c>
      <c r="G492" s="1269" t="s">
        <v>3090</v>
      </c>
      <c r="H492" s="1269" t="s">
        <v>7411</v>
      </c>
      <c r="I492" s="1270" t="s">
        <v>1918</v>
      </c>
      <c r="J492" s="1258">
        <v>9</v>
      </c>
      <c r="K492" s="1258">
        <v>11</v>
      </c>
      <c r="L492" s="1258">
        <v>14</v>
      </c>
      <c r="M492" s="1264">
        <v>16</v>
      </c>
      <c r="N492" s="1258">
        <v>100</v>
      </c>
      <c r="O492" s="1258">
        <v>120</v>
      </c>
      <c r="P492" s="1258">
        <v>140</v>
      </c>
      <c r="Q492" s="1264">
        <v>160</v>
      </c>
      <c r="R492" s="1258">
        <v>10</v>
      </c>
      <c r="S492" s="1258">
        <v>15</v>
      </c>
      <c r="T492" s="1258">
        <v>15</v>
      </c>
      <c r="U492" s="1264">
        <v>20</v>
      </c>
      <c r="V492" s="1260" t="s">
        <v>7412</v>
      </c>
      <c r="W492" s="1260" t="s">
        <v>7413</v>
      </c>
      <c r="X492" s="1260" t="s">
        <v>7414</v>
      </c>
      <c r="Y492" s="1260" t="s">
        <v>7415</v>
      </c>
      <c r="Z492" s="1261" t="s">
        <v>7416</v>
      </c>
    </row>
    <row r="493" spans="2:26" ht="12.75" customHeight="1" x14ac:dyDescent="0.2">
      <c r="B493" s="2465" t="str">
        <f t="shared" si="7"/>
        <v>Libre acceso80</v>
      </c>
      <c r="C493" s="1262"/>
      <c r="D493" s="1268" t="s">
        <v>7417</v>
      </c>
      <c r="E493" s="1258" t="s">
        <v>826</v>
      </c>
      <c r="F493" s="1258">
        <v>80</v>
      </c>
      <c r="G493" s="1269" t="s">
        <v>2234</v>
      </c>
      <c r="H493" s="1269" t="s">
        <v>1763</v>
      </c>
      <c r="I493" s="1270" t="s">
        <v>1918</v>
      </c>
      <c r="J493" s="1258">
        <v>9</v>
      </c>
      <c r="K493" s="1258">
        <v>11</v>
      </c>
      <c r="L493" s="1258">
        <v>13</v>
      </c>
      <c r="M493" s="1264">
        <v>16</v>
      </c>
      <c r="N493" s="1258">
        <v>160</v>
      </c>
      <c r="O493" s="1258">
        <v>200</v>
      </c>
      <c r="P493" s="1258">
        <v>240</v>
      </c>
      <c r="Q493" s="1264">
        <v>280</v>
      </c>
      <c r="R493" s="1258">
        <v>20</v>
      </c>
      <c r="S493" s="1258">
        <v>20</v>
      </c>
      <c r="T493" s="1258">
        <v>25</v>
      </c>
      <c r="U493" s="1264">
        <v>30</v>
      </c>
      <c r="V493" s="1260" t="s">
        <v>7418</v>
      </c>
      <c r="W493" s="1260" t="s">
        <v>7419</v>
      </c>
      <c r="X493" s="1260" t="s">
        <v>7420</v>
      </c>
      <c r="Y493" s="1260" t="s">
        <v>7421</v>
      </c>
      <c r="Z493" s="1261" t="s">
        <v>7422</v>
      </c>
    </row>
    <row r="494" spans="2:26" ht="12.75" customHeight="1" x14ac:dyDescent="0.2">
      <c r="B494" s="2465" t="str">
        <f t="shared" si="7"/>
        <v>Libre acceso80</v>
      </c>
      <c r="C494" s="1262"/>
      <c r="D494" s="1268" t="s">
        <v>913</v>
      </c>
      <c r="E494" s="1258" t="s">
        <v>826</v>
      </c>
      <c r="F494" s="1258">
        <v>80</v>
      </c>
      <c r="G494" s="1269" t="s">
        <v>2234</v>
      </c>
      <c r="H494" s="1269" t="s">
        <v>6219</v>
      </c>
      <c r="I494" s="1270" t="s">
        <v>1918</v>
      </c>
      <c r="J494" s="1258">
        <v>9</v>
      </c>
      <c r="K494" s="1258">
        <v>11</v>
      </c>
      <c r="L494" s="1258">
        <v>13</v>
      </c>
      <c r="M494" s="1264">
        <v>16</v>
      </c>
      <c r="N494" s="1258">
        <v>160</v>
      </c>
      <c r="O494" s="1258">
        <v>200</v>
      </c>
      <c r="P494" s="1258">
        <v>240</v>
      </c>
      <c r="Q494" s="1264">
        <v>280</v>
      </c>
      <c r="R494" s="1258">
        <v>20</v>
      </c>
      <c r="S494" s="1258">
        <v>20</v>
      </c>
      <c r="T494" s="1258">
        <v>25</v>
      </c>
      <c r="U494" s="1264">
        <v>30</v>
      </c>
      <c r="V494" s="1260" t="s">
        <v>5724</v>
      </c>
      <c r="W494" s="1260" t="s">
        <v>5725</v>
      </c>
      <c r="X494" s="1260" t="s">
        <v>6891</v>
      </c>
      <c r="Y494" s="1260" t="s">
        <v>5726</v>
      </c>
      <c r="Z494" s="1261" t="s">
        <v>7423</v>
      </c>
    </row>
    <row r="495" spans="2:26" ht="12.75" customHeight="1" x14ac:dyDescent="0.2">
      <c r="B495" s="2465" t="str">
        <f t="shared" si="7"/>
        <v>Libre acceso80</v>
      </c>
      <c r="C495" s="1262"/>
      <c r="D495" s="1268" t="s">
        <v>912</v>
      </c>
      <c r="E495" s="1258" t="s">
        <v>826</v>
      </c>
      <c r="F495" s="1258">
        <v>80</v>
      </c>
      <c r="G495" s="1269" t="s">
        <v>2234</v>
      </c>
      <c r="H495" s="1269" t="s">
        <v>7424</v>
      </c>
      <c r="I495" s="1270" t="s">
        <v>1919</v>
      </c>
      <c r="J495" s="1258">
        <v>9</v>
      </c>
      <c r="K495" s="1258">
        <v>11</v>
      </c>
      <c r="L495" s="1258">
        <v>13</v>
      </c>
      <c r="M495" s="1264">
        <v>16</v>
      </c>
      <c r="N495" s="1258">
        <v>100</v>
      </c>
      <c r="O495" s="1258">
        <v>160</v>
      </c>
      <c r="P495" s="1258">
        <v>220</v>
      </c>
      <c r="Q495" s="1264">
        <v>300</v>
      </c>
      <c r="R495" s="1258"/>
      <c r="S495" s="1258"/>
      <c r="T495" s="1258"/>
      <c r="U495" s="1264"/>
      <c r="V495" s="1260" t="s">
        <v>5710</v>
      </c>
      <c r="W495" s="1260" t="s">
        <v>5584</v>
      </c>
      <c r="X495" s="1260" t="s">
        <v>5585</v>
      </c>
      <c r="Y495" s="1260" t="s">
        <v>5586</v>
      </c>
      <c r="Z495" s="1261" t="s">
        <v>7425</v>
      </c>
    </row>
    <row r="496" spans="2:26" ht="12.75" customHeight="1" x14ac:dyDescent="0.2">
      <c r="B496" s="2465" t="str">
        <f t="shared" si="7"/>
        <v>Libre acceso80</v>
      </c>
      <c r="C496" s="1262"/>
      <c r="D496" s="1268" t="s">
        <v>2496</v>
      </c>
      <c r="E496" s="1258" t="s">
        <v>826</v>
      </c>
      <c r="F496" s="1258">
        <v>80</v>
      </c>
      <c r="G496" s="1269" t="s">
        <v>2234</v>
      </c>
      <c r="H496" s="1269" t="s">
        <v>1763</v>
      </c>
      <c r="I496" s="1270" t="s">
        <v>1918</v>
      </c>
      <c r="J496" s="1258">
        <v>8</v>
      </c>
      <c r="K496" s="1258">
        <v>11</v>
      </c>
      <c r="L496" s="1258">
        <v>13</v>
      </c>
      <c r="M496" s="1264">
        <v>16</v>
      </c>
      <c r="N496" s="1258">
        <v>100</v>
      </c>
      <c r="O496" s="1258">
        <v>120</v>
      </c>
      <c r="P496" s="1258">
        <v>140</v>
      </c>
      <c r="Q496" s="1264">
        <v>160</v>
      </c>
      <c r="R496" s="1258">
        <v>5</v>
      </c>
      <c r="S496" s="1258">
        <v>10</v>
      </c>
      <c r="T496" s="1258">
        <v>10</v>
      </c>
      <c r="U496" s="1264">
        <v>10</v>
      </c>
      <c r="V496" s="1260" t="s">
        <v>7426</v>
      </c>
      <c r="W496" s="1260" t="s">
        <v>7427</v>
      </c>
      <c r="X496" s="1260" t="s">
        <v>7428</v>
      </c>
      <c r="Y496" s="1260" t="s">
        <v>3799</v>
      </c>
      <c r="Z496" s="1261" t="s">
        <v>7429</v>
      </c>
    </row>
    <row r="497" spans="2:26" ht="12.75" customHeight="1" x14ac:dyDescent="0.2">
      <c r="B497" s="2465" t="str">
        <f t="shared" si="7"/>
        <v>Libre acceso80</v>
      </c>
      <c r="C497" s="1262"/>
      <c r="D497" s="1268" t="s">
        <v>2632</v>
      </c>
      <c r="E497" s="1258" t="s">
        <v>826</v>
      </c>
      <c r="F497" s="1258">
        <v>80</v>
      </c>
      <c r="G497" s="1269" t="s">
        <v>2234</v>
      </c>
      <c r="H497" s="1269" t="s">
        <v>1763</v>
      </c>
      <c r="I497" s="1270" t="s">
        <v>1918</v>
      </c>
      <c r="J497" s="1258">
        <v>9</v>
      </c>
      <c r="K497" s="1258">
        <v>11</v>
      </c>
      <c r="L497" s="1258">
        <v>13</v>
      </c>
      <c r="M497" s="1264">
        <v>16</v>
      </c>
      <c r="N497" s="1258">
        <v>80</v>
      </c>
      <c r="O497" s="1258">
        <v>120</v>
      </c>
      <c r="P497" s="1258">
        <v>160</v>
      </c>
      <c r="Q497" s="1264">
        <v>200</v>
      </c>
      <c r="R497" s="1258">
        <v>9</v>
      </c>
      <c r="S497" s="1258">
        <v>11</v>
      </c>
      <c r="T497" s="1258">
        <v>13</v>
      </c>
      <c r="U497" s="1264">
        <v>16</v>
      </c>
      <c r="V497" s="1260" t="s">
        <v>7430</v>
      </c>
      <c r="W497" s="1260" t="s">
        <v>7431</v>
      </c>
      <c r="X497" s="1260" t="s">
        <v>7432</v>
      </c>
      <c r="Y497" s="1260" t="s">
        <v>7433</v>
      </c>
      <c r="Z497" s="1261" t="s">
        <v>7434</v>
      </c>
    </row>
    <row r="498" spans="2:26" ht="12.75" customHeight="1" x14ac:dyDescent="0.2">
      <c r="B498" s="2465" t="str">
        <f t="shared" si="7"/>
        <v>Libre acceso80</v>
      </c>
      <c r="C498" s="1262"/>
      <c r="D498" s="1268" t="s">
        <v>2629</v>
      </c>
      <c r="E498" s="1258" t="s">
        <v>826</v>
      </c>
      <c r="F498" s="1258">
        <v>80</v>
      </c>
      <c r="G498" s="1269" t="s">
        <v>2234</v>
      </c>
      <c r="H498" s="1269" t="s">
        <v>1763</v>
      </c>
      <c r="I498" s="1270" t="s">
        <v>1918</v>
      </c>
      <c r="J498" s="1258">
        <v>9</v>
      </c>
      <c r="K498" s="1258">
        <v>11</v>
      </c>
      <c r="L498" s="1258">
        <v>13</v>
      </c>
      <c r="M498" s="1264">
        <v>16</v>
      </c>
      <c r="N498" s="1258">
        <v>80</v>
      </c>
      <c r="O498" s="1258">
        <v>120</v>
      </c>
      <c r="P498" s="1258">
        <v>160</v>
      </c>
      <c r="Q498" s="1264">
        <v>200</v>
      </c>
      <c r="R498" s="1258">
        <v>10</v>
      </c>
      <c r="S498" s="1258">
        <v>10</v>
      </c>
      <c r="T498" s="1258">
        <v>15</v>
      </c>
      <c r="U498" s="1264">
        <v>15</v>
      </c>
      <c r="V498" s="1260" t="s">
        <v>7435</v>
      </c>
      <c r="W498" s="1260" t="s">
        <v>7436</v>
      </c>
      <c r="X498" s="1260" t="s">
        <v>7437</v>
      </c>
      <c r="Y498" s="1260" t="s">
        <v>7438</v>
      </c>
      <c r="Z498" s="1261" t="s">
        <v>7439</v>
      </c>
    </row>
    <row r="499" spans="2:26" ht="12.75" customHeight="1" x14ac:dyDescent="0.2">
      <c r="B499" s="2465" t="str">
        <f t="shared" si="7"/>
        <v>Libre acceso80</v>
      </c>
      <c r="C499" s="1262"/>
      <c r="D499" s="1268" t="s">
        <v>914</v>
      </c>
      <c r="E499" s="1258" t="s">
        <v>826</v>
      </c>
      <c r="F499" s="1258">
        <v>80</v>
      </c>
      <c r="G499" s="1269" t="s">
        <v>3090</v>
      </c>
      <c r="H499" s="1269" t="s">
        <v>1764</v>
      </c>
      <c r="I499" s="1270" t="s">
        <v>1918</v>
      </c>
      <c r="J499" s="1258">
        <v>9</v>
      </c>
      <c r="K499" s="1258">
        <v>11</v>
      </c>
      <c r="L499" s="1258">
        <v>14</v>
      </c>
      <c r="M499" s="1264">
        <v>16</v>
      </c>
      <c r="N499" s="1258">
        <v>200</v>
      </c>
      <c r="O499" s="1258">
        <v>240</v>
      </c>
      <c r="P499" s="1258">
        <v>280</v>
      </c>
      <c r="Q499" s="1264">
        <v>320</v>
      </c>
      <c r="R499" s="1258">
        <v>40</v>
      </c>
      <c r="S499" s="1258">
        <v>50</v>
      </c>
      <c r="T499" s="1258">
        <v>60</v>
      </c>
      <c r="U499" s="1264">
        <v>65</v>
      </c>
      <c r="V499" s="1260" t="s">
        <v>6948</v>
      </c>
      <c r="W499" s="1260" t="s">
        <v>5948</v>
      </c>
      <c r="X499" s="1260" t="s">
        <v>6949</v>
      </c>
      <c r="Y499" s="1260" t="s">
        <v>6950</v>
      </c>
      <c r="Z499" s="1261" t="s">
        <v>7440</v>
      </c>
    </row>
    <row r="500" spans="2:26" ht="12.75" customHeight="1" x14ac:dyDescent="0.2">
      <c r="B500" s="2465" t="str">
        <f t="shared" si="7"/>
        <v>Libre acceso80</v>
      </c>
      <c r="C500" s="1262"/>
      <c r="D500" s="1268" t="s">
        <v>915</v>
      </c>
      <c r="E500" s="1258" t="s">
        <v>826</v>
      </c>
      <c r="F500" s="1258">
        <v>80</v>
      </c>
      <c r="G500" s="1269" t="s">
        <v>2234</v>
      </c>
      <c r="H500" s="1269" t="s">
        <v>1763</v>
      </c>
      <c r="I500" s="1270" t="s">
        <v>1918</v>
      </c>
      <c r="J500" s="1258">
        <v>9</v>
      </c>
      <c r="K500" s="1258">
        <v>11</v>
      </c>
      <c r="L500" s="1258">
        <v>13</v>
      </c>
      <c r="M500" s="1264">
        <v>16</v>
      </c>
      <c r="N500" s="1258">
        <v>80</v>
      </c>
      <c r="O500" s="1258">
        <v>100</v>
      </c>
      <c r="P500" s="1258">
        <v>120</v>
      </c>
      <c r="Q500" s="1264">
        <v>140</v>
      </c>
      <c r="R500" s="1258"/>
      <c r="S500" s="1258"/>
      <c r="T500" s="1258"/>
      <c r="U500" s="1264"/>
      <c r="V500" s="1260" t="s">
        <v>7441</v>
      </c>
      <c r="W500" s="1260" t="s">
        <v>7442</v>
      </c>
      <c r="X500" s="1260" t="s">
        <v>7443</v>
      </c>
      <c r="Y500" s="1260" t="s">
        <v>7444</v>
      </c>
      <c r="Z500" s="1261" t="s">
        <v>7445</v>
      </c>
    </row>
    <row r="501" spans="2:26" ht="12.75" customHeight="1" x14ac:dyDescent="0.2">
      <c r="B501" s="2465" t="str">
        <f t="shared" si="7"/>
        <v/>
      </c>
      <c r="C501" s="1262"/>
      <c r="D501" s="1268" t="s">
        <v>7446</v>
      </c>
      <c r="E501" s="1258"/>
      <c r="F501" s="1258"/>
      <c r="G501" s="1269"/>
      <c r="H501" s="1269"/>
      <c r="I501" s="1270"/>
      <c r="J501" s="1258"/>
      <c r="K501" s="1258"/>
      <c r="L501" s="1258"/>
      <c r="M501" s="1264"/>
      <c r="N501" s="1258"/>
      <c r="O501" s="1258"/>
      <c r="P501" s="1258"/>
      <c r="Q501" s="1264"/>
      <c r="R501" s="1258"/>
      <c r="S501" s="1258"/>
      <c r="T501" s="1258"/>
      <c r="U501" s="1264"/>
      <c r="V501" s="1260"/>
      <c r="W501" s="1260"/>
      <c r="X501" s="1260"/>
      <c r="Y501" s="1260"/>
      <c r="Z501" s="1261"/>
    </row>
    <row r="502" spans="2:26" ht="12.75" customHeight="1" x14ac:dyDescent="0.2">
      <c r="B502" s="2465" t="str">
        <f t="shared" si="7"/>
        <v>Libre acceso90</v>
      </c>
      <c r="C502" s="1262"/>
      <c r="D502" s="1268" t="s">
        <v>917</v>
      </c>
      <c r="E502" s="1258" t="s">
        <v>826</v>
      </c>
      <c r="F502" s="1258">
        <v>90</v>
      </c>
      <c r="G502" s="1269" t="s">
        <v>3090</v>
      </c>
      <c r="H502" s="1269" t="s">
        <v>1763</v>
      </c>
      <c r="I502" s="1270" t="s">
        <v>1918</v>
      </c>
      <c r="J502" s="1258">
        <v>10</v>
      </c>
      <c r="K502" s="1258">
        <v>13</v>
      </c>
      <c r="L502" s="1258">
        <v>15</v>
      </c>
      <c r="M502" s="1264">
        <v>17</v>
      </c>
      <c r="N502" s="1258">
        <v>300</v>
      </c>
      <c r="O502" s="1258">
        <v>400</v>
      </c>
      <c r="P502" s="1258">
        <v>500</v>
      </c>
      <c r="Q502" s="1264">
        <v>600</v>
      </c>
      <c r="R502" s="1258">
        <v>15</v>
      </c>
      <c r="S502" s="1258">
        <v>20</v>
      </c>
      <c r="T502" s="1258">
        <v>25</v>
      </c>
      <c r="U502" s="1264">
        <v>30</v>
      </c>
      <c r="V502" s="1260" t="s">
        <v>6101</v>
      </c>
      <c r="W502" s="1260" t="s">
        <v>7447</v>
      </c>
      <c r="X502" s="1260" t="s">
        <v>7448</v>
      </c>
      <c r="Y502" s="1260" t="s">
        <v>7449</v>
      </c>
      <c r="Z502" s="1261" t="s">
        <v>7450</v>
      </c>
    </row>
    <row r="503" spans="2:26" ht="12.75" customHeight="1" x14ac:dyDescent="0.2">
      <c r="B503" s="2465" t="str">
        <f t="shared" si="7"/>
        <v>Libre acceso90</v>
      </c>
      <c r="C503" s="1262"/>
      <c r="D503" s="1268" t="s">
        <v>7451</v>
      </c>
      <c r="E503" s="1258" t="s">
        <v>826</v>
      </c>
      <c r="F503" s="1258">
        <v>90</v>
      </c>
      <c r="G503" s="1269" t="s">
        <v>2234</v>
      </c>
      <c r="H503" s="1269" t="s">
        <v>1765</v>
      </c>
      <c r="I503" s="1270" t="s">
        <v>1918</v>
      </c>
      <c r="J503" s="1258">
        <v>10</v>
      </c>
      <c r="K503" s="1258">
        <v>12</v>
      </c>
      <c r="L503" s="1258">
        <v>14</v>
      </c>
      <c r="M503" s="1264">
        <v>16</v>
      </c>
      <c r="N503" s="1258">
        <v>300</v>
      </c>
      <c r="O503" s="1258">
        <v>360</v>
      </c>
      <c r="P503" s="1258">
        <v>420</v>
      </c>
      <c r="Q503" s="1264">
        <v>480</v>
      </c>
      <c r="R503" s="1258"/>
      <c r="S503" s="1258"/>
      <c r="T503" s="1258"/>
      <c r="U503" s="1264"/>
      <c r="V503" s="1260" t="s">
        <v>7452</v>
      </c>
      <c r="W503" s="1260" t="s">
        <v>7453</v>
      </c>
      <c r="X503" s="1260" t="s">
        <v>7454</v>
      </c>
      <c r="Y503" s="1260" t="s">
        <v>7455</v>
      </c>
      <c r="Z503" s="1261" t="s">
        <v>7456</v>
      </c>
    </row>
    <row r="504" spans="2:26" ht="12.75" customHeight="1" x14ac:dyDescent="0.2">
      <c r="B504" s="2465" t="str">
        <f t="shared" si="7"/>
        <v>Libre acceso90</v>
      </c>
      <c r="C504" s="1262"/>
      <c r="D504" s="1268" t="s">
        <v>918</v>
      </c>
      <c r="E504" s="1258" t="s">
        <v>826</v>
      </c>
      <c r="F504" s="1258">
        <v>90</v>
      </c>
      <c r="G504" s="1269" t="s">
        <v>2234</v>
      </c>
      <c r="H504" s="1269" t="s">
        <v>1763</v>
      </c>
      <c r="I504" s="1270" t="s">
        <v>1918</v>
      </c>
      <c r="J504" s="1258">
        <v>10</v>
      </c>
      <c r="K504" s="1258">
        <v>13</v>
      </c>
      <c r="L504" s="1258">
        <v>15</v>
      </c>
      <c r="M504" s="1264">
        <v>17</v>
      </c>
      <c r="N504" s="1258">
        <v>200</v>
      </c>
      <c r="O504" s="1258">
        <v>250</v>
      </c>
      <c r="P504" s="1258">
        <v>320</v>
      </c>
      <c r="Q504" s="1264">
        <v>400</v>
      </c>
      <c r="R504" s="1258"/>
      <c r="S504" s="1258"/>
      <c r="T504" s="1258"/>
      <c r="U504" s="1264"/>
      <c r="V504" s="1260" t="s">
        <v>5482</v>
      </c>
      <c r="W504" s="1260" t="s">
        <v>5483</v>
      </c>
      <c r="X504" s="1260" t="s">
        <v>5693</v>
      </c>
      <c r="Y504" s="1260" t="s">
        <v>6563</v>
      </c>
      <c r="Z504" s="1261" t="s">
        <v>7457</v>
      </c>
    </row>
    <row r="505" spans="2:26" ht="12.75" customHeight="1" x14ac:dyDescent="0.2">
      <c r="B505" s="2465" t="str">
        <f t="shared" si="7"/>
        <v>Libre acceso90</v>
      </c>
      <c r="C505" s="1262"/>
      <c r="D505" s="1268" t="s">
        <v>919</v>
      </c>
      <c r="E505" s="1258" t="s">
        <v>826</v>
      </c>
      <c r="F505" s="1258">
        <v>90</v>
      </c>
      <c r="G505" s="1269" t="s">
        <v>3090</v>
      </c>
      <c r="H505" s="1269" t="s">
        <v>1763</v>
      </c>
      <c r="I505" s="1270" t="s">
        <v>1918</v>
      </c>
      <c r="J505" s="1258">
        <v>10</v>
      </c>
      <c r="K505" s="1258">
        <v>12</v>
      </c>
      <c r="L505" s="1258">
        <v>14</v>
      </c>
      <c r="M505" s="1264">
        <v>16</v>
      </c>
      <c r="N505" s="1258">
        <v>300</v>
      </c>
      <c r="O505" s="1258">
        <v>360</v>
      </c>
      <c r="P505" s="1258">
        <v>420</v>
      </c>
      <c r="Q505" s="1264">
        <v>480</v>
      </c>
      <c r="R505" s="1258">
        <v>15</v>
      </c>
      <c r="S505" s="1258">
        <v>20</v>
      </c>
      <c r="T505" s="1258">
        <v>25</v>
      </c>
      <c r="U505" s="1264">
        <v>25</v>
      </c>
      <c r="V505" s="1260" t="s">
        <v>6101</v>
      </c>
      <c r="W505" s="1260" t="s">
        <v>7458</v>
      </c>
      <c r="X505" s="1260" t="s">
        <v>7459</v>
      </c>
      <c r="Y505" s="1260" t="s">
        <v>7460</v>
      </c>
      <c r="Z505" s="1261" t="s">
        <v>9698</v>
      </c>
    </row>
    <row r="506" spans="2:26" ht="12.75" customHeight="1" x14ac:dyDescent="0.2">
      <c r="B506" s="2465" t="str">
        <f t="shared" si="7"/>
        <v>Libre acceso90</v>
      </c>
      <c r="C506" s="1262"/>
      <c r="D506" s="1268" t="s">
        <v>920</v>
      </c>
      <c r="E506" s="1258" t="s">
        <v>826</v>
      </c>
      <c r="F506" s="1258">
        <v>90</v>
      </c>
      <c r="G506" s="1269" t="s">
        <v>3090</v>
      </c>
      <c r="H506" s="1269" t="s">
        <v>1763</v>
      </c>
      <c r="I506" s="1270" t="s">
        <v>1918</v>
      </c>
      <c r="J506" s="1258">
        <v>10</v>
      </c>
      <c r="K506" s="1258">
        <v>12</v>
      </c>
      <c r="L506" s="1258">
        <v>14</v>
      </c>
      <c r="M506" s="1264">
        <v>16</v>
      </c>
      <c r="N506" s="1258">
        <v>200</v>
      </c>
      <c r="O506" s="1258">
        <v>240</v>
      </c>
      <c r="P506" s="1258">
        <v>280</v>
      </c>
      <c r="Q506" s="1264">
        <v>320</v>
      </c>
      <c r="R506" s="1258">
        <v>10</v>
      </c>
      <c r="S506" s="1258">
        <v>15</v>
      </c>
      <c r="T506" s="1258">
        <v>15</v>
      </c>
      <c r="U506" s="1264">
        <v>20</v>
      </c>
      <c r="V506" s="1260" t="s">
        <v>5781</v>
      </c>
      <c r="W506" s="1260" t="s">
        <v>5482</v>
      </c>
      <c r="X506" s="1260" t="s">
        <v>5483</v>
      </c>
      <c r="Y506" s="1260" t="s">
        <v>5693</v>
      </c>
      <c r="Z506" s="1261" t="s">
        <v>7461</v>
      </c>
    </row>
    <row r="507" spans="2:26" ht="12.75" customHeight="1" x14ac:dyDescent="0.2">
      <c r="B507" s="2465" t="str">
        <f t="shared" si="7"/>
        <v>Libre acceso90</v>
      </c>
      <c r="C507" s="1262"/>
      <c r="D507" s="1268" t="s">
        <v>921</v>
      </c>
      <c r="E507" s="1258" t="s">
        <v>826</v>
      </c>
      <c r="F507" s="1258">
        <v>90</v>
      </c>
      <c r="G507" s="1269" t="s">
        <v>3090</v>
      </c>
      <c r="H507" s="1269" t="s">
        <v>1763</v>
      </c>
      <c r="I507" s="1270" t="s">
        <v>1918</v>
      </c>
      <c r="J507" s="1258">
        <v>10</v>
      </c>
      <c r="K507" s="1258">
        <v>12</v>
      </c>
      <c r="L507" s="1258">
        <v>14</v>
      </c>
      <c r="M507" s="1264">
        <v>16</v>
      </c>
      <c r="N507" s="1258">
        <v>200</v>
      </c>
      <c r="O507" s="1258">
        <v>300</v>
      </c>
      <c r="P507" s="1258">
        <v>360</v>
      </c>
      <c r="Q507" s="1264">
        <v>420</v>
      </c>
      <c r="R507" s="1258">
        <v>20</v>
      </c>
      <c r="S507" s="1258">
        <v>30</v>
      </c>
      <c r="T507" s="1258">
        <v>40</v>
      </c>
      <c r="U507" s="1264">
        <v>45</v>
      </c>
      <c r="V507" s="1260" t="s">
        <v>7462</v>
      </c>
      <c r="W507" s="1260" t="s">
        <v>7463</v>
      </c>
      <c r="X507" s="1260" t="s">
        <v>7464</v>
      </c>
      <c r="Y507" s="1260" t="s">
        <v>7465</v>
      </c>
      <c r="Z507" s="1261" t="s">
        <v>7466</v>
      </c>
    </row>
    <row r="508" spans="2:26" ht="12.75" customHeight="1" x14ac:dyDescent="0.2">
      <c r="B508" s="2465" t="str">
        <f t="shared" si="7"/>
        <v>Libre acceso90</v>
      </c>
      <c r="C508" s="1262"/>
      <c r="D508" s="1268" t="s">
        <v>922</v>
      </c>
      <c r="E508" s="1258" t="s">
        <v>826</v>
      </c>
      <c r="F508" s="1258">
        <v>90</v>
      </c>
      <c r="G508" s="1269" t="s">
        <v>2234</v>
      </c>
      <c r="H508" s="1269" t="s">
        <v>1764</v>
      </c>
      <c r="I508" s="1270" t="s">
        <v>1918</v>
      </c>
      <c r="J508" s="1258">
        <v>10</v>
      </c>
      <c r="K508" s="1258">
        <v>12</v>
      </c>
      <c r="L508" s="1258">
        <v>14</v>
      </c>
      <c r="M508" s="1264">
        <v>16</v>
      </c>
      <c r="N508" s="1258">
        <v>200</v>
      </c>
      <c r="O508" s="1258">
        <v>280</v>
      </c>
      <c r="P508" s="1258">
        <v>340</v>
      </c>
      <c r="Q508" s="1264">
        <v>400</v>
      </c>
      <c r="R508" s="1258"/>
      <c r="S508" s="1258"/>
      <c r="T508" s="1258"/>
      <c r="U508" s="1264" t="s">
        <v>5702</v>
      </c>
      <c r="V508" s="1260" t="s">
        <v>7467</v>
      </c>
      <c r="W508" s="1260" t="s">
        <v>7468</v>
      </c>
      <c r="X508" s="1260" t="s">
        <v>7469</v>
      </c>
      <c r="Y508" s="1260" t="s">
        <v>7470</v>
      </c>
      <c r="Z508" s="1261" t="s">
        <v>7471</v>
      </c>
    </row>
    <row r="509" spans="2:26" ht="12.75" customHeight="1" x14ac:dyDescent="0.2">
      <c r="B509" s="2465" t="str">
        <f t="shared" si="7"/>
        <v>Libre acceso90</v>
      </c>
      <c r="C509" s="1262"/>
      <c r="D509" s="1268" t="s">
        <v>923</v>
      </c>
      <c r="E509" s="1258" t="s">
        <v>826</v>
      </c>
      <c r="F509" s="1258">
        <v>90</v>
      </c>
      <c r="G509" s="1269" t="s">
        <v>3090</v>
      </c>
      <c r="H509" s="1269" t="s">
        <v>1763</v>
      </c>
      <c r="I509" s="1270" t="s">
        <v>1918</v>
      </c>
      <c r="J509" s="1258">
        <v>10</v>
      </c>
      <c r="K509" s="1258">
        <v>13</v>
      </c>
      <c r="L509" s="1258">
        <v>15</v>
      </c>
      <c r="M509" s="1264">
        <v>17</v>
      </c>
      <c r="N509" s="1258">
        <v>350</v>
      </c>
      <c r="O509" s="1258">
        <v>420</v>
      </c>
      <c r="P509" s="1258">
        <v>480</v>
      </c>
      <c r="Q509" s="1264">
        <v>540</v>
      </c>
      <c r="R509" s="1258">
        <v>70</v>
      </c>
      <c r="S509" s="1258">
        <v>85</v>
      </c>
      <c r="T509" s="1258">
        <v>100</v>
      </c>
      <c r="U509" s="1264">
        <v>110</v>
      </c>
      <c r="V509" s="1260" t="s">
        <v>7212</v>
      </c>
      <c r="W509" s="1260" t="s">
        <v>7472</v>
      </c>
      <c r="X509" s="1260" t="s">
        <v>7473</v>
      </c>
      <c r="Y509" s="1260" t="s">
        <v>7474</v>
      </c>
      <c r="Z509" s="1261" t="s">
        <v>7475</v>
      </c>
    </row>
    <row r="510" spans="2:26" ht="12.75" customHeight="1" x14ac:dyDescent="0.2">
      <c r="B510" s="2465" t="str">
        <f t="shared" si="7"/>
        <v>Libre acceso90</v>
      </c>
      <c r="C510" s="1262"/>
      <c r="D510" s="1268" t="s">
        <v>924</v>
      </c>
      <c r="E510" s="1258" t="s">
        <v>826</v>
      </c>
      <c r="F510" s="1258">
        <v>90</v>
      </c>
      <c r="G510" s="1269" t="s">
        <v>3090</v>
      </c>
      <c r="H510" s="1269" t="s">
        <v>1763</v>
      </c>
      <c r="I510" s="1270" t="s">
        <v>1918</v>
      </c>
      <c r="J510" s="1258">
        <v>10</v>
      </c>
      <c r="K510" s="1258">
        <v>12</v>
      </c>
      <c r="L510" s="1258">
        <v>14</v>
      </c>
      <c r="M510" s="1264">
        <v>16</v>
      </c>
      <c r="N510" s="1258">
        <v>200</v>
      </c>
      <c r="O510" s="1258">
        <v>240</v>
      </c>
      <c r="P510" s="1258">
        <v>280</v>
      </c>
      <c r="Q510" s="1264">
        <v>320</v>
      </c>
      <c r="R510" s="1258">
        <v>10</v>
      </c>
      <c r="S510" s="1258">
        <v>15</v>
      </c>
      <c r="T510" s="1258">
        <v>20</v>
      </c>
      <c r="U510" s="1264">
        <v>20</v>
      </c>
      <c r="V510" s="1260" t="s">
        <v>7476</v>
      </c>
      <c r="W510" s="1260" t="s">
        <v>7477</v>
      </c>
      <c r="X510" s="1260" t="s">
        <v>7478</v>
      </c>
      <c r="Y510" s="1260" t="s">
        <v>7479</v>
      </c>
      <c r="Z510" s="1261" t="s">
        <v>7480</v>
      </c>
    </row>
    <row r="511" spans="2:26" ht="12.75" customHeight="1" x14ac:dyDescent="0.2">
      <c r="B511" s="2465" t="str">
        <f t="shared" si="7"/>
        <v>Libre acceso90</v>
      </c>
      <c r="C511" s="1262"/>
      <c r="D511" s="2564" t="s">
        <v>925</v>
      </c>
      <c r="E511" s="1258" t="s">
        <v>826</v>
      </c>
      <c r="F511" s="1258">
        <v>90</v>
      </c>
      <c r="G511" s="1269" t="s">
        <v>2234</v>
      </c>
      <c r="H511" s="1269" t="s">
        <v>1764</v>
      </c>
      <c r="I511" s="1270" t="s">
        <v>1919</v>
      </c>
      <c r="J511" s="1258">
        <v>10</v>
      </c>
      <c r="K511" s="1258">
        <v>12</v>
      </c>
      <c r="L511" s="1258">
        <v>14</v>
      </c>
      <c r="M511" s="1264">
        <v>16</v>
      </c>
      <c r="N511" s="1258">
        <v>150</v>
      </c>
      <c r="O511" s="1258">
        <v>200</v>
      </c>
      <c r="P511" s="1258">
        <v>240</v>
      </c>
      <c r="Q511" s="1264">
        <v>280</v>
      </c>
      <c r="R511" s="1258"/>
      <c r="S511" s="1258"/>
      <c r="T511" s="1258"/>
      <c r="U511" s="1264" t="s">
        <v>5702</v>
      </c>
      <c r="V511" s="1260" t="s">
        <v>7481</v>
      </c>
      <c r="W511" s="1260" t="s">
        <v>7482</v>
      </c>
      <c r="X511" s="1260" t="s">
        <v>7483</v>
      </c>
      <c r="Y511" s="1260" t="s">
        <v>7484</v>
      </c>
      <c r="Z511" s="1261" t="s">
        <v>7485</v>
      </c>
    </row>
    <row r="512" spans="2:26" ht="12.75" customHeight="1" x14ac:dyDescent="0.2">
      <c r="B512" s="2465" t="str">
        <f t="shared" si="7"/>
        <v>Libre acceso90</v>
      </c>
      <c r="C512" s="1262"/>
      <c r="D512" s="1268" t="s">
        <v>294</v>
      </c>
      <c r="E512" s="1258" t="s">
        <v>826</v>
      </c>
      <c r="F512" s="1258">
        <v>90</v>
      </c>
      <c r="G512" s="1269" t="s">
        <v>2234</v>
      </c>
      <c r="H512" s="1269" t="s">
        <v>1763</v>
      </c>
      <c r="I512" s="1270" t="s">
        <v>1918</v>
      </c>
      <c r="J512" s="1258">
        <v>10</v>
      </c>
      <c r="K512" s="1258">
        <v>12</v>
      </c>
      <c r="L512" s="1258">
        <v>14</v>
      </c>
      <c r="M512" s="1264">
        <v>16</v>
      </c>
      <c r="N512" s="1258">
        <v>300</v>
      </c>
      <c r="O512" s="1258">
        <v>480</v>
      </c>
      <c r="P512" s="1258">
        <v>560</v>
      </c>
      <c r="Q512" s="1264">
        <v>640</v>
      </c>
      <c r="R512" s="1258"/>
      <c r="S512" s="1258"/>
      <c r="T512" s="1258"/>
      <c r="U512" s="1264" t="s">
        <v>5702</v>
      </c>
      <c r="V512" s="1260" t="s">
        <v>7486</v>
      </c>
      <c r="W512" s="1260" t="s">
        <v>7487</v>
      </c>
      <c r="X512" s="1260" t="s">
        <v>7488</v>
      </c>
      <c r="Y512" s="1260" t="s">
        <v>7489</v>
      </c>
      <c r="Z512" s="1261" t="s">
        <v>7490</v>
      </c>
    </row>
    <row r="513" spans="2:26" ht="12.75" customHeight="1" x14ac:dyDescent="0.2">
      <c r="B513" s="2465" t="str">
        <f t="shared" si="7"/>
        <v>Libre acceso90</v>
      </c>
      <c r="C513" s="1262"/>
      <c r="D513" s="1268" t="s">
        <v>926</v>
      </c>
      <c r="E513" s="1258" t="s">
        <v>826</v>
      </c>
      <c r="F513" s="1258">
        <v>90</v>
      </c>
      <c r="G513" s="1269" t="s">
        <v>3090</v>
      </c>
      <c r="H513" s="1269" t="s">
        <v>1763</v>
      </c>
      <c r="I513" s="1270" t="s">
        <v>1918</v>
      </c>
      <c r="J513" s="1258">
        <v>10</v>
      </c>
      <c r="K513" s="1258">
        <v>12</v>
      </c>
      <c r="L513" s="1258">
        <v>14</v>
      </c>
      <c r="M513" s="1264">
        <v>16</v>
      </c>
      <c r="N513" s="1258">
        <v>500</v>
      </c>
      <c r="O513" s="1258">
        <v>600</v>
      </c>
      <c r="P513" s="1258">
        <v>700</v>
      </c>
      <c r="Q513" s="1264">
        <v>800</v>
      </c>
      <c r="R513" s="1258">
        <v>25</v>
      </c>
      <c r="S513" s="1258">
        <v>30</v>
      </c>
      <c r="T513" s="1258">
        <v>35</v>
      </c>
      <c r="U513" s="1264">
        <v>40</v>
      </c>
      <c r="V513" s="1260" t="s">
        <v>7491</v>
      </c>
      <c r="W513" s="1260" t="s">
        <v>7492</v>
      </c>
      <c r="X513" s="1260" t="s">
        <v>7493</v>
      </c>
      <c r="Y513" s="1260" t="s">
        <v>7494</v>
      </c>
      <c r="Z513" s="1261" t="s">
        <v>7495</v>
      </c>
    </row>
    <row r="514" spans="2:26" ht="12.75" customHeight="1" x14ac:dyDescent="0.2">
      <c r="B514" s="2465" t="str">
        <f t="shared" si="7"/>
        <v/>
      </c>
      <c r="C514" s="1262"/>
      <c r="D514" s="1268" t="s">
        <v>7496</v>
      </c>
      <c r="E514" s="1258"/>
      <c r="F514" s="1258"/>
      <c r="G514" s="1269"/>
      <c r="H514" s="1269"/>
      <c r="I514" s="1270"/>
      <c r="J514" s="1258"/>
      <c r="K514" s="1258"/>
      <c r="L514" s="1258"/>
      <c r="M514" s="1264"/>
      <c r="N514" s="1258"/>
      <c r="O514" s="1258"/>
      <c r="P514" s="1258"/>
      <c r="Q514" s="1264"/>
      <c r="R514" s="1258"/>
      <c r="S514" s="1258"/>
      <c r="T514" s="1258"/>
      <c r="U514" s="1264"/>
      <c r="V514" s="1260"/>
      <c r="W514" s="1260"/>
      <c r="X514" s="1260"/>
      <c r="Y514" s="1260"/>
      <c r="Z514" s="1261"/>
    </row>
    <row r="515" spans="2:26" ht="12.75" customHeight="1" x14ac:dyDescent="0.2">
      <c r="B515" s="2465" t="str">
        <f t="shared" si="7"/>
        <v>Libre acceso100</v>
      </c>
      <c r="C515" s="1262"/>
      <c r="D515" s="1268" t="s">
        <v>928</v>
      </c>
      <c r="E515" s="1258" t="s">
        <v>826</v>
      </c>
      <c r="F515" s="1258">
        <v>100</v>
      </c>
      <c r="G515" s="1269" t="s">
        <v>2234</v>
      </c>
      <c r="H515" s="1269" t="s">
        <v>7497</v>
      </c>
      <c r="I515" s="1270" t="s">
        <v>1918</v>
      </c>
      <c r="J515" s="1258">
        <v>10</v>
      </c>
      <c r="K515" s="1258">
        <v>12</v>
      </c>
      <c r="L515" s="1258">
        <v>14</v>
      </c>
      <c r="M515" s="1264">
        <v>16</v>
      </c>
      <c r="N515" s="1258">
        <v>200</v>
      </c>
      <c r="O515" s="1258">
        <v>300</v>
      </c>
      <c r="P515" s="1258">
        <v>360</v>
      </c>
      <c r="Q515" s="1264">
        <v>420</v>
      </c>
      <c r="R515" s="1258"/>
      <c r="S515" s="1258"/>
      <c r="T515" s="1258"/>
      <c r="U515" s="1264" t="s">
        <v>5702</v>
      </c>
      <c r="V515" s="1260" t="s">
        <v>7212</v>
      </c>
      <c r="W515" s="1260" t="s">
        <v>7498</v>
      </c>
      <c r="X515" s="1260" t="s">
        <v>7499</v>
      </c>
      <c r="Y515" s="1260" t="s">
        <v>7500</v>
      </c>
      <c r="Z515" s="1261" t="s">
        <v>7501</v>
      </c>
    </row>
    <row r="516" spans="2:26" ht="12.75" customHeight="1" x14ac:dyDescent="0.2">
      <c r="B516" s="2465" t="str">
        <f t="shared" si="7"/>
        <v>Libre acceso100</v>
      </c>
      <c r="C516" s="1262"/>
      <c r="D516" s="1268" t="s">
        <v>929</v>
      </c>
      <c r="E516" s="1258" t="s">
        <v>826</v>
      </c>
      <c r="F516" s="1258">
        <v>100</v>
      </c>
      <c r="G516" s="1269" t="s">
        <v>3090</v>
      </c>
      <c r="H516" s="1269" t="s">
        <v>1763</v>
      </c>
      <c r="I516" s="1270" t="s">
        <v>1918</v>
      </c>
      <c r="J516" s="1258">
        <v>11</v>
      </c>
      <c r="K516" s="1258">
        <v>13</v>
      </c>
      <c r="L516" s="1258">
        <v>15</v>
      </c>
      <c r="M516" s="1264">
        <v>17</v>
      </c>
      <c r="N516" s="1258">
        <v>300</v>
      </c>
      <c r="O516" s="1258">
        <v>400</v>
      </c>
      <c r="P516" s="1258">
        <v>500</v>
      </c>
      <c r="Q516" s="1264">
        <v>600</v>
      </c>
      <c r="R516" s="1258">
        <v>30</v>
      </c>
      <c r="S516" s="1258">
        <v>40</v>
      </c>
      <c r="T516" s="1258">
        <v>50</v>
      </c>
      <c r="U516" s="1264">
        <v>60</v>
      </c>
      <c r="V516" s="1260" t="s">
        <v>7502</v>
      </c>
      <c r="W516" s="1260" t="s">
        <v>7503</v>
      </c>
      <c r="X516" s="1260" t="s">
        <v>7504</v>
      </c>
      <c r="Y516" s="1260" t="s">
        <v>7505</v>
      </c>
      <c r="Z516" s="1261" t="s">
        <v>7506</v>
      </c>
    </row>
    <row r="517" spans="2:26" ht="12.75" customHeight="1" x14ac:dyDescent="0.2">
      <c r="B517" s="2465" t="str">
        <f t="shared" si="7"/>
        <v>Libre acceso100</v>
      </c>
      <c r="C517" s="1262"/>
      <c r="D517" s="1268" t="s">
        <v>930</v>
      </c>
      <c r="E517" s="1258" t="s">
        <v>826</v>
      </c>
      <c r="F517" s="1258">
        <v>100</v>
      </c>
      <c r="G517" s="1269" t="s">
        <v>2234</v>
      </c>
      <c r="H517" s="1269" t="s">
        <v>1763</v>
      </c>
      <c r="I517" s="1270" t="s">
        <v>1918</v>
      </c>
      <c r="J517" s="1258">
        <v>11</v>
      </c>
      <c r="K517" s="1258">
        <v>13</v>
      </c>
      <c r="L517" s="1258">
        <v>15</v>
      </c>
      <c r="M517" s="1264">
        <v>17</v>
      </c>
      <c r="N517" s="1258">
        <v>200</v>
      </c>
      <c r="O517" s="1258">
        <v>300</v>
      </c>
      <c r="P517" s="1258">
        <v>400</v>
      </c>
      <c r="Q517" s="1264">
        <v>500</v>
      </c>
      <c r="R517" s="1258">
        <v>10</v>
      </c>
      <c r="S517" s="1258">
        <v>15</v>
      </c>
      <c r="T517" s="1258">
        <v>20</v>
      </c>
      <c r="U517" s="1264">
        <v>25</v>
      </c>
      <c r="V517" s="1260" t="s">
        <v>7507</v>
      </c>
      <c r="W517" s="1260" t="s">
        <v>7508</v>
      </c>
      <c r="X517" s="1260" t="s">
        <v>7509</v>
      </c>
      <c r="Y517" s="1260" t="s">
        <v>7510</v>
      </c>
      <c r="Z517" s="1261" t="s">
        <v>7511</v>
      </c>
    </row>
    <row r="518" spans="2:26" ht="12.75" customHeight="1" x14ac:dyDescent="0.2">
      <c r="B518" s="2465" t="str">
        <f t="shared" si="7"/>
        <v>Libre acceso100</v>
      </c>
      <c r="C518" s="1262"/>
      <c r="D518" s="1268" t="s">
        <v>931</v>
      </c>
      <c r="E518" s="1258" t="s">
        <v>826</v>
      </c>
      <c r="F518" s="1258">
        <v>100</v>
      </c>
      <c r="G518" s="1269" t="s">
        <v>2234</v>
      </c>
      <c r="H518" s="1269" t="s">
        <v>1763</v>
      </c>
      <c r="I518" s="1270" t="s">
        <v>1918</v>
      </c>
      <c r="J518" s="1258">
        <v>11</v>
      </c>
      <c r="K518" s="1258">
        <v>13</v>
      </c>
      <c r="L518" s="1258">
        <v>15</v>
      </c>
      <c r="M518" s="1264">
        <v>17</v>
      </c>
      <c r="N518" s="1258">
        <v>200</v>
      </c>
      <c r="O518" s="1258">
        <v>360</v>
      </c>
      <c r="P518" s="1258">
        <v>420</v>
      </c>
      <c r="Q518" s="1264">
        <v>480</v>
      </c>
      <c r="R518" s="1258"/>
      <c r="S518" s="1258"/>
      <c r="T518" s="1258"/>
      <c r="U518" s="1264" t="s">
        <v>5702</v>
      </c>
      <c r="V518" s="1260" t="s">
        <v>7512</v>
      </c>
      <c r="W518" s="1260" t="s">
        <v>7513</v>
      </c>
      <c r="X518" s="1260" t="s">
        <v>7514</v>
      </c>
      <c r="Y518" s="1260" t="s">
        <v>7515</v>
      </c>
      <c r="Z518" s="1261" t="s">
        <v>7516</v>
      </c>
    </row>
    <row r="519" spans="2:26" ht="12.75" customHeight="1" x14ac:dyDescent="0.2">
      <c r="B519" s="2465" t="str">
        <f t="shared" si="7"/>
        <v>Libre acceso100</v>
      </c>
      <c r="C519" s="1262"/>
      <c r="D519" s="1268" t="s">
        <v>932</v>
      </c>
      <c r="E519" s="1258" t="s">
        <v>826</v>
      </c>
      <c r="F519" s="1258">
        <v>100</v>
      </c>
      <c r="G519" s="1269" t="s">
        <v>2234</v>
      </c>
      <c r="H519" s="1269" t="s">
        <v>6219</v>
      </c>
      <c r="I519" s="1270" t="s">
        <v>1918</v>
      </c>
      <c r="J519" s="1258">
        <v>10</v>
      </c>
      <c r="K519" s="1258">
        <v>12</v>
      </c>
      <c r="L519" s="1258">
        <v>14</v>
      </c>
      <c r="M519" s="1264">
        <v>16</v>
      </c>
      <c r="N519" s="1258">
        <v>100</v>
      </c>
      <c r="O519" s="1258">
        <v>150</v>
      </c>
      <c r="P519" s="1258">
        <v>200</v>
      </c>
      <c r="Q519" s="1264">
        <v>250</v>
      </c>
      <c r="R519" s="1258"/>
      <c r="S519" s="1258"/>
      <c r="T519" s="1258"/>
      <c r="U519" s="1264"/>
      <c r="V519" s="1260" t="s">
        <v>5709</v>
      </c>
      <c r="W519" s="1260" t="s">
        <v>5710</v>
      </c>
      <c r="X519" s="1260" t="s">
        <v>5584</v>
      </c>
      <c r="Y519" s="1260" t="s">
        <v>5387</v>
      </c>
      <c r="Z519" s="1261" t="s">
        <v>7517</v>
      </c>
    </row>
    <row r="520" spans="2:26" ht="12.75" customHeight="1" x14ac:dyDescent="0.2">
      <c r="B520" s="2465" t="str">
        <f t="shared" ref="B520:B583" si="8">E520&amp;F520</f>
        <v>Libre acceso100</v>
      </c>
      <c r="C520" s="1262"/>
      <c r="D520" s="1268" t="s">
        <v>933</v>
      </c>
      <c r="E520" s="1258" t="s">
        <v>826</v>
      </c>
      <c r="F520" s="1258">
        <v>100</v>
      </c>
      <c r="G520" s="1269" t="s">
        <v>3090</v>
      </c>
      <c r="H520" s="1269" t="s">
        <v>1763</v>
      </c>
      <c r="I520" s="1270" t="s">
        <v>1918</v>
      </c>
      <c r="J520" s="1258">
        <v>11</v>
      </c>
      <c r="K520" s="1258">
        <v>13</v>
      </c>
      <c r="L520" s="1258">
        <v>15</v>
      </c>
      <c r="M520" s="1264">
        <v>17</v>
      </c>
      <c r="N520" s="1258">
        <v>200</v>
      </c>
      <c r="O520" s="1258">
        <v>360</v>
      </c>
      <c r="P520" s="1258">
        <v>480</v>
      </c>
      <c r="Q520" s="1264">
        <v>600</v>
      </c>
      <c r="R520" s="1258">
        <v>20</v>
      </c>
      <c r="S520" s="1258">
        <v>40</v>
      </c>
      <c r="T520" s="1258">
        <v>50</v>
      </c>
      <c r="U520" s="1264">
        <v>60</v>
      </c>
      <c r="V520" s="1260" t="s">
        <v>7518</v>
      </c>
      <c r="W520" s="1260" t="s">
        <v>7519</v>
      </c>
      <c r="X520" s="1260" t="s">
        <v>7520</v>
      </c>
      <c r="Y520" s="1260" t="s">
        <v>7521</v>
      </c>
      <c r="Z520" s="1261" t="s">
        <v>7522</v>
      </c>
    </row>
    <row r="521" spans="2:26" ht="12.75" customHeight="1" x14ac:dyDescent="0.2">
      <c r="B521" s="2465" t="str">
        <f t="shared" si="8"/>
        <v>Libre acceso100</v>
      </c>
      <c r="C521" s="1262"/>
      <c r="D521" s="1268" t="s">
        <v>934</v>
      </c>
      <c r="E521" s="1258" t="s">
        <v>826</v>
      </c>
      <c r="F521" s="1258">
        <v>100</v>
      </c>
      <c r="G521" s="1269" t="s">
        <v>3090</v>
      </c>
      <c r="H521" s="1269" t="s">
        <v>1763</v>
      </c>
      <c r="I521" s="1270" t="s">
        <v>1918</v>
      </c>
      <c r="J521" s="1258">
        <v>10</v>
      </c>
      <c r="K521" s="1258">
        <v>12</v>
      </c>
      <c r="L521" s="1258">
        <v>14</v>
      </c>
      <c r="M521" s="1264">
        <v>16</v>
      </c>
      <c r="N521" s="1258">
        <v>200</v>
      </c>
      <c r="O521" s="1258">
        <v>300</v>
      </c>
      <c r="P521" s="1258">
        <v>400</v>
      </c>
      <c r="Q521" s="1264">
        <v>500</v>
      </c>
      <c r="R521" s="1258">
        <v>30</v>
      </c>
      <c r="S521" s="1258">
        <v>45</v>
      </c>
      <c r="T521" s="1258">
        <v>60</v>
      </c>
      <c r="U521" s="1264">
        <v>75</v>
      </c>
      <c r="V521" s="1260" t="s">
        <v>7523</v>
      </c>
      <c r="W521" s="1260" t="s">
        <v>7524</v>
      </c>
      <c r="X521" s="1260" t="s">
        <v>7525</v>
      </c>
      <c r="Y521" s="1260" t="s">
        <v>7526</v>
      </c>
      <c r="Z521" s="1261" t="s">
        <v>7527</v>
      </c>
    </row>
    <row r="522" spans="2:26" ht="12.75" customHeight="1" x14ac:dyDescent="0.2">
      <c r="B522" s="2465" t="str">
        <f t="shared" si="8"/>
        <v>Libre acceso100</v>
      </c>
      <c r="C522" s="1262"/>
      <c r="D522" s="1268" t="s">
        <v>935</v>
      </c>
      <c r="E522" s="1258" t="s">
        <v>826</v>
      </c>
      <c r="F522" s="1258">
        <v>100</v>
      </c>
      <c r="G522" s="1269" t="s">
        <v>3090</v>
      </c>
      <c r="H522" s="1269" t="s">
        <v>6219</v>
      </c>
      <c r="I522" s="1270" t="s">
        <v>1918</v>
      </c>
      <c r="J522" s="1258">
        <v>10</v>
      </c>
      <c r="K522" s="1258">
        <v>12</v>
      </c>
      <c r="L522" s="1258">
        <v>14</v>
      </c>
      <c r="M522" s="1264">
        <v>16</v>
      </c>
      <c r="N522" s="1258">
        <v>300</v>
      </c>
      <c r="O522" s="1258">
        <v>400</v>
      </c>
      <c r="P522" s="1258">
        <v>500</v>
      </c>
      <c r="Q522" s="1264">
        <v>600</v>
      </c>
      <c r="R522" s="1258">
        <v>30</v>
      </c>
      <c r="S522" s="1258">
        <v>40</v>
      </c>
      <c r="T522" s="1258">
        <v>50</v>
      </c>
      <c r="U522" s="1264">
        <v>60</v>
      </c>
      <c r="V522" s="1260" t="s">
        <v>5709</v>
      </c>
      <c r="W522" s="1260" t="s">
        <v>5710</v>
      </c>
      <c r="X522" s="1260" t="s">
        <v>5387</v>
      </c>
      <c r="Y522" s="1260" t="s">
        <v>5934</v>
      </c>
      <c r="Z522" s="1261" t="s">
        <v>7528</v>
      </c>
    </row>
    <row r="523" spans="2:26" ht="12.75" customHeight="1" x14ac:dyDescent="0.2">
      <c r="B523" s="2465" t="str">
        <f t="shared" si="8"/>
        <v>Libre acceso100</v>
      </c>
      <c r="C523" s="1262"/>
      <c r="D523" s="1268" t="s">
        <v>936</v>
      </c>
      <c r="E523" s="1258" t="s">
        <v>826</v>
      </c>
      <c r="F523" s="1258">
        <v>100</v>
      </c>
      <c r="G523" s="1269" t="s">
        <v>3090</v>
      </c>
      <c r="H523" s="1269" t="s">
        <v>1764</v>
      </c>
      <c r="I523" s="1270" t="s">
        <v>1918</v>
      </c>
      <c r="J523" s="1258">
        <v>11</v>
      </c>
      <c r="K523" s="1258">
        <v>13</v>
      </c>
      <c r="L523" s="1258">
        <v>15</v>
      </c>
      <c r="M523" s="1264">
        <v>17</v>
      </c>
      <c r="N523" s="1258">
        <v>300</v>
      </c>
      <c r="O523" s="1258">
        <v>360</v>
      </c>
      <c r="P523" s="1258">
        <v>420</v>
      </c>
      <c r="Q523" s="1264">
        <v>480</v>
      </c>
      <c r="R523" s="1258">
        <v>30</v>
      </c>
      <c r="S523" s="1258">
        <v>40</v>
      </c>
      <c r="T523" s="1258">
        <v>45</v>
      </c>
      <c r="U523" s="1264">
        <v>50</v>
      </c>
      <c r="V523" s="1260" t="s">
        <v>7529</v>
      </c>
      <c r="W523" s="1260" t="s">
        <v>7530</v>
      </c>
      <c r="X523" s="1260" t="s">
        <v>7531</v>
      </c>
      <c r="Y523" s="1260" t="s">
        <v>7532</v>
      </c>
      <c r="Z523" s="1261" t="s">
        <v>7533</v>
      </c>
    </row>
    <row r="524" spans="2:26" ht="12.75" customHeight="1" x14ac:dyDescent="0.2">
      <c r="B524" s="2465" t="str">
        <f t="shared" si="8"/>
        <v>Libre acceso100</v>
      </c>
      <c r="C524" s="1262"/>
      <c r="D524" s="1268" t="s">
        <v>937</v>
      </c>
      <c r="E524" s="1258" t="s">
        <v>826</v>
      </c>
      <c r="F524" s="1258">
        <v>100</v>
      </c>
      <c r="G524" s="1269" t="s">
        <v>3090</v>
      </c>
      <c r="H524" s="1269" t="s">
        <v>1764</v>
      </c>
      <c r="I524" s="1270" t="s">
        <v>1918</v>
      </c>
      <c r="J524" s="1258">
        <v>12</v>
      </c>
      <c r="K524" s="1258">
        <v>14</v>
      </c>
      <c r="L524" s="1258">
        <v>16</v>
      </c>
      <c r="M524" s="1264">
        <v>18</v>
      </c>
      <c r="N524" s="1258">
        <v>450</v>
      </c>
      <c r="O524" s="1258">
        <v>600</v>
      </c>
      <c r="P524" s="1258">
        <v>800</v>
      </c>
      <c r="Q524" s="1264">
        <v>1000</v>
      </c>
      <c r="R524" s="1258">
        <v>45</v>
      </c>
      <c r="S524" s="1258">
        <v>60</v>
      </c>
      <c r="T524" s="1258">
        <v>80</v>
      </c>
      <c r="U524" s="1264">
        <v>100</v>
      </c>
      <c r="V524" s="1260" t="s">
        <v>6978</v>
      </c>
      <c r="W524" s="1260" t="s">
        <v>6950</v>
      </c>
      <c r="X524" s="1260" t="s">
        <v>7534</v>
      </c>
      <c r="Y524" s="1260" t="s">
        <v>7535</v>
      </c>
      <c r="Z524" s="1261" t="s">
        <v>7536</v>
      </c>
    </row>
    <row r="525" spans="2:26" ht="12.75" customHeight="1" x14ac:dyDescent="0.2">
      <c r="B525" s="2465" t="str">
        <f t="shared" si="8"/>
        <v>Libre acceso100</v>
      </c>
      <c r="C525" s="1262"/>
      <c r="D525" s="1268" t="s">
        <v>938</v>
      </c>
      <c r="E525" s="1258" t="s">
        <v>826</v>
      </c>
      <c r="F525" s="1258">
        <v>100</v>
      </c>
      <c r="G525" s="1269" t="s">
        <v>3090</v>
      </c>
      <c r="H525" s="1269" t="s">
        <v>1763</v>
      </c>
      <c r="I525" s="1270" t="s">
        <v>1918</v>
      </c>
      <c r="J525" s="1258">
        <v>10</v>
      </c>
      <c r="K525" s="1258">
        <v>12</v>
      </c>
      <c r="L525" s="1258">
        <v>14</v>
      </c>
      <c r="M525" s="1264">
        <v>16</v>
      </c>
      <c r="N525" s="1258">
        <v>200</v>
      </c>
      <c r="O525" s="1258">
        <v>300</v>
      </c>
      <c r="P525" s="1258">
        <v>400</v>
      </c>
      <c r="Q525" s="1264">
        <v>500</v>
      </c>
      <c r="R525" s="1258">
        <v>50</v>
      </c>
      <c r="S525" s="1258">
        <v>60</v>
      </c>
      <c r="T525" s="1258">
        <v>70</v>
      </c>
      <c r="U525" s="1264">
        <v>80</v>
      </c>
      <c r="V525" s="1260" t="s">
        <v>7537</v>
      </c>
      <c r="W525" s="1260" t="s">
        <v>7538</v>
      </c>
      <c r="X525" s="1260" t="s">
        <v>7539</v>
      </c>
      <c r="Y525" s="1260" t="s">
        <v>7540</v>
      </c>
      <c r="Z525" s="1261" t="s">
        <v>7541</v>
      </c>
    </row>
    <row r="526" spans="2:26" ht="12.75" customHeight="1" x14ac:dyDescent="0.2">
      <c r="B526" s="2465" t="str">
        <f t="shared" si="8"/>
        <v>Libre acceso100</v>
      </c>
      <c r="C526" s="1262"/>
      <c r="D526" s="1268" t="s">
        <v>939</v>
      </c>
      <c r="E526" s="1258" t="s">
        <v>826</v>
      </c>
      <c r="F526" s="1258">
        <v>100</v>
      </c>
      <c r="G526" s="1269" t="s">
        <v>2234</v>
      </c>
      <c r="H526" s="1269" t="s">
        <v>1764</v>
      </c>
      <c r="I526" s="1270" t="s">
        <v>1918</v>
      </c>
      <c r="J526" s="1258">
        <v>12</v>
      </c>
      <c r="K526" s="1258">
        <v>15</v>
      </c>
      <c r="L526" s="1258">
        <v>17</v>
      </c>
      <c r="M526" s="1264">
        <v>19</v>
      </c>
      <c r="N526" s="1258">
        <v>600</v>
      </c>
      <c r="O526" s="1258">
        <v>900</v>
      </c>
      <c r="P526" s="1258">
        <v>1200</v>
      </c>
      <c r="Q526" s="1264">
        <v>1500</v>
      </c>
      <c r="R526" s="1258"/>
      <c r="S526" s="1258"/>
      <c r="T526" s="1258"/>
      <c r="U526" s="1264"/>
      <c r="V526" s="1260" t="s">
        <v>5710</v>
      </c>
      <c r="W526" s="1260" t="s">
        <v>7542</v>
      </c>
      <c r="X526" s="1260" t="s">
        <v>5585</v>
      </c>
      <c r="Y526" s="1260" t="s">
        <v>5586</v>
      </c>
      <c r="Z526" s="1261" t="s">
        <v>7543</v>
      </c>
    </row>
    <row r="527" spans="2:26" ht="12.75" customHeight="1" x14ac:dyDescent="0.2">
      <c r="B527" s="2465" t="str">
        <f t="shared" si="8"/>
        <v/>
      </c>
      <c r="C527" s="1262"/>
      <c r="D527" s="1268" t="s">
        <v>940</v>
      </c>
      <c r="E527" s="1258"/>
      <c r="F527" s="1258"/>
      <c r="G527" s="1269"/>
      <c r="H527" s="1269"/>
      <c r="I527" s="1270"/>
      <c r="J527" s="1258"/>
      <c r="K527" s="1258"/>
      <c r="L527" s="1258"/>
      <c r="M527" s="1264"/>
      <c r="N527" s="1258"/>
      <c r="O527" s="1258"/>
      <c r="P527" s="1258"/>
      <c r="Q527" s="1264"/>
      <c r="R527" s="1258"/>
      <c r="S527" s="1258"/>
      <c r="T527" s="1258"/>
      <c r="U527" s="1264"/>
      <c r="V527" s="1260"/>
      <c r="W527" s="1260"/>
      <c r="X527" s="1260"/>
      <c r="Y527" s="1260"/>
      <c r="Z527" s="1261"/>
    </row>
    <row r="528" spans="2:26" ht="12.75" customHeight="1" x14ac:dyDescent="0.2">
      <c r="B528" s="2465" t="str">
        <f t="shared" si="8"/>
        <v>Caos4</v>
      </c>
      <c r="C528" s="1262"/>
      <c r="D528" s="1268" t="s">
        <v>7544</v>
      </c>
      <c r="E528" s="1258" t="s">
        <v>259</v>
      </c>
      <c r="F528" s="1258">
        <v>4</v>
      </c>
      <c r="G528" s="1269" t="s">
        <v>3696</v>
      </c>
      <c r="H528" s="1269" t="s">
        <v>7545</v>
      </c>
      <c r="I528" s="1270" t="s">
        <v>1918</v>
      </c>
      <c r="J528" s="1258">
        <v>5</v>
      </c>
      <c r="K528" s="1258">
        <v>8</v>
      </c>
      <c r="L528" s="1258">
        <v>10</v>
      </c>
      <c r="M528" s="1264">
        <v>12</v>
      </c>
      <c r="N528" s="1258">
        <v>50</v>
      </c>
      <c r="O528" s="1258">
        <v>80</v>
      </c>
      <c r="P528" s="1258">
        <v>100</v>
      </c>
      <c r="Q528" s="1264">
        <v>120</v>
      </c>
      <c r="R528" s="1258">
        <v>5</v>
      </c>
      <c r="S528" s="1258">
        <v>10</v>
      </c>
      <c r="T528" s="1258">
        <v>10</v>
      </c>
      <c r="U528" s="1264">
        <v>12</v>
      </c>
      <c r="V528" s="1260" t="s">
        <v>5612</v>
      </c>
      <c r="W528" s="1260" t="s">
        <v>5472</v>
      </c>
      <c r="X528" s="1260" t="s">
        <v>5571</v>
      </c>
      <c r="Y528" s="1260" t="s">
        <v>7546</v>
      </c>
      <c r="Z528" s="1261" t="s">
        <v>7547</v>
      </c>
    </row>
    <row r="529" spans="2:26" ht="12.75" customHeight="1" x14ac:dyDescent="0.2">
      <c r="B529" s="2465" t="str">
        <f t="shared" si="8"/>
        <v>Caos14</v>
      </c>
      <c r="C529" s="1262"/>
      <c r="D529" s="1268" t="s">
        <v>7548</v>
      </c>
      <c r="E529" s="1258" t="s">
        <v>259</v>
      </c>
      <c r="F529" s="1258">
        <v>14</v>
      </c>
      <c r="G529" s="1269" t="s">
        <v>2234</v>
      </c>
      <c r="H529" s="1269" t="s">
        <v>1763</v>
      </c>
      <c r="I529" s="1270" t="s">
        <v>1918</v>
      </c>
      <c r="J529" s="1258">
        <v>6</v>
      </c>
      <c r="K529" s="1258">
        <v>9</v>
      </c>
      <c r="L529" s="1258">
        <v>12</v>
      </c>
      <c r="M529" s="1264">
        <v>15</v>
      </c>
      <c r="N529" s="1258">
        <v>60</v>
      </c>
      <c r="O529" s="1258">
        <v>90</v>
      </c>
      <c r="P529" s="1258">
        <v>120</v>
      </c>
      <c r="Q529" s="1264">
        <v>150</v>
      </c>
      <c r="R529" s="1258">
        <v>15</v>
      </c>
      <c r="S529" s="1258">
        <v>20</v>
      </c>
      <c r="T529" s="1258">
        <v>25</v>
      </c>
      <c r="U529" s="1264">
        <v>30</v>
      </c>
      <c r="V529" s="1260" t="s">
        <v>7549</v>
      </c>
      <c r="W529" s="1260" t="s">
        <v>7550</v>
      </c>
      <c r="X529" s="1260" t="s">
        <v>7551</v>
      </c>
      <c r="Y529" s="1260" t="s">
        <v>7552</v>
      </c>
      <c r="Z529" s="1261" t="s">
        <v>7553</v>
      </c>
    </row>
    <row r="530" spans="2:26" ht="12.75" customHeight="1" x14ac:dyDescent="0.2">
      <c r="B530" s="2465" t="str">
        <f t="shared" si="8"/>
        <v>Caos24</v>
      </c>
      <c r="C530" s="1262"/>
      <c r="D530" s="1268" t="s">
        <v>7554</v>
      </c>
      <c r="E530" s="1258" t="s">
        <v>259</v>
      </c>
      <c r="F530" s="1258">
        <v>24</v>
      </c>
      <c r="G530" s="1269" t="s">
        <v>2234</v>
      </c>
      <c r="H530" s="1269" t="s">
        <v>1762</v>
      </c>
      <c r="I530" s="1270" t="s">
        <v>1918</v>
      </c>
      <c r="J530" s="1258">
        <v>8</v>
      </c>
      <c r="K530" s="1258">
        <v>10</v>
      </c>
      <c r="L530" s="1258">
        <v>12</v>
      </c>
      <c r="M530" s="1264">
        <v>14</v>
      </c>
      <c r="N530" s="1258">
        <v>80</v>
      </c>
      <c r="O530" s="1258">
        <v>100</v>
      </c>
      <c r="P530" s="1258">
        <v>120</v>
      </c>
      <c r="Q530" s="1264">
        <v>140</v>
      </c>
      <c r="R530" s="1258">
        <v>20</v>
      </c>
      <c r="S530" s="1258">
        <v>20</v>
      </c>
      <c r="T530" s="1258">
        <v>25</v>
      </c>
      <c r="U530" s="1264">
        <v>30</v>
      </c>
      <c r="V530" s="1260" t="s">
        <v>7555</v>
      </c>
      <c r="W530" s="1260" t="s">
        <v>7556</v>
      </c>
      <c r="X530" s="1260" t="s">
        <v>7557</v>
      </c>
      <c r="Y530" s="1260" t="s">
        <v>7558</v>
      </c>
      <c r="Z530" s="1261" t="s">
        <v>7559</v>
      </c>
    </row>
    <row r="531" spans="2:26" ht="12.75" customHeight="1" x14ac:dyDescent="0.2">
      <c r="B531" s="2465" t="str">
        <f t="shared" si="8"/>
        <v>Caos34</v>
      </c>
      <c r="C531" s="1262"/>
      <c r="D531" s="1268" t="s">
        <v>7560</v>
      </c>
      <c r="E531" s="1258" t="s">
        <v>259</v>
      </c>
      <c r="F531" s="1258">
        <v>34</v>
      </c>
      <c r="G531" s="1269" t="s">
        <v>2234</v>
      </c>
      <c r="H531" s="1269" t="s">
        <v>1762</v>
      </c>
      <c r="I531" s="1270" t="s">
        <v>1918</v>
      </c>
      <c r="J531" s="1258">
        <v>8</v>
      </c>
      <c r="K531" s="1258">
        <v>10</v>
      </c>
      <c r="L531" s="1258">
        <v>12</v>
      </c>
      <c r="M531" s="1264">
        <v>14</v>
      </c>
      <c r="N531" s="1258">
        <v>80</v>
      </c>
      <c r="O531" s="1258">
        <v>140</v>
      </c>
      <c r="P531" s="1258">
        <v>250</v>
      </c>
      <c r="Q531" s="1264">
        <v>400</v>
      </c>
      <c r="R531" s="1258">
        <v>10</v>
      </c>
      <c r="S531" s="1258">
        <v>10</v>
      </c>
      <c r="T531" s="1258">
        <v>15</v>
      </c>
      <c r="U531" s="1264">
        <v>15</v>
      </c>
      <c r="V531" s="1260" t="s">
        <v>5709</v>
      </c>
      <c r="W531" s="1260" t="s">
        <v>7561</v>
      </c>
      <c r="X531" s="1260" t="s">
        <v>7562</v>
      </c>
      <c r="Y531" s="1260" t="s">
        <v>5387</v>
      </c>
      <c r="Z531" s="1261" t="s">
        <v>7563</v>
      </c>
    </row>
    <row r="532" spans="2:26" ht="12.75" customHeight="1" x14ac:dyDescent="0.2">
      <c r="B532" s="2465" t="str">
        <f t="shared" si="8"/>
        <v>Caos44</v>
      </c>
      <c r="C532" s="1262"/>
      <c r="D532" s="1268" t="s">
        <v>7564</v>
      </c>
      <c r="E532" s="1258" t="s">
        <v>259</v>
      </c>
      <c r="F532" s="1258">
        <v>44</v>
      </c>
      <c r="G532" s="1269" t="s">
        <v>2234</v>
      </c>
      <c r="H532" s="1269" t="s">
        <v>1762</v>
      </c>
      <c r="I532" s="1270" t="s">
        <v>1918</v>
      </c>
      <c r="J532" s="1258">
        <v>7</v>
      </c>
      <c r="K532" s="1258">
        <v>9</v>
      </c>
      <c r="L532" s="1258">
        <v>12</v>
      </c>
      <c r="M532" s="1264">
        <v>14</v>
      </c>
      <c r="N532" s="1258">
        <v>120</v>
      </c>
      <c r="O532" s="1258">
        <v>180</v>
      </c>
      <c r="P532" s="1258">
        <v>280</v>
      </c>
      <c r="Q532" s="1264">
        <v>400</v>
      </c>
      <c r="R532" s="1258">
        <v>20</v>
      </c>
      <c r="S532" s="1258">
        <v>20</v>
      </c>
      <c r="T532" s="1258">
        <v>25</v>
      </c>
      <c r="U532" s="1264">
        <v>30</v>
      </c>
      <c r="V532" s="1260" t="s">
        <v>7565</v>
      </c>
      <c r="W532" s="1260" t="s">
        <v>7566</v>
      </c>
      <c r="X532" s="1260" t="s">
        <v>7567</v>
      </c>
      <c r="Y532" s="1260" t="s">
        <v>7568</v>
      </c>
      <c r="Z532" s="1261" t="s">
        <v>7569</v>
      </c>
    </row>
    <row r="533" spans="2:26" ht="12.75" customHeight="1" x14ac:dyDescent="0.2">
      <c r="B533" s="2465" t="str">
        <f t="shared" si="8"/>
        <v>Caos54</v>
      </c>
      <c r="C533" s="1262"/>
      <c r="D533" s="1268" t="s">
        <v>7570</v>
      </c>
      <c r="E533" s="1258" t="s">
        <v>259</v>
      </c>
      <c r="F533" s="1258">
        <v>54</v>
      </c>
      <c r="G533" s="1269" t="s">
        <v>2234</v>
      </c>
      <c r="H533" s="1269" t="s">
        <v>1763</v>
      </c>
      <c r="I533" s="1270" t="s">
        <v>1918</v>
      </c>
      <c r="J533" s="1258">
        <v>8</v>
      </c>
      <c r="K533" s="1258">
        <v>10</v>
      </c>
      <c r="L533" s="1258">
        <v>12</v>
      </c>
      <c r="M533" s="1264">
        <v>15</v>
      </c>
      <c r="N533" s="1258">
        <v>120</v>
      </c>
      <c r="O533" s="1258">
        <v>200</v>
      </c>
      <c r="P533" s="1258">
        <v>300</v>
      </c>
      <c r="Q533" s="1264">
        <v>700</v>
      </c>
      <c r="R533" s="1258" t="s">
        <v>2234</v>
      </c>
      <c r="S533" s="1258" t="s">
        <v>2234</v>
      </c>
      <c r="T533" s="1258" t="s">
        <v>2234</v>
      </c>
      <c r="U533" s="1264" t="s">
        <v>2234</v>
      </c>
      <c r="V533" s="1260" t="s">
        <v>5741</v>
      </c>
      <c r="W533" s="1260" t="s">
        <v>5742</v>
      </c>
      <c r="X533" s="1260" t="s">
        <v>5743</v>
      </c>
      <c r="Y533" s="1260" t="s">
        <v>5744</v>
      </c>
      <c r="Z533" s="1261" t="s">
        <v>7571</v>
      </c>
    </row>
    <row r="534" spans="2:26" ht="12.75" customHeight="1" x14ac:dyDescent="0.2">
      <c r="B534" s="2465" t="str">
        <f t="shared" si="8"/>
        <v>Caos64</v>
      </c>
      <c r="C534" s="1262"/>
      <c r="D534" s="1268" t="s">
        <v>7572</v>
      </c>
      <c r="E534" s="1258" t="s">
        <v>259</v>
      </c>
      <c r="F534" s="1258">
        <v>64</v>
      </c>
      <c r="G534" s="1269" t="s">
        <v>2234</v>
      </c>
      <c r="H534" s="1269" t="s">
        <v>1764</v>
      </c>
      <c r="I534" s="1270" t="s">
        <v>1919</v>
      </c>
      <c r="J534" s="1258">
        <v>10</v>
      </c>
      <c r="K534" s="1258">
        <v>12</v>
      </c>
      <c r="L534" s="1258">
        <v>14</v>
      </c>
      <c r="M534" s="1264">
        <v>16</v>
      </c>
      <c r="N534" s="1258">
        <v>100</v>
      </c>
      <c r="O534" s="1258">
        <v>200</v>
      </c>
      <c r="P534" s="1258">
        <v>300</v>
      </c>
      <c r="Q534" s="1264">
        <v>400</v>
      </c>
      <c r="R534" s="1258" t="s">
        <v>2234</v>
      </c>
      <c r="S534" s="1258" t="s">
        <v>2234</v>
      </c>
      <c r="T534" s="1258" t="s">
        <v>2234</v>
      </c>
      <c r="U534" s="1264" t="s">
        <v>2234</v>
      </c>
      <c r="V534" s="1260" t="s">
        <v>5710</v>
      </c>
      <c r="W534" s="1260" t="s">
        <v>7573</v>
      </c>
      <c r="X534" s="1260" t="s">
        <v>7574</v>
      </c>
      <c r="Y534" s="1260" t="s">
        <v>7575</v>
      </c>
      <c r="Z534" s="1261" t="s">
        <v>7576</v>
      </c>
    </row>
    <row r="535" spans="2:26" ht="12.75" customHeight="1" x14ac:dyDescent="0.2">
      <c r="B535" s="2465" t="str">
        <f t="shared" si="8"/>
        <v>Caos74</v>
      </c>
      <c r="C535" s="1262"/>
      <c r="D535" s="1268" t="s">
        <v>7577</v>
      </c>
      <c r="E535" s="1258" t="s">
        <v>259</v>
      </c>
      <c r="F535" s="1258">
        <v>74</v>
      </c>
      <c r="G535" s="1269" t="s">
        <v>2234</v>
      </c>
      <c r="H535" s="1269" t="s">
        <v>1763</v>
      </c>
      <c r="I535" s="1270" t="s">
        <v>1918</v>
      </c>
      <c r="J535" s="1258">
        <v>8</v>
      </c>
      <c r="K535" s="1258">
        <v>11</v>
      </c>
      <c r="L535" s="1258">
        <v>13</v>
      </c>
      <c r="M535" s="1264">
        <v>15</v>
      </c>
      <c r="N535" s="1258">
        <v>200</v>
      </c>
      <c r="O535" s="1258">
        <v>400</v>
      </c>
      <c r="P535" s="1258">
        <v>800</v>
      </c>
      <c r="Q535" s="1264">
        <v>1200</v>
      </c>
      <c r="R535" s="1258" t="s">
        <v>2234</v>
      </c>
      <c r="S535" s="1258" t="s">
        <v>2234</v>
      </c>
      <c r="T535" s="1258" t="s">
        <v>2234</v>
      </c>
      <c r="U535" s="1264" t="s">
        <v>2234</v>
      </c>
      <c r="V535" s="1260" t="s">
        <v>7578</v>
      </c>
      <c r="W535" s="1260" t="s">
        <v>7579</v>
      </c>
      <c r="X535" s="1260" t="s">
        <v>7580</v>
      </c>
      <c r="Y535" s="1260" t="s">
        <v>7581</v>
      </c>
      <c r="Z535" s="1261" t="s">
        <v>7582</v>
      </c>
    </row>
    <row r="536" spans="2:26" ht="12.75" customHeight="1" x14ac:dyDescent="0.2">
      <c r="B536" s="2465" t="str">
        <f t="shared" si="8"/>
        <v>Caos84</v>
      </c>
      <c r="C536" s="1262"/>
      <c r="D536" s="1268" t="s">
        <v>7583</v>
      </c>
      <c r="E536" s="1258" t="s">
        <v>259</v>
      </c>
      <c r="F536" s="1258">
        <v>84</v>
      </c>
      <c r="G536" s="1269" t="s">
        <v>2234</v>
      </c>
      <c r="H536" s="1269" t="s">
        <v>1763</v>
      </c>
      <c r="I536" s="1270" t="s">
        <v>1918</v>
      </c>
      <c r="J536" s="1258">
        <v>11</v>
      </c>
      <c r="K536" s="1258">
        <v>13</v>
      </c>
      <c r="L536" s="1258">
        <v>15</v>
      </c>
      <c r="M536" s="1264">
        <v>17</v>
      </c>
      <c r="N536" s="1258">
        <v>300</v>
      </c>
      <c r="O536" s="1258">
        <v>500</v>
      </c>
      <c r="P536" s="1258">
        <v>800</v>
      </c>
      <c r="Q536" s="1264">
        <v>1200</v>
      </c>
      <c r="R536" s="1258">
        <v>50</v>
      </c>
      <c r="S536" s="1258">
        <v>60</v>
      </c>
      <c r="T536" s="1258">
        <v>67</v>
      </c>
      <c r="U536" s="1264">
        <v>75</v>
      </c>
      <c r="V536" s="1260" t="s">
        <v>7584</v>
      </c>
      <c r="W536" s="1260" t="s">
        <v>7585</v>
      </c>
      <c r="X536" s="1260" t="s">
        <v>7586</v>
      </c>
      <c r="Y536" s="1260" t="s">
        <v>7587</v>
      </c>
      <c r="Z536" s="1261" t="s">
        <v>7588</v>
      </c>
    </row>
    <row r="537" spans="2:26" ht="12.75" customHeight="1" x14ac:dyDescent="0.2">
      <c r="B537" s="2465" t="str">
        <f t="shared" si="8"/>
        <v>Caos94</v>
      </c>
      <c r="C537" s="1262"/>
      <c r="D537" s="1268" t="s">
        <v>7589</v>
      </c>
      <c r="E537" s="1258" t="s">
        <v>259</v>
      </c>
      <c r="F537" s="1258">
        <v>94</v>
      </c>
      <c r="G537" s="1269" t="s">
        <v>3696</v>
      </c>
      <c r="H537" s="1269" t="s">
        <v>1764</v>
      </c>
      <c r="I537" s="1270" t="s">
        <v>1918</v>
      </c>
      <c r="J537" s="1258">
        <v>12</v>
      </c>
      <c r="K537" s="1258">
        <v>14</v>
      </c>
      <c r="L537" s="1258">
        <v>16</v>
      </c>
      <c r="M537" s="1264">
        <v>18</v>
      </c>
      <c r="N537" s="1258">
        <v>500</v>
      </c>
      <c r="O537" s="1258">
        <v>900</v>
      </c>
      <c r="P537" s="1258">
        <v>1500</v>
      </c>
      <c r="Q537" s="1264">
        <v>2400</v>
      </c>
      <c r="R537" s="1258">
        <v>100</v>
      </c>
      <c r="S537" s="1258">
        <v>180</v>
      </c>
      <c r="T537" s="1258">
        <v>300</v>
      </c>
      <c r="U537" s="1264">
        <v>480</v>
      </c>
      <c r="V537" s="1260" t="s">
        <v>7590</v>
      </c>
      <c r="W537" s="1260" t="s">
        <v>7591</v>
      </c>
      <c r="X537" s="1260" t="s">
        <v>7592</v>
      </c>
      <c r="Y537" s="1260" t="s">
        <v>7593</v>
      </c>
      <c r="Z537" s="1261" t="s">
        <v>7594</v>
      </c>
    </row>
    <row r="538" spans="2:26" ht="12.75" customHeight="1" x14ac:dyDescent="0.2">
      <c r="B538" s="2465" t="str">
        <f t="shared" si="8"/>
        <v/>
      </c>
      <c r="C538" s="1262"/>
      <c r="D538" s="1268" t="s">
        <v>951</v>
      </c>
      <c r="E538" s="1258"/>
      <c r="F538" s="1258"/>
      <c r="G538" s="1269"/>
      <c r="H538" s="1269"/>
      <c r="I538" s="1270"/>
      <c r="J538" s="1258"/>
      <c r="K538" s="1258"/>
      <c r="L538" s="1258"/>
      <c r="M538" s="1264"/>
      <c r="N538" s="1258"/>
      <c r="O538" s="1258"/>
      <c r="P538" s="1258"/>
      <c r="Q538" s="1264"/>
      <c r="R538" s="1258"/>
      <c r="S538" s="1258"/>
      <c r="T538" s="1258"/>
      <c r="U538" s="1264"/>
      <c r="V538" s="1260"/>
      <c r="W538" s="1260"/>
      <c r="X538" s="1260"/>
      <c r="Y538" s="1260"/>
      <c r="Z538" s="1261"/>
    </row>
    <row r="539" spans="2:26" ht="12.75" customHeight="1" x14ac:dyDescent="0.2">
      <c r="B539" s="2465" t="str">
        <f t="shared" si="8"/>
        <v>Guerra4</v>
      </c>
      <c r="C539" s="1262"/>
      <c r="D539" s="1268" t="s">
        <v>952</v>
      </c>
      <c r="E539" s="1258" t="s">
        <v>260</v>
      </c>
      <c r="F539" s="1258">
        <v>4</v>
      </c>
      <c r="G539" s="1269" t="s">
        <v>2234</v>
      </c>
      <c r="H539" s="1269" t="s">
        <v>1763</v>
      </c>
      <c r="I539" s="1270" t="s">
        <v>1918</v>
      </c>
      <c r="J539" s="1258">
        <v>5</v>
      </c>
      <c r="K539" s="1258">
        <v>8</v>
      </c>
      <c r="L539" s="1258">
        <v>11</v>
      </c>
      <c r="M539" s="1264">
        <v>13</v>
      </c>
      <c r="N539" s="1258">
        <v>30</v>
      </c>
      <c r="O539" s="1258">
        <v>60</v>
      </c>
      <c r="P539" s="1258">
        <v>90</v>
      </c>
      <c r="Q539" s="1264">
        <v>120</v>
      </c>
      <c r="R539" s="1258" t="s">
        <v>2234</v>
      </c>
      <c r="S539" s="1258" t="s">
        <v>2234</v>
      </c>
      <c r="T539" s="1258" t="s">
        <v>2234</v>
      </c>
      <c r="U539" s="1264" t="s">
        <v>2234</v>
      </c>
      <c r="V539" s="1260" t="s">
        <v>7595</v>
      </c>
      <c r="W539" s="1260" t="s">
        <v>7596</v>
      </c>
      <c r="X539" s="1260" t="s">
        <v>7597</v>
      </c>
      <c r="Y539" s="1260" t="s">
        <v>7598</v>
      </c>
      <c r="Z539" s="1261" t="s">
        <v>7599</v>
      </c>
    </row>
    <row r="540" spans="2:26" ht="12.75" customHeight="1" x14ac:dyDescent="0.2">
      <c r="B540" s="2465" t="str">
        <f t="shared" si="8"/>
        <v>Guerra14</v>
      </c>
      <c r="C540" s="1262"/>
      <c r="D540" s="1268" t="s">
        <v>7600</v>
      </c>
      <c r="E540" s="1258" t="s">
        <v>260</v>
      </c>
      <c r="F540" s="1258">
        <v>14</v>
      </c>
      <c r="G540" s="1269" t="s">
        <v>2234</v>
      </c>
      <c r="H540" s="1269" t="s">
        <v>1763</v>
      </c>
      <c r="I540" s="1270" t="s">
        <v>1918</v>
      </c>
      <c r="J540" s="1258">
        <v>6</v>
      </c>
      <c r="K540" s="1258">
        <v>9</v>
      </c>
      <c r="L540" s="1258">
        <v>12</v>
      </c>
      <c r="M540" s="1264">
        <v>15</v>
      </c>
      <c r="N540" s="1258">
        <v>40</v>
      </c>
      <c r="O540" s="1258">
        <v>70</v>
      </c>
      <c r="P540" s="1258">
        <v>100</v>
      </c>
      <c r="Q540" s="1264">
        <v>130</v>
      </c>
      <c r="R540" s="1258">
        <v>5</v>
      </c>
      <c r="S540" s="1258">
        <v>10</v>
      </c>
      <c r="T540" s="1258">
        <v>10</v>
      </c>
      <c r="U540" s="1264">
        <v>15</v>
      </c>
      <c r="V540" s="1260" t="s">
        <v>7601</v>
      </c>
      <c r="W540" s="1260" t="s">
        <v>7602</v>
      </c>
      <c r="X540" s="1260" t="s">
        <v>7603</v>
      </c>
      <c r="Y540" s="1260" t="s">
        <v>7604</v>
      </c>
      <c r="Z540" s="1261" t="s">
        <v>7605</v>
      </c>
    </row>
    <row r="541" spans="2:26" ht="12.75" customHeight="1" x14ac:dyDescent="0.2">
      <c r="B541" s="2465" t="str">
        <f t="shared" si="8"/>
        <v>Guerra24</v>
      </c>
      <c r="C541" s="1262"/>
      <c r="D541" s="1268" t="s">
        <v>7606</v>
      </c>
      <c r="E541" s="1258" t="s">
        <v>260</v>
      </c>
      <c r="F541" s="1258">
        <v>24</v>
      </c>
      <c r="G541" s="1269" t="s">
        <v>2234</v>
      </c>
      <c r="H541" s="1269" t="s">
        <v>1763</v>
      </c>
      <c r="I541" s="1270" t="s">
        <v>1918</v>
      </c>
      <c r="J541" s="1258">
        <v>6</v>
      </c>
      <c r="K541" s="1258">
        <v>9</v>
      </c>
      <c r="L541" s="1258">
        <v>12</v>
      </c>
      <c r="M541" s="1264">
        <v>15</v>
      </c>
      <c r="N541" s="1258">
        <v>50</v>
      </c>
      <c r="O541" s="1258">
        <v>90</v>
      </c>
      <c r="P541" s="1258">
        <v>120</v>
      </c>
      <c r="Q541" s="1264">
        <v>150</v>
      </c>
      <c r="R541" s="1258">
        <v>5</v>
      </c>
      <c r="S541" s="1258">
        <v>10</v>
      </c>
      <c r="T541" s="1258">
        <v>15</v>
      </c>
      <c r="U541" s="1264">
        <v>15</v>
      </c>
      <c r="V541" s="1260" t="s">
        <v>7607</v>
      </c>
      <c r="W541" s="1260" t="s">
        <v>7608</v>
      </c>
      <c r="X541" s="1260" t="s">
        <v>7609</v>
      </c>
      <c r="Y541" s="1260" t="s">
        <v>7610</v>
      </c>
      <c r="Z541" s="1261" t="s">
        <v>7611</v>
      </c>
    </row>
    <row r="542" spans="2:26" ht="12.75" customHeight="1" x14ac:dyDescent="0.2">
      <c r="B542" s="2465" t="str">
        <f t="shared" si="8"/>
        <v>Guerra34</v>
      </c>
      <c r="C542" s="1262"/>
      <c r="D542" s="1268" t="s">
        <v>7612</v>
      </c>
      <c r="E542" s="1258" t="s">
        <v>260</v>
      </c>
      <c r="F542" s="1258">
        <v>34</v>
      </c>
      <c r="G542" s="1269" t="s">
        <v>2234</v>
      </c>
      <c r="H542" s="1269" t="s">
        <v>1763</v>
      </c>
      <c r="I542" s="1270" t="s">
        <v>1918</v>
      </c>
      <c r="J542" s="1258">
        <v>7</v>
      </c>
      <c r="K542" s="1258">
        <v>9</v>
      </c>
      <c r="L542" s="1258">
        <v>12</v>
      </c>
      <c r="M542" s="1264">
        <v>15</v>
      </c>
      <c r="N542" s="1258">
        <v>80</v>
      </c>
      <c r="O542" s="1258">
        <v>120</v>
      </c>
      <c r="P542" s="1258">
        <v>160</v>
      </c>
      <c r="Q542" s="1264">
        <v>200</v>
      </c>
      <c r="R542" s="1258">
        <v>5</v>
      </c>
      <c r="S542" s="1258">
        <v>15</v>
      </c>
      <c r="T542" s="1258">
        <v>20</v>
      </c>
      <c r="U542" s="1264">
        <v>20</v>
      </c>
      <c r="V542" s="1260" t="s">
        <v>7613</v>
      </c>
      <c r="W542" s="1260" t="s">
        <v>7614</v>
      </c>
      <c r="X542" s="1260" t="s">
        <v>7615</v>
      </c>
      <c r="Y542" s="1260" t="s">
        <v>7616</v>
      </c>
      <c r="Z542" s="1261" t="s">
        <v>7617</v>
      </c>
    </row>
    <row r="543" spans="2:26" ht="12.75" customHeight="1" x14ac:dyDescent="0.2">
      <c r="B543" s="2465" t="str">
        <f t="shared" si="8"/>
        <v>Guerra44</v>
      </c>
      <c r="C543" s="1262"/>
      <c r="D543" s="1268" t="s">
        <v>7618</v>
      </c>
      <c r="E543" s="1258" t="s">
        <v>260</v>
      </c>
      <c r="F543" s="1258">
        <v>44</v>
      </c>
      <c r="G543" s="1269" t="s">
        <v>2234</v>
      </c>
      <c r="H543" s="1269" t="s">
        <v>1763</v>
      </c>
      <c r="I543" s="1270" t="s">
        <v>1918</v>
      </c>
      <c r="J543" s="1258">
        <v>7</v>
      </c>
      <c r="K543" s="1258">
        <v>9</v>
      </c>
      <c r="L543" s="1258">
        <v>12</v>
      </c>
      <c r="M543" s="1264">
        <v>15</v>
      </c>
      <c r="N543" s="1258">
        <v>80</v>
      </c>
      <c r="O543" s="1258">
        <v>120</v>
      </c>
      <c r="P543" s="1258">
        <v>160</v>
      </c>
      <c r="Q543" s="1264">
        <v>200</v>
      </c>
      <c r="R543" s="1258">
        <v>5</v>
      </c>
      <c r="S543" s="1258">
        <v>15</v>
      </c>
      <c r="T543" s="1258">
        <v>20</v>
      </c>
      <c r="U543" s="1264">
        <v>20</v>
      </c>
      <c r="V543" s="1260" t="s">
        <v>7619</v>
      </c>
      <c r="W543" s="1260" t="s">
        <v>7620</v>
      </c>
      <c r="X543" s="1260" t="s">
        <v>7621</v>
      </c>
      <c r="Y543" s="1260" t="s">
        <v>7622</v>
      </c>
      <c r="Z543" s="1261" t="s">
        <v>7623</v>
      </c>
    </row>
    <row r="544" spans="2:26" ht="12.75" customHeight="1" x14ac:dyDescent="0.2">
      <c r="B544" s="2465" t="str">
        <f t="shared" si="8"/>
        <v>Guerra54</v>
      </c>
      <c r="C544" s="1262"/>
      <c r="D544" s="1268" t="s">
        <v>7624</v>
      </c>
      <c r="E544" s="1258" t="s">
        <v>260</v>
      </c>
      <c r="F544" s="1258">
        <v>54</v>
      </c>
      <c r="G544" s="1269" t="s">
        <v>3090</v>
      </c>
      <c r="H544" s="1269" t="s">
        <v>1763</v>
      </c>
      <c r="I544" s="1270" t="s">
        <v>1918</v>
      </c>
      <c r="J544" s="1258">
        <v>6</v>
      </c>
      <c r="K544" s="1258">
        <v>9</v>
      </c>
      <c r="L544" s="1258">
        <v>12</v>
      </c>
      <c r="M544" s="1264">
        <v>15</v>
      </c>
      <c r="N544" s="1258">
        <v>150</v>
      </c>
      <c r="O544" s="1258">
        <v>200</v>
      </c>
      <c r="P544" s="1258">
        <v>250</v>
      </c>
      <c r="Q544" s="1264">
        <v>300</v>
      </c>
      <c r="R544" s="1258">
        <v>30</v>
      </c>
      <c r="S544" s="1258">
        <v>40</v>
      </c>
      <c r="T544" s="1258">
        <v>50</v>
      </c>
      <c r="U544" s="1264">
        <v>100</v>
      </c>
      <c r="V544" s="1260" t="s">
        <v>7601</v>
      </c>
      <c r="W544" s="1260" t="s">
        <v>7602</v>
      </c>
      <c r="X544" s="1260" t="s">
        <v>7625</v>
      </c>
      <c r="Y544" s="1260" t="s">
        <v>7604</v>
      </c>
      <c r="Z544" s="1261" t="s">
        <v>7626</v>
      </c>
    </row>
    <row r="545" spans="2:26" ht="12.75" customHeight="1" x14ac:dyDescent="0.2">
      <c r="B545" s="2465" t="str">
        <f t="shared" si="8"/>
        <v>Guerra64</v>
      </c>
      <c r="C545" s="1262"/>
      <c r="D545" s="1268" t="s">
        <v>958</v>
      </c>
      <c r="E545" s="1258" t="s">
        <v>260</v>
      </c>
      <c r="F545" s="1258">
        <v>64</v>
      </c>
      <c r="G545" s="1269" t="s">
        <v>2234</v>
      </c>
      <c r="H545" s="1269" t="s">
        <v>1763</v>
      </c>
      <c r="I545" s="1270" t="s">
        <v>1918</v>
      </c>
      <c r="J545" s="1258">
        <v>10</v>
      </c>
      <c r="K545" s="1258">
        <v>12</v>
      </c>
      <c r="L545" s="1258">
        <v>14</v>
      </c>
      <c r="M545" s="1264">
        <v>16</v>
      </c>
      <c r="N545" s="1258">
        <v>140</v>
      </c>
      <c r="O545" s="1258">
        <v>180</v>
      </c>
      <c r="P545" s="1258">
        <v>240</v>
      </c>
      <c r="Q545" s="1264">
        <v>350</v>
      </c>
      <c r="R545" s="1258">
        <v>15</v>
      </c>
      <c r="S545" s="1258">
        <v>15</v>
      </c>
      <c r="T545" s="1258">
        <v>20</v>
      </c>
      <c r="U545" s="1264">
        <v>30</v>
      </c>
      <c r="V545" s="1260" t="s">
        <v>7627</v>
      </c>
      <c r="W545" s="1260" t="s">
        <v>7628</v>
      </c>
      <c r="X545" s="1260" t="s">
        <v>7629</v>
      </c>
      <c r="Y545" s="1260" t="s">
        <v>7630</v>
      </c>
      <c r="Z545" s="1261" t="s">
        <v>7631</v>
      </c>
    </row>
    <row r="546" spans="2:26" ht="12.75" customHeight="1" x14ac:dyDescent="0.2">
      <c r="B546" s="2465" t="str">
        <f t="shared" si="8"/>
        <v>Guerra74</v>
      </c>
      <c r="C546" s="1262"/>
      <c r="D546" s="1268" t="s">
        <v>7632</v>
      </c>
      <c r="E546" s="1258" t="s">
        <v>260</v>
      </c>
      <c r="F546" s="1258">
        <v>74</v>
      </c>
      <c r="G546" s="1269" t="s">
        <v>2234</v>
      </c>
      <c r="H546" s="1269" t="s">
        <v>1763</v>
      </c>
      <c r="I546" s="1270" t="s">
        <v>1918</v>
      </c>
      <c r="J546" s="1258">
        <v>8</v>
      </c>
      <c r="K546" s="1258">
        <v>10</v>
      </c>
      <c r="L546" s="1258">
        <v>12</v>
      </c>
      <c r="M546" s="1264">
        <v>15</v>
      </c>
      <c r="N546" s="1258">
        <v>150</v>
      </c>
      <c r="O546" s="1258">
        <v>200</v>
      </c>
      <c r="P546" s="1258">
        <v>250</v>
      </c>
      <c r="Q546" s="1264">
        <v>300</v>
      </c>
      <c r="R546" s="1258" t="s">
        <v>2234</v>
      </c>
      <c r="S546" s="1258" t="s">
        <v>2234</v>
      </c>
      <c r="T546" s="1258" t="s">
        <v>2234</v>
      </c>
      <c r="U546" s="1264" t="s">
        <v>2234</v>
      </c>
      <c r="V546" s="1260" t="s">
        <v>7633</v>
      </c>
      <c r="W546" s="1260" t="s">
        <v>7625</v>
      </c>
      <c r="X546" s="1260" t="s">
        <v>7603</v>
      </c>
      <c r="Y546" s="1260" t="s">
        <v>7604</v>
      </c>
      <c r="Z546" s="1261" t="s">
        <v>7634</v>
      </c>
    </row>
    <row r="547" spans="2:26" ht="12.75" customHeight="1" x14ac:dyDescent="0.2">
      <c r="B547" s="2465" t="str">
        <f t="shared" si="8"/>
        <v>Guerra84</v>
      </c>
      <c r="C547" s="1262"/>
      <c r="D547" s="1268" t="s">
        <v>7635</v>
      </c>
      <c r="E547" s="1258" t="s">
        <v>260</v>
      </c>
      <c r="F547" s="1258">
        <v>84</v>
      </c>
      <c r="G547" s="1269" t="s">
        <v>2234</v>
      </c>
      <c r="H547" s="1269" t="s">
        <v>1763</v>
      </c>
      <c r="I547" s="1270" t="s">
        <v>1919</v>
      </c>
      <c r="J547" s="1258">
        <v>10</v>
      </c>
      <c r="K547" s="1258">
        <v>12</v>
      </c>
      <c r="L547" s="1258">
        <v>15</v>
      </c>
      <c r="M547" s="1264">
        <v>18</v>
      </c>
      <c r="N547" s="1258">
        <v>200</v>
      </c>
      <c r="O547" s="1258">
        <v>300</v>
      </c>
      <c r="P547" s="1258">
        <v>400</v>
      </c>
      <c r="Q547" s="1264">
        <v>500</v>
      </c>
      <c r="R547" s="1258">
        <v>10</v>
      </c>
      <c r="S547" s="1258">
        <v>15</v>
      </c>
      <c r="T547" s="1258">
        <v>20</v>
      </c>
      <c r="U547" s="1264">
        <v>25</v>
      </c>
      <c r="V547" s="1260" t="s">
        <v>7636</v>
      </c>
      <c r="W547" s="1260" t="s">
        <v>7637</v>
      </c>
      <c r="X547" s="1260" t="s">
        <v>7638</v>
      </c>
      <c r="Y547" s="1260" t="s">
        <v>7639</v>
      </c>
      <c r="Z547" s="1261" t="s">
        <v>7640</v>
      </c>
    </row>
    <row r="548" spans="2:26" ht="12.75" customHeight="1" x14ac:dyDescent="0.2">
      <c r="B548" s="2465" t="str">
        <f t="shared" si="8"/>
        <v>Guerra94</v>
      </c>
      <c r="C548" s="1262"/>
      <c r="D548" s="1268" t="s">
        <v>7641</v>
      </c>
      <c r="E548" s="1258" t="s">
        <v>260</v>
      </c>
      <c r="F548" s="1258">
        <v>94</v>
      </c>
      <c r="G548" s="1269" t="s">
        <v>2234</v>
      </c>
      <c r="H548" s="1269" t="s">
        <v>1763</v>
      </c>
      <c r="I548" s="1270" t="s">
        <v>1918</v>
      </c>
      <c r="J548" s="1258">
        <v>14</v>
      </c>
      <c r="K548" s="1258">
        <v>16</v>
      </c>
      <c r="L548" s="1258">
        <v>18</v>
      </c>
      <c r="M548" s="1264">
        <v>20</v>
      </c>
      <c r="N548" s="1258">
        <v>250</v>
      </c>
      <c r="O548" s="1258">
        <v>500</v>
      </c>
      <c r="P548" s="1258">
        <v>750</v>
      </c>
      <c r="Q548" s="1264">
        <v>1000</v>
      </c>
      <c r="R548" s="1258">
        <v>25</v>
      </c>
      <c r="S548" s="1258">
        <v>50</v>
      </c>
      <c r="T548" s="1258">
        <v>75</v>
      </c>
      <c r="U548" s="1264">
        <v>100</v>
      </c>
      <c r="V548" s="1260" t="s">
        <v>7633</v>
      </c>
      <c r="W548" s="1260" t="s">
        <v>7602</v>
      </c>
      <c r="X548" s="1260" t="s">
        <v>7603</v>
      </c>
      <c r="Y548" s="1260" t="s">
        <v>7642</v>
      </c>
      <c r="Z548" s="1261" t="s">
        <v>7643</v>
      </c>
    </row>
    <row r="549" spans="2:26" ht="12.75" customHeight="1" x14ac:dyDescent="0.2">
      <c r="B549" s="2465" t="str">
        <f t="shared" si="8"/>
        <v/>
      </c>
      <c r="C549" s="1262"/>
      <c r="D549" s="1268" t="s">
        <v>962</v>
      </c>
      <c r="E549" s="1258"/>
      <c r="F549" s="1258"/>
      <c r="G549" s="1269"/>
      <c r="H549" s="1269"/>
      <c r="I549" s="1270"/>
      <c r="J549" s="1258"/>
      <c r="K549" s="1258"/>
      <c r="L549" s="1258"/>
      <c r="M549" s="1264"/>
      <c r="N549" s="1258"/>
      <c r="O549" s="1258"/>
      <c r="P549" s="1258"/>
      <c r="Q549" s="1264"/>
      <c r="R549" s="1258"/>
      <c r="S549" s="1258"/>
      <c r="T549" s="1258"/>
      <c r="U549" s="1264"/>
      <c r="V549" s="1260"/>
      <c r="W549" s="1260"/>
      <c r="X549" s="1260"/>
      <c r="Y549" s="1260"/>
      <c r="Z549" s="1261"/>
    </row>
    <row r="550" spans="2:26" ht="12.75" customHeight="1" x14ac:dyDescent="0.2">
      <c r="B550" s="2465" t="str">
        <f t="shared" si="8"/>
        <v>Literae4</v>
      </c>
      <c r="C550" s="1262"/>
      <c r="D550" s="1268" t="s">
        <v>7644</v>
      </c>
      <c r="E550" s="1258" t="s">
        <v>261</v>
      </c>
      <c r="F550" s="1258">
        <v>4</v>
      </c>
      <c r="G550" s="1269" t="s">
        <v>3090</v>
      </c>
      <c r="H550" s="1269" t="s">
        <v>1763</v>
      </c>
      <c r="I550" s="1270" t="s">
        <v>1918</v>
      </c>
      <c r="J550" s="1258">
        <v>5</v>
      </c>
      <c r="K550" s="1258">
        <v>8</v>
      </c>
      <c r="L550" s="1258">
        <v>10</v>
      </c>
      <c r="M550" s="1264">
        <v>12</v>
      </c>
      <c r="N550" s="1258">
        <v>30</v>
      </c>
      <c r="O550" s="1258">
        <v>80</v>
      </c>
      <c r="P550" s="1258">
        <v>100</v>
      </c>
      <c r="Q550" s="1264">
        <v>120</v>
      </c>
      <c r="R550" s="1258">
        <v>5</v>
      </c>
      <c r="S550" s="1258">
        <v>10</v>
      </c>
      <c r="T550" s="1258">
        <v>10</v>
      </c>
      <c r="U550" s="1264">
        <v>15</v>
      </c>
      <c r="V550" s="1260" t="s">
        <v>7645</v>
      </c>
      <c r="W550" s="1260" t="s">
        <v>7646</v>
      </c>
      <c r="X550" s="1260" t="s">
        <v>7647</v>
      </c>
      <c r="Y550" s="1260" t="s">
        <v>7648</v>
      </c>
      <c r="Z550" s="1261" t="s">
        <v>7649</v>
      </c>
    </row>
    <row r="551" spans="2:26" ht="12.75" customHeight="1" x14ac:dyDescent="0.2">
      <c r="B551" s="2465" t="str">
        <f t="shared" si="8"/>
        <v>Literae14</v>
      </c>
      <c r="C551" s="1262"/>
      <c r="D551" s="1268" t="s">
        <v>964</v>
      </c>
      <c r="E551" s="1258" t="s">
        <v>261</v>
      </c>
      <c r="F551" s="1258">
        <v>14</v>
      </c>
      <c r="G551" s="1269" t="s">
        <v>2234</v>
      </c>
      <c r="H551" s="1269" t="s">
        <v>1763</v>
      </c>
      <c r="I551" s="1270" t="s">
        <v>1918</v>
      </c>
      <c r="J551" s="1258">
        <v>6</v>
      </c>
      <c r="K551" s="1258">
        <v>9</v>
      </c>
      <c r="L551" s="1258">
        <v>12</v>
      </c>
      <c r="M551" s="1264">
        <v>15</v>
      </c>
      <c r="N551" s="1258">
        <v>80</v>
      </c>
      <c r="O551" s="1258">
        <v>140</v>
      </c>
      <c r="P551" s="1258">
        <v>200</v>
      </c>
      <c r="Q551" s="1264">
        <v>280</v>
      </c>
      <c r="R551" s="1258" t="s">
        <v>2234</v>
      </c>
      <c r="S551" s="1258" t="s">
        <v>2234</v>
      </c>
      <c r="T551" s="1258" t="s">
        <v>2234</v>
      </c>
      <c r="U551" s="1264" t="s">
        <v>2234</v>
      </c>
      <c r="V551" s="1260" t="s">
        <v>7650</v>
      </c>
      <c r="W551" s="1260" t="s">
        <v>7651</v>
      </c>
      <c r="X551" s="1260" t="s">
        <v>7652</v>
      </c>
      <c r="Y551" s="1260" t="s">
        <v>7653</v>
      </c>
      <c r="Z551" s="1261" t="s">
        <v>7654</v>
      </c>
    </row>
    <row r="552" spans="2:26" ht="12.75" customHeight="1" x14ac:dyDescent="0.2">
      <c r="B552" s="2465" t="str">
        <f t="shared" si="8"/>
        <v>Literae24</v>
      </c>
      <c r="C552" s="1262"/>
      <c r="D552" s="1268" t="s">
        <v>7655</v>
      </c>
      <c r="E552" s="1258" t="s">
        <v>261</v>
      </c>
      <c r="F552" s="1258">
        <v>24</v>
      </c>
      <c r="G552" s="1269" t="s">
        <v>3090</v>
      </c>
      <c r="H552" s="1269" t="s">
        <v>1763</v>
      </c>
      <c r="I552" s="1270" t="s">
        <v>1918</v>
      </c>
      <c r="J552" s="1258">
        <v>6</v>
      </c>
      <c r="K552" s="1258">
        <v>9</v>
      </c>
      <c r="L552" s="1258">
        <v>12</v>
      </c>
      <c r="M552" s="1264">
        <v>15</v>
      </c>
      <c r="N552" s="1258">
        <v>100</v>
      </c>
      <c r="O552" s="1258">
        <v>180</v>
      </c>
      <c r="P552" s="1258">
        <v>240</v>
      </c>
      <c r="Q552" s="1264">
        <v>300</v>
      </c>
      <c r="R552" s="1258">
        <v>15</v>
      </c>
      <c r="S552" s="1258">
        <v>20</v>
      </c>
      <c r="T552" s="1258">
        <v>25</v>
      </c>
      <c r="U552" s="1264">
        <v>30</v>
      </c>
      <c r="V552" s="1260" t="s">
        <v>2618</v>
      </c>
      <c r="W552" s="1260" t="s">
        <v>2620</v>
      </c>
      <c r="X552" s="1260" t="s">
        <v>2621</v>
      </c>
      <c r="Y552" s="1260" t="s">
        <v>7656</v>
      </c>
      <c r="Z552" s="1261" t="s">
        <v>7657</v>
      </c>
    </row>
    <row r="553" spans="2:26" ht="12.75" customHeight="1" x14ac:dyDescent="0.2">
      <c r="B553" s="2465" t="str">
        <f t="shared" si="8"/>
        <v>Literae34</v>
      </c>
      <c r="C553" s="1262"/>
      <c r="D553" s="1268" t="s">
        <v>7658</v>
      </c>
      <c r="E553" s="1258" t="s">
        <v>261</v>
      </c>
      <c r="F553" s="1258">
        <v>34</v>
      </c>
      <c r="G553" s="1269" t="s">
        <v>2234</v>
      </c>
      <c r="H553" s="1269" t="s">
        <v>1764</v>
      </c>
      <c r="I553" s="1270" t="s">
        <v>1918</v>
      </c>
      <c r="J553" s="1258">
        <v>6</v>
      </c>
      <c r="K553" s="1258">
        <v>9</v>
      </c>
      <c r="L553" s="1258">
        <v>12</v>
      </c>
      <c r="M553" s="1264">
        <v>15</v>
      </c>
      <c r="N553" s="1258">
        <v>120</v>
      </c>
      <c r="O553" s="1258">
        <v>240</v>
      </c>
      <c r="P553" s="1258">
        <v>360</v>
      </c>
      <c r="Q553" s="1264">
        <v>480</v>
      </c>
      <c r="R553" s="1258" t="s">
        <v>2234</v>
      </c>
      <c r="S553" s="1258" t="s">
        <v>2234</v>
      </c>
      <c r="T553" s="1258" t="s">
        <v>2234</v>
      </c>
      <c r="U553" s="1264" t="s">
        <v>2234</v>
      </c>
      <c r="V553" s="1260" t="s">
        <v>5725</v>
      </c>
      <c r="W553" s="1260" t="s">
        <v>6891</v>
      </c>
      <c r="X553" s="1260" t="s">
        <v>5726</v>
      </c>
      <c r="Y553" s="1260" t="s">
        <v>6892</v>
      </c>
      <c r="Z553" s="1261" t="s">
        <v>7659</v>
      </c>
    </row>
    <row r="554" spans="2:26" ht="12.75" customHeight="1" x14ac:dyDescent="0.2">
      <c r="B554" s="2465" t="str">
        <f t="shared" si="8"/>
        <v>Literae44</v>
      </c>
      <c r="C554" s="1262"/>
      <c r="D554" s="1268" t="s">
        <v>7660</v>
      </c>
      <c r="E554" s="1258" t="s">
        <v>261</v>
      </c>
      <c r="F554" s="1258">
        <v>44</v>
      </c>
      <c r="G554" s="1269" t="s">
        <v>2234</v>
      </c>
      <c r="H554" s="1269" t="s">
        <v>2431</v>
      </c>
      <c r="I554" s="1270" t="s">
        <v>1919</v>
      </c>
      <c r="J554" s="1258">
        <v>8</v>
      </c>
      <c r="K554" s="1258">
        <v>10</v>
      </c>
      <c r="L554" s="1258">
        <v>12</v>
      </c>
      <c r="M554" s="1264">
        <v>15</v>
      </c>
      <c r="N554" s="1258">
        <v>150</v>
      </c>
      <c r="O554" s="1258">
        <v>200</v>
      </c>
      <c r="P554" s="1258">
        <v>250</v>
      </c>
      <c r="Q554" s="1264">
        <v>300</v>
      </c>
      <c r="R554" s="1258">
        <v>15</v>
      </c>
      <c r="S554" s="1258">
        <v>20</v>
      </c>
      <c r="T554" s="1258">
        <v>25</v>
      </c>
      <c r="U554" s="1264">
        <v>30</v>
      </c>
      <c r="V554" s="1260" t="s">
        <v>7661</v>
      </c>
      <c r="W554" s="1260" t="s">
        <v>7662</v>
      </c>
      <c r="X554" s="1260" t="s">
        <v>7663</v>
      </c>
      <c r="Y554" s="1260" t="s">
        <v>6560</v>
      </c>
      <c r="Z554" s="1261" t="s">
        <v>7664</v>
      </c>
    </row>
    <row r="555" spans="2:26" ht="12.75" customHeight="1" x14ac:dyDescent="0.2">
      <c r="B555" s="2465" t="str">
        <f t="shared" si="8"/>
        <v>Literae54</v>
      </c>
      <c r="C555" s="1262"/>
      <c r="D555" s="1268" t="s">
        <v>7665</v>
      </c>
      <c r="E555" s="1258" t="s">
        <v>261</v>
      </c>
      <c r="F555" s="1258">
        <v>54</v>
      </c>
      <c r="G555" s="1269" t="s">
        <v>2234</v>
      </c>
      <c r="H555" s="1269" t="s">
        <v>1764</v>
      </c>
      <c r="I555" s="1270" t="s">
        <v>1918</v>
      </c>
      <c r="J555" s="1258">
        <v>6</v>
      </c>
      <c r="K555" s="1258">
        <v>9</v>
      </c>
      <c r="L555" s="1258">
        <v>12</v>
      </c>
      <c r="M555" s="1264">
        <v>15</v>
      </c>
      <c r="N555" s="1258">
        <v>240</v>
      </c>
      <c r="O555" s="1258">
        <v>360</v>
      </c>
      <c r="P555" s="1258">
        <v>480</v>
      </c>
      <c r="Q555" s="1264">
        <v>600</v>
      </c>
      <c r="R555" s="1258">
        <v>15</v>
      </c>
      <c r="S555" s="1258">
        <v>20</v>
      </c>
      <c r="T555" s="1258">
        <v>25</v>
      </c>
      <c r="U555" s="1264">
        <v>30</v>
      </c>
      <c r="V555" s="1260" t="s">
        <v>7666</v>
      </c>
      <c r="W555" s="1260" t="s">
        <v>7667</v>
      </c>
      <c r="X555" s="1260" t="s">
        <v>7668</v>
      </c>
      <c r="Y555" s="1260" t="s">
        <v>7669</v>
      </c>
      <c r="Z555" s="1261" t="s">
        <v>7670</v>
      </c>
    </row>
    <row r="556" spans="2:26" ht="12.75" customHeight="1" x14ac:dyDescent="0.2">
      <c r="B556" s="2465" t="str">
        <f t="shared" si="8"/>
        <v>Literae64</v>
      </c>
      <c r="C556" s="1262"/>
      <c r="D556" s="1268" t="s">
        <v>969</v>
      </c>
      <c r="E556" s="1258" t="s">
        <v>261</v>
      </c>
      <c r="F556" s="1258">
        <v>64</v>
      </c>
      <c r="G556" s="1269" t="s">
        <v>3090</v>
      </c>
      <c r="H556" s="1269" t="s">
        <v>1763</v>
      </c>
      <c r="I556" s="1270" t="s">
        <v>1918</v>
      </c>
      <c r="J556" s="1258">
        <v>7</v>
      </c>
      <c r="K556" s="1258">
        <v>10</v>
      </c>
      <c r="L556" s="1258">
        <v>13</v>
      </c>
      <c r="M556" s="1264">
        <v>15</v>
      </c>
      <c r="N556" s="1258">
        <v>120</v>
      </c>
      <c r="O556" s="1258">
        <v>260</v>
      </c>
      <c r="P556" s="1258">
        <v>380</v>
      </c>
      <c r="Q556" s="1264">
        <v>500</v>
      </c>
      <c r="R556" s="1258">
        <v>10</v>
      </c>
      <c r="S556" s="1258">
        <v>20</v>
      </c>
      <c r="T556" s="1258">
        <v>30</v>
      </c>
      <c r="U556" s="1264">
        <v>40</v>
      </c>
      <c r="V556" s="1260" t="s">
        <v>7671</v>
      </c>
      <c r="W556" s="1260" t="s">
        <v>7672</v>
      </c>
      <c r="X556" s="1260" t="s">
        <v>7673</v>
      </c>
      <c r="Y556" s="1260" t="s">
        <v>7674</v>
      </c>
      <c r="Z556" s="1261" t="s">
        <v>7675</v>
      </c>
    </row>
    <row r="557" spans="2:26" ht="12.75" customHeight="1" x14ac:dyDescent="0.2">
      <c r="B557" s="2465" t="str">
        <f t="shared" si="8"/>
        <v>Literae74</v>
      </c>
      <c r="C557" s="1262"/>
      <c r="D557" s="1268" t="s">
        <v>970</v>
      </c>
      <c r="E557" s="1258" t="s">
        <v>261</v>
      </c>
      <c r="F557" s="1258">
        <v>74</v>
      </c>
      <c r="G557" s="1269" t="s">
        <v>2234</v>
      </c>
      <c r="H557" s="1269" t="s">
        <v>1763</v>
      </c>
      <c r="I557" s="1270" t="s">
        <v>1918</v>
      </c>
      <c r="J557" s="1258">
        <v>10</v>
      </c>
      <c r="K557" s="1258">
        <v>12</v>
      </c>
      <c r="L557" s="1258">
        <v>14</v>
      </c>
      <c r="M557" s="1264">
        <v>16</v>
      </c>
      <c r="N557" s="1258">
        <v>280</v>
      </c>
      <c r="O557" s="1258">
        <v>320</v>
      </c>
      <c r="P557" s="1258">
        <v>480</v>
      </c>
      <c r="Q557" s="1264">
        <v>700</v>
      </c>
      <c r="R557" s="1258" t="s">
        <v>2234</v>
      </c>
      <c r="S557" s="1258" t="s">
        <v>2234</v>
      </c>
      <c r="T557" s="1258" t="s">
        <v>2234</v>
      </c>
      <c r="U557" s="1264" t="s">
        <v>2234</v>
      </c>
      <c r="V557" s="1260" t="s">
        <v>5655</v>
      </c>
      <c r="W557" s="1260" t="s">
        <v>5482</v>
      </c>
      <c r="X557" s="1260" t="s">
        <v>5693</v>
      </c>
      <c r="Y557" s="1260" t="s">
        <v>5694</v>
      </c>
      <c r="Z557" s="1261" t="s">
        <v>7676</v>
      </c>
    </row>
    <row r="558" spans="2:26" ht="12.75" customHeight="1" x14ac:dyDescent="0.2">
      <c r="B558" s="2465" t="str">
        <f t="shared" si="8"/>
        <v>Literae84</v>
      </c>
      <c r="C558" s="1262"/>
      <c r="D558" s="1268" t="s">
        <v>971</v>
      </c>
      <c r="E558" s="1258" t="s">
        <v>261</v>
      </c>
      <c r="F558" s="1258">
        <v>84</v>
      </c>
      <c r="G558" s="1269" t="s">
        <v>3090</v>
      </c>
      <c r="H558" s="1269" t="s">
        <v>1763</v>
      </c>
      <c r="I558" s="1270" t="s">
        <v>1918</v>
      </c>
      <c r="J558" s="1258">
        <v>10</v>
      </c>
      <c r="K558" s="1258">
        <v>12</v>
      </c>
      <c r="L558" s="1258">
        <v>14</v>
      </c>
      <c r="M558" s="1264">
        <v>17</v>
      </c>
      <c r="N558" s="1258">
        <v>400</v>
      </c>
      <c r="O558" s="1258">
        <v>600</v>
      </c>
      <c r="P558" s="1258">
        <v>800</v>
      </c>
      <c r="Q558" s="1264">
        <v>1200</v>
      </c>
      <c r="R558" s="1258">
        <v>40</v>
      </c>
      <c r="S558" s="1258">
        <v>60</v>
      </c>
      <c r="T558" s="1258">
        <v>80</v>
      </c>
      <c r="U558" s="1264">
        <v>120</v>
      </c>
      <c r="V558" s="1260" t="s">
        <v>5741</v>
      </c>
      <c r="W558" s="1260" t="s">
        <v>5787</v>
      </c>
      <c r="X558" s="1260" t="s">
        <v>7677</v>
      </c>
      <c r="Y558" s="1260" t="s">
        <v>6634</v>
      </c>
      <c r="Z558" s="1261" t="s">
        <v>7678</v>
      </c>
    </row>
    <row r="559" spans="2:26" ht="12.75" customHeight="1" x14ac:dyDescent="0.2">
      <c r="B559" s="2465" t="str">
        <f t="shared" si="8"/>
        <v>Literae94</v>
      </c>
      <c r="C559" s="1262"/>
      <c r="D559" s="1268" t="s">
        <v>972</v>
      </c>
      <c r="E559" s="1258" t="s">
        <v>261</v>
      </c>
      <c r="F559" s="1258">
        <v>94</v>
      </c>
      <c r="G559" s="1269" t="s">
        <v>2234</v>
      </c>
      <c r="H559" s="1269" t="s">
        <v>1764</v>
      </c>
      <c r="I559" s="1270" t="s">
        <v>1918</v>
      </c>
      <c r="J559" s="1258">
        <v>12</v>
      </c>
      <c r="K559" s="1258">
        <v>15</v>
      </c>
      <c r="L559" s="1258">
        <v>17</v>
      </c>
      <c r="M559" s="1264">
        <v>19</v>
      </c>
      <c r="N559" s="1258">
        <v>500</v>
      </c>
      <c r="O559" s="1258">
        <v>900</v>
      </c>
      <c r="P559" s="1258">
        <v>1400</v>
      </c>
      <c r="Q559" s="1264">
        <v>2500</v>
      </c>
      <c r="R559" s="1258" t="s">
        <v>2234</v>
      </c>
      <c r="S559" s="1258" t="s">
        <v>2234</v>
      </c>
      <c r="T559" s="1258" t="s">
        <v>2234</v>
      </c>
      <c r="U559" s="1264" t="s">
        <v>2234</v>
      </c>
      <c r="V559" s="1260" t="s">
        <v>5709</v>
      </c>
      <c r="W559" s="1260" t="s">
        <v>5710</v>
      </c>
      <c r="X559" s="1260" t="s">
        <v>5584</v>
      </c>
      <c r="Y559" s="1260" t="s">
        <v>5387</v>
      </c>
      <c r="Z559" s="1261" t="s">
        <v>7679</v>
      </c>
    </row>
    <row r="560" spans="2:26" ht="12.75" customHeight="1" x14ac:dyDescent="0.2">
      <c r="B560" s="2465" t="str">
        <f t="shared" si="8"/>
        <v/>
      </c>
      <c r="C560" s="1262"/>
      <c r="D560" s="1268" t="s">
        <v>973</v>
      </c>
      <c r="E560" s="1258"/>
      <c r="F560" s="1258"/>
      <c r="G560" s="1269"/>
      <c r="H560" s="1269"/>
      <c r="I560" s="1270"/>
      <c r="J560" s="1258"/>
      <c r="K560" s="1258"/>
      <c r="L560" s="1258"/>
      <c r="M560" s="1264"/>
      <c r="N560" s="1258"/>
      <c r="O560" s="1258"/>
      <c r="P560" s="1258"/>
      <c r="Q560" s="1264"/>
      <c r="R560" s="1258"/>
      <c r="S560" s="1258"/>
      <c r="T560" s="1258"/>
      <c r="U560" s="1264"/>
      <c r="V560" s="1260"/>
      <c r="W560" s="1260"/>
      <c r="X560" s="1260"/>
      <c r="Y560" s="1260"/>
      <c r="Z560" s="1261"/>
    </row>
    <row r="561" spans="2:26" ht="12.75" customHeight="1" x14ac:dyDescent="0.2">
      <c r="B561" s="2465" t="str">
        <f t="shared" si="8"/>
        <v>Muerte4</v>
      </c>
      <c r="C561" s="1262"/>
      <c r="D561" s="1268" t="s">
        <v>974</v>
      </c>
      <c r="E561" s="1258" t="s">
        <v>262</v>
      </c>
      <c r="F561" s="1258">
        <v>4</v>
      </c>
      <c r="G561" s="1269" t="s">
        <v>2234</v>
      </c>
      <c r="H561" s="1269" t="s">
        <v>1763</v>
      </c>
      <c r="I561" s="1270" t="s">
        <v>1918</v>
      </c>
      <c r="J561" s="1258">
        <v>4</v>
      </c>
      <c r="K561" s="1258">
        <v>8</v>
      </c>
      <c r="L561" s="1258">
        <v>10</v>
      </c>
      <c r="M561" s="1264">
        <v>12</v>
      </c>
      <c r="N561" s="1258">
        <v>50</v>
      </c>
      <c r="O561" s="1258">
        <v>80</v>
      </c>
      <c r="P561" s="1258">
        <v>100</v>
      </c>
      <c r="Q561" s="1264">
        <v>120</v>
      </c>
      <c r="R561" s="1258" t="s">
        <v>2234</v>
      </c>
      <c r="S561" s="1258" t="s">
        <v>2234</v>
      </c>
      <c r="T561" s="1258" t="s">
        <v>2234</v>
      </c>
      <c r="U561" s="1264" t="s">
        <v>2234</v>
      </c>
      <c r="V561" s="1260" t="s">
        <v>2613</v>
      </c>
      <c r="W561" s="1260" t="s">
        <v>2618</v>
      </c>
      <c r="X561" s="1260" t="s">
        <v>2620</v>
      </c>
      <c r="Y561" s="1260" t="s">
        <v>2621</v>
      </c>
      <c r="Z561" s="1261" t="s">
        <v>7680</v>
      </c>
    </row>
    <row r="562" spans="2:26" ht="12.75" customHeight="1" x14ac:dyDescent="0.2">
      <c r="B562" s="2465" t="str">
        <f t="shared" si="8"/>
        <v>Muerte14</v>
      </c>
      <c r="C562" s="1262"/>
      <c r="D562" s="1268" t="s">
        <v>7681</v>
      </c>
      <c r="E562" s="1258" t="s">
        <v>262</v>
      </c>
      <c r="F562" s="1258">
        <v>14</v>
      </c>
      <c r="G562" s="1269" t="s">
        <v>3696</v>
      </c>
      <c r="H562" s="1269" t="s">
        <v>1763</v>
      </c>
      <c r="I562" s="1270" t="s">
        <v>1919</v>
      </c>
      <c r="J562" s="1258">
        <v>6</v>
      </c>
      <c r="K562" s="1258">
        <v>9</v>
      </c>
      <c r="L562" s="1258">
        <v>12</v>
      </c>
      <c r="M562" s="1264">
        <v>14</v>
      </c>
      <c r="N562" s="1258">
        <v>60</v>
      </c>
      <c r="O562" s="1258">
        <v>90</v>
      </c>
      <c r="P562" s="1258">
        <v>120</v>
      </c>
      <c r="Q562" s="1264">
        <v>140</v>
      </c>
      <c r="R562" s="1258">
        <v>10</v>
      </c>
      <c r="S562" s="1258">
        <v>10</v>
      </c>
      <c r="T562" s="1258">
        <v>15</v>
      </c>
      <c r="U562" s="1264">
        <v>15</v>
      </c>
      <c r="V562" s="1260" t="s">
        <v>7682</v>
      </c>
      <c r="W562" s="1260" t="s">
        <v>7683</v>
      </c>
      <c r="X562" s="1260" t="s">
        <v>7684</v>
      </c>
      <c r="Y562" s="1260" t="s">
        <v>7685</v>
      </c>
      <c r="Z562" s="1261" t="s">
        <v>7686</v>
      </c>
    </row>
    <row r="563" spans="2:26" ht="12.75" customHeight="1" x14ac:dyDescent="0.2">
      <c r="B563" s="2465" t="str">
        <f t="shared" si="8"/>
        <v>Muerte24</v>
      </c>
      <c r="C563" s="1262"/>
      <c r="D563" s="1268" t="s">
        <v>976</v>
      </c>
      <c r="E563" s="1258" t="s">
        <v>262</v>
      </c>
      <c r="F563" s="1258">
        <v>24</v>
      </c>
      <c r="G563" s="1269" t="s">
        <v>2234</v>
      </c>
      <c r="H563" s="1269" t="s">
        <v>6107</v>
      </c>
      <c r="I563" s="1270" t="s">
        <v>1918</v>
      </c>
      <c r="J563" s="1258">
        <v>7</v>
      </c>
      <c r="K563" s="1258">
        <v>9</v>
      </c>
      <c r="L563" s="1258">
        <v>11</v>
      </c>
      <c r="M563" s="1264">
        <v>13</v>
      </c>
      <c r="N563" s="1258">
        <v>80</v>
      </c>
      <c r="O563" s="1258">
        <v>100</v>
      </c>
      <c r="P563" s="1258">
        <v>120</v>
      </c>
      <c r="Q563" s="1264">
        <v>140</v>
      </c>
      <c r="R563" s="1258" t="s">
        <v>2234</v>
      </c>
      <c r="S563" s="1258" t="s">
        <v>2234</v>
      </c>
      <c r="T563" s="1258" t="s">
        <v>2234</v>
      </c>
      <c r="U563" s="1264" t="s">
        <v>2234</v>
      </c>
      <c r="V563" s="1260" t="s">
        <v>7687</v>
      </c>
      <c r="W563" s="1260" t="s">
        <v>7399</v>
      </c>
      <c r="X563" s="1260" t="s">
        <v>7688</v>
      </c>
      <c r="Y563" s="1260" t="s">
        <v>7689</v>
      </c>
      <c r="Z563" s="1261" t="s">
        <v>7690</v>
      </c>
    </row>
    <row r="564" spans="2:26" ht="12.75" customHeight="1" x14ac:dyDescent="0.2">
      <c r="B564" s="2465" t="str">
        <f t="shared" si="8"/>
        <v>Muerte34</v>
      </c>
      <c r="C564" s="1262"/>
      <c r="D564" s="1268" t="s">
        <v>977</v>
      </c>
      <c r="E564" s="1258" t="s">
        <v>262</v>
      </c>
      <c r="F564" s="1258">
        <v>34</v>
      </c>
      <c r="G564" s="1269" t="s">
        <v>2234</v>
      </c>
      <c r="H564" s="1269" t="s">
        <v>1764</v>
      </c>
      <c r="I564" s="1270" t="s">
        <v>1918</v>
      </c>
      <c r="J564" s="1258">
        <v>7</v>
      </c>
      <c r="K564" s="1258">
        <v>9</v>
      </c>
      <c r="L564" s="1258">
        <v>11</v>
      </c>
      <c r="M564" s="1264">
        <v>13</v>
      </c>
      <c r="N564" s="1258">
        <v>60</v>
      </c>
      <c r="O564" s="1258">
        <v>80</v>
      </c>
      <c r="P564" s="1258">
        <v>100</v>
      </c>
      <c r="Q564" s="1264">
        <v>120</v>
      </c>
      <c r="R564" s="1258" t="s">
        <v>2234</v>
      </c>
      <c r="S564" s="1258" t="s">
        <v>2234</v>
      </c>
      <c r="T564" s="1258" t="s">
        <v>2234</v>
      </c>
      <c r="U564" s="1264" t="s">
        <v>2234</v>
      </c>
      <c r="V564" s="1260" t="s">
        <v>5710</v>
      </c>
      <c r="W564" s="1260" t="s">
        <v>5584</v>
      </c>
      <c r="X564" s="1260" t="s">
        <v>5387</v>
      </c>
      <c r="Y564" s="1260" t="s">
        <v>5585</v>
      </c>
      <c r="Z564" s="1261" t="s">
        <v>7691</v>
      </c>
    </row>
    <row r="565" spans="2:26" ht="12.75" customHeight="1" x14ac:dyDescent="0.2">
      <c r="B565" s="2465" t="str">
        <f t="shared" si="8"/>
        <v>Muerte44</v>
      </c>
      <c r="C565" s="1262"/>
      <c r="D565" s="1268" t="s">
        <v>978</v>
      </c>
      <c r="E565" s="1258" t="s">
        <v>262</v>
      </c>
      <c r="F565" s="1258">
        <v>44</v>
      </c>
      <c r="G565" s="1269" t="s">
        <v>2234</v>
      </c>
      <c r="H565" s="1269" t="s">
        <v>6219</v>
      </c>
      <c r="I565" s="1270" t="s">
        <v>1918</v>
      </c>
      <c r="J565" s="1258">
        <v>7</v>
      </c>
      <c r="K565" s="1258">
        <v>10</v>
      </c>
      <c r="L565" s="1258">
        <v>13</v>
      </c>
      <c r="M565" s="1264">
        <v>15</v>
      </c>
      <c r="N565" s="1258">
        <v>60</v>
      </c>
      <c r="O565" s="1258">
        <v>90</v>
      </c>
      <c r="P565" s="1258">
        <v>120</v>
      </c>
      <c r="Q565" s="1264">
        <v>150</v>
      </c>
      <c r="R565" s="1258" t="s">
        <v>2234</v>
      </c>
      <c r="S565" s="1258" t="s">
        <v>2234</v>
      </c>
      <c r="T565" s="1258" t="s">
        <v>2234</v>
      </c>
      <c r="U565" s="1264" t="s">
        <v>2234</v>
      </c>
      <c r="V565" s="1260" t="s">
        <v>7692</v>
      </c>
      <c r="W565" s="1260" t="s">
        <v>7693</v>
      </c>
      <c r="X565" s="1260" t="s">
        <v>7694</v>
      </c>
      <c r="Y565" s="1260" t="s">
        <v>7695</v>
      </c>
      <c r="Z565" s="1261" t="s">
        <v>7696</v>
      </c>
    </row>
    <row r="566" spans="2:26" ht="12.75" customHeight="1" x14ac:dyDescent="0.2">
      <c r="B566" s="2465" t="str">
        <f t="shared" si="8"/>
        <v>Muerte54</v>
      </c>
      <c r="C566" s="1262"/>
      <c r="D566" s="1272" t="s">
        <v>7697</v>
      </c>
      <c r="E566" s="1258" t="s">
        <v>262</v>
      </c>
      <c r="F566" s="1258">
        <v>54</v>
      </c>
      <c r="G566" s="1269" t="s">
        <v>2234</v>
      </c>
      <c r="H566" s="1269" t="s">
        <v>1763</v>
      </c>
      <c r="I566" s="1270" t="s">
        <v>1918</v>
      </c>
      <c r="J566" s="1258">
        <v>7</v>
      </c>
      <c r="K566" s="1258">
        <v>10</v>
      </c>
      <c r="L566" s="1258">
        <v>13</v>
      </c>
      <c r="M566" s="1264">
        <v>15</v>
      </c>
      <c r="N566" s="1258">
        <v>80</v>
      </c>
      <c r="O566" s="1258">
        <v>100</v>
      </c>
      <c r="P566" s="1258">
        <v>120</v>
      </c>
      <c r="Q566" s="1264">
        <v>150</v>
      </c>
      <c r="R566" s="1258">
        <v>10</v>
      </c>
      <c r="S566" s="1258">
        <v>10</v>
      </c>
      <c r="T566" s="1258">
        <v>15</v>
      </c>
      <c r="U566" s="1264">
        <v>15</v>
      </c>
      <c r="V566" s="1260" t="s">
        <v>7698</v>
      </c>
      <c r="W566" s="1260" t="s">
        <v>7699</v>
      </c>
      <c r="X566" s="1260" t="s">
        <v>7700</v>
      </c>
      <c r="Y566" s="1260" t="s">
        <v>7701</v>
      </c>
      <c r="Z566" s="1261" t="s">
        <v>7702</v>
      </c>
    </row>
    <row r="567" spans="2:26" ht="12.75" customHeight="1" x14ac:dyDescent="0.2">
      <c r="B567" s="2465" t="str">
        <f t="shared" si="8"/>
        <v>Muerte64</v>
      </c>
      <c r="C567" s="1262"/>
      <c r="D567" s="1268" t="s">
        <v>7703</v>
      </c>
      <c r="E567" s="1258" t="s">
        <v>262</v>
      </c>
      <c r="F567" s="1258">
        <v>64</v>
      </c>
      <c r="G567" s="1269" t="s">
        <v>2234</v>
      </c>
      <c r="H567" s="1269" t="s">
        <v>1762</v>
      </c>
      <c r="I567" s="1270" t="s">
        <v>1918</v>
      </c>
      <c r="J567" s="1258">
        <v>8</v>
      </c>
      <c r="K567" s="1258">
        <v>10</v>
      </c>
      <c r="L567" s="1258">
        <v>13</v>
      </c>
      <c r="M567" s="1264">
        <v>15</v>
      </c>
      <c r="N567" s="1258">
        <v>120</v>
      </c>
      <c r="O567" s="1258">
        <v>150</v>
      </c>
      <c r="P567" s="1258">
        <v>200</v>
      </c>
      <c r="Q567" s="1264">
        <v>260</v>
      </c>
      <c r="R567" s="1258" t="s">
        <v>2234</v>
      </c>
      <c r="S567" s="1258" t="s">
        <v>2234</v>
      </c>
      <c r="T567" s="1258" t="s">
        <v>2234</v>
      </c>
      <c r="U567" s="1264" t="s">
        <v>2234</v>
      </c>
      <c r="V567" s="1260" t="s">
        <v>7704</v>
      </c>
      <c r="W567" s="1260" t="s">
        <v>7705</v>
      </c>
      <c r="X567" s="1260" t="s">
        <v>7706</v>
      </c>
      <c r="Y567" s="1260" t="s">
        <v>7707</v>
      </c>
      <c r="Z567" s="1261" t="s">
        <v>7708</v>
      </c>
    </row>
    <row r="568" spans="2:26" ht="12.75" customHeight="1" x14ac:dyDescent="0.2">
      <c r="B568" s="2465" t="str">
        <f t="shared" si="8"/>
        <v>Muerte74</v>
      </c>
      <c r="C568" s="1262"/>
      <c r="D568" s="1268" t="s">
        <v>7709</v>
      </c>
      <c r="E568" s="1258" t="s">
        <v>262</v>
      </c>
      <c r="F568" s="1258">
        <v>74</v>
      </c>
      <c r="G568" s="1269" t="s">
        <v>3696</v>
      </c>
      <c r="H568" s="1269" t="s">
        <v>7710</v>
      </c>
      <c r="I568" s="1270" t="s">
        <v>1918</v>
      </c>
      <c r="J568" s="1258">
        <v>9</v>
      </c>
      <c r="K568" s="1258">
        <v>11</v>
      </c>
      <c r="L568" s="1258">
        <v>13</v>
      </c>
      <c r="M568" s="1264">
        <v>15</v>
      </c>
      <c r="N568" s="1258">
        <v>150</v>
      </c>
      <c r="O568" s="1258">
        <v>250</v>
      </c>
      <c r="P568" s="1258">
        <v>350</v>
      </c>
      <c r="Q568" s="1264">
        <v>500</v>
      </c>
      <c r="R568" s="1258">
        <v>15</v>
      </c>
      <c r="S568" s="1258">
        <v>25</v>
      </c>
      <c r="T568" s="1258">
        <v>35</v>
      </c>
      <c r="U568" s="1264">
        <v>50</v>
      </c>
      <c r="V568" s="1260" t="s">
        <v>5709</v>
      </c>
      <c r="W568" s="1260" t="s">
        <v>5584</v>
      </c>
      <c r="X568" s="1260" t="s">
        <v>5585</v>
      </c>
      <c r="Y568" s="1260" t="s">
        <v>5586</v>
      </c>
      <c r="Z568" s="1261" t="s">
        <v>7711</v>
      </c>
    </row>
    <row r="569" spans="2:26" ht="12.75" customHeight="1" x14ac:dyDescent="0.2">
      <c r="B569" s="2465" t="str">
        <f t="shared" si="8"/>
        <v>Muerte84</v>
      </c>
      <c r="C569" s="1262"/>
      <c r="D569" s="1268" t="s">
        <v>981</v>
      </c>
      <c r="E569" s="1258" t="s">
        <v>262</v>
      </c>
      <c r="F569" s="1258">
        <v>84</v>
      </c>
      <c r="G569" s="1269" t="s">
        <v>2234</v>
      </c>
      <c r="H569" s="1269" t="s">
        <v>6107</v>
      </c>
      <c r="I569" s="1270" t="s">
        <v>1919</v>
      </c>
      <c r="J569" s="1258">
        <v>10</v>
      </c>
      <c r="K569" s="1258">
        <v>12</v>
      </c>
      <c r="L569" s="1258">
        <v>14</v>
      </c>
      <c r="M569" s="1264">
        <v>16</v>
      </c>
      <c r="N569" s="1258">
        <v>350</v>
      </c>
      <c r="O569" s="1258">
        <v>500</v>
      </c>
      <c r="P569" s="1258">
        <v>800</v>
      </c>
      <c r="Q569" s="1264">
        <v>1200</v>
      </c>
      <c r="R569" s="1258">
        <v>15</v>
      </c>
      <c r="S569" s="1258">
        <v>25</v>
      </c>
      <c r="T569" s="1258">
        <v>40</v>
      </c>
      <c r="U569" s="1264">
        <v>60</v>
      </c>
      <c r="V569" s="1260" t="s">
        <v>7712</v>
      </c>
      <c r="W569" s="1260" t="s">
        <v>7713</v>
      </c>
      <c r="X569" s="1260" t="s">
        <v>7714</v>
      </c>
      <c r="Y569" s="1260" t="s">
        <v>7715</v>
      </c>
      <c r="Z569" s="1261" t="s">
        <v>7716</v>
      </c>
    </row>
    <row r="570" spans="2:26" ht="12.75" customHeight="1" x14ac:dyDescent="0.2">
      <c r="B570" s="2465" t="str">
        <f t="shared" si="8"/>
        <v>Muerte94</v>
      </c>
      <c r="C570" s="1262"/>
      <c r="D570" s="1268" t="s">
        <v>1111</v>
      </c>
      <c r="E570" s="1258" t="s">
        <v>262</v>
      </c>
      <c r="F570" s="1258">
        <v>94</v>
      </c>
      <c r="G570" s="1269" t="s">
        <v>3696</v>
      </c>
      <c r="H570" s="1269" t="s">
        <v>6135</v>
      </c>
      <c r="I570" s="1270" t="s">
        <v>1918</v>
      </c>
      <c r="J570" s="1258">
        <v>12</v>
      </c>
      <c r="K570" s="1258">
        <v>14</v>
      </c>
      <c r="L570" s="1258">
        <v>16</v>
      </c>
      <c r="M570" s="1264">
        <v>18</v>
      </c>
      <c r="N570" s="1258">
        <v>400</v>
      </c>
      <c r="O570" s="1258">
        <v>750</v>
      </c>
      <c r="P570" s="1258">
        <v>1200</v>
      </c>
      <c r="Q570" s="1264">
        <v>2000</v>
      </c>
      <c r="R570" s="1258">
        <v>40</v>
      </c>
      <c r="S570" s="1258">
        <v>75</v>
      </c>
      <c r="T570" s="1258">
        <v>120</v>
      </c>
      <c r="U570" s="1264">
        <v>200</v>
      </c>
      <c r="V570" s="1260" t="s">
        <v>7717</v>
      </c>
      <c r="W570" s="1260" t="s">
        <v>7718</v>
      </c>
      <c r="X570" s="1260" t="s">
        <v>7719</v>
      </c>
      <c r="Y570" s="1260" t="s">
        <v>7720</v>
      </c>
      <c r="Z570" s="1261" t="s">
        <v>7721</v>
      </c>
    </row>
    <row r="571" spans="2:26" ht="12.75" customHeight="1" x14ac:dyDescent="0.2">
      <c r="B571" s="2465" t="str">
        <f t="shared" si="8"/>
        <v/>
      </c>
      <c r="C571" s="1262"/>
      <c r="D571" s="1268" t="s">
        <v>7722</v>
      </c>
      <c r="E571" s="1258"/>
      <c r="F571" s="1258"/>
      <c r="G571" s="1269"/>
      <c r="H571" s="1269"/>
      <c r="I571" s="1270"/>
      <c r="J571" s="1258"/>
      <c r="K571" s="1258"/>
      <c r="L571" s="1258"/>
      <c r="M571" s="1264"/>
      <c r="N571" s="1258"/>
      <c r="O571" s="1258"/>
      <c r="P571" s="1258"/>
      <c r="Q571" s="1264"/>
      <c r="R571" s="1258"/>
      <c r="S571" s="1258"/>
      <c r="T571" s="1258"/>
      <c r="U571" s="1264"/>
      <c r="V571" s="1260"/>
      <c r="W571" s="1260"/>
      <c r="X571" s="1260"/>
      <c r="Y571" s="1260"/>
      <c r="Z571" s="1261"/>
    </row>
    <row r="572" spans="2:26" ht="12.75" customHeight="1" x14ac:dyDescent="0.2">
      <c r="B572" s="2465" t="str">
        <f t="shared" si="8"/>
        <v>Musical4</v>
      </c>
      <c r="C572" s="1262"/>
      <c r="D572" s="1268" t="s">
        <v>984</v>
      </c>
      <c r="E572" s="1258" t="s">
        <v>263</v>
      </c>
      <c r="F572" s="1258">
        <v>4</v>
      </c>
      <c r="G572" s="1269" t="s">
        <v>2234</v>
      </c>
      <c r="H572" s="1269" t="s">
        <v>1763</v>
      </c>
      <c r="I572" s="1270" t="s">
        <v>1918</v>
      </c>
      <c r="J572" s="1258">
        <v>5</v>
      </c>
      <c r="K572" s="1258">
        <v>8</v>
      </c>
      <c r="L572" s="1258">
        <v>10</v>
      </c>
      <c r="M572" s="1264">
        <v>12</v>
      </c>
      <c r="N572" s="1258">
        <v>30</v>
      </c>
      <c r="O572" s="1258">
        <v>50</v>
      </c>
      <c r="P572" s="1258">
        <v>70</v>
      </c>
      <c r="Q572" s="1264">
        <v>100</v>
      </c>
      <c r="R572" s="1258" t="s">
        <v>2234</v>
      </c>
      <c r="S572" s="1258" t="s">
        <v>2234</v>
      </c>
      <c r="T572" s="1258" t="s">
        <v>2234</v>
      </c>
      <c r="U572" s="1264" t="s">
        <v>2234</v>
      </c>
      <c r="V572" s="1260" t="s">
        <v>7723</v>
      </c>
      <c r="W572" s="1260" t="s">
        <v>7724</v>
      </c>
      <c r="X572" s="1260" t="s">
        <v>7725</v>
      </c>
      <c r="Y572" s="1260" t="s">
        <v>7726</v>
      </c>
      <c r="Z572" s="1261" t="s">
        <v>7727</v>
      </c>
    </row>
    <row r="573" spans="2:26" ht="12.75" customHeight="1" x14ac:dyDescent="0.2">
      <c r="B573" s="2465" t="str">
        <f t="shared" si="8"/>
        <v>Musical14</v>
      </c>
      <c r="C573" s="1262"/>
      <c r="D573" s="1268" t="s">
        <v>985</v>
      </c>
      <c r="E573" s="1258" t="s">
        <v>263</v>
      </c>
      <c r="F573" s="1258">
        <v>14</v>
      </c>
      <c r="G573" s="1269" t="s">
        <v>2234</v>
      </c>
      <c r="H573" s="1269" t="s">
        <v>1763</v>
      </c>
      <c r="I573" s="1270" t="s">
        <v>1918</v>
      </c>
      <c r="J573" s="1258">
        <v>5</v>
      </c>
      <c r="K573" s="1258">
        <v>8</v>
      </c>
      <c r="L573" s="1258">
        <v>10</v>
      </c>
      <c r="M573" s="1264">
        <v>12</v>
      </c>
      <c r="N573" s="1258">
        <v>40</v>
      </c>
      <c r="O573" s="1258">
        <v>60</v>
      </c>
      <c r="P573" s="1258">
        <v>80</v>
      </c>
      <c r="Q573" s="1264">
        <v>100</v>
      </c>
      <c r="R573" s="1258">
        <v>5</v>
      </c>
      <c r="S573" s="1258">
        <v>5</v>
      </c>
      <c r="T573" s="1258">
        <v>5</v>
      </c>
      <c r="U573" s="1264">
        <v>10</v>
      </c>
      <c r="V573" s="1260" t="s">
        <v>7254</v>
      </c>
      <c r="W573" s="1260" t="s">
        <v>7728</v>
      </c>
      <c r="X573" s="1260" t="s">
        <v>7590</v>
      </c>
      <c r="Y573" s="1260" t="s">
        <v>7729</v>
      </c>
      <c r="Z573" s="1261" t="s">
        <v>7730</v>
      </c>
    </row>
    <row r="574" spans="2:26" ht="12.75" customHeight="1" x14ac:dyDescent="0.2">
      <c r="B574" s="2465" t="str">
        <f t="shared" si="8"/>
        <v>Musical24</v>
      </c>
      <c r="C574" s="1262"/>
      <c r="D574" s="1268" t="s">
        <v>986</v>
      </c>
      <c r="E574" s="1258" t="s">
        <v>263</v>
      </c>
      <c r="F574" s="1258">
        <v>24</v>
      </c>
      <c r="G574" s="1269" t="s">
        <v>2234</v>
      </c>
      <c r="H574" s="1269" t="s">
        <v>1763</v>
      </c>
      <c r="I574" s="1270" t="s">
        <v>1918</v>
      </c>
      <c r="J574" s="1258">
        <v>6</v>
      </c>
      <c r="K574" s="1258">
        <v>8</v>
      </c>
      <c r="L574" s="1258">
        <v>10</v>
      </c>
      <c r="M574" s="1264">
        <v>12</v>
      </c>
      <c r="N574" s="1258">
        <v>50</v>
      </c>
      <c r="O574" s="1258">
        <v>70</v>
      </c>
      <c r="P574" s="1258">
        <v>80</v>
      </c>
      <c r="Q574" s="1264">
        <v>120</v>
      </c>
      <c r="R574" s="1258">
        <v>5</v>
      </c>
      <c r="S574" s="1258">
        <v>5</v>
      </c>
      <c r="T574" s="1258">
        <v>5</v>
      </c>
      <c r="U574" s="1264">
        <v>10</v>
      </c>
      <c r="V574" s="1260" t="s">
        <v>7731</v>
      </c>
      <c r="W574" s="1260" t="s">
        <v>7732</v>
      </c>
      <c r="X574" s="1260" t="s">
        <v>7733</v>
      </c>
      <c r="Y574" s="1260" t="s">
        <v>7734</v>
      </c>
      <c r="Z574" s="1261" t="s">
        <v>7735</v>
      </c>
    </row>
    <row r="575" spans="2:26" ht="12.75" customHeight="1" x14ac:dyDescent="0.2">
      <c r="B575" s="2465" t="str">
        <f t="shared" si="8"/>
        <v>Musical34</v>
      </c>
      <c r="C575" s="1262"/>
      <c r="D575" s="1268" t="s">
        <v>7736</v>
      </c>
      <c r="E575" s="1258" t="s">
        <v>263</v>
      </c>
      <c r="F575" s="1258">
        <v>34</v>
      </c>
      <c r="G575" s="1269" t="s">
        <v>2234</v>
      </c>
      <c r="H575" s="1269" t="s">
        <v>1761</v>
      </c>
      <c r="I575" s="1270" t="s">
        <v>1918</v>
      </c>
      <c r="J575" s="1258">
        <v>7</v>
      </c>
      <c r="K575" s="1258">
        <v>9</v>
      </c>
      <c r="L575" s="1258">
        <v>11</v>
      </c>
      <c r="M575" s="1264">
        <v>13</v>
      </c>
      <c r="N575" s="1258">
        <v>60</v>
      </c>
      <c r="O575" s="1258">
        <v>90</v>
      </c>
      <c r="P575" s="1258">
        <v>120</v>
      </c>
      <c r="Q575" s="1264">
        <v>150</v>
      </c>
      <c r="R575" s="1258">
        <v>5</v>
      </c>
      <c r="S575" s="1258">
        <v>5</v>
      </c>
      <c r="T575" s="1258">
        <v>5</v>
      </c>
      <c r="U575" s="1264">
        <v>10</v>
      </c>
      <c r="V575" s="1260" t="s">
        <v>7737</v>
      </c>
      <c r="W575" s="1260" t="s">
        <v>7738</v>
      </c>
      <c r="X575" s="1260" t="s">
        <v>7739</v>
      </c>
      <c r="Y575" s="1260" t="s">
        <v>7235</v>
      </c>
      <c r="Z575" s="1261" t="s">
        <v>7740</v>
      </c>
    </row>
    <row r="576" spans="2:26" ht="12.75" customHeight="1" x14ac:dyDescent="0.2">
      <c r="B576" s="2465" t="str">
        <f t="shared" si="8"/>
        <v>Musical44</v>
      </c>
      <c r="C576" s="1262"/>
      <c r="D576" s="1268" t="s">
        <v>988</v>
      </c>
      <c r="E576" s="1258" t="s">
        <v>263</v>
      </c>
      <c r="F576" s="1258">
        <v>44</v>
      </c>
      <c r="G576" s="1269" t="s">
        <v>2234</v>
      </c>
      <c r="H576" s="1269" t="s">
        <v>1764</v>
      </c>
      <c r="I576" s="1270" t="s">
        <v>1918</v>
      </c>
      <c r="J576" s="1258">
        <v>7</v>
      </c>
      <c r="K576" s="1258">
        <v>9</v>
      </c>
      <c r="L576" s="1258">
        <v>11</v>
      </c>
      <c r="M576" s="1264">
        <v>13</v>
      </c>
      <c r="N576" s="1258">
        <v>100</v>
      </c>
      <c r="O576" s="1258">
        <v>160</v>
      </c>
      <c r="P576" s="1258">
        <v>220</v>
      </c>
      <c r="Q576" s="1264">
        <v>280</v>
      </c>
      <c r="R576" s="1258">
        <v>5</v>
      </c>
      <c r="S576" s="1258">
        <v>10</v>
      </c>
      <c r="T576" s="1258">
        <v>15</v>
      </c>
      <c r="U576" s="1264">
        <v>20</v>
      </c>
      <c r="V576" s="1260" t="s">
        <v>7741</v>
      </c>
      <c r="W576" s="1260" t="s">
        <v>7742</v>
      </c>
      <c r="X576" s="1260" t="s">
        <v>7743</v>
      </c>
      <c r="Y576" s="1260" t="s">
        <v>7744</v>
      </c>
      <c r="Z576" s="1261" t="s">
        <v>7745</v>
      </c>
    </row>
    <row r="577" spans="2:26" ht="12.75" customHeight="1" x14ac:dyDescent="0.2">
      <c r="B577" s="2465" t="str">
        <f t="shared" si="8"/>
        <v>Musical54</v>
      </c>
      <c r="C577" s="1262"/>
      <c r="D577" s="1268" t="s">
        <v>989</v>
      </c>
      <c r="E577" s="1258" t="s">
        <v>263</v>
      </c>
      <c r="F577" s="1258">
        <v>54</v>
      </c>
      <c r="G577" s="1269" t="s">
        <v>2234</v>
      </c>
      <c r="H577" s="1269" t="s">
        <v>1764</v>
      </c>
      <c r="I577" s="1270" t="s">
        <v>1918</v>
      </c>
      <c r="J577" s="1258">
        <v>7</v>
      </c>
      <c r="K577" s="1258">
        <v>9</v>
      </c>
      <c r="L577" s="1258">
        <v>11</v>
      </c>
      <c r="M577" s="1264">
        <v>13</v>
      </c>
      <c r="N577" s="1258">
        <v>100</v>
      </c>
      <c r="O577" s="1258">
        <v>160</v>
      </c>
      <c r="P577" s="1258">
        <v>220</v>
      </c>
      <c r="Q577" s="1264">
        <v>280</v>
      </c>
      <c r="R577" s="1258">
        <v>5</v>
      </c>
      <c r="S577" s="1258">
        <v>10</v>
      </c>
      <c r="T577" s="1258">
        <v>15</v>
      </c>
      <c r="U577" s="1264">
        <v>20</v>
      </c>
      <c r="V577" s="1260" t="s">
        <v>7746</v>
      </c>
      <c r="W577" s="1260" t="s">
        <v>7747</v>
      </c>
      <c r="X577" s="1260" t="s">
        <v>7748</v>
      </c>
      <c r="Y577" s="1260" t="s">
        <v>7749</v>
      </c>
      <c r="Z577" s="1261" t="s">
        <v>7750</v>
      </c>
    </row>
    <row r="578" spans="2:26" ht="12.75" customHeight="1" x14ac:dyDescent="0.2">
      <c r="B578" s="2465" t="str">
        <f t="shared" si="8"/>
        <v>Musical64</v>
      </c>
      <c r="C578" s="1262"/>
      <c r="D578" s="1268" t="s">
        <v>990</v>
      </c>
      <c r="E578" s="1258" t="s">
        <v>263</v>
      </c>
      <c r="F578" s="1258">
        <v>64</v>
      </c>
      <c r="G578" s="1269" t="s">
        <v>2234</v>
      </c>
      <c r="H578" s="1269" t="s">
        <v>1763</v>
      </c>
      <c r="I578" s="1270" t="s">
        <v>1918</v>
      </c>
      <c r="J578" s="1258">
        <v>8</v>
      </c>
      <c r="K578" s="1258">
        <v>10</v>
      </c>
      <c r="L578" s="1258">
        <v>12</v>
      </c>
      <c r="M578" s="1264">
        <v>14</v>
      </c>
      <c r="N578" s="1258">
        <v>120</v>
      </c>
      <c r="O578" s="1258">
        <v>180</v>
      </c>
      <c r="P578" s="1258">
        <v>240</v>
      </c>
      <c r="Q578" s="1264">
        <v>300</v>
      </c>
      <c r="R578" s="1258">
        <v>5</v>
      </c>
      <c r="S578" s="1258">
        <v>10</v>
      </c>
      <c r="T578" s="1258">
        <v>15</v>
      </c>
      <c r="U578" s="1264">
        <v>20</v>
      </c>
      <c r="V578" s="1260" t="s">
        <v>7751</v>
      </c>
      <c r="W578" s="1260" t="s">
        <v>7752</v>
      </c>
      <c r="X578" s="1260" t="s">
        <v>7753</v>
      </c>
      <c r="Y578" s="1260" t="s">
        <v>7754</v>
      </c>
      <c r="Z578" s="1261" t="s">
        <v>7755</v>
      </c>
    </row>
    <row r="579" spans="2:26" ht="12.75" customHeight="1" x14ac:dyDescent="0.2">
      <c r="B579" s="2465" t="str">
        <f t="shared" si="8"/>
        <v>Musical74</v>
      </c>
      <c r="C579" s="1262"/>
      <c r="D579" s="1268" t="s">
        <v>991</v>
      </c>
      <c r="E579" s="1258" t="s">
        <v>263</v>
      </c>
      <c r="F579" s="1258">
        <v>74</v>
      </c>
      <c r="G579" s="1269" t="s">
        <v>2234</v>
      </c>
      <c r="H579" s="1269" t="s">
        <v>1763</v>
      </c>
      <c r="I579" s="1270" t="s">
        <v>1918</v>
      </c>
      <c r="J579" s="1258">
        <v>8</v>
      </c>
      <c r="K579" s="1258">
        <v>10</v>
      </c>
      <c r="L579" s="1258">
        <v>12</v>
      </c>
      <c r="M579" s="1264">
        <v>14</v>
      </c>
      <c r="N579" s="1258">
        <v>120</v>
      </c>
      <c r="O579" s="1258">
        <v>180</v>
      </c>
      <c r="P579" s="1258">
        <v>240</v>
      </c>
      <c r="Q579" s="1264">
        <v>300</v>
      </c>
      <c r="R579" s="1258">
        <v>10</v>
      </c>
      <c r="S579" s="1258">
        <v>15</v>
      </c>
      <c r="T579" s="1258">
        <v>20</v>
      </c>
      <c r="U579" s="1264">
        <v>30</v>
      </c>
      <c r="V579" s="1260" t="s">
        <v>6515</v>
      </c>
      <c r="W579" s="1260" t="s">
        <v>5471</v>
      </c>
      <c r="X579" s="1260" t="s">
        <v>5612</v>
      </c>
      <c r="Y579" s="1260" t="s">
        <v>5472</v>
      </c>
      <c r="Z579" s="1261" t="s">
        <v>7756</v>
      </c>
    </row>
    <row r="580" spans="2:26" ht="12.75" customHeight="1" x14ac:dyDescent="0.2">
      <c r="B580" s="2465" t="str">
        <f t="shared" si="8"/>
        <v>Musical84</v>
      </c>
      <c r="C580" s="1262"/>
      <c r="D580" s="1268" t="s">
        <v>992</v>
      </c>
      <c r="E580" s="1258" t="s">
        <v>263</v>
      </c>
      <c r="F580" s="1258">
        <v>84</v>
      </c>
      <c r="G580" s="1269" t="s">
        <v>2234</v>
      </c>
      <c r="H580" s="1269" t="s">
        <v>1763</v>
      </c>
      <c r="I580" s="1270" t="s">
        <v>1918</v>
      </c>
      <c r="J580" s="1258">
        <v>8</v>
      </c>
      <c r="K580" s="1258">
        <v>10</v>
      </c>
      <c r="L580" s="1258">
        <v>12</v>
      </c>
      <c r="M580" s="1264">
        <v>14</v>
      </c>
      <c r="N580" s="1258">
        <v>120</v>
      </c>
      <c r="O580" s="1258">
        <v>180</v>
      </c>
      <c r="P580" s="1258">
        <v>240</v>
      </c>
      <c r="Q580" s="1264">
        <v>300</v>
      </c>
      <c r="R580" s="1258">
        <v>5</v>
      </c>
      <c r="S580" s="1258">
        <v>10</v>
      </c>
      <c r="T580" s="1258">
        <v>15</v>
      </c>
      <c r="U580" s="1264">
        <v>20</v>
      </c>
      <c r="V580" s="1260" t="s">
        <v>7757</v>
      </c>
      <c r="W580" s="1260" t="s">
        <v>7758</v>
      </c>
      <c r="X580" s="1260" t="s">
        <v>7759</v>
      </c>
      <c r="Y580" s="1260" t="s">
        <v>7760</v>
      </c>
      <c r="Z580" s="1261" t="s">
        <v>7761</v>
      </c>
    </row>
    <row r="581" spans="2:26" ht="12.75" customHeight="1" x14ac:dyDescent="0.2">
      <c r="B581" s="2465" t="str">
        <f t="shared" si="8"/>
        <v>Musical94</v>
      </c>
      <c r="C581" s="1262"/>
      <c r="D581" s="1268" t="s">
        <v>993</v>
      </c>
      <c r="E581" s="1258" t="s">
        <v>263</v>
      </c>
      <c r="F581" s="1258">
        <v>94</v>
      </c>
      <c r="G581" s="1269" t="s">
        <v>2234</v>
      </c>
      <c r="H581" s="1269" t="s">
        <v>1764</v>
      </c>
      <c r="I581" s="1270" t="s">
        <v>1918</v>
      </c>
      <c r="J581" s="1258">
        <v>8</v>
      </c>
      <c r="K581" s="1258">
        <v>10</v>
      </c>
      <c r="L581" s="1258">
        <v>12</v>
      </c>
      <c r="M581" s="1264">
        <v>14</v>
      </c>
      <c r="N581" s="1258">
        <v>300</v>
      </c>
      <c r="O581" s="1258">
        <v>450</v>
      </c>
      <c r="P581" s="1258">
        <v>600</v>
      </c>
      <c r="Q581" s="1264">
        <v>800</v>
      </c>
      <c r="R581" s="1258">
        <v>5</v>
      </c>
      <c r="S581" s="1258">
        <v>10</v>
      </c>
      <c r="T581" s="1258">
        <v>15</v>
      </c>
      <c r="U581" s="1264">
        <v>20</v>
      </c>
      <c r="V581" s="1260" t="s">
        <v>6169</v>
      </c>
      <c r="W581" s="1260" t="s">
        <v>7762</v>
      </c>
      <c r="X581" s="1260" t="s">
        <v>7763</v>
      </c>
      <c r="Y581" s="1260" t="s">
        <v>7764</v>
      </c>
      <c r="Z581" s="1261" t="s">
        <v>7765</v>
      </c>
    </row>
    <row r="582" spans="2:26" ht="12.75" customHeight="1" x14ac:dyDescent="0.2">
      <c r="B582" s="2465" t="str">
        <f t="shared" si="8"/>
        <v/>
      </c>
      <c r="C582" s="1262"/>
      <c r="D582" s="1268" t="s">
        <v>7766</v>
      </c>
      <c r="E582" s="1258"/>
      <c r="F582" s="1258"/>
      <c r="G582" s="1269"/>
      <c r="H582" s="1269"/>
      <c r="I582" s="1270"/>
      <c r="J582" s="1258"/>
      <c r="K582" s="1258"/>
      <c r="L582" s="1258"/>
      <c r="M582" s="1264"/>
      <c r="N582" s="1258"/>
      <c r="O582" s="1258"/>
      <c r="P582" s="1258"/>
      <c r="Q582" s="1264"/>
      <c r="R582" s="1258"/>
      <c r="S582" s="1258"/>
      <c r="T582" s="1258"/>
      <c r="U582" s="1264"/>
      <c r="V582" s="1260"/>
      <c r="W582" s="1260"/>
      <c r="X582" s="1260"/>
      <c r="Y582" s="1260"/>
      <c r="Z582" s="1261"/>
    </row>
    <row r="583" spans="2:26" ht="12.75" customHeight="1" x14ac:dyDescent="0.2">
      <c r="B583" s="2465" t="str">
        <f t="shared" si="8"/>
        <v>Nobleza4</v>
      </c>
      <c r="C583" s="1262"/>
      <c r="D583" s="1268" t="s">
        <v>995</v>
      </c>
      <c r="E583" s="1258" t="s">
        <v>264</v>
      </c>
      <c r="F583" s="1258">
        <v>4</v>
      </c>
      <c r="G583" s="1269" t="s">
        <v>3090</v>
      </c>
      <c r="H583" s="1269" t="s">
        <v>1763</v>
      </c>
      <c r="I583" s="1270" t="s">
        <v>1918</v>
      </c>
      <c r="J583" s="1258">
        <v>5</v>
      </c>
      <c r="K583" s="1258">
        <v>8</v>
      </c>
      <c r="L583" s="1258">
        <v>10</v>
      </c>
      <c r="M583" s="1264">
        <v>12</v>
      </c>
      <c r="N583" s="1258">
        <v>30</v>
      </c>
      <c r="O583" s="1258">
        <v>50</v>
      </c>
      <c r="P583" s="1258">
        <v>80</v>
      </c>
      <c r="Q583" s="1264">
        <v>120</v>
      </c>
      <c r="R583" s="1258">
        <v>5</v>
      </c>
      <c r="S583" s="1258">
        <v>5</v>
      </c>
      <c r="T583" s="1258">
        <v>5</v>
      </c>
      <c r="U583" s="1264">
        <v>10</v>
      </c>
      <c r="V583" s="1260" t="s">
        <v>6101</v>
      </c>
      <c r="W583" s="1260" t="s">
        <v>7767</v>
      </c>
      <c r="X583" s="1260" t="s">
        <v>7768</v>
      </c>
      <c r="Y583" s="1260" t="s">
        <v>7769</v>
      </c>
      <c r="Z583" s="1261" t="s">
        <v>7770</v>
      </c>
    </row>
    <row r="584" spans="2:26" ht="12.75" customHeight="1" x14ac:dyDescent="0.2">
      <c r="B584" s="2465" t="str">
        <f t="shared" ref="B584:B647" si="9">E584&amp;F584</f>
        <v>Nobleza14</v>
      </c>
      <c r="C584" s="1262"/>
      <c r="D584" s="1268" t="s">
        <v>996</v>
      </c>
      <c r="E584" s="1258" t="s">
        <v>264</v>
      </c>
      <c r="F584" s="1258">
        <v>14</v>
      </c>
      <c r="G584" s="1269" t="s">
        <v>3090</v>
      </c>
      <c r="H584" s="1269" t="s">
        <v>7771</v>
      </c>
      <c r="I584" s="1270" t="s">
        <v>1918</v>
      </c>
      <c r="J584" s="1258">
        <v>5</v>
      </c>
      <c r="K584" s="1258">
        <v>8</v>
      </c>
      <c r="L584" s="1258">
        <v>10</v>
      </c>
      <c r="M584" s="1264">
        <v>12</v>
      </c>
      <c r="N584" s="1258">
        <v>40</v>
      </c>
      <c r="O584" s="1258">
        <v>60</v>
      </c>
      <c r="P584" s="1258">
        <v>90</v>
      </c>
      <c r="Q584" s="1264">
        <v>120</v>
      </c>
      <c r="R584" s="1258">
        <v>5</v>
      </c>
      <c r="S584" s="1258">
        <v>5</v>
      </c>
      <c r="T584" s="1258">
        <v>5</v>
      </c>
      <c r="U584" s="1264">
        <v>10</v>
      </c>
      <c r="V584" s="1260" t="s">
        <v>7772</v>
      </c>
      <c r="W584" s="1260" t="s">
        <v>7773</v>
      </c>
      <c r="X584" s="1260" t="s">
        <v>7774</v>
      </c>
      <c r="Y584" s="1260" t="s">
        <v>7775</v>
      </c>
      <c r="Z584" s="1261" t="s">
        <v>7776</v>
      </c>
    </row>
    <row r="585" spans="2:26" ht="12.75" customHeight="1" x14ac:dyDescent="0.2">
      <c r="B585" s="2465" t="str">
        <f t="shared" si="9"/>
        <v>Nobleza24</v>
      </c>
      <c r="C585" s="1262"/>
      <c r="D585" s="1268" t="s">
        <v>997</v>
      </c>
      <c r="E585" s="1258" t="s">
        <v>264</v>
      </c>
      <c r="F585" s="1258">
        <v>24</v>
      </c>
      <c r="G585" s="1269" t="s">
        <v>2234</v>
      </c>
      <c r="H585" s="1269" t="s">
        <v>1763</v>
      </c>
      <c r="I585" s="1270" t="s">
        <v>1918</v>
      </c>
      <c r="J585" s="1258">
        <v>6</v>
      </c>
      <c r="K585" s="1258">
        <v>9</v>
      </c>
      <c r="L585" s="1258">
        <v>11</v>
      </c>
      <c r="M585" s="1264">
        <v>13</v>
      </c>
      <c r="N585" s="1258">
        <v>60</v>
      </c>
      <c r="O585" s="1258">
        <v>90</v>
      </c>
      <c r="P585" s="1258">
        <v>120</v>
      </c>
      <c r="Q585" s="1264">
        <v>150</v>
      </c>
      <c r="R585" s="1258" t="s">
        <v>2234</v>
      </c>
      <c r="S585" s="1258" t="s">
        <v>2234</v>
      </c>
      <c r="T585" s="1258" t="s">
        <v>2234</v>
      </c>
      <c r="U585" s="1264" t="s">
        <v>2234</v>
      </c>
      <c r="V585" s="1260" t="s">
        <v>7777</v>
      </c>
      <c r="W585" s="1260" t="s">
        <v>7778</v>
      </c>
      <c r="X585" s="1260" t="s">
        <v>7779</v>
      </c>
      <c r="Y585" s="1260" t="s">
        <v>7780</v>
      </c>
      <c r="Z585" s="1261" t="s">
        <v>7781</v>
      </c>
    </row>
    <row r="586" spans="2:26" ht="12.75" customHeight="1" x14ac:dyDescent="0.2">
      <c r="B586" s="2465" t="str">
        <f t="shared" si="9"/>
        <v>Nobleza34</v>
      </c>
      <c r="C586" s="1262"/>
      <c r="D586" s="1268" t="s">
        <v>998</v>
      </c>
      <c r="E586" s="1258" t="s">
        <v>264</v>
      </c>
      <c r="F586" s="1258">
        <v>34</v>
      </c>
      <c r="G586" s="1269" t="s">
        <v>3090</v>
      </c>
      <c r="H586" s="1269" t="s">
        <v>1763</v>
      </c>
      <c r="I586" s="1270" t="s">
        <v>1918</v>
      </c>
      <c r="J586" s="1258">
        <v>6</v>
      </c>
      <c r="K586" s="1258">
        <v>9</v>
      </c>
      <c r="L586" s="1258">
        <v>11</v>
      </c>
      <c r="M586" s="1264">
        <v>13</v>
      </c>
      <c r="N586" s="1258">
        <v>60</v>
      </c>
      <c r="O586" s="1258">
        <v>90</v>
      </c>
      <c r="P586" s="1258">
        <v>120</v>
      </c>
      <c r="Q586" s="1264">
        <v>150</v>
      </c>
      <c r="R586" s="1258">
        <v>5</v>
      </c>
      <c r="S586" s="1258">
        <v>5</v>
      </c>
      <c r="T586" s="1258">
        <v>5</v>
      </c>
      <c r="U586" s="1264">
        <v>10</v>
      </c>
      <c r="V586" s="1260" t="s">
        <v>6101</v>
      </c>
      <c r="W586" s="1260" t="s">
        <v>7782</v>
      </c>
      <c r="X586" s="1260" t="s">
        <v>7783</v>
      </c>
      <c r="Y586" s="1260" t="s">
        <v>7784</v>
      </c>
      <c r="Z586" s="1261" t="s">
        <v>7785</v>
      </c>
    </row>
    <row r="587" spans="2:26" ht="12.75" customHeight="1" x14ac:dyDescent="0.2">
      <c r="B587" s="2465" t="str">
        <f t="shared" si="9"/>
        <v>Nobleza44</v>
      </c>
      <c r="C587" s="1262"/>
      <c r="D587" s="1268" t="s">
        <v>999</v>
      </c>
      <c r="E587" s="1258" t="s">
        <v>264</v>
      </c>
      <c r="F587" s="1258">
        <v>44</v>
      </c>
      <c r="G587" s="1269" t="s">
        <v>2234</v>
      </c>
      <c r="H587" s="1269" t="s">
        <v>1764</v>
      </c>
      <c r="I587" s="1270" t="s">
        <v>1918</v>
      </c>
      <c r="J587" s="1258">
        <v>7</v>
      </c>
      <c r="K587" s="1258">
        <v>10</v>
      </c>
      <c r="L587" s="1258">
        <v>12</v>
      </c>
      <c r="M587" s="1264">
        <v>14</v>
      </c>
      <c r="N587" s="1258">
        <v>80</v>
      </c>
      <c r="O587" s="1258">
        <v>100</v>
      </c>
      <c r="P587" s="1258">
        <v>120</v>
      </c>
      <c r="Q587" s="1264">
        <v>140</v>
      </c>
      <c r="R587" s="1258" t="s">
        <v>2234</v>
      </c>
      <c r="S587" s="1258" t="s">
        <v>2234</v>
      </c>
      <c r="T587" s="1258" t="s">
        <v>2234</v>
      </c>
      <c r="U587" s="1264" t="s">
        <v>2234</v>
      </c>
      <c r="V587" s="1260" t="s">
        <v>7786</v>
      </c>
      <c r="W587" s="1260" t="s">
        <v>7787</v>
      </c>
      <c r="X587" s="1260" t="s">
        <v>7788</v>
      </c>
      <c r="Y587" s="1260" t="s">
        <v>7789</v>
      </c>
      <c r="Z587" s="1261" t="s">
        <v>7790</v>
      </c>
    </row>
    <row r="588" spans="2:26" ht="12.75" customHeight="1" x14ac:dyDescent="0.2">
      <c r="B588" s="2465" t="str">
        <f t="shared" si="9"/>
        <v>Nobleza54</v>
      </c>
      <c r="C588" s="1262"/>
      <c r="D588" s="1268" t="s">
        <v>1000</v>
      </c>
      <c r="E588" s="1258" t="s">
        <v>264</v>
      </c>
      <c r="F588" s="1258">
        <v>54</v>
      </c>
      <c r="G588" s="1269" t="s">
        <v>2234</v>
      </c>
      <c r="H588" s="1269" t="s">
        <v>1764</v>
      </c>
      <c r="I588" s="1270" t="s">
        <v>1918</v>
      </c>
      <c r="J588" s="1258">
        <v>7</v>
      </c>
      <c r="K588" s="1258">
        <v>10</v>
      </c>
      <c r="L588" s="1258">
        <v>12</v>
      </c>
      <c r="M588" s="1264">
        <v>14</v>
      </c>
      <c r="N588" s="1258">
        <v>80</v>
      </c>
      <c r="O588" s="1258">
        <v>100</v>
      </c>
      <c r="P588" s="1258">
        <v>120</v>
      </c>
      <c r="Q588" s="1264">
        <v>150</v>
      </c>
      <c r="R588" s="1258">
        <v>10</v>
      </c>
      <c r="S588" s="1258">
        <v>10</v>
      </c>
      <c r="T588" s="1258">
        <v>15</v>
      </c>
      <c r="U588" s="1264">
        <v>15</v>
      </c>
      <c r="V588" s="1260" t="s">
        <v>7786</v>
      </c>
      <c r="W588" s="1260" t="s">
        <v>7787</v>
      </c>
      <c r="X588" s="1260" t="s">
        <v>7788</v>
      </c>
      <c r="Y588" s="1260" t="s">
        <v>7789</v>
      </c>
      <c r="Z588" s="1261" t="s">
        <v>7791</v>
      </c>
    </row>
    <row r="589" spans="2:26" ht="12.75" customHeight="1" x14ac:dyDescent="0.2">
      <c r="B589" s="2465" t="str">
        <f t="shared" si="9"/>
        <v>Nobleza64</v>
      </c>
      <c r="C589" s="1262"/>
      <c r="D589" s="1268" t="s">
        <v>1001</v>
      </c>
      <c r="E589" s="1258" t="s">
        <v>264</v>
      </c>
      <c r="F589" s="1258">
        <v>64</v>
      </c>
      <c r="G589" s="1269" t="s">
        <v>3090</v>
      </c>
      <c r="H589" s="1269" t="s">
        <v>1764</v>
      </c>
      <c r="I589" s="1270" t="s">
        <v>1918</v>
      </c>
      <c r="J589" s="1258">
        <v>8</v>
      </c>
      <c r="K589" s="1258">
        <v>11</v>
      </c>
      <c r="L589" s="1258">
        <v>13</v>
      </c>
      <c r="M589" s="1264">
        <v>15</v>
      </c>
      <c r="N589" s="1258">
        <v>100</v>
      </c>
      <c r="O589" s="1258">
        <v>150</v>
      </c>
      <c r="P589" s="1258">
        <v>200</v>
      </c>
      <c r="Q589" s="1264">
        <v>250</v>
      </c>
      <c r="R589" s="1258">
        <v>5</v>
      </c>
      <c r="S589" s="1258">
        <v>10</v>
      </c>
      <c r="T589" s="1258">
        <v>15</v>
      </c>
      <c r="U589" s="1264">
        <v>15</v>
      </c>
      <c r="V589" s="1260" t="s">
        <v>7786</v>
      </c>
      <c r="W589" s="1260" t="s">
        <v>7787</v>
      </c>
      <c r="X589" s="1260" t="s">
        <v>7788</v>
      </c>
      <c r="Y589" s="1260" t="s">
        <v>7789</v>
      </c>
      <c r="Z589" s="1261" t="s">
        <v>7792</v>
      </c>
    </row>
    <row r="590" spans="2:26" ht="12.75" customHeight="1" x14ac:dyDescent="0.2">
      <c r="B590" s="2465" t="str">
        <f t="shared" si="9"/>
        <v>Nobleza74</v>
      </c>
      <c r="C590" s="1262"/>
      <c r="D590" s="1268" t="s">
        <v>7793</v>
      </c>
      <c r="E590" s="1258" t="s">
        <v>264</v>
      </c>
      <c r="F590" s="1258">
        <v>74</v>
      </c>
      <c r="G590" s="1269" t="s">
        <v>5870</v>
      </c>
      <c r="H590" s="1269" t="s">
        <v>1764</v>
      </c>
      <c r="I590" s="1270" t="s">
        <v>1918</v>
      </c>
      <c r="J590" s="1258">
        <v>9</v>
      </c>
      <c r="K590" s="1258">
        <v>12</v>
      </c>
      <c r="L590" s="1258">
        <v>14</v>
      </c>
      <c r="M590" s="1264">
        <v>16</v>
      </c>
      <c r="N590" s="1258">
        <v>120</v>
      </c>
      <c r="O590" s="1258">
        <v>150</v>
      </c>
      <c r="P590" s="1258">
        <v>200</v>
      </c>
      <c r="Q590" s="1264">
        <v>250</v>
      </c>
      <c r="R590" s="1258">
        <v>10</v>
      </c>
      <c r="S590" s="1258">
        <v>10</v>
      </c>
      <c r="T590" s="1258">
        <v>15</v>
      </c>
      <c r="U590" s="1264">
        <v>20</v>
      </c>
      <c r="V590" s="1260" t="s">
        <v>7794</v>
      </c>
      <c r="W590" s="1260" t="s">
        <v>7795</v>
      </c>
      <c r="X590" s="1260" t="s">
        <v>7796</v>
      </c>
      <c r="Y590" s="1260" t="s">
        <v>7797</v>
      </c>
      <c r="Z590" s="1261" t="s">
        <v>7798</v>
      </c>
    </row>
    <row r="591" spans="2:26" ht="12.75" customHeight="1" x14ac:dyDescent="0.2">
      <c r="B591" s="2465" t="str">
        <f t="shared" si="9"/>
        <v>Nobleza84</v>
      </c>
      <c r="C591" s="1262"/>
      <c r="D591" s="1268" t="s">
        <v>1003</v>
      </c>
      <c r="E591" s="1258" t="s">
        <v>264</v>
      </c>
      <c r="F591" s="1258">
        <v>84</v>
      </c>
      <c r="G591" s="1269" t="s">
        <v>3090</v>
      </c>
      <c r="H591" s="1269" t="s">
        <v>1763</v>
      </c>
      <c r="I591" s="1270" t="s">
        <v>1918</v>
      </c>
      <c r="J591" s="1258">
        <v>9</v>
      </c>
      <c r="K591" s="1258">
        <v>12</v>
      </c>
      <c r="L591" s="1258">
        <v>14</v>
      </c>
      <c r="M591" s="1264">
        <v>16</v>
      </c>
      <c r="N591" s="1258">
        <v>120</v>
      </c>
      <c r="O591" s="1258">
        <v>150</v>
      </c>
      <c r="P591" s="1258">
        <v>200</v>
      </c>
      <c r="Q591" s="1264">
        <v>250</v>
      </c>
      <c r="R591" s="1258">
        <v>15</v>
      </c>
      <c r="S591" s="1258">
        <v>15</v>
      </c>
      <c r="T591" s="1258">
        <v>20</v>
      </c>
      <c r="U591" s="1264">
        <v>25</v>
      </c>
      <c r="V591" s="1260" t="s">
        <v>7799</v>
      </c>
      <c r="W591" s="1260" t="s">
        <v>7800</v>
      </c>
      <c r="X591" s="1260" t="s">
        <v>7801</v>
      </c>
      <c r="Y591" s="1260" t="s">
        <v>7802</v>
      </c>
      <c r="Z591" s="1261" t="s">
        <v>7803</v>
      </c>
    </row>
    <row r="592" spans="2:26" ht="12.75" customHeight="1" x14ac:dyDescent="0.2">
      <c r="B592" s="2465" t="str">
        <f t="shared" si="9"/>
        <v>Nobleza94</v>
      </c>
      <c r="C592" s="1262"/>
      <c r="D592" s="1268" t="s">
        <v>1004</v>
      </c>
      <c r="E592" s="1258" t="s">
        <v>264</v>
      </c>
      <c r="F592" s="1258">
        <v>94</v>
      </c>
      <c r="G592" s="1269" t="s">
        <v>3090</v>
      </c>
      <c r="H592" s="1269" t="s">
        <v>1763</v>
      </c>
      <c r="I592" s="1270" t="s">
        <v>1918</v>
      </c>
      <c r="J592" s="1258">
        <v>9</v>
      </c>
      <c r="K592" s="1258">
        <v>12</v>
      </c>
      <c r="L592" s="1258">
        <v>14</v>
      </c>
      <c r="M592" s="1264">
        <v>16</v>
      </c>
      <c r="N592" s="1258">
        <v>120</v>
      </c>
      <c r="O592" s="1258">
        <v>150</v>
      </c>
      <c r="P592" s="1258">
        <v>200</v>
      </c>
      <c r="Q592" s="1264">
        <v>250</v>
      </c>
      <c r="R592" s="1258">
        <v>10</v>
      </c>
      <c r="S592" s="1258">
        <v>10</v>
      </c>
      <c r="T592" s="1258">
        <v>15</v>
      </c>
      <c r="U592" s="1264">
        <v>20</v>
      </c>
      <c r="V592" s="1260" t="s">
        <v>7804</v>
      </c>
      <c r="W592" s="1260" t="s">
        <v>7805</v>
      </c>
      <c r="X592" s="1260" t="s">
        <v>7806</v>
      </c>
      <c r="Y592" s="1260" t="s">
        <v>7807</v>
      </c>
      <c r="Z592" s="1261" t="s">
        <v>7808</v>
      </c>
    </row>
    <row r="593" spans="2:26" ht="12.75" customHeight="1" x14ac:dyDescent="0.2">
      <c r="B593" s="2465" t="str">
        <f t="shared" si="9"/>
        <v/>
      </c>
      <c r="C593" s="1262"/>
      <c r="D593" s="1268" t="s">
        <v>1005</v>
      </c>
      <c r="E593" s="1258"/>
      <c r="F593" s="1258"/>
      <c r="G593" s="1269"/>
      <c r="H593" s="1269"/>
      <c r="I593" s="1270"/>
      <c r="J593" s="1258"/>
      <c r="K593" s="1258"/>
      <c r="L593" s="1258"/>
      <c r="M593" s="1264"/>
      <c r="N593" s="1258"/>
      <c r="O593" s="1258"/>
      <c r="P593" s="1258"/>
      <c r="Q593" s="1264"/>
      <c r="R593" s="1258"/>
      <c r="S593" s="1258"/>
      <c r="T593" s="1258"/>
      <c r="U593" s="1264"/>
      <c r="V593" s="1260"/>
      <c r="W593" s="1260"/>
      <c r="X593" s="1260"/>
      <c r="Y593" s="1260"/>
      <c r="Z593" s="1261"/>
    </row>
    <row r="594" spans="2:26" ht="12.75" customHeight="1" x14ac:dyDescent="0.2">
      <c r="B594" s="2465" t="str">
        <f t="shared" si="9"/>
        <v>Paz4</v>
      </c>
      <c r="C594" s="1262"/>
      <c r="D594" s="1268" t="s">
        <v>7809</v>
      </c>
      <c r="E594" s="1258" t="s">
        <v>265</v>
      </c>
      <c r="F594" s="1258">
        <v>4</v>
      </c>
      <c r="G594" s="1269" t="s">
        <v>2234</v>
      </c>
      <c r="H594" s="1269" t="s">
        <v>2431</v>
      </c>
      <c r="I594" s="1270" t="s">
        <v>1919</v>
      </c>
      <c r="J594" s="1258">
        <v>6</v>
      </c>
      <c r="K594" s="1258">
        <v>8</v>
      </c>
      <c r="L594" s="1258">
        <v>10</v>
      </c>
      <c r="M594" s="1264">
        <v>14</v>
      </c>
      <c r="N594" s="1258">
        <v>50</v>
      </c>
      <c r="O594" s="1258">
        <v>100</v>
      </c>
      <c r="P594" s="1258">
        <v>160</v>
      </c>
      <c r="Q594" s="1264">
        <v>240</v>
      </c>
      <c r="R594" s="1258">
        <v>5</v>
      </c>
      <c r="S594" s="1258">
        <v>15</v>
      </c>
      <c r="T594" s="1258">
        <v>20</v>
      </c>
      <c r="U594" s="1264">
        <v>25</v>
      </c>
      <c r="V594" s="1260" t="s">
        <v>7810</v>
      </c>
      <c r="W594" s="1260" t="s">
        <v>7811</v>
      </c>
      <c r="X594" s="1260" t="s">
        <v>7812</v>
      </c>
      <c r="Y594" s="1260" t="s">
        <v>7813</v>
      </c>
      <c r="Z594" s="1261" t="s">
        <v>7814</v>
      </c>
    </row>
    <row r="595" spans="2:26" ht="12.75" customHeight="1" x14ac:dyDescent="0.2">
      <c r="B595" s="2465" t="str">
        <f t="shared" si="9"/>
        <v>Paz14</v>
      </c>
      <c r="C595" s="1262"/>
      <c r="D595" s="1268" t="s">
        <v>7815</v>
      </c>
      <c r="E595" s="1258" t="s">
        <v>265</v>
      </c>
      <c r="F595" s="1258">
        <v>14</v>
      </c>
      <c r="G595" s="1269" t="s">
        <v>3090</v>
      </c>
      <c r="H595" s="1269" t="s">
        <v>1763</v>
      </c>
      <c r="I595" s="1270" t="s">
        <v>1919</v>
      </c>
      <c r="J595" s="1258">
        <v>6</v>
      </c>
      <c r="K595" s="1258">
        <v>9</v>
      </c>
      <c r="L595" s="1258">
        <v>12</v>
      </c>
      <c r="M595" s="1264">
        <v>15</v>
      </c>
      <c r="N595" s="1258">
        <v>120</v>
      </c>
      <c r="O595" s="1258">
        <v>180</v>
      </c>
      <c r="P595" s="1258">
        <v>240</v>
      </c>
      <c r="Q595" s="1264">
        <v>300</v>
      </c>
      <c r="R595" s="1258">
        <v>15</v>
      </c>
      <c r="S595" s="1258">
        <v>20</v>
      </c>
      <c r="T595" s="1258">
        <v>25</v>
      </c>
      <c r="U595" s="1264">
        <v>30</v>
      </c>
      <c r="V595" s="1260" t="s">
        <v>7816</v>
      </c>
      <c r="W595" s="1260" t="s">
        <v>7817</v>
      </c>
      <c r="X595" s="1260" t="s">
        <v>7818</v>
      </c>
      <c r="Y595" s="1260" t="s">
        <v>7819</v>
      </c>
      <c r="Z595" s="1261" t="s">
        <v>7820</v>
      </c>
    </row>
    <row r="596" spans="2:26" ht="12.75" customHeight="1" x14ac:dyDescent="0.2">
      <c r="B596" s="2465" t="str">
        <f t="shared" si="9"/>
        <v>Paz24</v>
      </c>
      <c r="C596" s="1262"/>
      <c r="D596" s="1268" t="s">
        <v>1008</v>
      </c>
      <c r="E596" s="1258" t="s">
        <v>265</v>
      </c>
      <c r="F596" s="1258">
        <v>24</v>
      </c>
      <c r="G596" s="1269" t="s">
        <v>2234</v>
      </c>
      <c r="H596" s="1269" t="s">
        <v>1763</v>
      </c>
      <c r="I596" s="1270" t="s">
        <v>1918</v>
      </c>
      <c r="J596" s="1258">
        <v>6</v>
      </c>
      <c r="K596" s="1258">
        <v>8</v>
      </c>
      <c r="L596" s="1258">
        <v>10</v>
      </c>
      <c r="M596" s="1264">
        <v>12</v>
      </c>
      <c r="N596" s="1258">
        <v>60</v>
      </c>
      <c r="O596" s="1258">
        <v>100</v>
      </c>
      <c r="P596" s="1258">
        <v>140</v>
      </c>
      <c r="Q596" s="1264">
        <v>200</v>
      </c>
      <c r="R596" s="1258">
        <v>10</v>
      </c>
      <c r="S596" s="1258">
        <v>10</v>
      </c>
      <c r="T596" s="1258">
        <v>15</v>
      </c>
      <c r="U596" s="1264">
        <v>20</v>
      </c>
      <c r="V596" s="1260" t="s">
        <v>7821</v>
      </c>
      <c r="W596" s="1260" t="s">
        <v>7822</v>
      </c>
      <c r="X596" s="1260" t="s">
        <v>7823</v>
      </c>
      <c r="Y596" s="1260" t="s">
        <v>7824</v>
      </c>
      <c r="Z596" s="1261" t="s">
        <v>7825</v>
      </c>
    </row>
    <row r="597" spans="2:26" ht="12.75" customHeight="1" x14ac:dyDescent="0.2">
      <c r="B597" s="2465" t="str">
        <f t="shared" si="9"/>
        <v>Paz34</v>
      </c>
      <c r="C597" s="1262"/>
      <c r="D597" s="1268" t="s">
        <v>7826</v>
      </c>
      <c r="E597" s="1258" t="s">
        <v>265</v>
      </c>
      <c r="F597" s="1258">
        <v>34</v>
      </c>
      <c r="G597" s="1269" t="s">
        <v>2234</v>
      </c>
      <c r="H597" s="1269" t="s">
        <v>1765</v>
      </c>
      <c r="I597" s="1270" t="s">
        <v>1918</v>
      </c>
      <c r="J597" s="1258">
        <v>8</v>
      </c>
      <c r="K597" s="1258">
        <v>10</v>
      </c>
      <c r="L597" s="1258">
        <v>12</v>
      </c>
      <c r="M597" s="1264">
        <v>14</v>
      </c>
      <c r="N597" s="1258">
        <v>80</v>
      </c>
      <c r="O597" s="1258">
        <v>100</v>
      </c>
      <c r="P597" s="1258">
        <v>120</v>
      </c>
      <c r="Q597" s="1264">
        <v>140</v>
      </c>
      <c r="R597" s="1258">
        <v>10</v>
      </c>
      <c r="S597" s="1258">
        <v>10</v>
      </c>
      <c r="T597" s="1258">
        <v>15</v>
      </c>
      <c r="U597" s="1264">
        <v>15</v>
      </c>
      <c r="V597" s="1260" t="s">
        <v>7827</v>
      </c>
      <c r="W597" s="1260" t="s">
        <v>7828</v>
      </c>
      <c r="X597" s="1260" t="s">
        <v>7829</v>
      </c>
      <c r="Y597" s="1260" t="s">
        <v>7830</v>
      </c>
      <c r="Z597" s="1261" t="s">
        <v>7831</v>
      </c>
    </row>
    <row r="598" spans="2:26" ht="12.75" customHeight="1" x14ac:dyDescent="0.2">
      <c r="B598" s="2465" t="str">
        <f t="shared" si="9"/>
        <v>Paz44</v>
      </c>
      <c r="C598" s="1262"/>
      <c r="D598" s="1268" t="s">
        <v>7832</v>
      </c>
      <c r="E598" s="1258" t="s">
        <v>265</v>
      </c>
      <c r="F598" s="1258">
        <v>44</v>
      </c>
      <c r="G598" s="1269" t="s">
        <v>3090</v>
      </c>
      <c r="H598" s="1269" t="s">
        <v>1764</v>
      </c>
      <c r="I598" s="1270" t="s">
        <v>1918</v>
      </c>
      <c r="J598" s="1258">
        <v>8</v>
      </c>
      <c r="K598" s="1258">
        <v>10</v>
      </c>
      <c r="L598" s="1258">
        <v>12</v>
      </c>
      <c r="M598" s="1264">
        <v>14</v>
      </c>
      <c r="N598" s="1258">
        <v>160</v>
      </c>
      <c r="O598" s="1258">
        <v>220</v>
      </c>
      <c r="P598" s="1258">
        <v>280</v>
      </c>
      <c r="Q598" s="1264">
        <v>300</v>
      </c>
      <c r="R598" s="1258">
        <v>20</v>
      </c>
      <c r="S598" s="1258">
        <v>25</v>
      </c>
      <c r="T598" s="1258">
        <v>30</v>
      </c>
      <c r="U598" s="1264">
        <v>30</v>
      </c>
      <c r="V598" s="1260" t="s">
        <v>7827</v>
      </c>
      <c r="W598" s="1260" t="s">
        <v>7828</v>
      </c>
      <c r="X598" s="1260" t="s">
        <v>7829</v>
      </c>
      <c r="Y598" s="1260" t="s">
        <v>7830</v>
      </c>
      <c r="Z598" s="1261" t="s">
        <v>7833</v>
      </c>
    </row>
    <row r="599" spans="2:26" ht="12.75" customHeight="1" x14ac:dyDescent="0.2">
      <c r="B599" s="2465" t="str">
        <f t="shared" si="9"/>
        <v>Paz54</v>
      </c>
      <c r="C599" s="1262"/>
      <c r="D599" s="1268" t="s">
        <v>7834</v>
      </c>
      <c r="E599" s="1258" t="s">
        <v>265</v>
      </c>
      <c r="F599" s="1258">
        <v>54</v>
      </c>
      <c r="G599" s="1269" t="s">
        <v>2234</v>
      </c>
      <c r="H599" s="1269" t="s">
        <v>1764</v>
      </c>
      <c r="I599" s="1270" t="s">
        <v>1919</v>
      </c>
      <c r="J599" s="1258">
        <v>8</v>
      </c>
      <c r="K599" s="1258">
        <v>10</v>
      </c>
      <c r="L599" s="1258">
        <v>12</v>
      </c>
      <c r="M599" s="1264">
        <v>14</v>
      </c>
      <c r="N599" s="1258">
        <v>100</v>
      </c>
      <c r="O599" s="1258">
        <v>180</v>
      </c>
      <c r="P599" s="1258">
        <v>260</v>
      </c>
      <c r="Q599" s="1264">
        <v>340</v>
      </c>
      <c r="R599" s="1258" t="s">
        <v>2234</v>
      </c>
      <c r="S599" s="1258" t="s">
        <v>2234</v>
      </c>
      <c r="T599" s="1258" t="s">
        <v>2234</v>
      </c>
      <c r="U599" s="1264" t="s">
        <v>2234</v>
      </c>
      <c r="V599" s="1260" t="s">
        <v>5709</v>
      </c>
      <c r="W599" s="1260" t="s">
        <v>5584</v>
      </c>
      <c r="X599" s="1260" t="s">
        <v>5585</v>
      </c>
      <c r="Y599" s="1260" t="s">
        <v>5586</v>
      </c>
      <c r="Z599" s="1261" t="s">
        <v>7835</v>
      </c>
    </row>
    <row r="600" spans="2:26" ht="12.75" customHeight="1" x14ac:dyDescent="0.2">
      <c r="B600" s="2465" t="str">
        <f t="shared" si="9"/>
        <v>Paz64</v>
      </c>
      <c r="C600" s="1262"/>
      <c r="D600" s="1268" t="s">
        <v>3811</v>
      </c>
      <c r="E600" s="1258" t="s">
        <v>265</v>
      </c>
      <c r="F600" s="1258">
        <v>64</v>
      </c>
      <c r="G600" s="1269" t="s">
        <v>2234</v>
      </c>
      <c r="H600" s="1269" t="s">
        <v>1763</v>
      </c>
      <c r="I600" s="1270" t="s">
        <v>1918</v>
      </c>
      <c r="J600" s="1258">
        <v>6</v>
      </c>
      <c r="K600" s="1258">
        <v>9</v>
      </c>
      <c r="L600" s="1258">
        <v>12</v>
      </c>
      <c r="M600" s="1264">
        <v>15</v>
      </c>
      <c r="N600" s="1258">
        <v>50</v>
      </c>
      <c r="O600" s="1258">
        <v>80</v>
      </c>
      <c r="P600" s="1258">
        <v>110</v>
      </c>
      <c r="Q600" s="1264">
        <v>140</v>
      </c>
      <c r="R600" s="1258">
        <v>10</v>
      </c>
      <c r="S600" s="1258">
        <v>10</v>
      </c>
      <c r="T600" s="1258">
        <v>15</v>
      </c>
      <c r="U600" s="1264">
        <v>15</v>
      </c>
      <c r="V600" s="1260" t="s">
        <v>7836</v>
      </c>
      <c r="W600" s="1260" t="s">
        <v>7837</v>
      </c>
      <c r="X600" s="1260" t="s">
        <v>7838</v>
      </c>
      <c r="Y600" s="1260" t="s">
        <v>7839</v>
      </c>
      <c r="Z600" s="1261" t="s">
        <v>7840</v>
      </c>
    </row>
    <row r="601" spans="2:26" ht="12.75" customHeight="1" x14ac:dyDescent="0.2">
      <c r="B601" s="2465" t="str">
        <f t="shared" si="9"/>
        <v>Paz74</v>
      </c>
      <c r="C601" s="1262"/>
      <c r="D601" s="1268" t="s">
        <v>7841</v>
      </c>
      <c r="E601" s="1258" t="s">
        <v>265</v>
      </c>
      <c r="F601" s="1258">
        <v>74</v>
      </c>
      <c r="G601" s="1269" t="s">
        <v>2234</v>
      </c>
      <c r="H601" s="1269" t="s">
        <v>2431</v>
      </c>
      <c r="I601" s="1270" t="s">
        <v>1919</v>
      </c>
      <c r="J601" s="1258">
        <v>9</v>
      </c>
      <c r="K601" s="1258">
        <v>11</v>
      </c>
      <c r="L601" s="1258">
        <v>13</v>
      </c>
      <c r="M601" s="1264">
        <v>15</v>
      </c>
      <c r="N601" s="1258">
        <v>150</v>
      </c>
      <c r="O601" s="1258">
        <v>250</v>
      </c>
      <c r="P601" s="1258">
        <v>350</v>
      </c>
      <c r="Q601" s="1264">
        <v>450</v>
      </c>
      <c r="R601" s="1258">
        <v>15</v>
      </c>
      <c r="S601" s="1258">
        <v>25</v>
      </c>
      <c r="T601" s="1258">
        <v>35</v>
      </c>
      <c r="U601" s="1264">
        <v>45</v>
      </c>
      <c r="V601" s="1260" t="s">
        <v>7842</v>
      </c>
      <c r="W601" s="1260" t="s">
        <v>7843</v>
      </c>
      <c r="X601" s="1260" t="s">
        <v>7844</v>
      </c>
      <c r="Y601" s="1260" t="s">
        <v>7845</v>
      </c>
      <c r="Z601" s="1261" t="s">
        <v>7846</v>
      </c>
    </row>
    <row r="602" spans="2:26" ht="12.75" customHeight="1" x14ac:dyDescent="0.2">
      <c r="B602" s="2465" t="str">
        <f t="shared" si="9"/>
        <v>Paz84</v>
      </c>
      <c r="C602" s="1262"/>
      <c r="D602" s="1268" t="s">
        <v>7847</v>
      </c>
      <c r="E602" s="1258" t="s">
        <v>265</v>
      </c>
      <c r="F602" s="1258">
        <v>84</v>
      </c>
      <c r="G602" s="1269" t="s">
        <v>2234</v>
      </c>
      <c r="H602" s="1269" t="s">
        <v>1762</v>
      </c>
      <c r="I602" s="1270" t="s">
        <v>1918</v>
      </c>
      <c r="J602" s="1258">
        <v>9</v>
      </c>
      <c r="K602" s="1258">
        <v>11</v>
      </c>
      <c r="L602" s="1258">
        <v>13</v>
      </c>
      <c r="M602" s="1264">
        <v>15</v>
      </c>
      <c r="N602" s="1258">
        <v>120</v>
      </c>
      <c r="O602" s="1258">
        <v>180</v>
      </c>
      <c r="P602" s="1258">
        <v>240</v>
      </c>
      <c r="Q602" s="1264">
        <v>300</v>
      </c>
      <c r="R602" s="1258">
        <v>20</v>
      </c>
      <c r="S602" s="1258">
        <v>20</v>
      </c>
      <c r="T602" s="1258">
        <v>25</v>
      </c>
      <c r="U602" s="1264">
        <v>30</v>
      </c>
      <c r="V602" s="1260" t="s">
        <v>5709</v>
      </c>
      <c r="W602" s="1260" t="s">
        <v>5710</v>
      </c>
      <c r="X602" s="1260" t="s">
        <v>5584</v>
      </c>
      <c r="Y602" s="1260" t="s">
        <v>5387</v>
      </c>
      <c r="Z602" s="1261" t="s">
        <v>7848</v>
      </c>
    </row>
    <row r="603" spans="2:26" ht="12.75" customHeight="1" x14ac:dyDescent="0.2">
      <c r="B603" s="2465" t="str">
        <f t="shared" si="9"/>
        <v>Paz94</v>
      </c>
      <c r="C603" s="1262"/>
      <c r="D603" s="1268" t="s">
        <v>7849</v>
      </c>
      <c r="E603" s="1258" t="s">
        <v>265</v>
      </c>
      <c r="F603" s="1258">
        <v>94</v>
      </c>
      <c r="G603" s="1269" t="s">
        <v>3090</v>
      </c>
      <c r="H603" s="1269" t="s">
        <v>1764</v>
      </c>
      <c r="I603" s="1270" t="s">
        <v>1918</v>
      </c>
      <c r="J603" s="1258">
        <v>8</v>
      </c>
      <c r="K603" s="1258">
        <v>10</v>
      </c>
      <c r="L603" s="1258">
        <v>12</v>
      </c>
      <c r="M603" s="1264">
        <v>14</v>
      </c>
      <c r="N603" s="1258">
        <v>350</v>
      </c>
      <c r="O603" s="1258">
        <v>600</v>
      </c>
      <c r="P603" s="1258">
        <v>1000</v>
      </c>
      <c r="Q603" s="1264">
        <v>1600</v>
      </c>
      <c r="R603" s="1258">
        <v>35</v>
      </c>
      <c r="S603" s="1258">
        <v>60</v>
      </c>
      <c r="T603" s="1258">
        <v>100</v>
      </c>
      <c r="U603" s="1264">
        <v>160</v>
      </c>
      <c r="V603" s="1260" t="s">
        <v>7850</v>
      </c>
      <c r="W603" s="1260" t="s">
        <v>7851</v>
      </c>
      <c r="X603" s="1260" t="s">
        <v>7852</v>
      </c>
      <c r="Y603" s="1260" t="s">
        <v>7853</v>
      </c>
      <c r="Z603" s="1261" t="s">
        <v>7854</v>
      </c>
    </row>
    <row r="604" spans="2:26" ht="12.75" customHeight="1" x14ac:dyDescent="0.2">
      <c r="B604" s="2465" t="str">
        <f t="shared" si="9"/>
        <v/>
      </c>
      <c r="C604" s="1262"/>
      <c r="D604" s="1268" t="s">
        <v>1016</v>
      </c>
      <c r="E604" s="1258"/>
      <c r="F604" s="1258"/>
      <c r="G604" s="1269"/>
      <c r="H604" s="1269"/>
      <c r="I604" s="1270"/>
      <c r="J604" s="1258"/>
      <c r="K604" s="1258"/>
      <c r="L604" s="1258"/>
      <c r="M604" s="1264"/>
      <c r="N604" s="1258"/>
      <c r="O604" s="1258"/>
      <c r="P604" s="1258"/>
      <c r="Q604" s="1264"/>
      <c r="R604" s="1258"/>
      <c r="S604" s="1258"/>
      <c r="T604" s="1258"/>
      <c r="U604" s="1264"/>
      <c r="V604" s="1260"/>
      <c r="W604" s="1260"/>
      <c r="X604" s="1260"/>
      <c r="Y604" s="1260"/>
      <c r="Z604" s="1261"/>
    </row>
    <row r="605" spans="2:26" ht="12.75" customHeight="1" x14ac:dyDescent="0.2">
      <c r="B605" s="2465" t="str">
        <f t="shared" si="9"/>
        <v>Pecado4</v>
      </c>
      <c r="C605" s="1262"/>
      <c r="D605" s="1268" t="s">
        <v>7855</v>
      </c>
      <c r="E605" s="1258" t="s">
        <v>266</v>
      </c>
      <c r="F605" s="1258">
        <v>4</v>
      </c>
      <c r="G605" s="1269" t="s">
        <v>2234</v>
      </c>
      <c r="H605" s="1269" t="s">
        <v>1765</v>
      </c>
      <c r="I605" s="1270" t="s">
        <v>1918</v>
      </c>
      <c r="J605" s="1258">
        <v>6</v>
      </c>
      <c r="K605" s="1258">
        <v>8</v>
      </c>
      <c r="L605" s="1258">
        <v>10</v>
      </c>
      <c r="M605" s="1264">
        <v>12</v>
      </c>
      <c r="N605" s="1258">
        <v>40</v>
      </c>
      <c r="O605" s="1258">
        <v>60</v>
      </c>
      <c r="P605" s="1258">
        <v>90</v>
      </c>
      <c r="Q605" s="1264">
        <v>120</v>
      </c>
      <c r="R605" s="1258" t="s">
        <v>2234</v>
      </c>
      <c r="S605" s="1258" t="s">
        <v>2234</v>
      </c>
      <c r="T605" s="1258" t="s">
        <v>2234</v>
      </c>
      <c r="U605" s="1264" t="s">
        <v>2234</v>
      </c>
      <c r="V605" s="1260" t="s">
        <v>5709</v>
      </c>
      <c r="W605" s="1260" t="s">
        <v>5710</v>
      </c>
      <c r="X605" s="1260" t="s">
        <v>5584</v>
      </c>
      <c r="Y605" s="1260" t="s">
        <v>5387</v>
      </c>
      <c r="Z605" s="1261" t="s">
        <v>7856</v>
      </c>
    </row>
    <row r="606" spans="2:26" ht="12.75" customHeight="1" x14ac:dyDescent="0.2">
      <c r="B606" s="2465" t="str">
        <f t="shared" si="9"/>
        <v>Pecado14</v>
      </c>
      <c r="C606" s="1262"/>
      <c r="D606" s="1268" t="s">
        <v>7857</v>
      </c>
      <c r="E606" s="1258" t="s">
        <v>266</v>
      </c>
      <c r="F606" s="1258">
        <v>14</v>
      </c>
      <c r="G606" s="1269" t="s">
        <v>3090</v>
      </c>
      <c r="H606" s="1269" t="s">
        <v>1762</v>
      </c>
      <c r="I606" s="1270" t="s">
        <v>1918</v>
      </c>
      <c r="J606" s="1258">
        <v>6</v>
      </c>
      <c r="K606" s="1258">
        <v>8</v>
      </c>
      <c r="L606" s="1258">
        <v>10</v>
      </c>
      <c r="M606" s="1264">
        <v>12</v>
      </c>
      <c r="N606" s="1258">
        <v>50</v>
      </c>
      <c r="O606" s="1258">
        <v>70</v>
      </c>
      <c r="P606" s="1258">
        <v>100</v>
      </c>
      <c r="Q606" s="1264">
        <v>140</v>
      </c>
      <c r="R606" s="1258">
        <v>5</v>
      </c>
      <c r="S606" s="1258">
        <v>10</v>
      </c>
      <c r="T606" s="1258">
        <v>10</v>
      </c>
      <c r="U606" s="1264">
        <v>15</v>
      </c>
      <c r="V606" s="1260" t="s">
        <v>5709</v>
      </c>
      <c r="W606" s="1260" t="s">
        <v>5710</v>
      </c>
      <c r="X606" s="1260" t="s">
        <v>5584</v>
      </c>
      <c r="Y606" s="1260" t="s">
        <v>5387</v>
      </c>
      <c r="Z606" s="1261" t="s">
        <v>7858</v>
      </c>
    </row>
    <row r="607" spans="2:26" ht="12.75" customHeight="1" x14ac:dyDescent="0.2">
      <c r="B607" s="2465" t="str">
        <f t="shared" si="9"/>
        <v>Pecado24</v>
      </c>
      <c r="C607" s="1262"/>
      <c r="D607" s="1268" t="s">
        <v>1019</v>
      </c>
      <c r="E607" s="1258" t="s">
        <v>266</v>
      </c>
      <c r="F607" s="1258">
        <v>24</v>
      </c>
      <c r="G607" s="1269" t="s">
        <v>2234</v>
      </c>
      <c r="H607" s="1269" t="s">
        <v>1763</v>
      </c>
      <c r="I607" s="1270" t="s">
        <v>1918</v>
      </c>
      <c r="J607" s="1258">
        <v>7</v>
      </c>
      <c r="K607" s="1258">
        <v>9</v>
      </c>
      <c r="L607" s="1258">
        <v>11</v>
      </c>
      <c r="M607" s="1264">
        <v>13</v>
      </c>
      <c r="N607" s="1258">
        <v>60</v>
      </c>
      <c r="O607" s="1258">
        <v>100</v>
      </c>
      <c r="P607" s="1258">
        <v>140</v>
      </c>
      <c r="Q607" s="1264">
        <v>180</v>
      </c>
      <c r="R607" s="1258">
        <v>5</v>
      </c>
      <c r="S607" s="1258">
        <v>5</v>
      </c>
      <c r="T607" s="1258">
        <v>10</v>
      </c>
      <c r="U607" s="1264">
        <v>10</v>
      </c>
      <c r="V607" s="1260" t="s">
        <v>7859</v>
      </c>
      <c r="W607" s="1260" t="s">
        <v>7860</v>
      </c>
      <c r="X607" s="1260" t="s">
        <v>7861</v>
      </c>
      <c r="Y607" s="1260" t="s">
        <v>7862</v>
      </c>
      <c r="Z607" s="1261" t="s">
        <v>7863</v>
      </c>
    </row>
    <row r="608" spans="2:26" ht="12.75" customHeight="1" x14ac:dyDescent="0.2">
      <c r="B608" s="2465" t="str">
        <f t="shared" si="9"/>
        <v>Pecado34</v>
      </c>
      <c r="C608" s="1262"/>
      <c r="D608" s="1268" t="s">
        <v>1020</v>
      </c>
      <c r="E608" s="1258" t="s">
        <v>266</v>
      </c>
      <c r="F608" s="1258">
        <v>34</v>
      </c>
      <c r="G608" s="1269" t="s">
        <v>2234</v>
      </c>
      <c r="H608" s="1269" t="s">
        <v>1762</v>
      </c>
      <c r="I608" s="1270" t="s">
        <v>1918</v>
      </c>
      <c r="J608" s="1258">
        <v>7</v>
      </c>
      <c r="K608" s="1258">
        <v>9</v>
      </c>
      <c r="L608" s="1258">
        <v>11</v>
      </c>
      <c r="M608" s="1264">
        <v>13</v>
      </c>
      <c r="N608" s="1258">
        <v>60</v>
      </c>
      <c r="O608" s="1258">
        <v>100</v>
      </c>
      <c r="P608" s="1258">
        <v>120</v>
      </c>
      <c r="Q608" s="1264">
        <v>150</v>
      </c>
      <c r="R608" s="1258">
        <v>5</v>
      </c>
      <c r="S608" s="1258">
        <v>5</v>
      </c>
      <c r="T608" s="1258">
        <v>10</v>
      </c>
      <c r="U608" s="1264">
        <v>10</v>
      </c>
      <c r="V608" s="1260" t="s">
        <v>5710</v>
      </c>
      <c r="W608" s="1260" t="s">
        <v>5584</v>
      </c>
      <c r="X608" s="1260" t="s">
        <v>5387</v>
      </c>
      <c r="Y608" s="1260" t="s">
        <v>5585</v>
      </c>
      <c r="Z608" s="1261" t="s">
        <v>7864</v>
      </c>
    </row>
    <row r="609" spans="2:26" ht="12.75" customHeight="1" x14ac:dyDescent="0.2">
      <c r="B609" s="2465" t="str">
        <f t="shared" si="9"/>
        <v>Pecado44</v>
      </c>
      <c r="C609" s="1262"/>
      <c r="D609" s="1268" t="s">
        <v>1021</v>
      </c>
      <c r="E609" s="1258" t="s">
        <v>266</v>
      </c>
      <c r="F609" s="1258">
        <v>44</v>
      </c>
      <c r="G609" s="1269" t="s">
        <v>2234</v>
      </c>
      <c r="H609" s="1269" t="s">
        <v>1764</v>
      </c>
      <c r="I609" s="1270" t="s">
        <v>1918</v>
      </c>
      <c r="J609" s="1258">
        <v>8</v>
      </c>
      <c r="K609" s="1258">
        <v>10</v>
      </c>
      <c r="L609" s="1258">
        <v>12</v>
      </c>
      <c r="M609" s="1264">
        <v>14</v>
      </c>
      <c r="N609" s="1258">
        <v>50</v>
      </c>
      <c r="O609" s="1258">
        <v>80</v>
      </c>
      <c r="P609" s="1258">
        <v>120</v>
      </c>
      <c r="Q609" s="1264">
        <v>260</v>
      </c>
      <c r="R609" s="1258" t="s">
        <v>2234</v>
      </c>
      <c r="S609" s="1258" t="s">
        <v>2234</v>
      </c>
      <c r="T609" s="1258" t="s">
        <v>2234</v>
      </c>
      <c r="U609" s="1264" t="s">
        <v>2234</v>
      </c>
      <c r="V609" s="1260" t="s">
        <v>7865</v>
      </c>
      <c r="W609" s="1260" t="s">
        <v>7866</v>
      </c>
      <c r="X609" s="1260" t="s">
        <v>7867</v>
      </c>
      <c r="Y609" s="1260" t="s">
        <v>7868</v>
      </c>
      <c r="Z609" s="1261" t="s">
        <v>7869</v>
      </c>
    </row>
    <row r="610" spans="2:26" ht="12.75" customHeight="1" x14ac:dyDescent="0.2">
      <c r="B610" s="2465" t="str">
        <f t="shared" si="9"/>
        <v>Pecado54</v>
      </c>
      <c r="C610" s="1262"/>
      <c r="D610" s="1268" t="s">
        <v>1022</v>
      </c>
      <c r="E610" s="1258" t="s">
        <v>266</v>
      </c>
      <c r="F610" s="1258">
        <v>54</v>
      </c>
      <c r="G610" s="1269" t="s">
        <v>2234</v>
      </c>
      <c r="H610" s="1269" t="s">
        <v>1763</v>
      </c>
      <c r="I610" s="1270" t="s">
        <v>1918</v>
      </c>
      <c r="J610" s="1258">
        <v>7</v>
      </c>
      <c r="K610" s="1258">
        <v>9</v>
      </c>
      <c r="L610" s="1258">
        <v>11</v>
      </c>
      <c r="M610" s="1264">
        <v>13</v>
      </c>
      <c r="N610" s="1258">
        <v>60</v>
      </c>
      <c r="O610" s="1258">
        <v>80</v>
      </c>
      <c r="P610" s="1258">
        <v>100</v>
      </c>
      <c r="Q610" s="1264">
        <v>120</v>
      </c>
      <c r="R610" s="1258">
        <v>5</v>
      </c>
      <c r="S610" s="1258">
        <v>5</v>
      </c>
      <c r="T610" s="1258">
        <v>10</v>
      </c>
      <c r="U610" s="1264">
        <v>10</v>
      </c>
      <c r="V610" s="1260" t="s">
        <v>5753</v>
      </c>
      <c r="W610" s="1260" t="s">
        <v>5709</v>
      </c>
      <c r="X610" s="1260" t="s">
        <v>5710</v>
      </c>
      <c r="Y610" s="1260" t="s">
        <v>5584</v>
      </c>
      <c r="Z610" s="1261" t="s">
        <v>7870</v>
      </c>
    </row>
    <row r="611" spans="2:26" ht="12.75" customHeight="1" x14ac:dyDescent="0.2">
      <c r="B611" s="2465" t="str">
        <f t="shared" si="9"/>
        <v>Pecado64</v>
      </c>
      <c r="C611" s="1262"/>
      <c r="D611" s="1268" t="s">
        <v>1023</v>
      </c>
      <c r="E611" s="1258" t="s">
        <v>266</v>
      </c>
      <c r="F611" s="1258">
        <v>64</v>
      </c>
      <c r="G611" s="1269" t="s">
        <v>2234</v>
      </c>
      <c r="H611" s="1269" t="s">
        <v>1762</v>
      </c>
      <c r="I611" s="1270" t="s">
        <v>1918</v>
      </c>
      <c r="J611" s="1258">
        <v>7</v>
      </c>
      <c r="K611" s="1258">
        <v>9</v>
      </c>
      <c r="L611" s="1258">
        <v>11</v>
      </c>
      <c r="M611" s="1264">
        <v>13</v>
      </c>
      <c r="N611" s="1258">
        <v>80</v>
      </c>
      <c r="O611" s="1258">
        <v>100</v>
      </c>
      <c r="P611" s="1258">
        <v>120</v>
      </c>
      <c r="Q611" s="1264">
        <v>150</v>
      </c>
      <c r="R611" s="1258">
        <v>5</v>
      </c>
      <c r="S611" s="1258">
        <v>5</v>
      </c>
      <c r="T611" s="1258">
        <v>10</v>
      </c>
      <c r="U611" s="1264">
        <v>10</v>
      </c>
      <c r="V611" s="1260" t="s">
        <v>7871</v>
      </c>
      <c r="W611" s="1260" t="s">
        <v>7872</v>
      </c>
      <c r="X611" s="1260" t="s">
        <v>7873</v>
      </c>
      <c r="Y611" s="1260" t="s">
        <v>7874</v>
      </c>
      <c r="Z611" s="1261" t="s">
        <v>7875</v>
      </c>
    </row>
    <row r="612" spans="2:26" ht="12.75" customHeight="1" x14ac:dyDescent="0.2">
      <c r="B612" s="2465" t="str">
        <f t="shared" si="9"/>
        <v>Pecado74</v>
      </c>
      <c r="C612" s="1262"/>
      <c r="D612" s="1268" t="s">
        <v>1024</v>
      </c>
      <c r="E612" s="1258" t="s">
        <v>266</v>
      </c>
      <c r="F612" s="1258">
        <v>74</v>
      </c>
      <c r="G612" s="1269" t="s">
        <v>2234</v>
      </c>
      <c r="H612" s="1269" t="s">
        <v>1762</v>
      </c>
      <c r="I612" s="1270" t="s">
        <v>1918</v>
      </c>
      <c r="J612" s="1258">
        <v>8</v>
      </c>
      <c r="K612" s="1258">
        <v>10</v>
      </c>
      <c r="L612" s="1258">
        <v>12</v>
      </c>
      <c r="M612" s="1264">
        <v>14</v>
      </c>
      <c r="N612" s="1258">
        <v>100</v>
      </c>
      <c r="O612" s="1258">
        <v>140</v>
      </c>
      <c r="P612" s="1258">
        <v>180</v>
      </c>
      <c r="Q612" s="1264">
        <v>220</v>
      </c>
      <c r="R612" s="1258">
        <v>5</v>
      </c>
      <c r="S612" s="1258">
        <v>5</v>
      </c>
      <c r="T612" s="1258">
        <v>10</v>
      </c>
      <c r="U612" s="1264">
        <v>10</v>
      </c>
      <c r="V612" s="1260" t="s">
        <v>5709</v>
      </c>
      <c r="W612" s="1260" t="s">
        <v>5710</v>
      </c>
      <c r="X612" s="1260" t="s">
        <v>5584</v>
      </c>
      <c r="Y612" s="1260" t="s">
        <v>5387</v>
      </c>
      <c r="Z612" s="1261" t="s">
        <v>7876</v>
      </c>
    </row>
    <row r="613" spans="2:26" ht="12.75" customHeight="1" x14ac:dyDescent="0.2">
      <c r="B613" s="2465" t="str">
        <f t="shared" si="9"/>
        <v>Pecado84</v>
      </c>
      <c r="C613" s="1262"/>
      <c r="D613" s="1268" t="s">
        <v>1025</v>
      </c>
      <c r="E613" s="1258" t="s">
        <v>266</v>
      </c>
      <c r="F613" s="1258">
        <v>84</v>
      </c>
      <c r="G613" s="1269" t="s">
        <v>2234</v>
      </c>
      <c r="H613" s="1269" t="s">
        <v>1762</v>
      </c>
      <c r="I613" s="1270" t="s">
        <v>1918</v>
      </c>
      <c r="J613" s="1258">
        <v>9</v>
      </c>
      <c r="K613" s="1258">
        <v>11</v>
      </c>
      <c r="L613" s="1258">
        <v>13</v>
      </c>
      <c r="M613" s="1264">
        <v>15</v>
      </c>
      <c r="N613" s="1258">
        <v>100</v>
      </c>
      <c r="O613" s="1258">
        <v>150</v>
      </c>
      <c r="P613" s="1258">
        <v>200</v>
      </c>
      <c r="Q613" s="1264">
        <v>250</v>
      </c>
      <c r="R613" s="1258">
        <v>5</v>
      </c>
      <c r="S613" s="1258">
        <v>5</v>
      </c>
      <c r="T613" s="1258">
        <v>10</v>
      </c>
      <c r="U613" s="1264">
        <v>10</v>
      </c>
      <c r="V613" s="1260" t="s">
        <v>5709</v>
      </c>
      <c r="W613" s="1260" t="s">
        <v>5710</v>
      </c>
      <c r="X613" s="1260" t="s">
        <v>5584</v>
      </c>
      <c r="Y613" s="1260" t="s">
        <v>5387</v>
      </c>
      <c r="Z613" s="1261" t="s">
        <v>7877</v>
      </c>
    </row>
    <row r="614" spans="2:26" ht="12.75" customHeight="1" x14ac:dyDescent="0.2">
      <c r="B614" s="2465" t="str">
        <f t="shared" si="9"/>
        <v>Pecado94</v>
      </c>
      <c r="C614" s="1262"/>
      <c r="D614" s="1268" t="s">
        <v>7878</v>
      </c>
      <c r="E614" s="1258" t="s">
        <v>266</v>
      </c>
      <c r="F614" s="1258">
        <v>94</v>
      </c>
      <c r="G614" s="1269" t="s">
        <v>2234</v>
      </c>
      <c r="H614" s="1269" t="s">
        <v>1762</v>
      </c>
      <c r="I614" s="1270" t="s">
        <v>1918</v>
      </c>
      <c r="J614" s="1258">
        <v>10</v>
      </c>
      <c r="K614" s="1258">
        <v>12</v>
      </c>
      <c r="L614" s="1258">
        <v>14</v>
      </c>
      <c r="M614" s="1264">
        <v>16</v>
      </c>
      <c r="N614" s="1258">
        <v>120</v>
      </c>
      <c r="O614" s="1258">
        <v>180</v>
      </c>
      <c r="P614" s="1258">
        <v>260</v>
      </c>
      <c r="Q614" s="1264">
        <v>320</v>
      </c>
      <c r="R614" s="1258" t="s">
        <v>2234</v>
      </c>
      <c r="S614" s="1258" t="s">
        <v>2234</v>
      </c>
      <c r="T614" s="1258" t="s">
        <v>2234</v>
      </c>
      <c r="U614" s="1264" t="s">
        <v>2234</v>
      </c>
      <c r="V614" s="1260" t="s">
        <v>5709</v>
      </c>
      <c r="W614" s="1260" t="s">
        <v>5710</v>
      </c>
      <c r="X614" s="1260" t="s">
        <v>5584</v>
      </c>
      <c r="Y614" s="1260" t="s">
        <v>5387</v>
      </c>
      <c r="Z614" s="1261" t="s">
        <v>7879</v>
      </c>
    </row>
    <row r="615" spans="2:26" ht="12.75" customHeight="1" x14ac:dyDescent="0.2">
      <c r="B615" s="2465" t="str">
        <f t="shared" si="9"/>
        <v/>
      </c>
      <c r="C615" s="1262"/>
      <c r="D615" s="1268" t="s">
        <v>1027</v>
      </c>
      <c r="E615" s="1258"/>
      <c r="F615" s="1258"/>
      <c r="G615" s="1269"/>
      <c r="H615" s="1269"/>
      <c r="I615" s="1270"/>
      <c r="J615" s="1258"/>
      <c r="K615" s="1258"/>
      <c r="L615" s="1258"/>
      <c r="M615" s="1264"/>
      <c r="N615" s="1258"/>
      <c r="O615" s="1258"/>
      <c r="P615" s="1258"/>
      <c r="Q615" s="1264"/>
      <c r="R615" s="1258"/>
      <c r="S615" s="1258"/>
      <c r="T615" s="1258"/>
      <c r="U615" s="1264"/>
      <c r="V615" s="1260"/>
      <c r="W615" s="1260"/>
      <c r="X615" s="1260"/>
      <c r="Y615" s="1260"/>
      <c r="Z615" s="1261"/>
    </row>
    <row r="616" spans="2:26" ht="12.75" customHeight="1" x14ac:dyDescent="0.2">
      <c r="B616" s="2465" t="str">
        <f t="shared" si="9"/>
        <v>Conocimiento4</v>
      </c>
      <c r="C616" s="1262"/>
      <c r="D616" s="1268" t="s">
        <v>1028</v>
      </c>
      <c r="E616" s="1258" t="s">
        <v>267</v>
      </c>
      <c r="F616" s="1258">
        <v>4</v>
      </c>
      <c r="G616" s="1269" t="s">
        <v>2234</v>
      </c>
      <c r="H616" s="1269" t="s">
        <v>1763</v>
      </c>
      <c r="I616" s="1270" t="s">
        <v>1918</v>
      </c>
      <c r="J616" s="1258">
        <v>5</v>
      </c>
      <c r="K616" s="1258">
        <v>7</v>
      </c>
      <c r="L616" s="1258">
        <v>9</v>
      </c>
      <c r="M616" s="1264">
        <v>11</v>
      </c>
      <c r="N616" s="1258">
        <v>30</v>
      </c>
      <c r="O616" s="1258">
        <v>60</v>
      </c>
      <c r="P616" s="1258">
        <v>90</v>
      </c>
      <c r="Q616" s="1264">
        <v>120</v>
      </c>
      <c r="R616" s="1258" t="s">
        <v>2234</v>
      </c>
      <c r="S616" s="1258" t="s">
        <v>2234</v>
      </c>
      <c r="T616" s="1258" t="s">
        <v>2234</v>
      </c>
      <c r="U616" s="1264" t="s">
        <v>2234</v>
      </c>
      <c r="V616" s="1260" t="s">
        <v>7880</v>
      </c>
      <c r="W616" s="1260" t="s">
        <v>7881</v>
      </c>
      <c r="X616" s="1260" t="s">
        <v>7882</v>
      </c>
      <c r="Y616" s="1260" t="s">
        <v>7883</v>
      </c>
      <c r="Z616" s="1261" t="s">
        <v>7884</v>
      </c>
    </row>
    <row r="617" spans="2:26" ht="12.75" customHeight="1" x14ac:dyDescent="0.2">
      <c r="B617" s="2465" t="str">
        <f t="shared" si="9"/>
        <v>Conocimiento14</v>
      </c>
      <c r="C617" s="1262"/>
      <c r="D617" s="1268" t="s">
        <v>267</v>
      </c>
      <c r="E617" s="1258" t="s">
        <v>267</v>
      </c>
      <c r="F617" s="1258">
        <v>14</v>
      </c>
      <c r="G617" s="1269" t="s">
        <v>2234</v>
      </c>
      <c r="H617" s="1269" t="s">
        <v>1763</v>
      </c>
      <c r="I617" s="1270" t="s">
        <v>1918</v>
      </c>
      <c r="J617" s="1258">
        <v>6</v>
      </c>
      <c r="K617" s="1258">
        <v>9</v>
      </c>
      <c r="L617" s="1258">
        <v>11</v>
      </c>
      <c r="M617" s="1264">
        <v>13</v>
      </c>
      <c r="N617" s="1258">
        <v>40</v>
      </c>
      <c r="O617" s="1258">
        <v>80</v>
      </c>
      <c r="P617" s="1258">
        <v>120</v>
      </c>
      <c r="Q617" s="1264">
        <v>160</v>
      </c>
      <c r="R617" s="1258">
        <v>5</v>
      </c>
      <c r="S617" s="1258">
        <v>10</v>
      </c>
      <c r="T617" s="1258">
        <v>15</v>
      </c>
      <c r="U617" s="1264">
        <v>20</v>
      </c>
      <c r="V617" s="1260" t="s">
        <v>7885</v>
      </c>
      <c r="W617" s="1260" t="s">
        <v>7886</v>
      </c>
      <c r="X617" s="1260" t="s">
        <v>7887</v>
      </c>
      <c r="Y617" s="1260" t="s">
        <v>7888</v>
      </c>
      <c r="Z617" s="1261" t="s">
        <v>7889</v>
      </c>
    </row>
    <row r="618" spans="2:26" ht="12.75" customHeight="1" x14ac:dyDescent="0.2">
      <c r="B618" s="2465" t="str">
        <f t="shared" si="9"/>
        <v>Conocimiento24</v>
      </c>
      <c r="C618" s="1262"/>
      <c r="D618" s="1268" t="s">
        <v>7890</v>
      </c>
      <c r="E618" s="1258" t="s">
        <v>267</v>
      </c>
      <c r="F618" s="1258">
        <v>24</v>
      </c>
      <c r="G618" s="1269" t="s">
        <v>2234</v>
      </c>
      <c r="H618" s="1269" t="s">
        <v>1765</v>
      </c>
      <c r="I618" s="1270" t="s">
        <v>1918</v>
      </c>
      <c r="J618" s="1258">
        <v>7</v>
      </c>
      <c r="K618" s="1258">
        <v>9</v>
      </c>
      <c r="L618" s="1258">
        <v>11</v>
      </c>
      <c r="M618" s="1264">
        <v>13</v>
      </c>
      <c r="N618" s="1258">
        <v>60</v>
      </c>
      <c r="O618" s="1258">
        <v>100</v>
      </c>
      <c r="P618" s="1258">
        <v>140</v>
      </c>
      <c r="Q618" s="1264">
        <v>180</v>
      </c>
      <c r="R618" s="1258" t="s">
        <v>2234</v>
      </c>
      <c r="S618" s="1258" t="s">
        <v>2234</v>
      </c>
      <c r="T618" s="1258" t="s">
        <v>2234</v>
      </c>
      <c r="U618" s="1264" t="s">
        <v>2234</v>
      </c>
      <c r="V618" s="1260" t="s">
        <v>5852</v>
      </c>
      <c r="W618" s="1260" t="s">
        <v>5853</v>
      </c>
      <c r="X618" s="1260" t="s">
        <v>5854</v>
      </c>
      <c r="Y618" s="1260" t="s">
        <v>5882</v>
      </c>
      <c r="Z618" s="1261" t="s">
        <v>7891</v>
      </c>
    </row>
    <row r="619" spans="2:26" ht="12.75" customHeight="1" x14ac:dyDescent="0.2">
      <c r="B619" s="2465" t="str">
        <f t="shared" si="9"/>
        <v>Conocimiento34</v>
      </c>
      <c r="C619" s="1262"/>
      <c r="D619" s="1268" t="s">
        <v>7892</v>
      </c>
      <c r="E619" s="1258" t="s">
        <v>267</v>
      </c>
      <c r="F619" s="1258">
        <v>34</v>
      </c>
      <c r="G619" s="1269" t="s">
        <v>3090</v>
      </c>
      <c r="H619" s="1269" t="s">
        <v>1765</v>
      </c>
      <c r="I619" s="1270" t="s">
        <v>1918</v>
      </c>
      <c r="J619" s="1258">
        <v>7</v>
      </c>
      <c r="K619" s="1258">
        <v>9</v>
      </c>
      <c r="L619" s="1258">
        <v>11</v>
      </c>
      <c r="M619" s="1264">
        <v>13</v>
      </c>
      <c r="N619" s="1258">
        <v>80</v>
      </c>
      <c r="O619" s="1258">
        <v>120</v>
      </c>
      <c r="P619" s="1258">
        <v>160</v>
      </c>
      <c r="Q619" s="1264">
        <v>200</v>
      </c>
      <c r="R619" s="1258">
        <v>10</v>
      </c>
      <c r="S619" s="1258">
        <v>15</v>
      </c>
      <c r="T619" s="1258">
        <v>20</v>
      </c>
      <c r="U619" s="1264">
        <v>20</v>
      </c>
      <c r="V619" s="1260" t="s">
        <v>7893</v>
      </c>
      <c r="W619" s="1260" t="s">
        <v>5892</v>
      </c>
      <c r="X619" s="1260" t="s">
        <v>5852</v>
      </c>
      <c r="Y619" s="1260" t="s">
        <v>5853</v>
      </c>
      <c r="Z619" s="1261" t="s">
        <v>7894</v>
      </c>
    </row>
    <row r="620" spans="2:26" ht="12.75" customHeight="1" x14ac:dyDescent="0.2">
      <c r="B620" s="2465" t="str">
        <f t="shared" si="9"/>
        <v>Conocimiento44</v>
      </c>
      <c r="C620" s="1262"/>
      <c r="D620" s="1268" t="s">
        <v>7895</v>
      </c>
      <c r="E620" s="1258" t="s">
        <v>267</v>
      </c>
      <c r="F620" s="1258">
        <v>44</v>
      </c>
      <c r="G620" s="1269" t="s">
        <v>2234</v>
      </c>
      <c r="H620" s="1269" t="s">
        <v>1763</v>
      </c>
      <c r="I620" s="1270" t="s">
        <v>1918</v>
      </c>
      <c r="J620" s="1258">
        <v>8</v>
      </c>
      <c r="K620" s="1258">
        <v>10</v>
      </c>
      <c r="L620" s="1258">
        <v>12</v>
      </c>
      <c r="M620" s="1264">
        <v>14</v>
      </c>
      <c r="N620" s="1258">
        <v>100</v>
      </c>
      <c r="O620" s="1258">
        <v>150</v>
      </c>
      <c r="P620" s="1258">
        <v>200</v>
      </c>
      <c r="Q620" s="1264">
        <v>250</v>
      </c>
      <c r="R620" s="1258" t="s">
        <v>2234</v>
      </c>
      <c r="S620" s="1258" t="s">
        <v>2234</v>
      </c>
      <c r="T620" s="1258" t="s">
        <v>2234</v>
      </c>
      <c r="U620" s="1264" t="s">
        <v>2234</v>
      </c>
      <c r="V620" s="1260" t="s">
        <v>7896</v>
      </c>
      <c r="W620" s="1260" t="s">
        <v>7897</v>
      </c>
      <c r="X620" s="1260" t="s">
        <v>7898</v>
      </c>
      <c r="Y620" s="1260" t="s">
        <v>7899</v>
      </c>
      <c r="Z620" s="1261" t="s">
        <v>7900</v>
      </c>
    </row>
    <row r="621" spans="2:26" ht="12.75" customHeight="1" x14ac:dyDescent="0.2">
      <c r="B621" s="2465" t="str">
        <f t="shared" si="9"/>
        <v>Conocimiento54</v>
      </c>
      <c r="C621" s="1262"/>
      <c r="D621" s="1268" t="s">
        <v>7901</v>
      </c>
      <c r="E621" s="1258" t="s">
        <v>267</v>
      </c>
      <c r="F621" s="1258">
        <v>54</v>
      </c>
      <c r="G621" s="1269" t="s">
        <v>2234</v>
      </c>
      <c r="H621" s="1269" t="s">
        <v>1764</v>
      </c>
      <c r="I621" s="1270" t="s">
        <v>1918</v>
      </c>
      <c r="J621" s="1258">
        <v>7</v>
      </c>
      <c r="K621" s="1258">
        <v>9</v>
      </c>
      <c r="L621" s="1258">
        <v>11</v>
      </c>
      <c r="M621" s="1264">
        <v>13</v>
      </c>
      <c r="N621" s="1258">
        <v>80</v>
      </c>
      <c r="O621" s="1258">
        <v>120</v>
      </c>
      <c r="P621" s="1258">
        <v>160</v>
      </c>
      <c r="Q621" s="1264">
        <v>200</v>
      </c>
      <c r="R621" s="1258">
        <v>5</v>
      </c>
      <c r="S621" s="1258">
        <v>10</v>
      </c>
      <c r="T621" s="1258">
        <v>20</v>
      </c>
      <c r="U621" s="1264">
        <v>20</v>
      </c>
      <c r="V621" s="1260" t="s">
        <v>7902</v>
      </c>
      <c r="W621" s="1260" t="s">
        <v>7903</v>
      </c>
      <c r="X621" s="1260" t="s">
        <v>7904</v>
      </c>
      <c r="Y621" s="1260" t="s">
        <v>7905</v>
      </c>
      <c r="Z621" s="1261" t="s">
        <v>7906</v>
      </c>
    </row>
    <row r="622" spans="2:26" ht="12.75" customHeight="1" x14ac:dyDescent="0.2">
      <c r="B622" s="2465" t="str">
        <f t="shared" si="9"/>
        <v>Conocimiento64</v>
      </c>
      <c r="C622" s="1262"/>
      <c r="D622" s="1268" t="s">
        <v>1033</v>
      </c>
      <c r="E622" s="1258" t="s">
        <v>267</v>
      </c>
      <c r="F622" s="1258">
        <v>64</v>
      </c>
      <c r="G622" s="1269" t="s">
        <v>3090</v>
      </c>
      <c r="H622" s="1269" t="s">
        <v>1764</v>
      </c>
      <c r="I622" s="1270" t="s">
        <v>1918</v>
      </c>
      <c r="J622" s="1258">
        <v>8</v>
      </c>
      <c r="K622" s="1258">
        <v>10</v>
      </c>
      <c r="L622" s="1258">
        <v>12</v>
      </c>
      <c r="M622" s="1264">
        <v>14</v>
      </c>
      <c r="N622" s="1258">
        <v>100</v>
      </c>
      <c r="O622" s="1258">
        <v>150</v>
      </c>
      <c r="P622" s="1258">
        <v>200</v>
      </c>
      <c r="Q622" s="1264">
        <v>250</v>
      </c>
      <c r="R622" s="1258">
        <v>10</v>
      </c>
      <c r="S622" s="1258">
        <v>20</v>
      </c>
      <c r="T622" s="1258">
        <v>30</v>
      </c>
      <c r="U622" s="1264">
        <v>40</v>
      </c>
      <c r="V622" s="1260" t="s">
        <v>7907</v>
      </c>
      <c r="W622" s="1260" t="s">
        <v>7908</v>
      </c>
      <c r="X622" s="1260" t="s">
        <v>7909</v>
      </c>
      <c r="Y622" s="1260" t="s">
        <v>7910</v>
      </c>
      <c r="Z622" s="1261" t="s">
        <v>7911</v>
      </c>
    </row>
    <row r="623" spans="2:26" ht="12.75" customHeight="1" x14ac:dyDescent="0.2">
      <c r="B623" s="2465" t="str">
        <f t="shared" si="9"/>
        <v>Conocimiento74</v>
      </c>
      <c r="C623" s="1262"/>
      <c r="D623" s="1268" t="s">
        <v>1034</v>
      </c>
      <c r="E623" s="1258" t="s">
        <v>267</v>
      </c>
      <c r="F623" s="1258">
        <v>74</v>
      </c>
      <c r="G623" s="1269" t="s">
        <v>2234</v>
      </c>
      <c r="H623" s="1269" t="s">
        <v>1763</v>
      </c>
      <c r="I623" s="1270" t="s">
        <v>1918</v>
      </c>
      <c r="J623" s="1258">
        <v>6</v>
      </c>
      <c r="K623" s="1258">
        <v>9</v>
      </c>
      <c r="L623" s="1258">
        <v>11</v>
      </c>
      <c r="M623" s="1264">
        <v>13</v>
      </c>
      <c r="N623" s="1258">
        <v>60</v>
      </c>
      <c r="O623" s="1258">
        <v>100</v>
      </c>
      <c r="P623" s="1258">
        <v>140</v>
      </c>
      <c r="Q623" s="1264">
        <v>200</v>
      </c>
      <c r="R623" s="1258">
        <v>5</v>
      </c>
      <c r="S623" s="1258">
        <v>10</v>
      </c>
      <c r="T623" s="1258">
        <v>15</v>
      </c>
      <c r="U623" s="1264">
        <v>20</v>
      </c>
      <c r="V623" s="1260" t="s">
        <v>7912</v>
      </c>
      <c r="W623" s="1260" t="s">
        <v>7913</v>
      </c>
      <c r="X623" s="1260" t="s">
        <v>7914</v>
      </c>
      <c r="Y623" s="1260" t="s">
        <v>7915</v>
      </c>
      <c r="Z623" s="1261" t="s">
        <v>7916</v>
      </c>
    </row>
    <row r="624" spans="2:26" ht="12.75" customHeight="1" x14ac:dyDescent="0.2">
      <c r="B624" s="2465" t="str">
        <f t="shared" si="9"/>
        <v>Conocimiento84</v>
      </c>
      <c r="C624" s="1262"/>
      <c r="D624" s="1268" t="s">
        <v>7917</v>
      </c>
      <c r="E624" s="1258" t="s">
        <v>267</v>
      </c>
      <c r="F624" s="1258">
        <v>84</v>
      </c>
      <c r="G624" s="1269" t="s">
        <v>3090</v>
      </c>
      <c r="H624" s="1269" t="s">
        <v>1762</v>
      </c>
      <c r="I624" s="1270" t="s">
        <v>1918</v>
      </c>
      <c r="J624" s="1258">
        <v>8</v>
      </c>
      <c r="K624" s="1258">
        <v>10</v>
      </c>
      <c r="L624" s="1258">
        <v>12</v>
      </c>
      <c r="M624" s="1264">
        <v>14</v>
      </c>
      <c r="N624" s="1258">
        <v>100</v>
      </c>
      <c r="O624" s="1258">
        <v>150</v>
      </c>
      <c r="P624" s="1258">
        <v>200</v>
      </c>
      <c r="Q624" s="1264">
        <v>250</v>
      </c>
      <c r="R624" s="1258">
        <v>5</v>
      </c>
      <c r="S624" s="1258">
        <v>10</v>
      </c>
      <c r="T624" s="1258">
        <v>15</v>
      </c>
      <c r="U624" s="1264">
        <v>20</v>
      </c>
      <c r="V624" s="1260" t="s">
        <v>7918</v>
      </c>
      <c r="W624" s="1260" t="s">
        <v>7919</v>
      </c>
      <c r="X624" s="1260" t="s">
        <v>7920</v>
      </c>
      <c r="Y624" s="1260" t="s">
        <v>7921</v>
      </c>
      <c r="Z624" s="1261" t="s">
        <v>7922</v>
      </c>
    </row>
    <row r="625" spans="2:26" ht="12.75" customHeight="1" x14ac:dyDescent="0.2">
      <c r="B625" s="2465" t="str">
        <f t="shared" si="9"/>
        <v>Conocimiento94</v>
      </c>
      <c r="C625" s="1262"/>
      <c r="D625" s="1268" t="s">
        <v>7923</v>
      </c>
      <c r="E625" s="1258" t="s">
        <v>267</v>
      </c>
      <c r="F625" s="1258">
        <v>94</v>
      </c>
      <c r="G625" s="1269" t="s">
        <v>2234</v>
      </c>
      <c r="H625" s="1269" t="s">
        <v>1763</v>
      </c>
      <c r="I625" s="1270" t="s">
        <v>1918</v>
      </c>
      <c r="J625" s="1258">
        <v>10</v>
      </c>
      <c r="K625" s="1258">
        <v>12</v>
      </c>
      <c r="L625" s="1258">
        <v>14</v>
      </c>
      <c r="M625" s="1264">
        <v>16</v>
      </c>
      <c r="N625" s="1258">
        <v>400</v>
      </c>
      <c r="O625" s="1258">
        <v>600</v>
      </c>
      <c r="P625" s="1258">
        <v>800</v>
      </c>
      <c r="Q625" s="1264">
        <v>1000</v>
      </c>
      <c r="R625" s="1258">
        <v>40</v>
      </c>
      <c r="S625" s="1258">
        <v>60</v>
      </c>
      <c r="T625" s="1258">
        <v>80</v>
      </c>
      <c r="U625" s="1264">
        <v>100</v>
      </c>
      <c r="V625" s="1260" t="s">
        <v>7924</v>
      </c>
      <c r="W625" s="1260" t="s">
        <v>7925</v>
      </c>
      <c r="X625" s="1260" t="s">
        <v>7926</v>
      </c>
      <c r="Y625" s="1260" t="s">
        <v>7927</v>
      </c>
      <c r="Z625" s="1261" t="s">
        <v>7928</v>
      </c>
    </row>
    <row r="626" spans="2:26" ht="12.75" customHeight="1" x14ac:dyDescent="0.2">
      <c r="B626" s="2465" t="str">
        <f t="shared" si="9"/>
        <v/>
      </c>
      <c r="C626" s="1262"/>
      <c r="D626" s="1268" t="s">
        <v>1037</v>
      </c>
      <c r="E626" s="1258"/>
      <c r="F626" s="1258"/>
      <c r="G626" s="1269"/>
      <c r="H626" s="1269"/>
      <c r="I626" s="1270"/>
      <c r="J626" s="1258"/>
      <c r="K626" s="1258"/>
      <c r="L626" s="1258"/>
      <c r="M626" s="1264"/>
      <c r="N626" s="1258"/>
      <c r="O626" s="1258"/>
      <c r="P626" s="1258"/>
      <c r="Q626" s="1264"/>
      <c r="R626" s="1258"/>
      <c r="S626" s="1258"/>
      <c r="T626" s="1258"/>
      <c r="U626" s="1264"/>
      <c r="V626" s="1260"/>
      <c r="W626" s="1260"/>
      <c r="X626" s="1260"/>
      <c r="Y626" s="1260"/>
      <c r="Z626" s="1261"/>
    </row>
    <row r="627" spans="2:26" ht="12.75" customHeight="1" x14ac:dyDescent="0.2">
      <c r="B627" s="2465" t="str">
        <f t="shared" si="9"/>
        <v>Sangre4</v>
      </c>
      <c r="C627" s="1262"/>
      <c r="D627" s="1268" t="s">
        <v>7929</v>
      </c>
      <c r="E627" s="1258" t="s">
        <v>268</v>
      </c>
      <c r="F627" s="1258">
        <v>4</v>
      </c>
      <c r="G627" s="1269" t="s">
        <v>2234</v>
      </c>
      <c r="H627" s="1269" t="s">
        <v>1762</v>
      </c>
      <c r="I627" s="1270" t="s">
        <v>1918</v>
      </c>
      <c r="J627" s="1258">
        <v>5</v>
      </c>
      <c r="K627" s="1258">
        <v>8</v>
      </c>
      <c r="L627" s="1258">
        <v>10</v>
      </c>
      <c r="M627" s="1264">
        <v>13</v>
      </c>
      <c r="N627" s="1258">
        <v>30</v>
      </c>
      <c r="O627" s="1258">
        <v>60</v>
      </c>
      <c r="P627" s="1258">
        <v>100</v>
      </c>
      <c r="Q627" s="1264">
        <v>150</v>
      </c>
      <c r="R627" s="1258" t="s">
        <v>2234</v>
      </c>
      <c r="S627" s="1258" t="s">
        <v>2234</v>
      </c>
      <c r="T627" s="1258" t="s">
        <v>2234</v>
      </c>
      <c r="U627" s="1264" t="s">
        <v>2234</v>
      </c>
      <c r="V627" s="1260" t="s">
        <v>5708</v>
      </c>
      <c r="W627" s="1260" t="s">
        <v>5753</v>
      </c>
      <c r="X627" s="1260" t="s">
        <v>5709</v>
      </c>
      <c r="Y627" s="1260" t="s">
        <v>5584</v>
      </c>
      <c r="Z627" s="1261" t="s">
        <v>7930</v>
      </c>
    </row>
    <row r="628" spans="2:26" ht="12.75" customHeight="1" x14ac:dyDescent="0.2">
      <c r="B628" s="2465" t="str">
        <f t="shared" si="9"/>
        <v>Sangre14</v>
      </c>
      <c r="C628" s="1262"/>
      <c r="D628" s="1268" t="s">
        <v>1039</v>
      </c>
      <c r="E628" s="1258" t="s">
        <v>268</v>
      </c>
      <c r="F628" s="1258">
        <v>14</v>
      </c>
      <c r="G628" s="1269" t="s">
        <v>2234</v>
      </c>
      <c r="H628" s="1269" t="s">
        <v>1763</v>
      </c>
      <c r="I628" s="1270" t="s">
        <v>1918</v>
      </c>
      <c r="J628" s="1258">
        <v>6</v>
      </c>
      <c r="K628" s="1258">
        <v>8</v>
      </c>
      <c r="L628" s="1258">
        <v>10</v>
      </c>
      <c r="M628" s="1264">
        <v>13</v>
      </c>
      <c r="N628" s="1258">
        <v>40</v>
      </c>
      <c r="O628" s="1258">
        <v>80</v>
      </c>
      <c r="P628" s="1258">
        <v>120</v>
      </c>
      <c r="Q628" s="1264">
        <v>160</v>
      </c>
      <c r="R628" s="1258" t="s">
        <v>2234</v>
      </c>
      <c r="S628" s="1258" t="s">
        <v>2234</v>
      </c>
      <c r="T628" s="1258" t="s">
        <v>2234</v>
      </c>
      <c r="U628" s="1264" t="s">
        <v>2234</v>
      </c>
      <c r="V628" s="1260" t="s">
        <v>7931</v>
      </c>
      <c r="W628" s="1260" t="s">
        <v>7932</v>
      </c>
      <c r="X628" s="1260" t="s">
        <v>7933</v>
      </c>
      <c r="Y628" s="1260" t="s">
        <v>7934</v>
      </c>
      <c r="Z628" s="1261" t="s">
        <v>7935</v>
      </c>
    </row>
    <row r="629" spans="2:26" ht="12.75" customHeight="1" x14ac:dyDescent="0.2">
      <c r="B629" s="2465" t="str">
        <f t="shared" si="9"/>
        <v>Sangre24</v>
      </c>
      <c r="C629" s="1262"/>
      <c r="D629" s="1268" t="s">
        <v>7936</v>
      </c>
      <c r="E629" s="1258" t="s">
        <v>268</v>
      </c>
      <c r="F629" s="1258">
        <v>24</v>
      </c>
      <c r="G629" s="1269" t="s">
        <v>3090</v>
      </c>
      <c r="H629" s="1269" t="s">
        <v>1763</v>
      </c>
      <c r="I629" s="1270" t="s">
        <v>1918</v>
      </c>
      <c r="J629" s="1258">
        <v>6</v>
      </c>
      <c r="K629" s="1258">
        <v>9</v>
      </c>
      <c r="L629" s="1258">
        <v>12</v>
      </c>
      <c r="M629" s="1264">
        <v>15</v>
      </c>
      <c r="N629" s="1258">
        <v>50</v>
      </c>
      <c r="O629" s="1258">
        <v>90</v>
      </c>
      <c r="P629" s="1258">
        <v>120</v>
      </c>
      <c r="Q629" s="1264">
        <v>150</v>
      </c>
      <c r="R629" s="1258">
        <v>5</v>
      </c>
      <c r="S629" s="1258">
        <v>20</v>
      </c>
      <c r="T629" s="1258">
        <v>25</v>
      </c>
      <c r="U629" s="1264">
        <v>30</v>
      </c>
      <c r="V629" s="1260" t="s">
        <v>7937</v>
      </c>
      <c r="W629" s="1260" t="s">
        <v>7938</v>
      </c>
      <c r="X629" s="1260" t="s">
        <v>7939</v>
      </c>
      <c r="Y629" s="1260" t="s">
        <v>7940</v>
      </c>
      <c r="Z629" s="1261" t="s">
        <v>7941</v>
      </c>
    </row>
    <row r="630" spans="2:26" ht="12.75" customHeight="1" x14ac:dyDescent="0.2">
      <c r="B630" s="2465" t="str">
        <f t="shared" si="9"/>
        <v>Sangre34</v>
      </c>
      <c r="C630" s="1262"/>
      <c r="D630" s="1268" t="s">
        <v>7942</v>
      </c>
      <c r="E630" s="1258" t="s">
        <v>268</v>
      </c>
      <c r="F630" s="1258">
        <v>34</v>
      </c>
      <c r="G630" s="1269" t="s">
        <v>2234</v>
      </c>
      <c r="H630" s="1269" t="s">
        <v>1763</v>
      </c>
      <c r="I630" s="1270" t="s">
        <v>1918</v>
      </c>
      <c r="J630" s="1258">
        <v>6</v>
      </c>
      <c r="K630" s="1258">
        <v>9</v>
      </c>
      <c r="L630" s="1258">
        <v>12</v>
      </c>
      <c r="M630" s="1264">
        <v>15</v>
      </c>
      <c r="N630" s="1258">
        <v>80</v>
      </c>
      <c r="O630" s="1258">
        <v>120</v>
      </c>
      <c r="P630" s="1258">
        <v>160</v>
      </c>
      <c r="Q630" s="1264">
        <v>200</v>
      </c>
      <c r="R630" s="1258">
        <v>10</v>
      </c>
      <c r="S630" s="1258">
        <v>40</v>
      </c>
      <c r="T630" s="1258">
        <v>50</v>
      </c>
      <c r="U630" s="1264">
        <v>60</v>
      </c>
      <c r="V630" s="1260" t="s">
        <v>7943</v>
      </c>
      <c r="W630" s="1260" t="s">
        <v>7944</v>
      </c>
      <c r="X630" s="1260" t="s">
        <v>7945</v>
      </c>
      <c r="Y630" s="1260" t="s">
        <v>7946</v>
      </c>
      <c r="Z630" s="1261" t="s">
        <v>7947</v>
      </c>
    </row>
    <row r="631" spans="2:26" ht="12.75" customHeight="1" x14ac:dyDescent="0.2">
      <c r="B631" s="2465" t="str">
        <f t="shared" si="9"/>
        <v>Sangre44</v>
      </c>
      <c r="C631" s="1262"/>
      <c r="D631" s="1268" t="s">
        <v>1041</v>
      </c>
      <c r="E631" s="1258" t="s">
        <v>268</v>
      </c>
      <c r="F631" s="1258">
        <v>44</v>
      </c>
      <c r="G631" s="1269" t="s">
        <v>2234</v>
      </c>
      <c r="H631" s="1269" t="s">
        <v>1763</v>
      </c>
      <c r="I631" s="1270" t="s">
        <v>1918</v>
      </c>
      <c r="J631" s="1258">
        <v>6</v>
      </c>
      <c r="K631" s="1258">
        <v>8</v>
      </c>
      <c r="L631" s="1258">
        <v>10</v>
      </c>
      <c r="M631" s="1264">
        <v>12</v>
      </c>
      <c r="N631" s="1258">
        <v>40</v>
      </c>
      <c r="O631" s="1258">
        <v>60</v>
      </c>
      <c r="P631" s="1258">
        <v>80</v>
      </c>
      <c r="Q631" s="1264">
        <v>100</v>
      </c>
      <c r="R631" s="1258" t="s">
        <v>2234</v>
      </c>
      <c r="S631" s="1258" t="s">
        <v>2234</v>
      </c>
      <c r="T631" s="1258" t="s">
        <v>2234</v>
      </c>
      <c r="U631" s="1264" t="s">
        <v>2234</v>
      </c>
      <c r="V631" s="1260" t="s">
        <v>7948</v>
      </c>
      <c r="W631" s="1260" t="s">
        <v>7949</v>
      </c>
      <c r="X631" s="1260" t="s">
        <v>7950</v>
      </c>
      <c r="Y631" s="1260" t="s">
        <v>7951</v>
      </c>
      <c r="Z631" s="1261" t="s">
        <v>7952</v>
      </c>
    </row>
    <row r="632" spans="2:26" ht="12.75" customHeight="1" x14ac:dyDescent="0.2">
      <c r="B632" s="2465" t="str">
        <f t="shared" si="9"/>
        <v>Sangre54</v>
      </c>
      <c r="C632" s="1262"/>
      <c r="D632" s="1268" t="s">
        <v>1042</v>
      </c>
      <c r="E632" s="1258" t="s">
        <v>268</v>
      </c>
      <c r="F632" s="1258">
        <v>54</v>
      </c>
      <c r="G632" s="1269" t="s">
        <v>2234</v>
      </c>
      <c r="H632" s="1269" t="s">
        <v>1762</v>
      </c>
      <c r="I632" s="1270" t="s">
        <v>1918</v>
      </c>
      <c r="J632" s="1258">
        <v>6</v>
      </c>
      <c r="K632" s="1258">
        <v>9</v>
      </c>
      <c r="L632" s="1258">
        <v>12</v>
      </c>
      <c r="M632" s="1264">
        <v>15</v>
      </c>
      <c r="N632" s="1258">
        <v>100</v>
      </c>
      <c r="O632" s="1258">
        <v>150</v>
      </c>
      <c r="P632" s="1258">
        <v>200</v>
      </c>
      <c r="Q632" s="1264">
        <v>250</v>
      </c>
      <c r="R632" s="1258">
        <v>10</v>
      </c>
      <c r="S632" s="1258">
        <v>15</v>
      </c>
      <c r="T632" s="1258">
        <v>20</v>
      </c>
      <c r="U632" s="1264">
        <v>25</v>
      </c>
      <c r="V632" s="1260" t="s">
        <v>7953</v>
      </c>
      <c r="W632" s="1260" t="s">
        <v>7954</v>
      </c>
      <c r="X632" s="1260" t="s">
        <v>7955</v>
      </c>
      <c r="Y632" s="1260" t="s">
        <v>7956</v>
      </c>
      <c r="Z632" s="1261" t="s">
        <v>7957</v>
      </c>
    </row>
    <row r="633" spans="2:26" ht="12.75" customHeight="1" x14ac:dyDescent="0.2">
      <c r="B633" s="2465" t="str">
        <f t="shared" si="9"/>
        <v>Sangre64</v>
      </c>
      <c r="C633" s="1262"/>
      <c r="D633" s="1268" t="s">
        <v>1043</v>
      </c>
      <c r="E633" s="1258" t="s">
        <v>268</v>
      </c>
      <c r="F633" s="1258">
        <v>64</v>
      </c>
      <c r="G633" s="1269" t="s">
        <v>2234</v>
      </c>
      <c r="H633" s="1269" t="s">
        <v>1763</v>
      </c>
      <c r="I633" s="1270" t="s">
        <v>1918</v>
      </c>
      <c r="J633" s="1258">
        <v>8</v>
      </c>
      <c r="K633" s="1258">
        <v>10</v>
      </c>
      <c r="L633" s="1258">
        <v>12</v>
      </c>
      <c r="M633" s="1264">
        <v>15</v>
      </c>
      <c r="N633" s="1258">
        <v>150</v>
      </c>
      <c r="O633" s="1258">
        <v>200</v>
      </c>
      <c r="P633" s="1258">
        <v>250</v>
      </c>
      <c r="Q633" s="1264">
        <v>300</v>
      </c>
      <c r="R633" s="1258">
        <v>10</v>
      </c>
      <c r="S633" s="1258">
        <v>10</v>
      </c>
      <c r="T633" s="1258">
        <v>15</v>
      </c>
      <c r="U633" s="1264">
        <v>15</v>
      </c>
      <c r="V633" s="1260" t="s">
        <v>7958</v>
      </c>
      <c r="W633" s="1260" t="s">
        <v>7959</v>
      </c>
      <c r="X633" s="1260" t="s">
        <v>7960</v>
      </c>
      <c r="Y633" s="1260" t="s">
        <v>7961</v>
      </c>
      <c r="Z633" s="1261" t="s">
        <v>7962</v>
      </c>
    </row>
    <row r="634" spans="2:26" ht="12.75" customHeight="1" x14ac:dyDescent="0.2">
      <c r="B634" s="2465" t="str">
        <f t="shared" si="9"/>
        <v>Sangre74</v>
      </c>
      <c r="C634" s="1262"/>
      <c r="D634" s="1268" t="s">
        <v>7963</v>
      </c>
      <c r="E634" s="1258" t="s">
        <v>268</v>
      </c>
      <c r="F634" s="1258">
        <v>74</v>
      </c>
      <c r="G634" s="1269" t="s">
        <v>2234</v>
      </c>
      <c r="H634" s="1269" t="s">
        <v>1762</v>
      </c>
      <c r="I634" s="1270" t="s">
        <v>1918</v>
      </c>
      <c r="J634" s="1258">
        <v>10</v>
      </c>
      <c r="K634" s="1258">
        <v>13</v>
      </c>
      <c r="L634" s="1258">
        <v>15</v>
      </c>
      <c r="M634" s="1264">
        <v>17</v>
      </c>
      <c r="N634" s="1258">
        <v>280</v>
      </c>
      <c r="O634" s="1258">
        <v>320</v>
      </c>
      <c r="P634" s="1258">
        <v>360</v>
      </c>
      <c r="Q634" s="1264">
        <v>400</v>
      </c>
      <c r="R634" s="1258" t="s">
        <v>2234</v>
      </c>
      <c r="S634" s="1258" t="s">
        <v>2234</v>
      </c>
      <c r="T634" s="1258" t="s">
        <v>2234</v>
      </c>
      <c r="U634" s="1264" t="s">
        <v>2234</v>
      </c>
      <c r="V634" s="1260" t="s">
        <v>7964</v>
      </c>
      <c r="W634" s="1260" t="s">
        <v>7965</v>
      </c>
      <c r="X634" s="1260" t="s">
        <v>7966</v>
      </c>
      <c r="Y634" s="1260" t="s">
        <v>7967</v>
      </c>
      <c r="Z634" s="1261" t="s">
        <v>7968</v>
      </c>
    </row>
    <row r="635" spans="2:26" ht="12.75" customHeight="1" x14ac:dyDescent="0.2">
      <c r="B635" s="2465" t="str">
        <f t="shared" si="9"/>
        <v>Sangre84</v>
      </c>
      <c r="C635" s="1262"/>
      <c r="D635" s="1268" t="s">
        <v>7969</v>
      </c>
      <c r="E635" s="1258" t="s">
        <v>268</v>
      </c>
      <c r="F635" s="1258">
        <v>84</v>
      </c>
      <c r="G635" s="1269" t="s">
        <v>2234</v>
      </c>
      <c r="H635" s="1269" t="s">
        <v>1763</v>
      </c>
      <c r="I635" s="1270" t="s">
        <v>1919</v>
      </c>
      <c r="J635" s="1258">
        <v>10</v>
      </c>
      <c r="K635" s="1258">
        <v>12</v>
      </c>
      <c r="L635" s="1258">
        <v>15</v>
      </c>
      <c r="M635" s="1264">
        <v>17</v>
      </c>
      <c r="N635" s="1258">
        <v>200</v>
      </c>
      <c r="O635" s="1258">
        <v>240</v>
      </c>
      <c r="P635" s="1258">
        <v>300</v>
      </c>
      <c r="Q635" s="1264">
        <v>340</v>
      </c>
      <c r="R635" s="1258">
        <v>40</v>
      </c>
      <c r="S635" s="1258">
        <v>50</v>
      </c>
      <c r="T635" s="1258">
        <v>60</v>
      </c>
      <c r="U635" s="1264">
        <v>70</v>
      </c>
      <c r="V635" s="1260" t="s">
        <v>7970</v>
      </c>
      <c r="W635" s="1260" t="s">
        <v>7971</v>
      </c>
      <c r="X635" s="1260" t="s">
        <v>7972</v>
      </c>
      <c r="Y635" s="1260" t="s">
        <v>7973</v>
      </c>
      <c r="Z635" s="1261" t="s">
        <v>7974</v>
      </c>
    </row>
    <row r="636" spans="2:26" ht="12.75" customHeight="1" x14ac:dyDescent="0.2">
      <c r="B636" s="2465" t="str">
        <f t="shared" si="9"/>
        <v>Sangre94</v>
      </c>
      <c r="C636" s="1262"/>
      <c r="D636" s="1268" t="s">
        <v>7975</v>
      </c>
      <c r="E636" s="1258" t="s">
        <v>268</v>
      </c>
      <c r="F636" s="1258">
        <v>94</v>
      </c>
      <c r="G636" s="1269" t="s">
        <v>2234</v>
      </c>
      <c r="H636" s="1269" t="s">
        <v>1762</v>
      </c>
      <c r="I636" s="1270" t="s">
        <v>1918</v>
      </c>
      <c r="J636" s="1258">
        <v>10</v>
      </c>
      <c r="K636" s="1258">
        <v>13</v>
      </c>
      <c r="L636" s="1258">
        <v>15</v>
      </c>
      <c r="M636" s="1264">
        <v>17</v>
      </c>
      <c r="N636" s="1258">
        <v>280</v>
      </c>
      <c r="O636" s="1258">
        <v>320</v>
      </c>
      <c r="P636" s="1258">
        <v>360</v>
      </c>
      <c r="Q636" s="1264">
        <v>400</v>
      </c>
      <c r="R636" s="1258" t="s">
        <v>2234</v>
      </c>
      <c r="S636" s="1258" t="s">
        <v>2234</v>
      </c>
      <c r="T636" s="1258" t="s">
        <v>2234</v>
      </c>
      <c r="U636" s="1264" t="s">
        <v>2234</v>
      </c>
      <c r="V636" s="1260" t="s">
        <v>7976</v>
      </c>
      <c r="W636" s="1260" t="s">
        <v>7977</v>
      </c>
      <c r="X636" s="1260" t="s">
        <v>7978</v>
      </c>
      <c r="Y636" s="1260" t="s">
        <v>7979</v>
      </c>
      <c r="Z636" s="1261" t="s">
        <v>7980</v>
      </c>
    </row>
    <row r="637" spans="2:26" ht="12.75" customHeight="1" x14ac:dyDescent="0.2">
      <c r="B637" s="2465" t="str">
        <f t="shared" si="9"/>
        <v/>
      </c>
      <c r="C637" s="1262"/>
      <c r="D637" s="1268" t="s">
        <v>9699</v>
      </c>
      <c r="E637" s="1258"/>
      <c r="F637" s="1258"/>
      <c r="G637" s="1269"/>
      <c r="H637" s="1269"/>
      <c r="I637" s="1270"/>
      <c r="J637" s="1258"/>
      <c r="K637" s="1258"/>
      <c r="L637" s="1258"/>
      <c r="M637" s="1264"/>
      <c r="N637" s="1258"/>
      <c r="O637" s="1258"/>
      <c r="P637" s="1258"/>
      <c r="Q637" s="1264"/>
      <c r="R637" s="1258"/>
      <c r="S637" s="1258"/>
      <c r="T637" s="1258"/>
      <c r="U637" s="1264"/>
      <c r="V637" s="1260"/>
      <c r="W637" s="1260"/>
      <c r="X637" s="1260"/>
      <c r="Y637" s="1260"/>
      <c r="Z637" s="1261"/>
    </row>
    <row r="638" spans="2:26" ht="12.75" customHeight="1" x14ac:dyDescent="0.2">
      <c r="B638" s="2465" t="str">
        <f t="shared" si="9"/>
        <v>Sueños4</v>
      </c>
      <c r="C638" s="1262"/>
      <c r="D638" s="1268" t="s">
        <v>9700</v>
      </c>
      <c r="E638" s="1258" t="s">
        <v>269</v>
      </c>
      <c r="F638" s="1258">
        <v>4</v>
      </c>
      <c r="G638" s="1269" t="s">
        <v>2234</v>
      </c>
      <c r="H638" s="1269" t="s">
        <v>1765</v>
      </c>
      <c r="I638" s="1270" t="s">
        <v>1918</v>
      </c>
      <c r="J638" s="1258">
        <v>5</v>
      </c>
      <c r="K638" s="1258">
        <v>8</v>
      </c>
      <c r="L638" s="1258">
        <v>10</v>
      </c>
      <c r="M638" s="1264">
        <v>12</v>
      </c>
      <c r="N638" s="1258">
        <v>40</v>
      </c>
      <c r="O638" s="1258">
        <v>60</v>
      </c>
      <c r="P638" s="1258">
        <v>80</v>
      </c>
      <c r="Q638" s="1264">
        <v>100</v>
      </c>
      <c r="R638" s="1258" t="s">
        <v>2234</v>
      </c>
      <c r="S638" s="1258" t="s">
        <v>2234</v>
      </c>
      <c r="T638" s="1258" t="s">
        <v>2234</v>
      </c>
      <c r="U638" s="1264" t="s">
        <v>2234</v>
      </c>
      <c r="V638" s="1260" t="s">
        <v>7981</v>
      </c>
      <c r="W638" s="1260" t="s">
        <v>7982</v>
      </c>
      <c r="X638" s="1260" t="s">
        <v>7983</v>
      </c>
      <c r="Y638" s="1260" t="s">
        <v>7984</v>
      </c>
      <c r="Z638" s="1261" t="s">
        <v>9701</v>
      </c>
    </row>
    <row r="639" spans="2:26" ht="12.75" customHeight="1" x14ac:dyDescent="0.2">
      <c r="B639" s="2465" t="str">
        <f t="shared" si="9"/>
        <v>Sueños14</v>
      </c>
      <c r="C639" s="1262"/>
      <c r="D639" s="1268" t="s">
        <v>9702</v>
      </c>
      <c r="E639" s="1258" t="s">
        <v>269</v>
      </c>
      <c r="F639" s="1258">
        <v>14</v>
      </c>
      <c r="G639" s="1269" t="s">
        <v>3090</v>
      </c>
      <c r="H639" s="1269" t="s">
        <v>1763</v>
      </c>
      <c r="I639" s="1270" t="s">
        <v>1918</v>
      </c>
      <c r="J639" s="1258">
        <v>5</v>
      </c>
      <c r="K639" s="1258">
        <v>8</v>
      </c>
      <c r="L639" s="1258">
        <v>10</v>
      </c>
      <c r="M639" s="1264">
        <v>12</v>
      </c>
      <c r="N639" s="1258">
        <v>60</v>
      </c>
      <c r="O639" s="1258">
        <v>80</v>
      </c>
      <c r="P639" s="1258">
        <v>100</v>
      </c>
      <c r="Q639" s="1264">
        <v>120</v>
      </c>
      <c r="R639" s="1258">
        <v>5</v>
      </c>
      <c r="S639" s="1258">
        <v>5</v>
      </c>
      <c r="T639" s="1258">
        <v>5</v>
      </c>
      <c r="U639" s="1264">
        <v>10</v>
      </c>
      <c r="V639" s="1260" t="s">
        <v>7985</v>
      </c>
      <c r="W639" s="1260" t="s">
        <v>7986</v>
      </c>
      <c r="X639" s="1260" t="s">
        <v>7987</v>
      </c>
      <c r="Y639" s="1260" t="s">
        <v>7988</v>
      </c>
      <c r="Z639" s="1261" t="s">
        <v>9703</v>
      </c>
    </row>
    <row r="640" spans="2:26" ht="12.75" customHeight="1" x14ac:dyDescent="0.2">
      <c r="B640" s="2465" t="str">
        <f t="shared" si="9"/>
        <v>Sueños24</v>
      </c>
      <c r="C640" s="1262"/>
      <c r="D640" s="1268" t="s">
        <v>9704</v>
      </c>
      <c r="E640" s="1258" t="s">
        <v>269</v>
      </c>
      <c r="F640" s="1258">
        <v>24</v>
      </c>
      <c r="G640" s="1269" t="s">
        <v>3090</v>
      </c>
      <c r="H640" s="1269" t="s">
        <v>1762</v>
      </c>
      <c r="I640" s="1270" t="s">
        <v>1918</v>
      </c>
      <c r="J640" s="1258">
        <v>6</v>
      </c>
      <c r="K640" s="1258">
        <v>8</v>
      </c>
      <c r="L640" s="1258">
        <v>10</v>
      </c>
      <c r="M640" s="1264">
        <v>12</v>
      </c>
      <c r="N640" s="1258">
        <v>60</v>
      </c>
      <c r="O640" s="1258">
        <v>80</v>
      </c>
      <c r="P640" s="1258">
        <v>100</v>
      </c>
      <c r="Q640" s="1264">
        <v>120</v>
      </c>
      <c r="R640" s="1258">
        <v>10</v>
      </c>
      <c r="S640" s="1258">
        <v>10</v>
      </c>
      <c r="T640" s="1258">
        <v>10</v>
      </c>
      <c r="U640" s="1264">
        <v>15</v>
      </c>
      <c r="V640" s="1260" t="s">
        <v>5710</v>
      </c>
      <c r="W640" s="1260" t="s">
        <v>5584</v>
      </c>
      <c r="X640" s="1260" t="s">
        <v>5387</v>
      </c>
      <c r="Y640" s="1260" t="s">
        <v>9705</v>
      </c>
      <c r="Z640" s="1261" t="s">
        <v>9706</v>
      </c>
    </row>
    <row r="641" spans="2:26" ht="12.75" customHeight="1" x14ac:dyDescent="0.2">
      <c r="B641" s="2465" t="str">
        <f t="shared" si="9"/>
        <v>Sueños34</v>
      </c>
      <c r="C641" s="1262"/>
      <c r="D641" s="1268" t="s">
        <v>9707</v>
      </c>
      <c r="E641" s="1258" t="s">
        <v>269</v>
      </c>
      <c r="F641" s="1258">
        <v>34</v>
      </c>
      <c r="G641" s="1269" t="s">
        <v>2234</v>
      </c>
      <c r="H641" s="1269" t="s">
        <v>1762</v>
      </c>
      <c r="I641" s="1270" t="s">
        <v>1918</v>
      </c>
      <c r="J641" s="1258">
        <v>7</v>
      </c>
      <c r="K641" s="1258">
        <v>9</v>
      </c>
      <c r="L641" s="1258">
        <v>11</v>
      </c>
      <c r="M641" s="1264">
        <v>13</v>
      </c>
      <c r="N641" s="1258">
        <v>80</v>
      </c>
      <c r="O641" s="1258">
        <v>100</v>
      </c>
      <c r="P641" s="1258">
        <v>120</v>
      </c>
      <c r="Q641" s="1264">
        <v>140</v>
      </c>
      <c r="R641" s="1258">
        <v>10</v>
      </c>
      <c r="S641" s="1258">
        <v>10</v>
      </c>
      <c r="T641" s="1258">
        <v>10</v>
      </c>
      <c r="U641" s="1264">
        <v>15</v>
      </c>
      <c r="V641" s="1260" t="s">
        <v>5333</v>
      </c>
      <c r="W641" s="1260" t="s">
        <v>7989</v>
      </c>
      <c r="X641" s="1260" t="s">
        <v>7990</v>
      </c>
      <c r="Y641" s="1260" t="s">
        <v>7991</v>
      </c>
      <c r="Z641" s="1261" t="s">
        <v>9708</v>
      </c>
    </row>
    <row r="642" spans="2:26" ht="12.75" customHeight="1" x14ac:dyDescent="0.2">
      <c r="B642" s="2465" t="str">
        <f t="shared" si="9"/>
        <v>Sueños44</v>
      </c>
      <c r="C642" s="1262"/>
      <c r="D642" s="1268" t="s">
        <v>1052</v>
      </c>
      <c r="E642" s="1258" t="s">
        <v>269</v>
      </c>
      <c r="F642" s="1258">
        <v>44</v>
      </c>
      <c r="G642" s="1269" t="s">
        <v>3090</v>
      </c>
      <c r="H642" s="1269" t="s">
        <v>1763</v>
      </c>
      <c r="I642" s="1270" t="s">
        <v>1918</v>
      </c>
      <c r="J642" s="1258">
        <v>10</v>
      </c>
      <c r="K642" s="1258">
        <v>12</v>
      </c>
      <c r="L642" s="1258">
        <v>14</v>
      </c>
      <c r="M642" s="1264">
        <v>16</v>
      </c>
      <c r="N642" s="1258">
        <v>100</v>
      </c>
      <c r="O642" s="1258">
        <v>120</v>
      </c>
      <c r="P642" s="1258">
        <v>140</v>
      </c>
      <c r="Q642" s="1264">
        <v>160</v>
      </c>
      <c r="R642" s="1258">
        <v>30</v>
      </c>
      <c r="S642" s="1258">
        <v>30</v>
      </c>
      <c r="T642" s="1258">
        <v>40</v>
      </c>
      <c r="U642" s="1264">
        <v>40</v>
      </c>
      <c r="V642" s="1260" t="s">
        <v>7992</v>
      </c>
      <c r="W642" s="1260" t="s">
        <v>7993</v>
      </c>
      <c r="X642" s="1260" t="s">
        <v>7994</v>
      </c>
      <c r="Y642" s="1260" t="s">
        <v>9709</v>
      </c>
      <c r="Z642" s="1261" t="s">
        <v>9710</v>
      </c>
    </row>
    <row r="643" spans="2:26" ht="12.75" customHeight="1" x14ac:dyDescent="0.2">
      <c r="B643" s="2465" t="str">
        <f t="shared" si="9"/>
        <v>Sueños54</v>
      </c>
      <c r="C643" s="1262"/>
      <c r="D643" s="1268" t="s">
        <v>9711</v>
      </c>
      <c r="E643" s="1258" t="s">
        <v>269</v>
      </c>
      <c r="F643" s="1258">
        <v>54</v>
      </c>
      <c r="G643" s="1269" t="s">
        <v>3090</v>
      </c>
      <c r="H643" s="1269" t="s">
        <v>1762</v>
      </c>
      <c r="I643" s="1270" t="s">
        <v>1918</v>
      </c>
      <c r="J643" s="1258">
        <v>7</v>
      </c>
      <c r="K643" s="1258">
        <v>9</v>
      </c>
      <c r="L643" s="1258">
        <v>11</v>
      </c>
      <c r="M643" s="1264">
        <v>13</v>
      </c>
      <c r="N643" s="1258">
        <v>100</v>
      </c>
      <c r="O643" s="1258">
        <v>140</v>
      </c>
      <c r="P643" s="1258">
        <v>180</v>
      </c>
      <c r="Q643" s="1264">
        <v>240</v>
      </c>
      <c r="R643" s="1258">
        <v>10</v>
      </c>
      <c r="S643" s="1258">
        <v>20</v>
      </c>
      <c r="T643" s="1258">
        <v>20</v>
      </c>
      <c r="U643" s="1264">
        <v>25</v>
      </c>
      <c r="V643" s="1260" t="s">
        <v>5708</v>
      </c>
      <c r="W643" s="1260" t="s">
        <v>5753</v>
      </c>
      <c r="X643" s="1260" t="s">
        <v>5709</v>
      </c>
      <c r="Y643" s="1260" t="s">
        <v>5710</v>
      </c>
      <c r="Z643" s="1261" t="s">
        <v>9712</v>
      </c>
    </row>
    <row r="644" spans="2:26" ht="12.75" customHeight="1" x14ac:dyDescent="0.2">
      <c r="B644" s="2465" t="str">
        <f t="shared" si="9"/>
        <v>Sueños64</v>
      </c>
      <c r="C644" s="1262"/>
      <c r="D644" s="1268" t="s">
        <v>7995</v>
      </c>
      <c r="E644" s="1258" t="s">
        <v>269</v>
      </c>
      <c r="F644" s="1258">
        <v>64</v>
      </c>
      <c r="G644" s="1269" t="s">
        <v>3090</v>
      </c>
      <c r="H644" s="1269" t="s">
        <v>1763</v>
      </c>
      <c r="I644" s="1270" t="s">
        <v>1918</v>
      </c>
      <c r="J644" s="1258">
        <v>10</v>
      </c>
      <c r="K644" s="1258">
        <v>12</v>
      </c>
      <c r="L644" s="1258">
        <v>14</v>
      </c>
      <c r="M644" s="1264">
        <v>16</v>
      </c>
      <c r="N644" s="1258">
        <v>200</v>
      </c>
      <c r="O644" s="1258">
        <v>240</v>
      </c>
      <c r="P644" s="1258">
        <v>280</v>
      </c>
      <c r="Q644" s="1264">
        <v>320</v>
      </c>
      <c r="R644" s="1258">
        <v>40</v>
      </c>
      <c r="S644" s="1258">
        <v>50</v>
      </c>
      <c r="T644" s="1258">
        <v>60</v>
      </c>
      <c r="U644" s="1264">
        <v>70</v>
      </c>
      <c r="V644" s="1260" t="s">
        <v>7996</v>
      </c>
      <c r="W644" s="1260" t="s">
        <v>7997</v>
      </c>
      <c r="X644" s="1260" t="s">
        <v>7998</v>
      </c>
      <c r="Y644" s="1260" t="s">
        <v>7999</v>
      </c>
      <c r="Z644" s="1261" t="s">
        <v>8000</v>
      </c>
    </row>
    <row r="645" spans="2:26" ht="12.75" customHeight="1" x14ac:dyDescent="0.2">
      <c r="B645" s="2465" t="str">
        <f t="shared" si="9"/>
        <v>Sueños74</v>
      </c>
      <c r="C645" s="1262"/>
      <c r="D645" s="1268" t="s">
        <v>8001</v>
      </c>
      <c r="E645" s="1258" t="s">
        <v>269</v>
      </c>
      <c r="F645" s="1258">
        <v>74</v>
      </c>
      <c r="G645" s="1269" t="s">
        <v>2234</v>
      </c>
      <c r="H645" s="1269" t="s">
        <v>1762</v>
      </c>
      <c r="I645" s="1270" t="s">
        <v>1918</v>
      </c>
      <c r="J645" s="1258">
        <v>10</v>
      </c>
      <c r="K645" s="1258">
        <v>12</v>
      </c>
      <c r="L645" s="1258">
        <v>14</v>
      </c>
      <c r="M645" s="1264">
        <v>16</v>
      </c>
      <c r="N645" s="1258">
        <v>100</v>
      </c>
      <c r="O645" s="1258">
        <v>120</v>
      </c>
      <c r="P645" s="1258">
        <v>140</v>
      </c>
      <c r="Q645" s="1264">
        <v>160</v>
      </c>
      <c r="R645" s="1258" t="s">
        <v>2234</v>
      </c>
      <c r="S645" s="1258" t="s">
        <v>2234</v>
      </c>
      <c r="T645" s="1258" t="s">
        <v>2234</v>
      </c>
      <c r="U645" s="1264" t="s">
        <v>2234</v>
      </c>
      <c r="V645" s="1260" t="s">
        <v>5753</v>
      </c>
      <c r="W645" s="1260" t="s">
        <v>5709</v>
      </c>
      <c r="X645" s="1260" t="s">
        <v>5710</v>
      </c>
      <c r="Y645" s="1260" t="s">
        <v>5584</v>
      </c>
      <c r="Z645" s="1261" t="s">
        <v>8002</v>
      </c>
    </row>
    <row r="646" spans="2:26" ht="12.75" customHeight="1" x14ac:dyDescent="0.2">
      <c r="B646" s="2465" t="str">
        <f t="shared" si="9"/>
        <v>Sueños84</v>
      </c>
      <c r="C646" s="1262"/>
      <c r="D646" s="1268" t="s">
        <v>9713</v>
      </c>
      <c r="E646" s="1258" t="s">
        <v>269</v>
      </c>
      <c r="F646" s="1258">
        <v>84</v>
      </c>
      <c r="G646" s="1269" t="s">
        <v>3090</v>
      </c>
      <c r="H646" s="1269" t="s">
        <v>1763</v>
      </c>
      <c r="I646" s="1270" t="s">
        <v>1918</v>
      </c>
      <c r="J646" s="1258">
        <v>13</v>
      </c>
      <c r="K646" s="1258">
        <v>15</v>
      </c>
      <c r="L646" s="1258">
        <v>17</v>
      </c>
      <c r="M646" s="1264">
        <v>19</v>
      </c>
      <c r="N646" s="1258">
        <v>400</v>
      </c>
      <c r="O646" s="1258">
        <v>500</v>
      </c>
      <c r="P646" s="1258">
        <v>700</v>
      </c>
      <c r="Q646" s="1264">
        <v>900</v>
      </c>
      <c r="R646" s="1258">
        <v>80</v>
      </c>
      <c r="S646" s="1258">
        <v>100</v>
      </c>
      <c r="T646" s="1258">
        <v>140</v>
      </c>
      <c r="U646" s="1264">
        <v>180</v>
      </c>
      <c r="V646" s="1260" t="s">
        <v>8003</v>
      </c>
      <c r="W646" s="1260" t="s">
        <v>8004</v>
      </c>
      <c r="X646" s="1260" t="s">
        <v>8005</v>
      </c>
      <c r="Y646" s="1260" t="s">
        <v>8006</v>
      </c>
      <c r="Z646" s="1261" t="s">
        <v>8007</v>
      </c>
    </row>
    <row r="647" spans="2:26" ht="12.75" customHeight="1" x14ac:dyDescent="0.2">
      <c r="B647" s="2465" t="str">
        <f t="shared" si="9"/>
        <v>Sueños94</v>
      </c>
      <c r="C647" s="1262"/>
      <c r="D647" s="1268" t="s">
        <v>9714</v>
      </c>
      <c r="E647" s="1258" t="s">
        <v>269</v>
      </c>
      <c r="F647" s="1258">
        <v>94</v>
      </c>
      <c r="G647" s="1269" t="s">
        <v>3090</v>
      </c>
      <c r="H647" s="1269" t="s">
        <v>1763</v>
      </c>
      <c r="I647" s="1270" t="s">
        <v>1918</v>
      </c>
      <c r="J647" s="1258">
        <v>12</v>
      </c>
      <c r="K647" s="1258">
        <v>14</v>
      </c>
      <c r="L647" s="1258">
        <v>16</v>
      </c>
      <c r="M647" s="1264">
        <v>18</v>
      </c>
      <c r="N647" s="1258">
        <v>300</v>
      </c>
      <c r="O647" s="1258">
        <v>600</v>
      </c>
      <c r="P647" s="1258">
        <v>900</v>
      </c>
      <c r="Q647" s="1264">
        <v>1200</v>
      </c>
      <c r="R647" s="1258">
        <v>50</v>
      </c>
      <c r="S647" s="1258">
        <v>60</v>
      </c>
      <c r="T647" s="1258">
        <v>65</v>
      </c>
      <c r="U647" s="1264">
        <v>75</v>
      </c>
      <c r="V647" s="1260" t="s">
        <v>8008</v>
      </c>
      <c r="W647" s="1260" t="s">
        <v>8009</v>
      </c>
      <c r="X647" s="1260" t="s">
        <v>8010</v>
      </c>
      <c r="Y647" s="1260" t="s">
        <v>8011</v>
      </c>
      <c r="Z647" s="1261" t="s">
        <v>9715</v>
      </c>
    </row>
    <row r="648" spans="2:26" ht="12.75" customHeight="1" x14ac:dyDescent="0.2">
      <c r="B648" s="2465" t="str">
        <f t="shared" ref="B648:B680" si="10">E648&amp;F648</f>
        <v/>
      </c>
      <c r="C648" s="1262"/>
      <c r="D648" s="1268" t="s">
        <v>1058</v>
      </c>
      <c r="E648" s="1258"/>
      <c r="F648" s="1258"/>
      <c r="G648" s="1269"/>
      <c r="H648" s="1269"/>
      <c r="I648" s="1270"/>
      <c r="J648" s="1258"/>
      <c r="K648" s="1258"/>
      <c r="L648" s="1258"/>
      <c r="M648" s="1264"/>
      <c r="N648" s="1258"/>
      <c r="O648" s="1258"/>
      <c r="P648" s="1258"/>
      <c r="Q648" s="1264"/>
      <c r="R648" s="1258"/>
      <c r="S648" s="1258"/>
      <c r="T648" s="1258"/>
      <c r="U648" s="1264"/>
      <c r="V648" s="1260"/>
      <c r="W648" s="1260"/>
      <c r="X648" s="1260"/>
      <c r="Y648" s="1260"/>
      <c r="Z648" s="1261"/>
    </row>
    <row r="649" spans="2:26" ht="12.75" customHeight="1" x14ac:dyDescent="0.2">
      <c r="B649" s="2465" t="str">
        <f t="shared" si="10"/>
        <v>Tiempo4</v>
      </c>
      <c r="C649" s="1262"/>
      <c r="D649" s="1268" t="s">
        <v>8012</v>
      </c>
      <c r="E649" s="1258" t="s">
        <v>270</v>
      </c>
      <c r="F649" s="1258">
        <v>4</v>
      </c>
      <c r="G649" s="1269" t="s">
        <v>2234</v>
      </c>
      <c r="H649" s="1269" t="s">
        <v>1763</v>
      </c>
      <c r="I649" s="1270" t="s">
        <v>1918</v>
      </c>
      <c r="J649" s="1258">
        <v>5</v>
      </c>
      <c r="K649" s="1258">
        <v>7</v>
      </c>
      <c r="L649" s="1258">
        <v>10</v>
      </c>
      <c r="M649" s="1264">
        <v>12</v>
      </c>
      <c r="N649" s="1258">
        <v>30</v>
      </c>
      <c r="O649" s="1258">
        <v>50</v>
      </c>
      <c r="P649" s="1258">
        <v>70</v>
      </c>
      <c r="Q649" s="1264">
        <v>90</v>
      </c>
      <c r="R649" s="1258" t="s">
        <v>2234</v>
      </c>
      <c r="S649" s="1258" t="s">
        <v>2234</v>
      </c>
      <c r="T649" s="1258" t="s">
        <v>2234</v>
      </c>
      <c r="U649" s="1264" t="s">
        <v>2234</v>
      </c>
      <c r="V649" s="1260" t="s">
        <v>8013</v>
      </c>
      <c r="W649" s="1260" t="s">
        <v>8014</v>
      </c>
      <c r="X649" s="1260" t="s">
        <v>8015</v>
      </c>
      <c r="Y649" s="1260" t="s">
        <v>8016</v>
      </c>
      <c r="Z649" s="1261" t="s">
        <v>8017</v>
      </c>
    </row>
    <row r="650" spans="2:26" ht="12.75" customHeight="1" x14ac:dyDescent="0.2">
      <c r="B650" s="2465" t="str">
        <f t="shared" si="10"/>
        <v>Tiempo14</v>
      </c>
      <c r="C650" s="1262"/>
      <c r="D650" s="1268" t="s">
        <v>8018</v>
      </c>
      <c r="E650" s="1258" t="s">
        <v>270</v>
      </c>
      <c r="F650" s="1258">
        <v>14</v>
      </c>
      <c r="G650" s="1269" t="s">
        <v>2234</v>
      </c>
      <c r="H650" s="1269" t="s">
        <v>1763</v>
      </c>
      <c r="I650" s="1270" t="s">
        <v>1918</v>
      </c>
      <c r="J650" s="1258">
        <v>7</v>
      </c>
      <c r="K650" s="1258">
        <v>10</v>
      </c>
      <c r="L650" s="1258">
        <v>12</v>
      </c>
      <c r="M650" s="1264">
        <v>15</v>
      </c>
      <c r="N650" s="1258">
        <v>100</v>
      </c>
      <c r="O650" s="1258">
        <v>140</v>
      </c>
      <c r="P650" s="1258">
        <v>180</v>
      </c>
      <c r="Q650" s="1264">
        <v>240</v>
      </c>
      <c r="R650" s="1258">
        <v>10</v>
      </c>
      <c r="S650" s="1258">
        <v>15</v>
      </c>
      <c r="T650" s="1258">
        <v>20</v>
      </c>
      <c r="U650" s="1264">
        <v>25</v>
      </c>
      <c r="V650" s="1260" t="s">
        <v>8019</v>
      </c>
      <c r="W650" s="1260" t="s">
        <v>8020</v>
      </c>
      <c r="X650" s="1260" t="s">
        <v>8021</v>
      </c>
      <c r="Y650" s="1260" t="s">
        <v>8022</v>
      </c>
      <c r="Z650" s="1261" t="s">
        <v>8023</v>
      </c>
    </row>
    <row r="651" spans="2:26" ht="12.75" customHeight="1" x14ac:dyDescent="0.2">
      <c r="B651" s="2465" t="str">
        <f t="shared" si="10"/>
        <v>Tiempo24</v>
      </c>
      <c r="C651" s="1262"/>
      <c r="D651" s="1268" t="s">
        <v>8024</v>
      </c>
      <c r="E651" s="1258" t="s">
        <v>270</v>
      </c>
      <c r="F651" s="1258">
        <v>24</v>
      </c>
      <c r="G651" s="1269" t="s">
        <v>2234</v>
      </c>
      <c r="H651" s="1269" t="s">
        <v>1763</v>
      </c>
      <c r="I651" s="1270" t="s">
        <v>1918</v>
      </c>
      <c r="J651" s="1258">
        <v>7</v>
      </c>
      <c r="K651" s="1258">
        <v>10</v>
      </c>
      <c r="L651" s="1258">
        <v>12</v>
      </c>
      <c r="M651" s="1264">
        <v>15</v>
      </c>
      <c r="N651" s="1258">
        <v>100</v>
      </c>
      <c r="O651" s="1258">
        <v>150</v>
      </c>
      <c r="P651" s="1258">
        <v>200</v>
      </c>
      <c r="Q651" s="1264">
        <v>250</v>
      </c>
      <c r="R651" s="1258">
        <v>10</v>
      </c>
      <c r="S651" s="1258">
        <v>15</v>
      </c>
      <c r="T651" s="1258">
        <v>20</v>
      </c>
      <c r="U651" s="1264">
        <v>25</v>
      </c>
      <c r="V651" s="1260" t="s">
        <v>8025</v>
      </c>
      <c r="W651" s="1260" t="s">
        <v>8026</v>
      </c>
      <c r="X651" s="1260" t="s">
        <v>8027</v>
      </c>
      <c r="Y651" s="1260" t="s">
        <v>8028</v>
      </c>
      <c r="Z651" s="1261" t="s">
        <v>8029</v>
      </c>
    </row>
    <row r="652" spans="2:26" ht="12.75" customHeight="1" x14ac:dyDescent="0.2">
      <c r="B652" s="2465" t="str">
        <f t="shared" si="10"/>
        <v>Tiempo34</v>
      </c>
      <c r="C652" s="1262"/>
      <c r="D652" s="1268" t="s">
        <v>8030</v>
      </c>
      <c r="E652" s="1258" t="s">
        <v>270</v>
      </c>
      <c r="F652" s="1258">
        <v>34</v>
      </c>
      <c r="G652" s="1269" t="s">
        <v>2234</v>
      </c>
      <c r="H652" s="1269" t="s">
        <v>1764</v>
      </c>
      <c r="I652" s="1270" t="s">
        <v>1918</v>
      </c>
      <c r="J652" s="1258">
        <v>8</v>
      </c>
      <c r="K652" s="1258">
        <v>11</v>
      </c>
      <c r="L652" s="1258">
        <v>13</v>
      </c>
      <c r="M652" s="1264">
        <v>15</v>
      </c>
      <c r="N652" s="1258">
        <v>150</v>
      </c>
      <c r="O652" s="1258">
        <v>200</v>
      </c>
      <c r="P652" s="1258">
        <v>280</v>
      </c>
      <c r="Q652" s="1264">
        <v>380</v>
      </c>
      <c r="R652" s="1258">
        <v>15</v>
      </c>
      <c r="S652" s="1258">
        <v>20</v>
      </c>
      <c r="T652" s="1258">
        <v>30</v>
      </c>
      <c r="U652" s="1264">
        <v>40</v>
      </c>
      <c r="V652" s="1260" t="s">
        <v>8031</v>
      </c>
      <c r="W652" s="1260" t="s">
        <v>8032</v>
      </c>
      <c r="X652" s="1260" t="s">
        <v>8033</v>
      </c>
      <c r="Y652" s="1260" t="s">
        <v>8034</v>
      </c>
      <c r="Z652" s="1261" t="s">
        <v>8035</v>
      </c>
    </row>
    <row r="653" spans="2:26" ht="12.75" customHeight="1" x14ac:dyDescent="0.2">
      <c r="B653" s="2465" t="str">
        <f t="shared" si="10"/>
        <v>Tiempo44</v>
      </c>
      <c r="C653" s="1262"/>
      <c r="D653" s="1268" t="s">
        <v>8036</v>
      </c>
      <c r="E653" s="1258" t="s">
        <v>270</v>
      </c>
      <c r="F653" s="1258">
        <v>44</v>
      </c>
      <c r="G653" s="1269" t="s">
        <v>3090</v>
      </c>
      <c r="H653" s="1269" t="s">
        <v>1764</v>
      </c>
      <c r="I653" s="1270" t="s">
        <v>1918</v>
      </c>
      <c r="J653" s="1258">
        <v>9</v>
      </c>
      <c r="K653" s="1258">
        <v>12</v>
      </c>
      <c r="L653" s="1258">
        <v>14</v>
      </c>
      <c r="M653" s="1264">
        <v>16</v>
      </c>
      <c r="N653" s="1258">
        <v>200</v>
      </c>
      <c r="O653" s="1258">
        <v>300</v>
      </c>
      <c r="P653" s="1258">
        <v>400</v>
      </c>
      <c r="Q653" s="1264">
        <v>500</v>
      </c>
      <c r="R653" s="1258">
        <v>40</v>
      </c>
      <c r="S653" s="1258">
        <v>60</v>
      </c>
      <c r="T653" s="1258">
        <v>80</v>
      </c>
      <c r="U653" s="1264">
        <v>100</v>
      </c>
      <c r="V653" s="1260" t="s">
        <v>8037</v>
      </c>
      <c r="W653" s="1260" t="s">
        <v>8038</v>
      </c>
      <c r="X653" s="1260" t="s">
        <v>8039</v>
      </c>
      <c r="Y653" s="1260" t="s">
        <v>8040</v>
      </c>
      <c r="Z653" s="1261" t="s">
        <v>8041</v>
      </c>
    </row>
    <row r="654" spans="2:26" ht="12.75" customHeight="1" x14ac:dyDescent="0.2">
      <c r="B654" s="2465" t="str">
        <f t="shared" si="10"/>
        <v>Tiempo54</v>
      </c>
      <c r="C654" s="1262"/>
      <c r="D654" s="1268" t="s">
        <v>1064</v>
      </c>
      <c r="E654" s="1258" t="s">
        <v>270</v>
      </c>
      <c r="F654" s="1258">
        <v>54</v>
      </c>
      <c r="G654" s="1269" t="s">
        <v>2234</v>
      </c>
      <c r="H654" s="1269" t="s">
        <v>1762</v>
      </c>
      <c r="I654" s="1270" t="s">
        <v>1918</v>
      </c>
      <c r="J654" s="1258">
        <v>10</v>
      </c>
      <c r="K654" s="1258">
        <v>13</v>
      </c>
      <c r="L654" s="1258">
        <v>15</v>
      </c>
      <c r="M654" s="1264">
        <v>17</v>
      </c>
      <c r="N654" s="1258">
        <v>250</v>
      </c>
      <c r="O654" s="1258">
        <v>350</v>
      </c>
      <c r="P654" s="1258">
        <v>450</v>
      </c>
      <c r="Q654" s="1264">
        <v>600</v>
      </c>
      <c r="R654" s="1258" t="s">
        <v>2234</v>
      </c>
      <c r="S654" s="1258" t="s">
        <v>2234</v>
      </c>
      <c r="T654" s="1258" t="s">
        <v>2234</v>
      </c>
      <c r="U654" s="1264" t="s">
        <v>2234</v>
      </c>
      <c r="V654" s="1260" t="s">
        <v>8042</v>
      </c>
      <c r="W654" s="1260" t="s">
        <v>8043</v>
      </c>
      <c r="X654" s="1260" t="s">
        <v>8044</v>
      </c>
      <c r="Y654" s="1260" t="s">
        <v>8045</v>
      </c>
      <c r="Z654" s="1261" t="s">
        <v>8046</v>
      </c>
    </row>
    <row r="655" spans="2:26" ht="12.75" customHeight="1" x14ac:dyDescent="0.2">
      <c r="B655" s="2465" t="str">
        <f t="shared" si="10"/>
        <v>Tiempo64</v>
      </c>
      <c r="C655" s="1262"/>
      <c r="D655" s="1268" t="s">
        <v>8047</v>
      </c>
      <c r="E655" s="1258" t="s">
        <v>270</v>
      </c>
      <c r="F655" s="1258">
        <v>64</v>
      </c>
      <c r="G655" s="1269" t="s">
        <v>2234</v>
      </c>
      <c r="H655" s="1269" t="s">
        <v>1763</v>
      </c>
      <c r="I655" s="1270" t="s">
        <v>1918</v>
      </c>
      <c r="J655" s="1258">
        <v>11</v>
      </c>
      <c r="K655" s="1258">
        <v>14</v>
      </c>
      <c r="L655" s="1258">
        <v>16</v>
      </c>
      <c r="M655" s="1264">
        <v>18</v>
      </c>
      <c r="N655" s="1258">
        <v>200</v>
      </c>
      <c r="O655" s="1258">
        <v>350</v>
      </c>
      <c r="P655" s="1258">
        <v>500</v>
      </c>
      <c r="Q655" s="1264">
        <v>800</v>
      </c>
      <c r="R655" s="1258" t="s">
        <v>2234</v>
      </c>
      <c r="S655" s="1258" t="s">
        <v>2234</v>
      </c>
      <c r="T655" s="1258" t="s">
        <v>2234</v>
      </c>
      <c r="U655" s="1264" t="s">
        <v>2234</v>
      </c>
      <c r="V655" s="1260" t="s">
        <v>8048</v>
      </c>
      <c r="W655" s="1260" t="s">
        <v>8049</v>
      </c>
      <c r="X655" s="1260" t="s">
        <v>8050</v>
      </c>
      <c r="Y655" s="1260" t="s">
        <v>8051</v>
      </c>
      <c r="Z655" s="1261" t="s">
        <v>8052</v>
      </c>
    </row>
    <row r="656" spans="2:26" ht="12.75" customHeight="1" x14ac:dyDescent="0.2">
      <c r="B656" s="2465" t="str">
        <f t="shared" si="10"/>
        <v>Tiempo74</v>
      </c>
      <c r="C656" s="1262"/>
      <c r="D656" s="1268" t="s">
        <v>8053</v>
      </c>
      <c r="E656" s="1258" t="s">
        <v>270</v>
      </c>
      <c r="F656" s="1258">
        <v>74</v>
      </c>
      <c r="G656" s="1269" t="s">
        <v>2234</v>
      </c>
      <c r="H656" s="1269" t="s">
        <v>1762</v>
      </c>
      <c r="I656" s="1270" t="s">
        <v>1918</v>
      </c>
      <c r="J656" s="1258">
        <v>11</v>
      </c>
      <c r="K656" s="1258">
        <v>14</v>
      </c>
      <c r="L656" s="1258">
        <v>16</v>
      </c>
      <c r="M656" s="1264">
        <v>18</v>
      </c>
      <c r="N656" s="1258">
        <v>250</v>
      </c>
      <c r="O656" s="1258">
        <v>350</v>
      </c>
      <c r="P656" s="1258">
        <v>450</v>
      </c>
      <c r="Q656" s="1264">
        <v>600</v>
      </c>
      <c r="R656" s="1258" t="s">
        <v>2234</v>
      </c>
      <c r="S656" s="1258" t="s">
        <v>2234</v>
      </c>
      <c r="T656" s="1258" t="s">
        <v>2234</v>
      </c>
      <c r="U656" s="1264" t="s">
        <v>2234</v>
      </c>
      <c r="V656" s="1260" t="s">
        <v>8054</v>
      </c>
      <c r="W656" s="1260" t="s">
        <v>8055</v>
      </c>
      <c r="X656" s="1260" t="s">
        <v>8056</v>
      </c>
      <c r="Y656" s="1260" t="s">
        <v>8057</v>
      </c>
      <c r="Z656" s="1261" t="s">
        <v>8058</v>
      </c>
    </row>
    <row r="657" spans="2:26" ht="12.75" customHeight="1" x14ac:dyDescent="0.2">
      <c r="B657" s="2465" t="str">
        <f t="shared" si="10"/>
        <v>Tiempo84</v>
      </c>
      <c r="C657" s="1262"/>
      <c r="D657" s="1268" t="s">
        <v>8059</v>
      </c>
      <c r="E657" s="1258" t="s">
        <v>270</v>
      </c>
      <c r="F657" s="1258">
        <v>84</v>
      </c>
      <c r="G657" s="1269" t="s">
        <v>2234</v>
      </c>
      <c r="H657" s="1269" t="s">
        <v>1763</v>
      </c>
      <c r="I657" s="1270" t="s">
        <v>1918</v>
      </c>
      <c r="J657" s="1258">
        <v>11</v>
      </c>
      <c r="K657" s="1258">
        <v>14</v>
      </c>
      <c r="L657" s="1258">
        <v>16</v>
      </c>
      <c r="M657" s="1264">
        <v>18</v>
      </c>
      <c r="N657" s="1258">
        <v>400</v>
      </c>
      <c r="O657" s="1258">
        <v>600</v>
      </c>
      <c r="P657" s="1258">
        <v>900</v>
      </c>
      <c r="Q657" s="1264">
        <v>1400</v>
      </c>
      <c r="R657" s="1258">
        <v>40</v>
      </c>
      <c r="S657" s="1258">
        <v>60</v>
      </c>
      <c r="T657" s="1258">
        <v>90</v>
      </c>
      <c r="U657" s="1264">
        <v>140</v>
      </c>
      <c r="V657" s="1260" t="s">
        <v>8060</v>
      </c>
      <c r="W657" s="1260" t="s">
        <v>8061</v>
      </c>
      <c r="X657" s="1260" t="s">
        <v>8062</v>
      </c>
      <c r="Y657" s="1260" t="s">
        <v>8063</v>
      </c>
      <c r="Z657" s="1261" t="s">
        <v>8064</v>
      </c>
    </row>
    <row r="658" spans="2:26" ht="12.75" customHeight="1" x14ac:dyDescent="0.2">
      <c r="B658" s="2465" t="str">
        <f t="shared" si="10"/>
        <v>Tiempo94</v>
      </c>
      <c r="C658" s="1262"/>
      <c r="D658" s="1268" t="s">
        <v>8065</v>
      </c>
      <c r="E658" s="1258" t="s">
        <v>270</v>
      </c>
      <c r="F658" s="1258">
        <v>94</v>
      </c>
      <c r="G658" s="1269" t="s">
        <v>2234</v>
      </c>
      <c r="H658" s="1269" t="s">
        <v>1763</v>
      </c>
      <c r="I658" s="1270" t="s">
        <v>1918</v>
      </c>
      <c r="J658" s="1258">
        <v>12</v>
      </c>
      <c r="K658" s="1258">
        <v>15</v>
      </c>
      <c r="L658" s="1258">
        <v>17</v>
      </c>
      <c r="M658" s="1264">
        <v>19</v>
      </c>
      <c r="N658" s="1258">
        <v>500</v>
      </c>
      <c r="O658" s="1258">
        <v>800</v>
      </c>
      <c r="P658" s="1258">
        <v>1250</v>
      </c>
      <c r="Q658" s="1264">
        <v>2500</v>
      </c>
      <c r="R658" s="1258" t="s">
        <v>2234</v>
      </c>
      <c r="S658" s="1258" t="s">
        <v>2234</v>
      </c>
      <c r="T658" s="1258" t="s">
        <v>2234</v>
      </c>
      <c r="U658" s="1264" t="s">
        <v>2234</v>
      </c>
      <c r="V658" s="1260" t="s">
        <v>8066</v>
      </c>
      <c r="W658" s="1260" t="s">
        <v>8067</v>
      </c>
      <c r="X658" s="1260" t="s">
        <v>8068</v>
      </c>
      <c r="Y658" s="1260" t="s">
        <v>8069</v>
      </c>
      <c r="Z658" s="1261" t="s">
        <v>8070</v>
      </c>
    </row>
    <row r="659" spans="2:26" ht="12.75" customHeight="1" x14ac:dyDescent="0.2">
      <c r="B659" s="2465" t="str">
        <f t="shared" si="10"/>
        <v/>
      </c>
      <c r="C659" s="1262"/>
      <c r="D659" s="1268" t="s">
        <v>1069</v>
      </c>
      <c r="E659" s="1258"/>
      <c r="F659" s="1258"/>
      <c r="G659" s="1269"/>
      <c r="H659" s="1269"/>
      <c r="I659" s="1270"/>
      <c r="J659" s="1258"/>
      <c r="K659" s="1258"/>
      <c r="L659" s="1258"/>
      <c r="M659" s="1264"/>
      <c r="N659" s="1258"/>
      <c r="O659" s="1258"/>
      <c r="P659" s="1258"/>
      <c r="Q659" s="1264"/>
      <c r="R659" s="1258"/>
      <c r="S659" s="1258"/>
      <c r="T659" s="1258"/>
      <c r="U659" s="1264"/>
      <c r="V659" s="1260"/>
      <c r="W659" s="1260"/>
      <c r="X659" s="1260"/>
      <c r="Y659" s="1260"/>
      <c r="Z659" s="1261"/>
    </row>
    <row r="660" spans="2:26" ht="12.75" customHeight="1" x14ac:dyDescent="0.2">
      <c r="B660" s="2465" t="str">
        <f t="shared" si="10"/>
        <v>Umbral4</v>
      </c>
      <c r="C660" s="1262"/>
      <c r="D660" s="1268" t="s">
        <v>8071</v>
      </c>
      <c r="E660" s="1258" t="s">
        <v>3077</v>
      </c>
      <c r="F660" s="1258">
        <v>4</v>
      </c>
      <c r="G660" s="1269" t="s">
        <v>2234</v>
      </c>
      <c r="H660" s="1269" t="s">
        <v>1765</v>
      </c>
      <c r="I660" s="1270" t="s">
        <v>1918</v>
      </c>
      <c r="J660" s="1258">
        <v>5</v>
      </c>
      <c r="K660" s="1258">
        <v>8</v>
      </c>
      <c r="L660" s="1258">
        <v>11</v>
      </c>
      <c r="M660" s="1264">
        <v>14</v>
      </c>
      <c r="N660" s="1258">
        <v>30</v>
      </c>
      <c r="O660" s="1258">
        <v>60</v>
      </c>
      <c r="P660" s="1258">
        <v>90</v>
      </c>
      <c r="Q660" s="1264">
        <v>120</v>
      </c>
      <c r="R660" s="1258">
        <v>5</v>
      </c>
      <c r="S660" s="1258">
        <v>5</v>
      </c>
      <c r="T660" s="1258">
        <v>5</v>
      </c>
      <c r="U660" s="1264">
        <v>10</v>
      </c>
      <c r="V660" s="1260" t="s">
        <v>8072</v>
      </c>
      <c r="W660" s="1260" t="s">
        <v>8073</v>
      </c>
      <c r="X660" s="1260" t="s">
        <v>8074</v>
      </c>
      <c r="Y660" s="1260" t="s">
        <v>8075</v>
      </c>
      <c r="Z660" s="1261" t="s">
        <v>8076</v>
      </c>
    </row>
    <row r="661" spans="2:26" ht="12.75" customHeight="1" x14ac:dyDescent="0.2">
      <c r="B661" s="2465" t="str">
        <f t="shared" si="10"/>
        <v>Umbral14</v>
      </c>
      <c r="C661" s="1262"/>
      <c r="D661" s="1268" t="s">
        <v>8077</v>
      </c>
      <c r="E661" s="1258" t="s">
        <v>3077</v>
      </c>
      <c r="F661" s="1258">
        <v>14</v>
      </c>
      <c r="G661" s="1269" t="s">
        <v>2234</v>
      </c>
      <c r="H661" s="1269" t="s">
        <v>1763</v>
      </c>
      <c r="I661" s="1270" t="s">
        <v>1918</v>
      </c>
      <c r="J661" s="1258">
        <v>6</v>
      </c>
      <c r="K661" s="1258">
        <v>9</v>
      </c>
      <c r="L661" s="1258">
        <v>12</v>
      </c>
      <c r="M661" s="1264">
        <v>15</v>
      </c>
      <c r="N661" s="1258">
        <v>40</v>
      </c>
      <c r="O661" s="1258">
        <v>70</v>
      </c>
      <c r="P661" s="1258">
        <v>100</v>
      </c>
      <c r="Q661" s="1264">
        <v>130</v>
      </c>
      <c r="R661" s="1258" t="s">
        <v>2234</v>
      </c>
      <c r="S661" s="1258" t="s">
        <v>2234</v>
      </c>
      <c r="T661" s="1258" t="s">
        <v>2234</v>
      </c>
      <c r="U661" s="1264" t="s">
        <v>2234</v>
      </c>
      <c r="V661" s="1260" t="s">
        <v>5570</v>
      </c>
      <c r="W661" s="1260" t="s">
        <v>8078</v>
      </c>
      <c r="X661" s="1260" t="s">
        <v>6287</v>
      </c>
      <c r="Y661" s="1260" t="s">
        <v>6288</v>
      </c>
      <c r="Z661" s="1261" t="s">
        <v>8079</v>
      </c>
    </row>
    <row r="662" spans="2:26" ht="12.75" customHeight="1" x14ac:dyDescent="0.2">
      <c r="B662" s="2465" t="str">
        <f t="shared" si="10"/>
        <v>Umbral24</v>
      </c>
      <c r="C662" s="1262"/>
      <c r="D662" s="1268" t="s">
        <v>8080</v>
      </c>
      <c r="E662" s="1258" t="s">
        <v>3077</v>
      </c>
      <c r="F662" s="1258">
        <v>24</v>
      </c>
      <c r="G662" s="1269" t="s">
        <v>2234</v>
      </c>
      <c r="H662" s="1269" t="s">
        <v>1764</v>
      </c>
      <c r="I662" s="1270" t="s">
        <v>1918</v>
      </c>
      <c r="J662" s="1258">
        <v>6</v>
      </c>
      <c r="K662" s="1258">
        <v>9</v>
      </c>
      <c r="L662" s="1258">
        <v>12</v>
      </c>
      <c r="M662" s="1264">
        <v>15</v>
      </c>
      <c r="N662" s="1258">
        <v>60</v>
      </c>
      <c r="O662" s="1258">
        <v>100</v>
      </c>
      <c r="P662" s="1258">
        <v>160</v>
      </c>
      <c r="Q662" s="1264">
        <v>200</v>
      </c>
      <c r="R662" s="1258">
        <v>5</v>
      </c>
      <c r="S662" s="1258">
        <v>5</v>
      </c>
      <c r="T662" s="1258">
        <v>10</v>
      </c>
      <c r="U662" s="1264">
        <v>10</v>
      </c>
      <c r="V662" s="1260" t="s">
        <v>5476</v>
      </c>
      <c r="W662" s="1260" t="s">
        <v>5267</v>
      </c>
      <c r="X662" s="1260" t="s">
        <v>8081</v>
      </c>
      <c r="Y662" s="1260" t="s">
        <v>8082</v>
      </c>
      <c r="Z662" s="1261" t="s">
        <v>8083</v>
      </c>
    </row>
    <row r="663" spans="2:26" ht="12.75" customHeight="1" x14ac:dyDescent="0.2">
      <c r="B663" s="2465" t="str">
        <f t="shared" si="10"/>
        <v>Umbral34</v>
      </c>
      <c r="C663" s="1262"/>
      <c r="D663" s="1268" t="s">
        <v>8084</v>
      </c>
      <c r="E663" s="1258" t="s">
        <v>3077</v>
      </c>
      <c r="F663" s="1258">
        <v>34</v>
      </c>
      <c r="G663" s="1269" t="s">
        <v>2234</v>
      </c>
      <c r="H663" s="1269" t="s">
        <v>1762</v>
      </c>
      <c r="I663" s="1270" t="s">
        <v>1918</v>
      </c>
      <c r="J663" s="1258">
        <v>7</v>
      </c>
      <c r="K663" s="1258">
        <v>10</v>
      </c>
      <c r="L663" s="1258">
        <v>13</v>
      </c>
      <c r="M663" s="1264">
        <v>15</v>
      </c>
      <c r="N663" s="1258">
        <v>80</v>
      </c>
      <c r="O663" s="1258">
        <v>100</v>
      </c>
      <c r="P663" s="1258">
        <v>120</v>
      </c>
      <c r="Q663" s="1264">
        <v>140</v>
      </c>
      <c r="R663" s="1258">
        <v>5</v>
      </c>
      <c r="S663" s="1258">
        <v>10</v>
      </c>
      <c r="T663" s="1258">
        <v>15</v>
      </c>
      <c r="U663" s="1264">
        <v>20</v>
      </c>
      <c r="V663" s="1260" t="s">
        <v>6861</v>
      </c>
      <c r="W663" s="1260" t="s">
        <v>6862</v>
      </c>
      <c r="X663" s="1260" t="s">
        <v>6863</v>
      </c>
      <c r="Y663" s="1260" t="s">
        <v>6864</v>
      </c>
      <c r="Z663" s="1261" t="s">
        <v>8085</v>
      </c>
    </row>
    <row r="664" spans="2:26" ht="12.75" customHeight="1" x14ac:dyDescent="0.2">
      <c r="B664" s="2465" t="str">
        <f t="shared" si="10"/>
        <v>Umbral44</v>
      </c>
      <c r="C664" s="1262"/>
      <c r="D664" s="1268" t="s">
        <v>9716</v>
      </c>
      <c r="E664" s="1258" t="s">
        <v>3077</v>
      </c>
      <c r="F664" s="1258">
        <v>44</v>
      </c>
      <c r="G664" s="1269" t="s">
        <v>3090</v>
      </c>
      <c r="H664" s="1269" t="s">
        <v>1762</v>
      </c>
      <c r="I664" s="1270" t="s">
        <v>1918</v>
      </c>
      <c r="J664" s="1258">
        <v>7</v>
      </c>
      <c r="K664" s="1258">
        <v>10</v>
      </c>
      <c r="L664" s="1258">
        <v>13</v>
      </c>
      <c r="M664" s="1264">
        <v>15</v>
      </c>
      <c r="N664" s="1258">
        <v>100</v>
      </c>
      <c r="O664" s="1258">
        <v>140</v>
      </c>
      <c r="P664" s="1258">
        <v>180</v>
      </c>
      <c r="Q664" s="1264">
        <v>240</v>
      </c>
      <c r="R664" s="1258">
        <v>10</v>
      </c>
      <c r="S664" s="1258">
        <v>15</v>
      </c>
      <c r="T664" s="1258">
        <v>20</v>
      </c>
      <c r="U664" s="1264">
        <v>25</v>
      </c>
      <c r="V664" s="1260" t="s">
        <v>6861</v>
      </c>
      <c r="W664" s="1260" t="s">
        <v>6863</v>
      </c>
      <c r="X664" s="1260" t="s">
        <v>8086</v>
      </c>
      <c r="Y664" s="1260" t="s">
        <v>8087</v>
      </c>
      <c r="Z664" s="1261" t="s">
        <v>9717</v>
      </c>
    </row>
    <row r="665" spans="2:26" ht="12.75" customHeight="1" x14ac:dyDescent="0.2">
      <c r="B665" s="2465" t="str">
        <f t="shared" si="10"/>
        <v>Umbral54</v>
      </c>
      <c r="C665" s="1262"/>
      <c r="D665" s="1268" t="s">
        <v>1075</v>
      </c>
      <c r="E665" s="1258" t="s">
        <v>3077</v>
      </c>
      <c r="F665" s="1258">
        <v>54</v>
      </c>
      <c r="G665" s="1269" t="s">
        <v>3090</v>
      </c>
      <c r="H665" s="1269" t="s">
        <v>1762</v>
      </c>
      <c r="I665" s="1270" t="s">
        <v>1918</v>
      </c>
      <c r="J665" s="1258">
        <v>6</v>
      </c>
      <c r="K665" s="1258">
        <v>9</v>
      </c>
      <c r="L665" s="1258">
        <v>12</v>
      </c>
      <c r="M665" s="1264">
        <v>15</v>
      </c>
      <c r="N665" s="1258">
        <v>120</v>
      </c>
      <c r="O665" s="1258">
        <v>180</v>
      </c>
      <c r="P665" s="1258">
        <v>240</v>
      </c>
      <c r="Q665" s="1264">
        <v>300</v>
      </c>
      <c r="R665" s="1258">
        <v>15</v>
      </c>
      <c r="S665" s="1258">
        <v>20</v>
      </c>
      <c r="T665" s="1258">
        <v>25</v>
      </c>
      <c r="U665" s="1264">
        <v>30</v>
      </c>
      <c r="V665" s="1260" t="s">
        <v>8088</v>
      </c>
      <c r="W665" s="1260" t="s">
        <v>8089</v>
      </c>
      <c r="X665" s="1260" t="s">
        <v>8090</v>
      </c>
      <c r="Y665" s="1260" t="s">
        <v>8091</v>
      </c>
      <c r="Z665" s="1261" t="s">
        <v>8092</v>
      </c>
    </row>
    <row r="666" spans="2:26" ht="12.75" customHeight="1" x14ac:dyDescent="0.2">
      <c r="B666" s="2465" t="str">
        <f t="shared" si="10"/>
        <v>Umbral64</v>
      </c>
      <c r="C666" s="1262"/>
      <c r="D666" s="1268" t="s">
        <v>1076</v>
      </c>
      <c r="E666" s="1258" t="s">
        <v>3077</v>
      </c>
      <c r="F666" s="1258">
        <v>64</v>
      </c>
      <c r="G666" s="1269" t="s">
        <v>2234</v>
      </c>
      <c r="H666" s="1269" t="s">
        <v>1762</v>
      </c>
      <c r="I666" s="1270" t="s">
        <v>1918</v>
      </c>
      <c r="J666" s="1258">
        <v>8</v>
      </c>
      <c r="K666" s="1258">
        <v>10</v>
      </c>
      <c r="L666" s="1258">
        <v>12</v>
      </c>
      <c r="M666" s="1264">
        <v>15</v>
      </c>
      <c r="N666" s="1258">
        <v>80</v>
      </c>
      <c r="O666" s="1258">
        <v>140</v>
      </c>
      <c r="P666" s="1258">
        <v>200</v>
      </c>
      <c r="Q666" s="1264">
        <v>240</v>
      </c>
      <c r="R666" s="1258">
        <v>10</v>
      </c>
      <c r="S666" s="1258">
        <v>15</v>
      </c>
      <c r="T666" s="1258">
        <v>20</v>
      </c>
      <c r="U666" s="1264">
        <v>25</v>
      </c>
      <c r="V666" s="1260" t="s">
        <v>8093</v>
      </c>
      <c r="W666" s="1260" t="s">
        <v>8094</v>
      </c>
      <c r="X666" s="1260" t="s">
        <v>8095</v>
      </c>
      <c r="Y666" s="1260" t="s">
        <v>8096</v>
      </c>
      <c r="Z666" s="1261" t="s">
        <v>8097</v>
      </c>
    </row>
    <row r="667" spans="2:26" ht="12.75" customHeight="1" x14ac:dyDescent="0.2">
      <c r="B667" s="2465" t="str">
        <f t="shared" si="10"/>
        <v>Umbral74</v>
      </c>
      <c r="C667" s="1262"/>
      <c r="D667" s="1268" t="s">
        <v>8098</v>
      </c>
      <c r="E667" s="1258" t="s">
        <v>3077</v>
      </c>
      <c r="F667" s="1258">
        <v>74</v>
      </c>
      <c r="G667" s="1269" t="s">
        <v>2234</v>
      </c>
      <c r="H667" s="1269" t="s">
        <v>1764</v>
      </c>
      <c r="I667" s="1270" t="s">
        <v>1918</v>
      </c>
      <c r="J667" s="1258">
        <v>10</v>
      </c>
      <c r="K667" s="1258">
        <v>12</v>
      </c>
      <c r="L667" s="1258">
        <v>14</v>
      </c>
      <c r="M667" s="1264">
        <v>16</v>
      </c>
      <c r="N667" s="1258">
        <v>200</v>
      </c>
      <c r="O667" s="1258">
        <v>300</v>
      </c>
      <c r="P667" s="1258">
        <v>400</v>
      </c>
      <c r="Q667" s="1264">
        <v>500</v>
      </c>
      <c r="R667" s="1258" t="s">
        <v>2234</v>
      </c>
      <c r="S667" s="1258" t="s">
        <v>2234</v>
      </c>
      <c r="T667" s="1258" t="s">
        <v>2234</v>
      </c>
      <c r="U667" s="1264" t="s">
        <v>2234</v>
      </c>
      <c r="V667" s="1260" t="s">
        <v>8082</v>
      </c>
      <c r="W667" s="1260" t="s">
        <v>8099</v>
      </c>
      <c r="X667" s="1260" t="s">
        <v>8100</v>
      </c>
      <c r="Y667" s="1260" t="s">
        <v>8101</v>
      </c>
      <c r="Z667" s="1261" t="s">
        <v>8102</v>
      </c>
    </row>
    <row r="668" spans="2:26" ht="12.75" customHeight="1" x14ac:dyDescent="0.2">
      <c r="B668" s="2465" t="str">
        <f t="shared" si="10"/>
        <v>Umbral84</v>
      </c>
      <c r="C668" s="1262"/>
      <c r="D668" s="1268" t="s">
        <v>8103</v>
      </c>
      <c r="E668" s="1258" t="s">
        <v>3077</v>
      </c>
      <c r="F668" s="1258">
        <v>84</v>
      </c>
      <c r="G668" s="1269" t="s">
        <v>2234</v>
      </c>
      <c r="H668" s="1269" t="s">
        <v>1764</v>
      </c>
      <c r="I668" s="1270" t="s">
        <v>1918</v>
      </c>
      <c r="J668" s="1258">
        <v>10</v>
      </c>
      <c r="K668" s="1258">
        <v>12</v>
      </c>
      <c r="L668" s="1258">
        <v>15</v>
      </c>
      <c r="M668" s="1264">
        <v>18</v>
      </c>
      <c r="N668" s="1258">
        <v>150</v>
      </c>
      <c r="O668" s="1258">
        <v>250</v>
      </c>
      <c r="P668" s="1258">
        <v>500</v>
      </c>
      <c r="Q668" s="1264">
        <v>700</v>
      </c>
      <c r="R668" s="1258">
        <v>15</v>
      </c>
      <c r="S668" s="1258">
        <v>25</v>
      </c>
      <c r="T668" s="1258">
        <v>50</v>
      </c>
      <c r="U668" s="1264">
        <v>70</v>
      </c>
      <c r="V668" s="1260" t="s">
        <v>8104</v>
      </c>
      <c r="W668" s="1260" t="s">
        <v>8105</v>
      </c>
      <c r="X668" s="1260" t="s">
        <v>8106</v>
      </c>
      <c r="Y668" s="1260" t="s">
        <v>8107</v>
      </c>
      <c r="Z668" s="1261" t="s">
        <v>8108</v>
      </c>
    </row>
    <row r="669" spans="2:26" ht="12.75" customHeight="1" x14ac:dyDescent="0.2">
      <c r="B669" s="2465" t="str">
        <f t="shared" si="10"/>
        <v>Umbral94</v>
      </c>
      <c r="C669" s="1262"/>
      <c r="D669" s="1268" t="s">
        <v>8109</v>
      </c>
      <c r="E669" s="1258" t="s">
        <v>3077</v>
      </c>
      <c r="F669" s="1258">
        <v>94</v>
      </c>
      <c r="G669" s="1269" t="s">
        <v>2234</v>
      </c>
      <c r="H669" s="1269" t="s">
        <v>1764</v>
      </c>
      <c r="I669" s="1270" t="s">
        <v>1918</v>
      </c>
      <c r="J669" s="1258">
        <v>11</v>
      </c>
      <c r="K669" s="1258">
        <v>13</v>
      </c>
      <c r="L669" s="1258">
        <v>15</v>
      </c>
      <c r="M669" s="1264">
        <v>17</v>
      </c>
      <c r="N669" s="1258">
        <v>250</v>
      </c>
      <c r="O669" s="1258">
        <v>350</v>
      </c>
      <c r="P669" s="1258">
        <v>450</v>
      </c>
      <c r="Q669" s="1264">
        <v>600</v>
      </c>
      <c r="R669" s="1258" t="s">
        <v>2234</v>
      </c>
      <c r="S669" s="1258" t="s">
        <v>2234</v>
      </c>
      <c r="T669" s="1258" t="s">
        <v>2234</v>
      </c>
      <c r="U669" s="1264" t="s">
        <v>2234</v>
      </c>
      <c r="V669" s="1260" t="s">
        <v>5725</v>
      </c>
      <c r="W669" s="1260" t="s">
        <v>6891</v>
      </c>
      <c r="X669" s="1260" t="s">
        <v>5727</v>
      </c>
      <c r="Y669" s="1260" t="s">
        <v>8110</v>
      </c>
      <c r="Z669" s="1261" t="s">
        <v>8111</v>
      </c>
    </row>
    <row r="670" spans="2:26" ht="12.75" customHeight="1" x14ac:dyDescent="0.2">
      <c r="B670" s="2465" t="str">
        <f t="shared" si="10"/>
        <v/>
      </c>
      <c r="C670" s="1262"/>
      <c r="D670" s="1268" t="s">
        <v>9718</v>
      </c>
      <c r="E670" s="1258"/>
      <c r="F670" s="1258"/>
      <c r="G670" s="1269"/>
      <c r="H670" s="1269"/>
      <c r="I670" s="1270"/>
      <c r="J670" s="1258"/>
      <c r="K670" s="1258"/>
      <c r="L670" s="1258"/>
      <c r="M670" s="1264"/>
      <c r="N670" s="1258"/>
      <c r="O670" s="1258"/>
      <c r="P670" s="1258"/>
      <c r="Q670" s="1264"/>
      <c r="R670" s="1258"/>
      <c r="S670" s="1258"/>
      <c r="T670" s="1258"/>
      <c r="U670" s="1264"/>
      <c r="V670" s="1260"/>
      <c r="W670" s="1260"/>
      <c r="X670" s="1260"/>
      <c r="Y670" s="1260"/>
      <c r="Z670" s="1261"/>
    </row>
    <row r="671" spans="2:26" ht="12.75" customHeight="1" x14ac:dyDescent="0.2">
      <c r="B671" s="2465" t="str">
        <f t="shared" si="10"/>
        <v>Vacío4</v>
      </c>
      <c r="C671" s="1262"/>
      <c r="D671" s="1268" t="s">
        <v>8112</v>
      </c>
      <c r="E671" s="1258" t="s">
        <v>271</v>
      </c>
      <c r="F671" s="1258">
        <v>4</v>
      </c>
      <c r="G671" s="1269" t="s">
        <v>2234</v>
      </c>
      <c r="H671" s="1269" t="s">
        <v>1762</v>
      </c>
      <c r="I671" s="1270" t="s">
        <v>1918</v>
      </c>
      <c r="J671" s="1258">
        <v>5</v>
      </c>
      <c r="K671" s="1258">
        <v>8</v>
      </c>
      <c r="L671" s="1258">
        <v>11</v>
      </c>
      <c r="M671" s="1264">
        <v>14</v>
      </c>
      <c r="N671" s="1258">
        <v>30</v>
      </c>
      <c r="O671" s="1258">
        <v>60</v>
      </c>
      <c r="P671" s="1258">
        <v>90</v>
      </c>
      <c r="Q671" s="1264">
        <v>120</v>
      </c>
      <c r="R671" s="1258" t="s">
        <v>2234</v>
      </c>
      <c r="S671" s="1258" t="s">
        <v>2234</v>
      </c>
      <c r="T671" s="1258" t="s">
        <v>2234</v>
      </c>
      <c r="U671" s="1264" t="s">
        <v>2234</v>
      </c>
      <c r="V671" s="1260" t="s">
        <v>8113</v>
      </c>
      <c r="W671" s="1260" t="s">
        <v>8114</v>
      </c>
      <c r="X671" s="1260" t="s">
        <v>8115</v>
      </c>
      <c r="Y671" s="1260" t="s">
        <v>8116</v>
      </c>
      <c r="Z671" s="1261" t="s">
        <v>8117</v>
      </c>
    </row>
    <row r="672" spans="2:26" ht="12.75" customHeight="1" x14ac:dyDescent="0.2">
      <c r="B672" s="2465" t="str">
        <f t="shared" si="10"/>
        <v>Vacío14</v>
      </c>
      <c r="C672" s="1262"/>
      <c r="D672" s="1268" t="s">
        <v>8118</v>
      </c>
      <c r="E672" s="1258" t="s">
        <v>271</v>
      </c>
      <c r="F672" s="1258">
        <v>14</v>
      </c>
      <c r="G672" s="1269" t="s">
        <v>2234</v>
      </c>
      <c r="H672" s="1269" t="s">
        <v>1761</v>
      </c>
      <c r="I672" s="1270" t="s">
        <v>1918</v>
      </c>
      <c r="J672" s="1258">
        <v>6</v>
      </c>
      <c r="K672" s="1258">
        <v>9</v>
      </c>
      <c r="L672" s="1258">
        <v>12</v>
      </c>
      <c r="M672" s="1264">
        <v>15</v>
      </c>
      <c r="N672" s="1258">
        <v>30</v>
      </c>
      <c r="O672" s="1258">
        <v>60</v>
      </c>
      <c r="P672" s="1258">
        <v>90</v>
      </c>
      <c r="Q672" s="1264">
        <v>120</v>
      </c>
      <c r="R672" s="1258" t="s">
        <v>2234</v>
      </c>
      <c r="S672" s="1258" t="s">
        <v>2234</v>
      </c>
      <c r="T672" s="1258" t="s">
        <v>2234</v>
      </c>
      <c r="U672" s="1264" t="s">
        <v>2234</v>
      </c>
      <c r="V672" s="1260" t="s">
        <v>8119</v>
      </c>
      <c r="W672" s="1260" t="s">
        <v>8120</v>
      </c>
      <c r="X672" s="1260" t="s">
        <v>8121</v>
      </c>
      <c r="Y672" s="1260" t="s">
        <v>8122</v>
      </c>
      <c r="Z672" s="1261" t="s">
        <v>8123</v>
      </c>
    </row>
    <row r="673" spans="2:26" ht="12.75" customHeight="1" x14ac:dyDescent="0.2">
      <c r="B673" s="2465" t="str">
        <f t="shared" si="10"/>
        <v>Vacío24</v>
      </c>
      <c r="C673" s="1262"/>
      <c r="D673" s="1268" t="s">
        <v>8124</v>
      </c>
      <c r="E673" s="1258" t="s">
        <v>271</v>
      </c>
      <c r="F673" s="1258">
        <v>24</v>
      </c>
      <c r="G673" s="1269" t="s">
        <v>2234</v>
      </c>
      <c r="H673" s="1269" t="s">
        <v>2431</v>
      </c>
      <c r="I673" s="1270" t="s">
        <v>1919</v>
      </c>
      <c r="J673" s="1258">
        <v>6</v>
      </c>
      <c r="K673" s="1258">
        <v>9</v>
      </c>
      <c r="L673" s="1258">
        <v>12</v>
      </c>
      <c r="M673" s="1264">
        <v>15</v>
      </c>
      <c r="N673" s="1258">
        <v>50</v>
      </c>
      <c r="O673" s="1258">
        <v>90</v>
      </c>
      <c r="P673" s="1258">
        <v>120</v>
      </c>
      <c r="Q673" s="1264">
        <v>150</v>
      </c>
      <c r="R673" s="1258">
        <v>5</v>
      </c>
      <c r="S673" s="1258">
        <v>20</v>
      </c>
      <c r="T673" s="1258">
        <v>25</v>
      </c>
      <c r="U673" s="1264">
        <v>30</v>
      </c>
      <c r="V673" s="1260" t="s">
        <v>8125</v>
      </c>
      <c r="W673" s="1260" t="s">
        <v>8126</v>
      </c>
      <c r="X673" s="1260" t="s">
        <v>8127</v>
      </c>
      <c r="Y673" s="1260" t="s">
        <v>8128</v>
      </c>
      <c r="Z673" s="1261" t="s">
        <v>8129</v>
      </c>
    </row>
    <row r="674" spans="2:26" ht="12.75" customHeight="1" x14ac:dyDescent="0.2">
      <c r="B674" s="2465" t="str">
        <f t="shared" si="10"/>
        <v>Vacío34</v>
      </c>
      <c r="C674" s="1262"/>
      <c r="D674" s="1268" t="s">
        <v>8130</v>
      </c>
      <c r="E674" s="1258" t="s">
        <v>271</v>
      </c>
      <c r="F674" s="1258">
        <v>34</v>
      </c>
      <c r="G674" s="1269" t="s">
        <v>2234</v>
      </c>
      <c r="H674" s="1269" t="s">
        <v>1764</v>
      </c>
      <c r="I674" s="1270" t="s">
        <v>1918</v>
      </c>
      <c r="J674" s="1258">
        <v>7</v>
      </c>
      <c r="K674" s="1258">
        <v>10</v>
      </c>
      <c r="L674" s="1258">
        <v>13</v>
      </c>
      <c r="M674" s="1264">
        <v>15</v>
      </c>
      <c r="N674" s="1258">
        <v>80</v>
      </c>
      <c r="O674" s="1258">
        <v>120</v>
      </c>
      <c r="P674" s="1258">
        <v>180</v>
      </c>
      <c r="Q674" s="1264">
        <v>240</v>
      </c>
      <c r="R674" s="1258">
        <v>5</v>
      </c>
      <c r="S674" s="1258">
        <v>10</v>
      </c>
      <c r="T674" s="1258">
        <v>15</v>
      </c>
      <c r="U674" s="1264">
        <v>20</v>
      </c>
      <c r="V674" s="1260" t="s">
        <v>8131</v>
      </c>
      <c r="W674" s="1260" t="s">
        <v>6872</v>
      </c>
      <c r="X674" s="1260" t="s">
        <v>8132</v>
      </c>
      <c r="Y674" s="1260" t="s">
        <v>8133</v>
      </c>
      <c r="Z674" s="1261" t="s">
        <v>8134</v>
      </c>
    </row>
    <row r="675" spans="2:26" ht="12.75" customHeight="1" x14ac:dyDescent="0.2">
      <c r="B675" s="2465" t="str">
        <f t="shared" si="10"/>
        <v>Vacío44</v>
      </c>
      <c r="C675" s="1262"/>
      <c r="D675" s="1268" t="s">
        <v>8135</v>
      </c>
      <c r="E675" s="1258" t="s">
        <v>271</v>
      </c>
      <c r="F675" s="1258">
        <v>44</v>
      </c>
      <c r="G675" s="1269" t="s">
        <v>2234</v>
      </c>
      <c r="H675" s="1269" t="s">
        <v>1761</v>
      </c>
      <c r="I675" s="1270" t="s">
        <v>1918</v>
      </c>
      <c r="J675" s="1258">
        <v>6</v>
      </c>
      <c r="K675" s="1258">
        <v>9</v>
      </c>
      <c r="L675" s="1258">
        <v>12</v>
      </c>
      <c r="M675" s="1264">
        <v>15</v>
      </c>
      <c r="N675" s="1258">
        <v>100</v>
      </c>
      <c r="O675" s="1258">
        <v>150</v>
      </c>
      <c r="P675" s="1258">
        <v>200</v>
      </c>
      <c r="Q675" s="1264">
        <v>250</v>
      </c>
      <c r="R675" s="1258">
        <v>5</v>
      </c>
      <c r="S675" s="1258">
        <v>10</v>
      </c>
      <c r="T675" s="1258">
        <v>10</v>
      </c>
      <c r="U675" s="1264">
        <v>15</v>
      </c>
      <c r="V675" s="1260" t="s">
        <v>6958</v>
      </c>
      <c r="W675" s="1260" t="s">
        <v>5304</v>
      </c>
      <c r="X675" s="1260" t="s">
        <v>8136</v>
      </c>
      <c r="Y675" s="1260" t="s">
        <v>6256</v>
      </c>
      <c r="Z675" s="1261" t="s">
        <v>8137</v>
      </c>
    </row>
    <row r="676" spans="2:26" ht="12.75" customHeight="1" x14ac:dyDescent="0.2">
      <c r="B676" s="2465" t="str">
        <f t="shared" si="10"/>
        <v>Vacío54</v>
      </c>
      <c r="C676" s="1262"/>
      <c r="D676" s="1268" t="s">
        <v>2548</v>
      </c>
      <c r="E676" s="1258" t="s">
        <v>271</v>
      </c>
      <c r="F676" s="1258">
        <v>54</v>
      </c>
      <c r="G676" s="1269" t="s">
        <v>3090</v>
      </c>
      <c r="H676" s="1269" t="s">
        <v>1763</v>
      </c>
      <c r="I676" s="1270" t="s">
        <v>1918</v>
      </c>
      <c r="J676" s="1258">
        <v>6</v>
      </c>
      <c r="K676" s="1258">
        <v>9</v>
      </c>
      <c r="L676" s="1258">
        <v>12</v>
      </c>
      <c r="M676" s="1264">
        <v>15</v>
      </c>
      <c r="N676" s="1258">
        <v>120</v>
      </c>
      <c r="O676" s="1258">
        <v>180</v>
      </c>
      <c r="P676" s="1258">
        <v>240</v>
      </c>
      <c r="Q676" s="1264">
        <v>350</v>
      </c>
      <c r="R676" s="1258">
        <v>15</v>
      </c>
      <c r="S676" s="1258">
        <v>20</v>
      </c>
      <c r="T676" s="1258">
        <v>25</v>
      </c>
      <c r="U676" s="1264">
        <v>35</v>
      </c>
      <c r="V676" s="1260" t="s">
        <v>8138</v>
      </c>
      <c r="W676" s="1260" t="s">
        <v>8139</v>
      </c>
      <c r="X676" s="1260" t="s">
        <v>8140</v>
      </c>
      <c r="Y676" s="1260" t="s">
        <v>8141</v>
      </c>
      <c r="Z676" s="1261" t="s">
        <v>8142</v>
      </c>
    </row>
    <row r="677" spans="2:26" ht="12.75" customHeight="1" x14ac:dyDescent="0.2">
      <c r="B677" s="2465" t="str">
        <f t="shared" si="10"/>
        <v>Vacío64</v>
      </c>
      <c r="C677" s="1262"/>
      <c r="D677" s="1268" t="s">
        <v>8143</v>
      </c>
      <c r="E677" s="1258" t="s">
        <v>271</v>
      </c>
      <c r="F677" s="1258">
        <v>64</v>
      </c>
      <c r="G677" s="1269" t="s">
        <v>2234</v>
      </c>
      <c r="H677" s="1269" t="s">
        <v>1764</v>
      </c>
      <c r="I677" s="1270" t="s">
        <v>1918</v>
      </c>
      <c r="J677" s="1258">
        <v>8</v>
      </c>
      <c r="K677" s="1258">
        <v>10</v>
      </c>
      <c r="L677" s="1258">
        <v>12</v>
      </c>
      <c r="M677" s="1264">
        <v>15</v>
      </c>
      <c r="N677" s="1258">
        <v>150</v>
      </c>
      <c r="O677" s="1258">
        <v>250</v>
      </c>
      <c r="P677" s="1258">
        <v>350</v>
      </c>
      <c r="Q677" s="1264">
        <v>500</v>
      </c>
      <c r="R677" s="1258">
        <v>15</v>
      </c>
      <c r="S677" s="1258">
        <v>25</v>
      </c>
      <c r="T677" s="1258">
        <v>35</v>
      </c>
      <c r="U677" s="1264">
        <v>50</v>
      </c>
      <c r="V677" s="1260" t="s">
        <v>8144</v>
      </c>
      <c r="W677" s="1260" t="s">
        <v>8145</v>
      </c>
      <c r="X677" s="1260" t="s">
        <v>8146</v>
      </c>
      <c r="Y677" s="1260" t="s">
        <v>8147</v>
      </c>
      <c r="Z677" s="1261" t="s">
        <v>8148</v>
      </c>
    </row>
    <row r="678" spans="2:26" ht="12.75" customHeight="1" x14ac:dyDescent="0.2">
      <c r="B678" s="2465" t="str">
        <f t="shared" si="10"/>
        <v>Vacío74</v>
      </c>
      <c r="C678" s="1262"/>
      <c r="D678" s="1268" t="s">
        <v>8149</v>
      </c>
      <c r="E678" s="1258" t="s">
        <v>271</v>
      </c>
      <c r="F678" s="1258">
        <v>74</v>
      </c>
      <c r="G678" s="1269" t="s">
        <v>2234</v>
      </c>
      <c r="H678" s="1269" t="s">
        <v>1761</v>
      </c>
      <c r="I678" s="1270" t="s">
        <v>1918</v>
      </c>
      <c r="J678" s="1258">
        <v>10</v>
      </c>
      <c r="K678" s="1258">
        <v>12</v>
      </c>
      <c r="L678" s="1258">
        <v>14</v>
      </c>
      <c r="M678" s="1264">
        <v>16</v>
      </c>
      <c r="N678" s="1258">
        <v>140</v>
      </c>
      <c r="O678" s="1258">
        <v>200</v>
      </c>
      <c r="P678" s="1258">
        <v>280</v>
      </c>
      <c r="Q678" s="1264">
        <v>400</v>
      </c>
      <c r="R678" s="1258">
        <v>15</v>
      </c>
      <c r="S678" s="1258">
        <v>20</v>
      </c>
      <c r="T678" s="1258">
        <v>30</v>
      </c>
      <c r="U678" s="1264">
        <v>40</v>
      </c>
      <c r="V678" s="1260" t="s">
        <v>8150</v>
      </c>
      <c r="W678" s="1260" t="s">
        <v>8151</v>
      </c>
      <c r="X678" s="1260" t="s">
        <v>8152</v>
      </c>
      <c r="Y678" s="1260" t="s">
        <v>8153</v>
      </c>
      <c r="Z678" s="1261" t="s">
        <v>8154</v>
      </c>
    </row>
    <row r="679" spans="2:26" ht="12.75" customHeight="1" x14ac:dyDescent="0.2">
      <c r="B679" s="2465" t="str">
        <f t="shared" si="10"/>
        <v>Vacío84</v>
      </c>
      <c r="C679" s="1262"/>
      <c r="D679" s="1268" t="s">
        <v>1089</v>
      </c>
      <c r="E679" s="1258" t="s">
        <v>271</v>
      </c>
      <c r="F679" s="1258">
        <v>84</v>
      </c>
      <c r="G679" s="1269" t="s">
        <v>2234</v>
      </c>
      <c r="H679" s="1269" t="s">
        <v>1761</v>
      </c>
      <c r="I679" s="1270" t="s">
        <v>1918</v>
      </c>
      <c r="J679" s="1258">
        <v>14</v>
      </c>
      <c r="K679" s="1258">
        <v>16</v>
      </c>
      <c r="L679" s="1258">
        <v>18</v>
      </c>
      <c r="M679" s="1264">
        <v>20</v>
      </c>
      <c r="N679" s="1258">
        <v>250</v>
      </c>
      <c r="O679" s="1258">
        <v>500</v>
      </c>
      <c r="P679" s="1258">
        <v>750</v>
      </c>
      <c r="Q679" s="1264">
        <v>1000</v>
      </c>
      <c r="R679" s="1258" t="s">
        <v>2234</v>
      </c>
      <c r="S679" s="1258" t="s">
        <v>2234</v>
      </c>
      <c r="T679" s="1258" t="s">
        <v>2234</v>
      </c>
      <c r="U679" s="1264" t="s">
        <v>2234</v>
      </c>
      <c r="V679" s="1260" t="s">
        <v>8155</v>
      </c>
      <c r="W679" s="1260" t="s">
        <v>8156</v>
      </c>
      <c r="X679" s="1260" t="s">
        <v>8157</v>
      </c>
      <c r="Y679" s="1260" t="s">
        <v>8158</v>
      </c>
      <c r="Z679" s="1261" t="s">
        <v>8159</v>
      </c>
    </row>
    <row r="680" spans="2:26" ht="12.75" customHeight="1" thickBot="1" x14ac:dyDescent="0.25">
      <c r="B680" s="2465" t="str">
        <f t="shared" si="10"/>
        <v>Vacío94</v>
      </c>
      <c r="C680" s="1273"/>
      <c r="D680" s="1274" t="s">
        <v>8160</v>
      </c>
      <c r="E680" s="1275" t="s">
        <v>271</v>
      </c>
      <c r="F680" s="1275">
        <v>94</v>
      </c>
      <c r="G680" s="1276" t="s">
        <v>2234</v>
      </c>
      <c r="H680" s="1276" t="s">
        <v>1763</v>
      </c>
      <c r="I680" s="1277" t="s">
        <v>1919</v>
      </c>
      <c r="J680" s="1275">
        <v>11</v>
      </c>
      <c r="K680" s="1275">
        <v>13</v>
      </c>
      <c r="L680" s="1275">
        <v>15</v>
      </c>
      <c r="M680" s="1278">
        <v>18</v>
      </c>
      <c r="N680" s="1275">
        <v>300</v>
      </c>
      <c r="O680" s="1275">
        <v>500</v>
      </c>
      <c r="P680" s="1275">
        <v>800</v>
      </c>
      <c r="Q680" s="1278">
        <v>1200</v>
      </c>
      <c r="R680" s="1275">
        <v>30</v>
      </c>
      <c r="S680" s="1275">
        <v>50</v>
      </c>
      <c r="T680" s="1275">
        <v>80</v>
      </c>
      <c r="U680" s="1278">
        <v>120</v>
      </c>
      <c r="V680" s="1279" t="s">
        <v>8161</v>
      </c>
      <c r="W680" s="1279" t="s">
        <v>8162</v>
      </c>
      <c r="X680" s="1279" t="s">
        <v>8163</v>
      </c>
      <c r="Y680" s="1279" t="s">
        <v>8164</v>
      </c>
      <c r="Z680" s="1280" t="s">
        <v>8165</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95">
        <v>1</v>
      </c>
    </row>
    <row r="2" spans="1:27" ht="12.75" customHeight="1" x14ac:dyDescent="0.2">
      <c r="A2" s="696">
        <v>2</v>
      </c>
      <c r="C2" s="4071" t="s">
        <v>3683</v>
      </c>
      <c r="D2" s="4072"/>
      <c r="E2" s="4072"/>
      <c r="F2" s="4072"/>
      <c r="G2" s="4073"/>
      <c r="I2" s="4074" t="s">
        <v>3684</v>
      </c>
      <c r="J2" s="4075"/>
      <c r="L2" s="4948" t="s">
        <v>3685</v>
      </c>
    </row>
    <row r="3" spans="1:27" x14ac:dyDescent="0.2">
      <c r="A3" s="696">
        <v>3</v>
      </c>
      <c r="C3" s="4074"/>
      <c r="D3" s="4075"/>
      <c r="E3" s="4075"/>
      <c r="F3" s="4075"/>
      <c r="G3" s="4076"/>
      <c r="I3" s="4074"/>
      <c r="J3" s="4075"/>
      <c r="L3" s="4949"/>
    </row>
    <row r="4" spans="1:27" ht="13.5" thickBot="1" x14ac:dyDescent="0.25">
      <c r="A4" s="696">
        <v>4</v>
      </c>
      <c r="C4" s="697" t="s">
        <v>3686</v>
      </c>
      <c r="D4" s="2353" t="s">
        <v>3687</v>
      </c>
      <c r="E4" s="2354" t="s">
        <v>3688</v>
      </c>
      <c r="F4" s="2354" t="s">
        <v>3689</v>
      </c>
      <c r="G4" s="2355" t="s">
        <v>2295</v>
      </c>
      <c r="I4" s="698" t="s">
        <v>3690</v>
      </c>
      <c r="J4" s="699" t="s">
        <v>3691</v>
      </c>
      <c r="L4" s="700" t="s">
        <v>2234</v>
      </c>
    </row>
    <row r="5" spans="1:27" ht="13.5" thickTop="1" x14ac:dyDescent="0.2">
      <c r="A5" s="696">
        <v>5</v>
      </c>
      <c r="C5" s="2356" t="s">
        <v>2472</v>
      </c>
      <c r="D5" s="2357" t="s">
        <v>3692</v>
      </c>
      <c r="E5" s="2358" t="s">
        <v>3693</v>
      </c>
      <c r="F5" s="2358" t="s">
        <v>3694</v>
      </c>
      <c r="G5" s="2359" t="s">
        <v>3695</v>
      </c>
      <c r="I5" s="701">
        <v>0</v>
      </c>
      <c r="J5" s="702">
        <v>20</v>
      </c>
      <c r="L5" s="700" t="s">
        <v>3696</v>
      </c>
    </row>
    <row r="6" spans="1:27" ht="13.5" thickBot="1" x14ac:dyDescent="0.25">
      <c r="A6" s="696">
        <v>6</v>
      </c>
      <c r="C6" s="2360" t="s">
        <v>2475</v>
      </c>
      <c r="D6" s="2361" t="s">
        <v>3697</v>
      </c>
      <c r="E6" s="2362" t="s">
        <v>3698</v>
      </c>
      <c r="F6" s="2362" t="s">
        <v>3699</v>
      </c>
      <c r="G6" s="2363" t="s">
        <v>3700</v>
      </c>
      <c r="I6" s="703">
        <v>50</v>
      </c>
      <c r="J6" s="704">
        <v>30</v>
      </c>
      <c r="L6" s="705" t="s">
        <v>3701</v>
      </c>
    </row>
    <row r="7" spans="1:27" x14ac:dyDescent="0.2">
      <c r="A7" s="696">
        <v>7</v>
      </c>
      <c r="C7" s="2364" t="s">
        <v>2479</v>
      </c>
      <c r="D7" s="2365" t="s">
        <v>3702</v>
      </c>
      <c r="E7" s="2362" t="s">
        <v>3703</v>
      </c>
      <c r="F7" s="2362" t="s">
        <v>3704</v>
      </c>
      <c r="G7" s="2363" t="s">
        <v>3705</v>
      </c>
      <c r="I7" s="703">
        <v>100</v>
      </c>
      <c r="J7" s="704">
        <v>40</v>
      </c>
    </row>
    <row r="8" spans="1:27" x14ac:dyDescent="0.2">
      <c r="A8" s="696">
        <v>8</v>
      </c>
      <c r="C8" s="2360" t="s">
        <v>2575</v>
      </c>
      <c r="D8" s="2361" t="s">
        <v>3706</v>
      </c>
      <c r="E8" s="2362" t="s">
        <v>3707</v>
      </c>
      <c r="F8" s="2362" t="s">
        <v>3708</v>
      </c>
      <c r="G8" s="2363" t="s">
        <v>3709</v>
      </c>
      <c r="I8" s="701">
        <v>150</v>
      </c>
      <c r="J8" s="702">
        <v>50</v>
      </c>
    </row>
    <row r="9" spans="1:27" x14ac:dyDescent="0.2">
      <c r="A9" s="696">
        <v>9</v>
      </c>
      <c r="C9" s="2364" t="s">
        <v>2570</v>
      </c>
      <c r="D9" s="2365" t="s">
        <v>3710</v>
      </c>
      <c r="E9" s="2362" t="s">
        <v>3711</v>
      </c>
      <c r="F9" s="2362" t="s">
        <v>3712</v>
      </c>
      <c r="G9" s="2363" t="s">
        <v>3713</v>
      </c>
      <c r="I9" s="703">
        <v>200</v>
      </c>
      <c r="J9" s="704">
        <v>60</v>
      </c>
    </row>
    <row r="10" spans="1:27" x14ac:dyDescent="0.2">
      <c r="A10" s="696">
        <v>10</v>
      </c>
      <c r="C10" s="2360" t="s">
        <v>2571</v>
      </c>
      <c r="D10" s="2361" t="s">
        <v>3714</v>
      </c>
      <c r="E10" s="2362" t="s">
        <v>3715</v>
      </c>
      <c r="F10" s="2362" t="s">
        <v>3716</v>
      </c>
      <c r="G10" s="2363" t="s">
        <v>3717</v>
      </c>
      <c r="I10" s="703">
        <v>250</v>
      </c>
      <c r="J10" s="704">
        <v>70</v>
      </c>
    </row>
    <row r="11" spans="1:27" x14ac:dyDescent="0.2">
      <c r="A11" s="696">
        <v>11</v>
      </c>
      <c r="C11" s="2364" t="s">
        <v>3718</v>
      </c>
      <c r="D11" s="2365" t="s">
        <v>3719</v>
      </c>
      <c r="E11" s="2362" t="s">
        <v>3720</v>
      </c>
      <c r="F11" s="2362" t="s">
        <v>3721</v>
      </c>
      <c r="G11" s="2363" t="s">
        <v>3722</v>
      </c>
      <c r="I11" s="701">
        <v>300</v>
      </c>
      <c r="J11" s="702">
        <v>80</v>
      </c>
    </row>
    <row r="12" spans="1:27" ht="13.5" thickBot="1" x14ac:dyDescent="0.25">
      <c r="A12" s="696">
        <v>12</v>
      </c>
      <c r="C12" s="2366" t="s">
        <v>2582</v>
      </c>
      <c r="D12" s="2367" t="s">
        <v>3723</v>
      </c>
      <c r="E12" s="2368" t="s">
        <v>3724</v>
      </c>
      <c r="F12" s="2368" t="s">
        <v>3725</v>
      </c>
      <c r="G12" s="2352" t="s">
        <v>3726</v>
      </c>
      <c r="I12" s="703">
        <v>350</v>
      </c>
      <c r="J12" s="704">
        <v>90</v>
      </c>
    </row>
    <row r="13" spans="1:27" ht="13.5" thickBot="1" x14ac:dyDescent="0.25">
      <c r="A13" s="696">
        <v>13</v>
      </c>
      <c r="I13" s="706">
        <v>400</v>
      </c>
      <c r="J13" s="707">
        <v>100</v>
      </c>
      <c r="W13" s="708"/>
      <c r="Y13" s="708"/>
    </row>
    <row r="14" spans="1:27" ht="12.75" customHeight="1" thickBot="1" x14ac:dyDescent="0.25">
      <c r="A14" s="696">
        <v>30</v>
      </c>
    </row>
    <row r="15" spans="1:27" ht="12.75" customHeight="1" x14ac:dyDescent="0.2">
      <c r="A15" s="696">
        <v>15</v>
      </c>
      <c r="C15" s="4071" t="s">
        <v>3282</v>
      </c>
      <c r="D15" s="4073"/>
      <c r="F15" s="4071" t="s">
        <v>3727</v>
      </c>
      <c r="G15" s="4072"/>
      <c r="H15" s="4072"/>
      <c r="I15" s="4072"/>
      <c r="J15" s="4072"/>
      <c r="K15" s="4072"/>
      <c r="L15" s="4072"/>
      <c r="M15" s="4072"/>
      <c r="N15" s="4073"/>
      <c r="AA15" s="708"/>
    </row>
    <row r="16" spans="1:27" x14ac:dyDescent="0.2">
      <c r="A16" s="696">
        <v>16</v>
      </c>
      <c r="C16" s="4074"/>
      <c r="D16" s="4076"/>
      <c r="F16" s="4074"/>
      <c r="G16" s="4075"/>
      <c r="H16" s="4075"/>
      <c r="I16" s="4075"/>
      <c r="J16" s="4075"/>
      <c r="K16" s="4075"/>
      <c r="L16" s="4075"/>
      <c r="M16" s="4075"/>
      <c r="N16" s="4076"/>
      <c r="AA16" s="708"/>
    </row>
    <row r="17" spans="1:27" x14ac:dyDescent="0.2">
      <c r="A17" s="696">
        <v>17</v>
      </c>
      <c r="C17" s="712" t="s">
        <v>2295</v>
      </c>
      <c r="D17" s="710" t="s">
        <v>3283</v>
      </c>
      <c r="E17" s="711">
        <v>1</v>
      </c>
      <c r="F17" s="712"/>
      <c r="G17" s="713" t="s">
        <v>2472</v>
      </c>
      <c r="H17" s="714" t="s">
        <v>2475</v>
      </c>
      <c r="I17" s="715" t="s">
        <v>2479</v>
      </c>
      <c r="J17" s="714" t="s">
        <v>2575</v>
      </c>
      <c r="K17" s="715" t="s">
        <v>2570</v>
      </c>
      <c r="L17" s="714" t="s">
        <v>2571</v>
      </c>
      <c r="M17" s="715" t="s">
        <v>3718</v>
      </c>
      <c r="N17" s="716" t="s">
        <v>2582</v>
      </c>
      <c r="AA17" s="708"/>
    </row>
    <row r="18" spans="1:27" x14ac:dyDescent="0.2">
      <c r="A18" s="696">
        <v>18</v>
      </c>
      <c r="C18" s="1953" t="s">
        <v>3728</v>
      </c>
      <c r="D18" s="717">
        <f>COUNTIF(Sheele!$C$33:$J$36,C18)</f>
        <v>0</v>
      </c>
      <c r="E18" s="711">
        <v>2</v>
      </c>
      <c r="F18" s="718" t="s">
        <v>3729</v>
      </c>
      <c r="G18" s="719">
        <v>8</v>
      </c>
      <c r="H18" s="719">
        <v>8</v>
      </c>
      <c r="I18" s="719">
        <v>6</v>
      </c>
      <c r="J18" s="719">
        <v>6</v>
      </c>
      <c r="K18" s="719">
        <v>5</v>
      </c>
      <c r="L18" s="720">
        <v>5</v>
      </c>
      <c r="M18" s="719">
        <v>7</v>
      </c>
      <c r="N18" s="702">
        <v>6</v>
      </c>
      <c r="AA18" s="721"/>
    </row>
    <row r="19" spans="1:27" x14ac:dyDescent="0.2">
      <c r="A19" s="696">
        <v>19</v>
      </c>
      <c r="C19" s="1953" t="s">
        <v>3730</v>
      </c>
      <c r="D19" s="717">
        <f>COUNTIF(Sheele!$C$33:$J$36,C19)</f>
        <v>0</v>
      </c>
      <c r="E19" s="711">
        <v>3</v>
      </c>
      <c r="F19" s="718" t="s">
        <v>3731</v>
      </c>
      <c r="G19" s="719">
        <v>2</v>
      </c>
      <c r="H19" s="719">
        <v>3</v>
      </c>
      <c r="I19" s="719">
        <v>4</v>
      </c>
      <c r="J19" s="719">
        <v>5</v>
      </c>
      <c r="K19" s="719">
        <v>2</v>
      </c>
      <c r="L19" s="720">
        <v>2</v>
      </c>
      <c r="M19" s="719">
        <v>3</v>
      </c>
      <c r="N19" s="702">
        <v>2</v>
      </c>
      <c r="AA19" s="721"/>
    </row>
    <row r="20" spans="1:27" x14ac:dyDescent="0.2">
      <c r="A20" s="696">
        <v>20</v>
      </c>
      <c r="C20" s="1953" t="s">
        <v>3732</v>
      </c>
      <c r="D20" s="717">
        <f>COUNTIF(Sheele!$C$33:$J$36,C20)</f>
        <v>0</v>
      </c>
      <c r="E20" s="711">
        <v>4</v>
      </c>
      <c r="F20" s="718" t="s">
        <v>3733</v>
      </c>
      <c r="G20" s="719">
        <v>8</v>
      </c>
      <c r="H20" s="719">
        <v>6</v>
      </c>
      <c r="I20" s="719">
        <v>5</v>
      </c>
      <c r="J20" s="719">
        <v>6</v>
      </c>
      <c r="K20" s="719">
        <v>6</v>
      </c>
      <c r="L20" s="720">
        <v>6</v>
      </c>
      <c r="M20" s="719">
        <v>6</v>
      </c>
      <c r="N20" s="702">
        <v>8</v>
      </c>
      <c r="AA20" s="721"/>
    </row>
    <row r="21" spans="1:27" x14ac:dyDescent="0.2">
      <c r="A21" s="696">
        <v>21</v>
      </c>
      <c r="C21" s="1953" t="s">
        <v>3734</v>
      </c>
      <c r="D21" s="717">
        <f>COUNTIF(Sheele!$C$33:$J$36,C21)</f>
        <v>0</v>
      </c>
      <c r="E21" s="711">
        <v>5</v>
      </c>
      <c r="F21" s="718" t="s">
        <v>3735</v>
      </c>
      <c r="G21" s="719">
        <v>2</v>
      </c>
      <c r="H21" s="719">
        <v>3</v>
      </c>
      <c r="I21" s="719">
        <v>4</v>
      </c>
      <c r="J21" s="719">
        <v>6</v>
      </c>
      <c r="K21" s="719">
        <v>2</v>
      </c>
      <c r="L21" s="720">
        <v>2</v>
      </c>
      <c r="M21" s="719">
        <v>4</v>
      </c>
      <c r="N21" s="702">
        <v>2</v>
      </c>
      <c r="AA21" s="721"/>
    </row>
    <row r="22" spans="1:27" x14ac:dyDescent="0.2">
      <c r="A22" s="696">
        <v>22</v>
      </c>
      <c r="C22" s="1953" t="s">
        <v>3736</v>
      </c>
      <c r="D22" s="717">
        <f>COUNTIF(Sheele!$C$33:$J$36,C22)</f>
        <v>0</v>
      </c>
      <c r="E22" s="711">
        <v>6</v>
      </c>
      <c r="F22" s="718" t="s">
        <v>3737</v>
      </c>
      <c r="G22" s="719">
        <v>8</v>
      </c>
      <c r="H22" s="719">
        <v>8</v>
      </c>
      <c r="I22" s="719">
        <v>7</v>
      </c>
      <c r="J22" s="719">
        <v>6</v>
      </c>
      <c r="K22" s="719">
        <v>9</v>
      </c>
      <c r="L22" s="720">
        <v>9</v>
      </c>
      <c r="M22" s="719">
        <v>7</v>
      </c>
      <c r="N22" s="702">
        <v>9</v>
      </c>
      <c r="AA22" s="721"/>
    </row>
    <row r="23" spans="1:27" x14ac:dyDescent="0.2">
      <c r="A23" s="696">
        <v>23</v>
      </c>
      <c r="C23" s="1953" t="s">
        <v>3738</v>
      </c>
      <c r="D23" s="717">
        <f>COUNTIF(Sheele!$C$33:$J$36,C23)</f>
        <v>0</v>
      </c>
      <c r="E23" s="711">
        <v>7</v>
      </c>
      <c r="F23" s="718" t="s">
        <v>3739</v>
      </c>
      <c r="G23" s="719">
        <v>6</v>
      </c>
      <c r="H23" s="719">
        <v>6</v>
      </c>
      <c r="I23" s="719">
        <v>5</v>
      </c>
      <c r="J23" s="719">
        <v>6</v>
      </c>
      <c r="K23" s="719">
        <v>7</v>
      </c>
      <c r="L23" s="720">
        <v>7</v>
      </c>
      <c r="M23" s="719">
        <v>8</v>
      </c>
      <c r="N23" s="702">
        <v>10</v>
      </c>
      <c r="AA23" s="721"/>
    </row>
    <row r="24" spans="1:27" x14ac:dyDescent="0.2">
      <c r="A24" s="696">
        <v>24</v>
      </c>
      <c r="C24" s="1953" t="s">
        <v>3740</v>
      </c>
      <c r="D24" s="717">
        <f>COUNTIF(Sheele!$C$33:$J$36,C24)</f>
        <v>0</v>
      </c>
      <c r="E24" s="711">
        <v>8</v>
      </c>
      <c r="F24" s="718" t="s">
        <v>3741</v>
      </c>
      <c r="G24" s="719">
        <v>8</v>
      </c>
      <c r="H24" s="719">
        <v>8</v>
      </c>
      <c r="I24" s="719">
        <v>8</v>
      </c>
      <c r="J24" s="719">
        <v>8</v>
      </c>
      <c r="K24" s="719">
        <v>9</v>
      </c>
      <c r="L24" s="720">
        <v>9</v>
      </c>
      <c r="M24" s="719">
        <v>8</v>
      </c>
      <c r="N24" s="702">
        <v>8</v>
      </c>
      <c r="AA24" s="721"/>
    </row>
    <row r="25" spans="1:27" ht="13.5" thickBot="1" x14ac:dyDescent="0.25">
      <c r="A25" s="696">
        <v>25</v>
      </c>
      <c r="C25" s="1954" t="s">
        <v>3742</v>
      </c>
      <c r="D25" s="722">
        <f>COUNTIF(Sheele!$C$33:$J$36,C25)</f>
        <v>0</v>
      </c>
      <c r="E25" s="711">
        <v>9</v>
      </c>
      <c r="F25" s="723" t="s">
        <v>3743</v>
      </c>
      <c r="G25" s="724">
        <v>6</v>
      </c>
      <c r="H25" s="724">
        <v>6</v>
      </c>
      <c r="I25" s="724">
        <v>5</v>
      </c>
      <c r="J25" s="724">
        <v>6</v>
      </c>
      <c r="K25" s="724">
        <v>8</v>
      </c>
      <c r="L25" s="725">
        <v>8</v>
      </c>
      <c r="M25" s="724">
        <v>6</v>
      </c>
      <c r="N25" s="726">
        <v>7</v>
      </c>
    </row>
    <row r="26" spans="1:27" ht="13.5" thickBot="1" x14ac:dyDescent="0.25">
      <c r="A26" s="696">
        <v>26</v>
      </c>
    </row>
    <row r="27" spans="1:27" ht="15.75" customHeight="1" x14ac:dyDescent="0.2">
      <c r="A27" s="696">
        <v>27</v>
      </c>
      <c r="C27" s="4071" t="s">
        <v>3744</v>
      </c>
      <c r="D27" s="4072"/>
      <c r="E27" s="4072"/>
      <c r="F27" s="4072"/>
      <c r="G27" s="4072"/>
      <c r="H27" s="4072"/>
      <c r="I27" s="4072"/>
      <c r="J27" s="4072"/>
      <c r="K27" s="4073"/>
    </row>
    <row r="28" spans="1:27" ht="12.75" customHeight="1" thickBot="1" x14ac:dyDescent="0.25">
      <c r="A28" s="696">
        <v>28</v>
      </c>
      <c r="C28" s="4950"/>
      <c r="D28" s="4951"/>
      <c r="E28" s="4951"/>
      <c r="F28" s="4951"/>
      <c r="G28" s="4951"/>
      <c r="H28" s="4951"/>
      <c r="I28" s="4951"/>
      <c r="J28" s="4951"/>
      <c r="K28" s="4952"/>
    </row>
    <row r="29" spans="1:27" ht="12.75" customHeight="1" x14ac:dyDescent="0.2">
      <c r="A29" s="696">
        <v>29</v>
      </c>
      <c r="B29" s="1674">
        <v>1</v>
      </c>
      <c r="C29" s="1545" t="s">
        <v>2228</v>
      </c>
      <c r="D29" s="709" t="s">
        <v>2472</v>
      </c>
      <c r="E29" s="727" t="s">
        <v>2475</v>
      </c>
      <c r="F29" s="709" t="s">
        <v>2479</v>
      </c>
      <c r="G29" s="727" t="s">
        <v>2575</v>
      </c>
      <c r="H29" s="709" t="s">
        <v>2570</v>
      </c>
      <c r="I29" s="727" t="s">
        <v>2571</v>
      </c>
      <c r="J29" s="709" t="s">
        <v>3718</v>
      </c>
      <c r="K29" s="728" t="s">
        <v>2582</v>
      </c>
    </row>
    <row r="30" spans="1:27" ht="12.75" customHeight="1" x14ac:dyDescent="0.2">
      <c r="A30" s="696">
        <v>30</v>
      </c>
      <c r="B30" s="1674">
        <v>2</v>
      </c>
      <c r="C30" s="1554" t="s">
        <v>2258</v>
      </c>
      <c r="D30" s="1662">
        <v>60</v>
      </c>
      <c r="E30" s="1662"/>
      <c r="F30" s="1662">
        <v>20</v>
      </c>
      <c r="G30" s="1662"/>
      <c r="H30" s="1662"/>
      <c r="I30" s="1662"/>
      <c r="J30" s="1662"/>
      <c r="K30" s="1663"/>
    </row>
    <row r="31" spans="1:27" x14ac:dyDescent="0.2">
      <c r="A31" s="696">
        <v>31</v>
      </c>
      <c r="B31" s="1674">
        <v>3</v>
      </c>
      <c r="C31" s="1553" t="s">
        <v>2260</v>
      </c>
      <c r="D31" s="1664"/>
      <c r="E31" s="1664"/>
      <c r="F31" s="1664"/>
      <c r="G31" s="1664"/>
      <c r="H31" s="1664"/>
      <c r="I31" s="1664"/>
      <c r="J31" s="1664"/>
      <c r="K31" s="1665"/>
    </row>
    <row r="32" spans="1:27" x14ac:dyDescent="0.2">
      <c r="A32" s="696">
        <v>32</v>
      </c>
      <c r="B32" s="1674">
        <v>4</v>
      </c>
      <c r="C32" s="1552" t="s">
        <v>2263</v>
      </c>
      <c r="D32" s="1666"/>
      <c r="E32" s="1666"/>
      <c r="F32" s="1666"/>
      <c r="G32" s="1666"/>
      <c r="H32" s="1666"/>
      <c r="I32" s="1666"/>
      <c r="J32" s="1666"/>
      <c r="K32" s="1667"/>
    </row>
    <row r="33" spans="1:11" x14ac:dyDescent="0.2">
      <c r="A33" s="696">
        <v>33</v>
      </c>
      <c r="B33" s="1674">
        <v>5</v>
      </c>
      <c r="C33" s="1553" t="s">
        <v>2267</v>
      </c>
      <c r="D33" s="1664"/>
      <c r="E33" s="1664"/>
      <c r="F33" s="1664"/>
      <c r="G33" s="1664"/>
      <c r="H33" s="1664"/>
      <c r="I33" s="1664"/>
      <c r="J33" s="1664"/>
      <c r="K33" s="1665"/>
    </row>
    <row r="34" spans="1:11" x14ac:dyDescent="0.2">
      <c r="A34" s="696">
        <v>34</v>
      </c>
      <c r="B34" s="1674">
        <v>6</v>
      </c>
      <c r="C34" s="1552" t="s">
        <v>2270</v>
      </c>
      <c r="D34" s="1666"/>
      <c r="E34" s="1666"/>
      <c r="F34" s="1666"/>
      <c r="G34" s="1666"/>
      <c r="H34" s="1666"/>
      <c r="I34" s="1666"/>
      <c r="J34" s="1666"/>
      <c r="K34" s="1667"/>
    </row>
    <row r="35" spans="1:11" x14ac:dyDescent="0.2">
      <c r="A35" s="696">
        <v>35</v>
      </c>
      <c r="B35" s="1674">
        <v>7</v>
      </c>
      <c r="C35" s="1553" t="s">
        <v>2273</v>
      </c>
      <c r="D35" s="1664"/>
      <c r="E35" s="1664"/>
      <c r="F35" s="1664"/>
      <c r="G35" s="1664"/>
      <c r="H35" s="1664"/>
      <c r="I35" s="1664"/>
      <c r="J35" s="1664"/>
      <c r="K35" s="1665"/>
    </row>
    <row r="36" spans="1:11" ht="12.75" customHeight="1" x14ac:dyDescent="0.2">
      <c r="A36" s="696">
        <v>36</v>
      </c>
      <c r="B36" s="1674">
        <v>8</v>
      </c>
      <c r="C36" s="1552" t="s">
        <v>8782</v>
      </c>
      <c r="D36" s="1666"/>
      <c r="E36" s="1666"/>
      <c r="F36" s="1666"/>
      <c r="G36" s="1666"/>
      <c r="H36" s="1666"/>
      <c r="I36" s="1666"/>
      <c r="J36" s="1666"/>
      <c r="K36" s="1667"/>
    </row>
    <row r="37" spans="1:11" x14ac:dyDescent="0.2">
      <c r="A37" s="696">
        <v>37</v>
      </c>
      <c r="B37" s="1674">
        <v>9</v>
      </c>
      <c r="C37" s="1556" t="s">
        <v>2277</v>
      </c>
      <c r="D37" s="1670"/>
      <c r="E37" s="1670"/>
      <c r="F37" s="1670"/>
      <c r="G37" s="1670"/>
      <c r="H37" s="1670">
        <v>20</v>
      </c>
      <c r="I37" s="1670"/>
      <c r="J37" s="1670">
        <v>20</v>
      </c>
      <c r="K37" s="1671"/>
    </row>
    <row r="38" spans="1:11" x14ac:dyDescent="0.2">
      <c r="A38" s="696">
        <v>38</v>
      </c>
      <c r="B38" s="1674">
        <v>10</v>
      </c>
      <c r="C38" s="1552" t="s">
        <v>2279</v>
      </c>
      <c r="D38" s="1666"/>
      <c r="E38" s="1666"/>
      <c r="F38" s="1666"/>
      <c r="G38" s="1666"/>
      <c r="H38" s="1666"/>
      <c r="I38" s="1666">
        <v>20</v>
      </c>
      <c r="J38" s="1666"/>
      <c r="K38" s="1667"/>
    </row>
    <row r="39" spans="1:11" x14ac:dyDescent="0.2">
      <c r="A39" s="696">
        <v>39</v>
      </c>
      <c r="B39" s="1674">
        <v>11</v>
      </c>
      <c r="C39" s="1553" t="s">
        <v>2282</v>
      </c>
      <c r="D39" s="1664"/>
      <c r="E39" s="1664"/>
      <c r="F39" s="1664"/>
      <c r="G39" s="1664"/>
      <c r="H39" s="1664"/>
      <c r="I39" s="1664"/>
      <c r="J39" s="1664"/>
      <c r="K39" s="1665"/>
    </row>
    <row r="40" spans="1:11" x14ac:dyDescent="0.2">
      <c r="A40" s="696">
        <v>40</v>
      </c>
      <c r="B40" s="1674">
        <v>12</v>
      </c>
      <c r="C40" s="1552" t="s">
        <v>2284</v>
      </c>
      <c r="D40" s="1666"/>
      <c r="E40" s="1666">
        <v>40</v>
      </c>
      <c r="F40" s="1666"/>
      <c r="G40" s="1666"/>
      <c r="H40" s="1666">
        <v>20</v>
      </c>
      <c r="I40" s="1666"/>
      <c r="J40" s="1666">
        <v>20</v>
      </c>
      <c r="K40" s="1667">
        <v>80</v>
      </c>
    </row>
    <row r="41" spans="1:11" x14ac:dyDescent="0.2">
      <c r="A41" s="696">
        <v>41</v>
      </c>
      <c r="B41" s="1674">
        <v>13</v>
      </c>
      <c r="C41" s="1553" t="s">
        <v>1282</v>
      </c>
      <c r="D41" s="1664"/>
      <c r="E41" s="1664"/>
      <c r="F41" s="1664"/>
      <c r="G41" s="1664"/>
      <c r="H41" s="1664"/>
      <c r="I41" s="1664"/>
      <c r="J41" s="1664"/>
      <c r="K41" s="1665"/>
    </row>
    <row r="42" spans="1:11" x14ac:dyDescent="0.2">
      <c r="A42" s="696">
        <v>42</v>
      </c>
      <c r="B42" s="1674">
        <v>14</v>
      </c>
      <c r="C42" s="1552" t="s">
        <v>1283</v>
      </c>
      <c r="D42" s="1666"/>
      <c r="E42" s="1666"/>
      <c r="F42" s="1666"/>
      <c r="G42" s="1666"/>
      <c r="H42" s="1666"/>
      <c r="I42" s="1666"/>
      <c r="J42" s="1666"/>
      <c r="K42" s="1667"/>
    </row>
    <row r="43" spans="1:11" ht="12.75" customHeight="1" x14ac:dyDescent="0.2">
      <c r="A43" s="696">
        <v>43</v>
      </c>
      <c r="B43" s="1674">
        <v>15</v>
      </c>
      <c r="C43" s="1555" t="s">
        <v>1284</v>
      </c>
      <c r="D43" s="1668"/>
      <c r="E43" s="1668"/>
      <c r="F43" s="1668"/>
      <c r="G43" s="1668"/>
      <c r="H43" s="1668"/>
      <c r="I43" s="1668"/>
      <c r="J43" s="1668"/>
      <c r="K43" s="1669"/>
    </row>
    <row r="44" spans="1:11" ht="15.75" customHeight="1" x14ac:dyDescent="0.2">
      <c r="A44" s="696">
        <v>44</v>
      </c>
      <c r="B44" s="1674">
        <v>16</v>
      </c>
      <c r="C44" s="1554" t="s">
        <v>2286</v>
      </c>
      <c r="D44" s="1662">
        <v>30</v>
      </c>
      <c r="E44" s="1662">
        <v>40</v>
      </c>
      <c r="F44" s="1662">
        <v>40</v>
      </c>
      <c r="G44" s="1662">
        <v>30</v>
      </c>
      <c r="H44" s="1662">
        <v>80</v>
      </c>
      <c r="I44" s="1662">
        <v>60</v>
      </c>
      <c r="J44" s="1662">
        <v>40</v>
      </c>
      <c r="K44" s="1663">
        <v>40</v>
      </c>
    </row>
    <row r="45" spans="1:11" ht="12.75" customHeight="1" x14ac:dyDescent="0.2">
      <c r="A45" s="696">
        <v>45</v>
      </c>
      <c r="B45" s="1674">
        <v>17</v>
      </c>
      <c r="C45" s="1553" t="s">
        <v>2287</v>
      </c>
      <c r="D45" s="1664">
        <v>10</v>
      </c>
      <c r="E45" s="1664">
        <v>20</v>
      </c>
      <c r="F45" s="1664">
        <v>20</v>
      </c>
      <c r="G45" s="1664">
        <v>10</v>
      </c>
      <c r="H45" s="1664">
        <v>60</v>
      </c>
      <c r="I45" s="1664">
        <v>40</v>
      </c>
      <c r="J45" s="1664">
        <v>20</v>
      </c>
      <c r="K45" s="1665">
        <v>20</v>
      </c>
    </row>
    <row r="46" spans="1:11" ht="12.75" customHeight="1" x14ac:dyDescent="0.2">
      <c r="A46" s="696">
        <v>46</v>
      </c>
      <c r="B46" s="1674">
        <v>18</v>
      </c>
      <c r="C46" s="1557" t="s">
        <v>2288</v>
      </c>
      <c r="D46" s="1672"/>
      <c r="E46" s="1672"/>
      <c r="F46" s="1672"/>
      <c r="G46" s="1672">
        <v>10</v>
      </c>
      <c r="H46" s="1672"/>
      <c r="I46" s="1672"/>
      <c r="J46" s="1672"/>
      <c r="K46" s="1673"/>
    </row>
    <row r="47" spans="1:11" ht="12.75" customHeight="1" x14ac:dyDescent="0.2">
      <c r="A47" s="696">
        <v>47</v>
      </c>
      <c r="B47" s="1674">
        <v>19</v>
      </c>
      <c r="C47" s="1556" t="s">
        <v>2290</v>
      </c>
      <c r="D47" s="1670"/>
      <c r="E47" s="1670"/>
      <c r="F47" s="1670"/>
      <c r="G47" s="1670"/>
      <c r="H47" s="1670">
        <v>20</v>
      </c>
      <c r="I47" s="1670"/>
      <c r="J47" s="1670">
        <v>40</v>
      </c>
      <c r="K47" s="1671"/>
    </row>
    <row r="48" spans="1:11" x14ac:dyDescent="0.2">
      <c r="A48" s="696">
        <v>48</v>
      </c>
      <c r="B48" s="1674">
        <v>20</v>
      </c>
      <c r="C48" s="1552" t="s">
        <v>2291</v>
      </c>
      <c r="D48" s="1666"/>
      <c r="E48" s="1666"/>
      <c r="F48" s="1666"/>
      <c r="G48" s="1666">
        <v>80</v>
      </c>
      <c r="H48" s="1666"/>
      <c r="I48" s="1666"/>
      <c r="J48" s="1666"/>
      <c r="K48" s="1667"/>
    </row>
    <row r="49" spans="1:11" ht="16.5" customHeight="1" x14ac:dyDescent="0.2">
      <c r="A49" s="696">
        <v>49</v>
      </c>
      <c r="B49" s="1674">
        <v>21</v>
      </c>
      <c r="C49" s="1553" t="s">
        <v>3679</v>
      </c>
      <c r="D49" s="1664"/>
      <c r="E49" s="1664"/>
      <c r="F49" s="1664"/>
      <c r="G49" s="1664"/>
      <c r="H49" s="1664"/>
      <c r="I49" s="1664"/>
      <c r="J49" s="1664"/>
      <c r="K49" s="1665"/>
    </row>
    <row r="50" spans="1:11" x14ac:dyDescent="0.2">
      <c r="A50" s="696">
        <v>50</v>
      </c>
      <c r="B50" s="1674">
        <v>22</v>
      </c>
      <c r="C50" s="1552" t="s">
        <v>2292</v>
      </c>
      <c r="D50" s="1666"/>
      <c r="E50" s="1666"/>
      <c r="F50" s="1666"/>
      <c r="G50" s="1666"/>
      <c r="H50" s="1666"/>
      <c r="I50" s="1666"/>
      <c r="J50" s="1666">
        <v>80</v>
      </c>
      <c r="K50" s="1667"/>
    </row>
    <row r="51" spans="1:11" x14ac:dyDescent="0.2">
      <c r="A51" s="696">
        <v>51</v>
      </c>
      <c r="B51" s="1674">
        <v>23</v>
      </c>
      <c r="C51" s="1553" t="s">
        <v>2294</v>
      </c>
      <c r="D51" s="1664"/>
      <c r="E51" s="1664"/>
      <c r="F51" s="1664"/>
      <c r="G51" s="1664"/>
      <c r="H51" s="1664"/>
      <c r="I51" s="1664"/>
      <c r="J51" s="1664"/>
      <c r="K51" s="1665"/>
    </row>
    <row r="52" spans="1:11" x14ac:dyDescent="0.2">
      <c r="A52" s="696">
        <v>52</v>
      </c>
      <c r="B52" s="1674">
        <v>24</v>
      </c>
      <c r="C52" s="1552" t="s">
        <v>1285</v>
      </c>
      <c r="D52" s="1666"/>
      <c r="E52" s="1666"/>
      <c r="F52" s="1666"/>
      <c r="G52" s="1666"/>
      <c r="H52" s="1666"/>
      <c r="I52" s="1666"/>
      <c r="J52" s="1666"/>
      <c r="K52" s="1667"/>
    </row>
    <row r="53" spans="1:11" x14ac:dyDescent="0.2">
      <c r="A53" s="696">
        <v>53</v>
      </c>
      <c r="B53" s="1674">
        <v>25</v>
      </c>
      <c r="C53" s="1553" t="s">
        <v>2297</v>
      </c>
      <c r="D53" s="1664"/>
      <c r="E53" s="1664"/>
      <c r="F53" s="1664"/>
      <c r="G53" s="1664"/>
      <c r="H53" s="1664"/>
      <c r="I53" s="1664"/>
      <c r="J53" s="1664">
        <v>20</v>
      </c>
      <c r="K53" s="1665"/>
    </row>
    <row r="54" spans="1:11" x14ac:dyDescent="0.2">
      <c r="A54" s="696">
        <v>54</v>
      </c>
      <c r="B54" s="1674">
        <v>26</v>
      </c>
      <c r="C54" s="1552" t="s">
        <v>2298</v>
      </c>
      <c r="D54" s="1666"/>
      <c r="E54" s="1666"/>
      <c r="F54" s="1666"/>
      <c r="G54" s="1666">
        <v>20</v>
      </c>
      <c r="H54" s="1666"/>
      <c r="I54" s="1666"/>
      <c r="J54" s="1666"/>
      <c r="K54" s="1667"/>
    </row>
    <row r="55" spans="1:11" x14ac:dyDescent="0.2">
      <c r="A55" s="696">
        <v>55</v>
      </c>
      <c r="B55" s="1674">
        <v>27</v>
      </c>
      <c r="C55" s="1553" t="s">
        <v>2299</v>
      </c>
      <c r="D55" s="1664"/>
      <c r="E55" s="1664">
        <v>60</v>
      </c>
      <c r="F55" s="1664"/>
      <c r="G55" s="1664"/>
      <c r="H55" s="1664"/>
      <c r="I55" s="1664"/>
      <c r="J55" s="1664"/>
      <c r="K55" s="1665"/>
    </row>
    <row r="56" spans="1:11" x14ac:dyDescent="0.2">
      <c r="A56" s="696">
        <v>56</v>
      </c>
      <c r="B56" s="1674">
        <v>28</v>
      </c>
      <c r="C56" s="1552" t="s">
        <v>2300</v>
      </c>
      <c r="D56" s="1666"/>
      <c r="E56" s="1666"/>
      <c r="F56" s="1666"/>
      <c r="G56" s="1666"/>
      <c r="H56" s="1666"/>
      <c r="I56" s="1666"/>
      <c r="J56" s="1666"/>
      <c r="K56" s="1667"/>
    </row>
    <row r="57" spans="1:11" x14ac:dyDescent="0.2">
      <c r="A57" s="696">
        <v>57</v>
      </c>
      <c r="B57" s="1674">
        <v>29</v>
      </c>
      <c r="C57" s="1553" t="s">
        <v>2301</v>
      </c>
      <c r="D57" s="1664"/>
      <c r="E57" s="1664"/>
      <c r="F57" s="1664"/>
      <c r="G57" s="1664">
        <v>20</v>
      </c>
      <c r="H57" s="1664"/>
      <c r="I57" s="1664"/>
      <c r="J57" s="1664"/>
      <c r="K57" s="1665"/>
    </row>
    <row r="58" spans="1:11" ht="12.75" customHeight="1" x14ac:dyDescent="0.2">
      <c r="A58" s="696">
        <v>58</v>
      </c>
      <c r="B58" s="1674">
        <v>30</v>
      </c>
      <c r="C58" s="1557" t="s">
        <v>2302</v>
      </c>
      <c r="D58" s="1672">
        <v>80</v>
      </c>
      <c r="E58" s="1672">
        <v>80</v>
      </c>
      <c r="F58" s="1672">
        <v>80</v>
      </c>
      <c r="G58" s="1672">
        <v>60</v>
      </c>
      <c r="H58" s="1672">
        <v>100</v>
      </c>
      <c r="I58" s="1672">
        <v>100</v>
      </c>
      <c r="J58" s="1672">
        <v>80</v>
      </c>
      <c r="K58" s="1673">
        <v>80</v>
      </c>
    </row>
    <row r="59" spans="1:11" x14ac:dyDescent="0.2">
      <c r="A59" s="696">
        <v>59</v>
      </c>
      <c r="B59" s="1674">
        <v>31</v>
      </c>
      <c r="C59" s="1556" t="s">
        <v>2304</v>
      </c>
      <c r="D59" s="1670"/>
      <c r="E59" s="1670">
        <v>40</v>
      </c>
      <c r="F59" s="1670"/>
      <c r="G59" s="1670"/>
      <c r="H59" s="1670"/>
      <c r="I59" s="1670"/>
      <c r="J59" s="1670"/>
      <c r="K59" s="1671"/>
    </row>
    <row r="60" spans="1:11" x14ac:dyDescent="0.2">
      <c r="A60" s="696">
        <v>60</v>
      </c>
      <c r="B60" s="1674">
        <v>32</v>
      </c>
      <c r="C60" s="1552" t="s">
        <v>2305</v>
      </c>
      <c r="D60" s="1666"/>
      <c r="E60" s="1666"/>
      <c r="F60" s="1666">
        <v>20</v>
      </c>
      <c r="G60" s="1666">
        <v>60</v>
      </c>
      <c r="H60" s="1666"/>
      <c r="I60" s="1666"/>
      <c r="J60" s="1666"/>
      <c r="K60" s="1667"/>
    </row>
    <row r="61" spans="1:11" ht="12.75" customHeight="1" x14ac:dyDescent="0.2">
      <c r="A61" s="696">
        <v>61</v>
      </c>
      <c r="B61" s="1674">
        <v>33</v>
      </c>
      <c r="C61" s="1553" t="s">
        <v>2308</v>
      </c>
      <c r="D61" s="1664"/>
      <c r="E61" s="1664"/>
      <c r="F61" s="1664">
        <v>20</v>
      </c>
      <c r="G61" s="1664">
        <v>40</v>
      </c>
      <c r="H61" s="1664"/>
      <c r="I61" s="1664"/>
      <c r="J61" s="1664"/>
      <c r="K61" s="1665"/>
    </row>
    <row r="62" spans="1:11" x14ac:dyDescent="0.2">
      <c r="A62" s="696">
        <v>62</v>
      </c>
      <c r="B62" s="1674">
        <v>34</v>
      </c>
      <c r="C62" s="1554" t="s">
        <v>2312</v>
      </c>
      <c r="D62" s="1662"/>
      <c r="E62" s="1662"/>
      <c r="F62" s="1662"/>
      <c r="G62" s="1662">
        <v>20</v>
      </c>
      <c r="H62" s="1662"/>
      <c r="I62" s="1662"/>
      <c r="J62" s="1662"/>
      <c r="K62" s="1663"/>
    </row>
    <row r="63" spans="1:11" x14ac:dyDescent="0.2">
      <c r="A63" s="696">
        <v>63</v>
      </c>
      <c r="B63" s="1674">
        <v>35</v>
      </c>
      <c r="C63" s="1553" t="s">
        <v>2314</v>
      </c>
      <c r="D63" s="1664"/>
      <c r="E63" s="1664"/>
      <c r="F63" s="1664"/>
      <c r="G63" s="1664"/>
      <c r="H63" s="1664"/>
      <c r="I63" s="1664"/>
      <c r="J63" s="1664"/>
      <c r="K63" s="1665">
        <v>20</v>
      </c>
    </row>
    <row r="64" spans="1:11" x14ac:dyDescent="0.2">
      <c r="A64" s="696">
        <v>64</v>
      </c>
      <c r="B64" s="1674">
        <v>36</v>
      </c>
      <c r="C64" s="1552" t="s">
        <v>2316</v>
      </c>
      <c r="D64" s="1666"/>
      <c r="E64" s="1666"/>
      <c r="F64" s="1666"/>
      <c r="G64" s="1666"/>
      <c r="H64" s="1666"/>
      <c r="I64" s="1666">
        <v>20</v>
      </c>
      <c r="J64" s="1666"/>
      <c r="K64" s="1667">
        <v>20</v>
      </c>
    </row>
    <row r="65" spans="1:11" x14ac:dyDescent="0.2">
      <c r="A65" s="696">
        <v>65</v>
      </c>
      <c r="B65" s="1674">
        <v>37</v>
      </c>
      <c r="C65" s="1553" t="s">
        <v>2318</v>
      </c>
      <c r="D65" s="1664">
        <v>40</v>
      </c>
      <c r="E65" s="1664"/>
      <c r="F65" s="1664"/>
      <c r="G65" s="1664"/>
      <c r="H65" s="1664"/>
      <c r="I65" s="1664">
        <v>60</v>
      </c>
      <c r="J65" s="1664"/>
      <c r="K65" s="1665">
        <v>20</v>
      </c>
    </row>
    <row r="66" spans="1:11" x14ac:dyDescent="0.2">
      <c r="A66" s="696">
        <v>66</v>
      </c>
      <c r="B66" s="1674">
        <v>38</v>
      </c>
      <c r="C66" s="1552" t="s">
        <v>2320</v>
      </c>
      <c r="D66" s="1666"/>
      <c r="E66" s="1666"/>
      <c r="F66" s="1666"/>
      <c r="G66" s="1666"/>
      <c r="H66" s="1666"/>
      <c r="I66" s="1666">
        <v>60</v>
      </c>
      <c r="J66" s="1666"/>
      <c r="K66" s="1667">
        <v>20</v>
      </c>
    </row>
    <row r="67" spans="1:11" x14ac:dyDescent="0.2">
      <c r="A67" s="696">
        <v>67</v>
      </c>
      <c r="B67" s="1674">
        <v>39</v>
      </c>
      <c r="C67" s="1553" t="s">
        <v>2322</v>
      </c>
      <c r="D67" s="1664"/>
      <c r="E67" s="1664"/>
      <c r="F67" s="1664"/>
      <c r="G67" s="1664"/>
      <c r="H67" s="1664"/>
      <c r="I67" s="1664"/>
      <c r="J67" s="1664"/>
      <c r="K67" s="1665"/>
    </row>
    <row r="68" spans="1:11" ht="16.5" customHeight="1" x14ac:dyDescent="0.2">
      <c r="A68" s="696">
        <v>68</v>
      </c>
      <c r="B68" s="1674">
        <v>40</v>
      </c>
      <c r="C68" s="1552" t="s">
        <v>2323</v>
      </c>
      <c r="D68" s="1666"/>
      <c r="E68" s="1666">
        <v>20</v>
      </c>
      <c r="F68" s="1666"/>
      <c r="G68" s="1666"/>
      <c r="H68" s="1666"/>
      <c r="I68" s="1666"/>
      <c r="J68" s="1666">
        <v>80</v>
      </c>
      <c r="K68" s="1667"/>
    </row>
    <row r="69" spans="1:11" x14ac:dyDescent="0.2">
      <c r="A69" s="696">
        <v>69</v>
      </c>
      <c r="B69" s="1674">
        <v>41</v>
      </c>
      <c r="C69" s="1556" t="s">
        <v>2325</v>
      </c>
      <c r="D69" s="1670"/>
      <c r="E69" s="1670"/>
      <c r="F69" s="1670"/>
      <c r="G69" s="1670"/>
      <c r="H69" s="1670">
        <v>20</v>
      </c>
      <c r="I69" s="1670"/>
      <c r="J69" s="1670"/>
      <c r="K69" s="1671"/>
    </row>
    <row r="70" spans="1:11" x14ac:dyDescent="0.2">
      <c r="A70" s="696">
        <v>70</v>
      </c>
      <c r="B70" s="1674">
        <v>42</v>
      </c>
      <c r="C70" s="1552" t="s">
        <v>2326</v>
      </c>
      <c r="D70" s="1666">
        <v>40</v>
      </c>
      <c r="E70" s="1666"/>
      <c r="F70" s="1666"/>
      <c r="G70" s="1666"/>
      <c r="H70" s="1666"/>
      <c r="I70" s="1666"/>
      <c r="J70" s="1666"/>
      <c r="K70" s="1667"/>
    </row>
    <row r="71" spans="1:11" x14ac:dyDescent="0.2">
      <c r="A71" s="696">
        <v>71</v>
      </c>
      <c r="B71" s="1674">
        <v>43</v>
      </c>
      <c r="C71" s="1553" t="s">
        <v>2327</v>
      </c>
      <c r="D71" s="1664"/>
      <c r="E71" s="1664"/>
      <c r="F71" s="1664">
        <v>20</v>
      </c>
      <c r="G71" s="1664">
        <v>20</v>
      </c>
      <c r="H71" s="1664"/>
      <c r="I71" s="1664"/>
      <c r="J71" s="1664"/>
      <c r="K71" s="1665"/>
    </row>
    <row r="72" spans="1:11" x14ac:dyDescent="0.2">
      <c r="A72" s="696">
        <v>72</v>
      </c>
      <c r="B72" s="1674">
        <v>44</v>
      </c>
      <c r="C72" s="1552" t="s">
        <v>1279</v>
      </c>
      <c r="D72" s="1666"/>
      <c r="E72" s="1666"/>
      <c r="F72" s="1666"/>
      <c r="G72" s="1666"/>
      <c r="H72" s="1666"/>
      <c r="I72" s="1666"/>
      <c r="J72" s="1666"/>
      <c r="K72" s="1667"/>
    </row>
    <row r="73" spans="1:11" x14ac:dyDescent="0.2">
      <c r="A73" s="696">
        <v>73</v>
      </c>
      <c r="B73" s="1674">
        <v>45</v>
      </c>
      <c r="C73" s="1553" t="s">
        <v>1280</v>
      </c>
      <c r="D73" s="1664"/>
      <c r="E73" s="1664"/>
      <c r="F73" s="1664"/>
      <c r="G73" s="1664"/>
      <c r="H73" s="1664"/>
      <c r="I73" s="1664"/>
      <c r="J73" s="1664"/>
      <c r="K73" s="1665"/>
    </row>
    <row r="74" spans="1:11" x14ac:dyDescent="0.2">
      <c r="A74" s="696">
        <v>74</v>
      </c>
      <c r="B74" s="1674">
        <v>46</v>
      </c>
      <c r="C74" s="1552" t="s">
        <v>1281</v>
      </c>
      <c r="D74" s="1666"/>
      <c r="E74" s="1666"/>
      <c r="F74" s="1666"/>
      <c r="G74" s="1666"/>
      <c r="H74" s="1666"/>
      <c r="I74" s="1666"/>
      <c r="J74" s="1666"/>
      <c r="K74" s="1667"/>
    </row>
    <row r="75" spans="1:11" x14ac:dyDescent="0.2">
      <c r="A75" s="696">
        <v>75</v>
      </c>
      <c r="B75" s="1674">
        <v>47</v>
      </c>
      <c r="C75" s="1553" t="s">
        <v>2328</v>
      </c>
      <c r="D75" s="1664"/>
      <c r="E75" s="1664"/>
      <c r="F75" s="1664"/>
      <c r="G75" s="1664"/>
      <c r="H75" s="1664">
        <v>20</v>
      </c>
      <c r="I75" s="1664"/>
      <c r="J75" s="1664"/>
      <c r="K75" s="1665"/>
    </row>
    <row r="76" spans="1:11" x14ac:dyDescent="0.2">
      <c r="A76" s="696">
        <v>76</v>
      </c>
      <c r="B76" s="1674">
        <v>48</v>
      </c>
      <c r="C76" s="1552" t="s">
        <v>2331</v>
      </c>
      <c r="D76" s="1666">
        <v>20</v>
      </c>
      <c r="E76" s="1666"/>
      <c r="F76" s="1666"/>
      <c r="G76" s="1666"/>
      <c r="H76" s="1666"/>
      <c r="I76" s="1666">
        <v>20</v>
      </c>
      <c r="J76" s="1666"/>
      <c r="K76" s="1667"/>
    </row>
    <row r="77" spans="1:11" x14ac:dyDescent="0.2">
      <c r="A77" s="696">
        <v>77</v>
      </c>
      <c r="B77" s="1674">
        <v>49</v>
      </c>
      <c r="C77" s="1553" t="s">
        <v>8783</v>
      </c>
      <c r="D77" s="1664"/>
      <c r="E77" s="1664"/>
      <c r="F77" s="1664"/>
      <c r="G77" s="1664"/>
      <c r="H77" s="1664"/>
      <c r="I77" s="1664"/>
      <c r="J77" s="1664"/>
      <c r="K77" s="1665"/>
    </row>
    <row r="78" spans="1:11" x14ac:dyDescent="0.2">
      <c r="A78" s="696">
        <v>78</v>
      </c>
      <c r="B78" s="1674">
        <v>50</v>
      </c>
      <c r="C78" s="1552" t="s">
        <v>8784</v>
      </c>
      <c r="D78" s="1666"/>
      <c r="E78" s="1666"/>
      <c r="F78" s="1666"/>
      <c r="G78" s="1666"/>
      <c r="H78" s="1666"/>
      <c r="I78" s="1666"/>
      <c r="J78" s="1666"/>
      <c r="K78" s="1667"/>
    </row>
    <row r="79" spans="1:11" x14ac:dyDescent="0.2">
      <c r="A79" s="696">
        <v>79</v>
      </c>
      <c r="B79" s="1674">
        <v>51</v>
      </c>
      <c r="C79" s="1553" t="s">
        <v>8785</v>
      </c>
      <c r="D79" s="1664"/>
      <c r="E79" s="1664"/>
      <c r="F79" s="1664"/>
      <c r="G79" s="1664"/>
      <c r="H79" s="1664"/>
      <c r="I79" s="1664"/>
      <c r="J79" s="1664"/>
      <c r="K79" s="1665"/>
    </row>
    <row r="80" spans="1:11" x14ac:dyDescent="0.2">
      <c r="A80" s="696">
        <v>80</v>
      </c>
      <c r="B80" s="1674">
        <v>52</v>
      </c>
      <c r="C80" s="1552" t="s">
        <v>8786</v>
      </c>
      <c r="D80" s="1666"/>
      <c r="E80" s="1666"/>
      <c r="F80" s="1666"/>
      <c r="G80" s="1666"/>
      <c r="H80" s="1666"/>
      <c r="I80" s="1666"/>
      <c r="J80" s="1666"/>
      <c r="K80" s="1667"/>
    </row>
    <row r="81" spans="1:18" x14ac:dyDescent="0.2">
      <c r="A81" s="696">
        <v>81</v>
      </c>
      <c r="B81" s="1674">
        <v>53</v>
      </c>
      <c r="C81" s="1556" t="str">
        <f>IF(PDs!E177="","",PDs!E177)</f>
        <v/>
      </c>
      <c r="D81" s="1670"/>
      <c r="E81" s="1670"/>
      <c r="F81" s="1670"/>
      <c r="G81" s="1670"/>
      <c r="H81" s="1670"/>
      <c r="I81" s="1670"/>
      <c r="J81" s="1670"/>
      <c r="K81" s="1671"/>
    </row>
    <row r="82" spans="1:18" x14ac:dyDescent="0.2">
      <c r="A82" s="696">
        <v>82</v>
      </c>
      <c r="B82" s="1674">
        <v>54</v>
      </c>
      <c r="C82" s="1552" t="str">
        <f>IF(PDs!E178="","",PDs!E178)</f>
        <v/>
      </c>
      <c r="D82" s="1666"/>
      <c r="E82" s="1666"/>
      <c r="F82" s="1666"/>
      <c r="G82" s="1666"/>
      <c r="H82" s="1666"/>
      <c r="I82" s="1666"/>
      <c r="J82" s="1666"/>
      <c r="K82" s="1667"/>
    </row>
    <row r="83" spans="1:18" x14ac:dyDescent="0.2">
      <c r="A83" s="696">
        <v>83</v>
      </c>
      <c r="B83" s="1674">
        <v>55</v>
      </c>
      <c r="C83" s="1553" t="str">
        <f>IF(PDs!E179="","",PDs!E179)</f>
        <v/>
      </c>
      <c r="D83" s="1664"/>
      <c r="E83" s="1664"/>
      <c r="F83" s="1664"/>
      <c r="G83" s="1664"/>
      <c r="H83" s="1664"/>
      <c r="I83" s="1664"/>
      <c r="J83" s="1664"/>
      <c r="K83" s="1665"/>
    </row>
    <row r="84" spans="1:18" x14ac:dyDescent="0.2">
      <c r="A84" s="696">
        <v>84</v>
      </c>
      <c r="B84" s="1674">
        <v>56</v>
      </c>
      <c r="C84" s="1552" t="str">
        <f>IF(PDs!E180="","",PDs!E180)</f>
        <v/>
      </c>
      <c r="D84" s="1666"/>
      <c r="E84" s="1666"/>
      <c r="F84" s="1666"/>
      <c r="G84" s="1666"/>
      <c r="H84" s="1666"/>
      <c r="I84" s="1666"/>
      <c r="J84" s="1666"/>
      <c r="K84" s="1667"/>
    </row>
    <row r="85" spans="1:18" x14ac:dyDescent="0.2">
      <c r="A85" s="696">
        <v>85</v>
      </c>
      <c r="B85" s="1674">
        <v>57</v>
      </c>
      <c r="C85" s="1553" t="str">
        <f>IF(PDs!E181="","",PDs!E181)</f>
        <v/>
      </c>
      <c r="D85" s="1664"/>
      <c r="E85" s="1664"/>
      <c r="F85" s="1664"/>
      <c r="G85" s="1664"/>
      <c r="H85" s="1664"/>
      <c r="I85" s="1664"/>
      <c r="J85" s="1664"/>
      <c r="K85" s="1665"/>
    </row>
    <row r="86" spans="1:18" ht="13.5" thickBot="1" x14ac:dyDescent="0.25">
      <c r="A86" s="696">
        <v>86</v>
      </c>
      <c r="B86" s="1674">
        <v>58</v>
      </c>
      <c r="C86" s="1768" t="str">
        <f>IF(PDs!E182="","",PDs!E182)</f>
        <v/>
      </c>
      <c r="D86" s="1769"/>
      <c r="E86" s="1769"/>
      <c r="F86" s="1769"/>
      <c r="G86" s="1769"/>
      <c r="H86" s="1769"/>
      <c r="I86" s="1769"/>
      <c r="J86" s="1769"/>
      <c r="K86" s="1770"/>
    </row>
    <row r="89" spans="1:18" ht="15.75" x14ac:dyDescent="0.2">
      <c r="C89" s="4954" t="s">
        <v>3745</v>
      </c>
      <c r="D89" s="4955"/>
      <c r="E89" s="4955"/>
      <c r="F89" s="4955"/>
      <c r="G89" s="729" t="s">
        <v>3746</v>
      </c>
      <c r="H89" s="730"/>
      <c r="I89" s="731"/>
      <c r="J89" s="731"/>
      <c r="K89" s="731"/>
      <c r="L89" s="731"/>
      <c r="M89" s="731"/>
      <c r="N89" s="731"/>
      <c r="O89" s="731"/>
      <c r="P89" s="731"/>
      <c r="Q89" s="731"/>
      <c r="R89" s="4942" t="s">
        <v>3747</v>
      </c>
    </row>
    <row r="90" spans="1:18" ht="13.5" thickBot="1" x14ac:dyDescent="0.25">
      <c r="C90" s="4944" t="s">
        <v>3748</v>
      </c>
      <c r="D90" s="4944"/>
      <c r="E90" s="4944"/>
      <c r="F90" s="733" t="s">
        <v>3283</v>
      </c>
      <c r="G90" s="732" t="s">
        <v>3749</v>
      </c>
      <c r="H90" s="733" t="s">
        <v>3750</v>
      </c>
      <c r="I90" s="709"/>
      <c r="J90" s="709"/>
      <c r="K90" s="709"/>
      <c r="L90" s="4945" t="s">
        <v>2407</v>
      </c>
      <c r="M90" s="4945"/>
      <c r="N90" s="4945"/>
      <c r="O90" s="4945"/>
      <c r="P90" s="4945"/>
      <c r="Q90" s="4945"/>
      <c r="R90" s="4943"/>
    </row>
    <row r="91" spans="1:18" x14ac:dyDescent="0.2">
      <c r="B91" s="734">
        <f>H91</f>
        <v>0</v>
      </c>
      <c r="C91" s="2084" t="s">
        <v>3751</v>
      </c>
      <c r="D91" s="2084"/>
      <c r="E91" s="2084"/>
      <c r="F91" s="2085"/>
      <c r="G91" s="2086"/>
      <c r="H91" s="2086"/>
      <c r="I91" s="2086"/>
      <c r="J91" s="2086"/>
      <c r="K91" s="2086"/>
      <c r="L91" s="2087"/>
      <c r="M91" s="2086"/>
      <c r="N91" s="2086"/>
      <c r="O91" s="2086"/>
      <c r="P91" s="2086"/>
      <c r="Q91" s="2086"/>
      <c r="R91" s="2088"/>
    </row>
    <row r="92" spans="1:18" x14ac:dyDescent="0.2">
      <c r="B92" s="738">
        <f t="shared" ref="B92:B155" si="0">H92</f>
        <v>0</v>
      </c>
      <c r="C92" s="735" t="s">
        <v>3752</v>
      </c>
      <c r="D92" s="735"/>
      <c r="E92" s="735"/>
      <c r="F92" s="736">
        <f>COUNTIF(Sheele!$C$20:$F$29,C92)</f>
        <v>0</v>
      </c>
      <c r="G92" s="2068">
        <v>1</v>
      </c>
      <c r="H92" s="2068">
        <f>IF(OR($F92=0,$G92=0),0,MAX($H$91:H91)+1)</f>
        <v>0</v>
      </c>
      <c r="I92" s="2068" t="s">
        <v>2310</v>
      </c>
      <c r="J92" s="2070" t="s">
        <v>2310</v>
      </c>
      <c r="K92" s="2068" t="s">
        <v>2310</v>
      </c>
      <c r="L92" s="4946" t="s">
        <v>3753</v>
      </c>
      <c r="M92" s="4947"/>
      <c r="N92" s="4947"/>
      <c r="O92" s="4947"/>
      <c r="P92" s="4947"/>
      <c r="Q92" s="4947"/>
      <c r="R92" s="2089" t="s">
        <v>2310</v>
      </c>
    </row>
    <row r="93" spans="1:18" x14ac:dyDescent="0.2">
      <c r="B93" s="738">
        <f t="shared" si="0"/>
        <v>0</v>
      </c>
      <c r="C93" s="735" t="s">
        <v>3754</v>
      </c>
      <c r="D93" s="735"/>
      <c r="E93" s="735"/>
      <c r="F93" s="736">
        <f>COUNTIF(Sheele!$C$20:$F$29,C93)</f>
        <v>0</v>
      </c>
      <c r="G93" s="2068">
        <v>1</v>
      </c>
      <c r="H93" s="2068">
        <f>IF(OR($F93=0,$G93=0),0,MAX($H$91:H92)+1)</f>
        <v>0</v>
      </c>
      <c r="I93" s="2068" t="s">
        <v>2310</v>
      </c>
      <c r="J93" s="2068" t="s">
        <v>2310</v>
      </c>
      <c r="K93" s="2068" t="s">
        <v>2310</v>
      </c>
      <c r="L93" s="4946" t="s">
        <v>3755</v>
      </c>
      <c r="M93" s="4947"/>
      <c r="N93" s="4947"/>
      <c r="O93" s="4947"/>
      <c r="P93" s="4947"/>
      <c r="Q93" s="4947"/>
      <c r="R93" s="2089" t="s">
        <v>2310</v>
      </c>
    </row>
    <row r="94" spans="1:18" x14ac:dyDescent="0.2">
      <c r="B94" s="738">
        <f t="shared" si="0"/>
        <v>0</v>
      </c>
      <c r="C94" s="735" t="s">
        <v>3756</v>
      </c>
      <c r="D94" s="735"/>
      <c r="E94" s="735"/>
      <c r="F94" s="736">
        <f>COUNTIF(Sheele!$C$20:$F$29,C94)</f>
        <v>0</v>
      </c>
      <c r="G94" s="2068">
        <v>1</v>
      </c>
      <c r="H94" s="2068">
        <f>IF(OR($F94=0,$G94=0),0,MAX($H$91:H93)+1)</f>
        <v>0</v>
      </c>
      <c r="I94" s="2068" t="s">
        <v>2310</v>
      </c>
      <c r="J94" s="2070" t="s">
        <v>2310</v>
      </c>
      <c r="K94" s="2068" t="s">
        <v>2310</v>
      </c>
      <c r="L94" s="4946" t="s">
        <v>3757</v>
      </c>
      <c r="M94" s="4947"/>
      <c r="N94" s="4947"/>
      <c r="O94" s="4947"/>
      <c r="P94" s="4947"/>
      <c r="Q94" s="4947"/>
      <c r="R94" s="2089" t="s">
        <v>2310</v>
      </c>
    </row>
    <row r="95" spans="1:18" x14ac:dyDescent="0.2">
      <c r="B95" s="738">
        <f t="shared" si="0"/>
        <v>0</v>
      </c>
      <c r="C95" s="735" t="s">
        <v>3758</v>
      </c>
      <c r="D95" s="735"/>
      <c r="E95" s="735"/>
      <c r="F95" s="736">
        <f>COUNTIF(Sheele!$C$20:$F$29,C95)</f>
        <v>0</v>
      </c>
      <c r="G95" s="2068">
        <v>1</v>
      </c>
      <c r="H95" s="2068">
        <f>IF(OR($F95=0,$G95=0),0,MAX($H$91:H94)+1)</f>
        <v>0</v>
      </c>
      <c r="I95" s="2068" t="s">
        <v>2310</v>
      </c>
      <c r="J95" s="2070" t="s">
        <v>2310</v>
      </c>
      <c r="K95" s="2068" t="s">
        <v>2310</v>
      </c>
      <c r="L95" s="4946" t="s">
        <v>3759</v>
      </c>
      <c r="M95" s="4947"/>
      <c r="N95" s="4947"/>
      <c r="O95" s="4947"/>
      <c r="P95" s="4947"/>
      <c r="Q95" s="4947"/>
      <c r="R95" s="2089" t="s">
        <v>2310</v>
      </c>
    </row>
    <row r="96" spans="1:18" x14ac:dyDescent="0.2">
      <c r="B96" s="738">
        <f t="shared" si="0"/>
        <v>0</v>
      </c>
      <c r="C96" s="735" t="s">
        <v>3760</v>
      </c>
      <c r="D96" s="735"/>
      <c r="E96" s="735"/>
      <c r="F96" s="736">
        <f>COUNTIF(Sheele!$C$20:$F$29,C96)</f>
        <v>0</v>
      </c>
      <c r="G96" s="2068">
        <v>1</v>
      </c>
      <c r="H96" s="2068">
        <f>IF(OR($F96=0,$G96=0),0,MAX($H$91:H95)+1)</f>
        <v>0</v>
      </c>
      <c r="I96" s="2068" t="s">
        <v>2310</v>
      </c>
      <c r="J96" s="2068" t="s">
        <v>2310</v>
      </c>
      <c r="K96" s="2068" t="s">
        <v>2310</v>
      </c>
      <c r="L96" s="4953" t="s">
        <v>3761</v>
      </c>
      <c r="M96" s="4947"/>
      <c r="N96" s="4947"/>
      <c r="O96" s="4947"/>
      <c r="P96" s="4947"/>
      <c r="Q96" s="4947"/>
      <c r="R96" s="2089" t="s">
        <v>2310</v>
      </c>
    </row>
    <row r="97" spans="2:18" x14ac:dyDescent="0.2">
      <c r="B97" s="738">
        <f t="shared" si="0"/>
        <v>0</v>
      </c>
      <c r="C97" s="735" t="s">
        <v>3762</v>
      </c>
      <c r="D97" s="735"/>
      <c r="E97" s="735"/>
      <c r="F97" s="736"/>
      <c r="G97" s="2068"/>
      <c r="H97" s="2068"/>
      <c r="I97" s="2068" t="s">
        <v>2310</v>
      </c>
      <c r="J97" s="2070" t="s">
        <v>2310</v>
      </c>
      <c r="K97" s="2068" t="s">
        <v>2310</v>
      </c>
      <c r="L97" s="4946"/>
      <c r="M97" s="4947"/>
      <c r="N97" s="4947"/>
      <c r="O97" s="4947"/>
      <c r="P97" s="4947"/>
      <c r="Q97" s="4947"/>
      <c r="R97" s="2090"/>
    </row>
    <row r="98" spans="2:18" x14ac:dyDescent="0.2">
      <c r="B98" s="738">
        <f t="shared" si="0"/>
        <v>0</v>
      </c>
      <c r="C98" s="735" t="s">
        <v>3763</v>
      </c>
      <c r="D98" s="735"/>
      <c r="E98" s="735"/>
      <c r="F98" s="736">
        <f>COUNTIF(Sheele!$C$20:$F$29,C98)</f>
        <v>0</v>
      </c>
      <c r="G98" s="2068"/>
      <c r="H98" s="2068">
        <f>IF(OR($F98=0,$G98=0),0,MAX($H$91:H97)+1)</f>
        <v>0</v>
      </c>
      <c r="I98" s="2068" t="s">
        <v>2310</v>
      </c>
      <c r="J98" s="2068" t="s">
        <v>2310</v>
      </c>
      <c r="K98" s="2068" t="s">
        <v>2310</v>
      </c>
      <c r="L98" s="4946" t="s">
        <v>3764</v>
      </c>
      <c r="M98" s="4947"/>
      <c r="N98" s="4947"/>
      <c r="O98" s="4947"/>
      <c r="P98" s="4947"/>
      <c r="Q98" s="4947"/>
      <c r="R98" s="2090"/>
    </row>
    <row r="99" spans="2:18" x14ac:dyDescent="0.2">
      <c r="B99" s="738">
        <f t="shared" si="0"/>
        <v>0</v>
      </c>
      <c r="C99" s="735" t="s">
        <v>3765</v>
      </c>
      <c r="D99" s="735"/>
      <c r="E99" s="735"/>
      <c r="F99" s="736">
        <f>COUNTIF(Sheele!$C$20:$F$29,C99)</f>
        <v>0</v>
      </c>
      <c r="G99" s="2068"/>
      <c r="H99" s="2068">
        <f>IF(OR($F99=0,$G99=0),0,MAX($H$91:H98)+1)</f>
        <v>0</v>
      </c>
      <c r="I99" s="2068" t="s">
        <v>2310</v>
      </c>
      <c r="J99" s="2068" t="s">
        <v>2310</v>
      </c>
      <c r="K99" s="2068" t="s">
        <v>2310</v>
      </c>
      <c r="L99" s="4946" t="s">
        <v>3766</v>
      </c>
      <c r="M99" s="4947"/>
      <c r="N99" s="4947"/>
      <c r="O99" s="4947"/>
      <c r="P99" s="4947"/>
      <c r="Q99" s="4947"/>
      <c r="R99" s="2090"/>
    </row>
    <row r="100" spans="2:18" x14ac:dyDescent="0.2">
      <c r="B100" s="738">
        <f t="shared" si="0"/>
        <v>0</v>
      </c>
      <c r="C100" s="735" t="s">
        <v>3767</v>
      </c>
      <c r="D100" s="735"/>
      <c r="E100" s="735"/>
      <c r="F100" s="736">
        <f>COUNTIF(Sheele!$C$20:$F$29,C100)</f>
        <v>0</v>
      </c>
      <c r="G100" s="2068"/>
      <c r="H100" s="2068">
        <f>IF(OR($F100=0,$G100=0),0,MAX($H$91:H99)+1)</f>
        <v>0</v>
      </c>
      <c r="I100" s="2068" t="s">
        <v>2310</v>
      </c>
      <c r="J100" s="2070" t="s">
        <v>2310</v>
      </c>
      <c r="K100" s="2068" t="s">
        <v>2310</v>
      </c>
      <c r="L100" s="4946" t="s">
        <v>3768</v>
      </c>
      <c r="M100" s="4947"/>
      <c r="N100" s="4947"/>
      <c r="O100" s="4947"/>
      <c r="P100" s="4947"/>
      <c r="Q100" s="4947"/>
      <c r="R100" s="2090"/>
    </row>
    <row r="101" spans="2:18" x14ac:dyDescent="0.2">
      <c r="B101" s="738">
        <f t="shared" si="0"/>
        <v>0</v>
      </c>
      <c r="C101" s="735" t="s">
        <v>3769</v>
      </c>
      <c r="D101" s="735"/>
      <c r="E101" s="739"/>
      <c r="F101" s="736">
        <f>COUNTIF(Sheele!$C$20:$F$29,C101)</f>
        <v>0</v>
      </c>
      <c r="G101" s="2068"/>
      <c r="H101" s="2068">
        <f>IF(OR($F101=0,$G101=0),0,MAX($H$91:H100)+1)</f>
        <v>0</v>
      </c>
      <c r="I101" s="2068" t="s">
        <v>2310</v>
      </c>
      <c r="J101" s="2070" t="s">
        <v>2310</v>
      </c>
      <c r="K101" s="2068" t="s">
        <v>2310</v>
      </c>
      <c r="L101" s="4953" t="s">
        <v>3770</v>
      </c>
      <c r="M101" s="4947"/>
      <c r="N101" s="4947"/>
      <c r="O101" s="4947"/>
      <c r="P101" s="4947"/>
      <c r="Q101" s="4947"/>
      <c r="R101" s="2090"/>
    </row>
    <row r="102" spans="2:18" x14ac:dyDescent="0.2">
      <c r="B102" s="738">
        <f t="shared" si="0"/>
        <v>0</v>
      </c>
      <c r="C102" s="735" t="s">
        <v>3771</v>
      </c>
      <c r="D102" s="735"/>
      <c r="E102" s="735"/>
      <c r="F102" s="736"/>
      <c r="G102" s="2068"/>
      <c r="H102" s="2068"/>
      <c r="I102" s="2068" t="s">
        <v>2310</v>
      </c>
      <c r="J102" s="2068" t="s">
        <v>2310</v>
      </c>
      <c r="K102" s="2068" t="s">
        <v>2310</v>
      </c>
      <c r="L102" s="4946"/>
      <c r="M102" s="4947"/>
      <c r="N102" s="4947"/>
      <c r="O102" s="4947"/>
      <c r="P102" s="4947"/>
      <c r="Q102" s="4947"/>
      <c r="R102" s="2090"/>
    </row>
    <row r="103" spans="2:18" x14ac:dyDescent="0.2">
      <c r="B103" s="738">
        <f t="shared" si="0"/>
        <v>0</v>
      </c>
      <c r="C103" s="735" t="s">
        <v>3772</v>
      </c>
      <c r="D103" s="735"/>
      <c r="E103" s="735"/>
      <c r="F103" s="736">
        <f>COUNTIF(Sheele!$C$20:$F$29,C103)</f>
        <v>0</v>
      </c>
      <c r="G103" s="2068"/>
      <c r="H103" s="2068">
        <f>IF(OR($F103=0,$G103=0),0,MAX($H$91:H102)+1)</f>
        <v>0</v>
      </c>
      <c r="I103" s="2068" t="s">
        <v>2310</v>
      </c>
      <c r="J103" s="2070" t="s">
        <v>2310</v>
      </c>
      <c r="K103" s="2068" t="s">
        <v>2310</v>
      </c>
      <c r="L103" s="4953" t="s">
        <v>3773</v>
      </c>
      <c r="M103" s="4947"/>
      <c r="N103" s="4947"/>
      <c r="O103" s="4947"/>
      <c r="P103" s="4947"/>
      <c r="Q103" s="4947"/>
      <c r="R103" s="2089" t="s">
        <v>2310</v>
      </c>
    </row>
    <row r="104" spans="2:18" x14ac:dyDescent="0.2">
      <c r="B104" s="738">
        <f t="shared" si="0"/>
        <v>0</v>
      </c>
      <c r="C104" s="735" t="s">
        <v>3774</v>
      </c>
      <c r="D104" s="735"/>
      <c r="E104" s="735"/>
      <c r="F104" s="736">
        <f>COUNTIF(Sheele!$C$20:$F$29,C104)</f>
        <v>0</v>
      </c>
      <c r="G104" s="2068"/>
      <c r="H104" s="2068">
        <f>IF(OR($F104=0,$G104=0),0,MAX($H$91:H103)+1)</f>
        <v>0</v>
      </c>
      <c r="I104" s="2068" t="s">
        <v>2310</v>
      </c>
      <c r="J104" s="2068" t="s">
        <v>2310</v>
      </c>
      <c r="K104" s="2068" t="s">
        <v>2310</v>
      </c>
      <c r="L104" s="4953" t="s">
        <v>3775</v>
      </c>
      <c r="M104" s="4947"/>
      <c r="N104" s="4947"/>
      <c r="O104" s="4947"/>
      <c r="P104" s="4947"/>
      <c r="Q104" s="4947"/>
      <c r="R104" s="2089" t="s">
        <v>2310</v>
      </c>
    </row>
    <row r="105" spans="2:18" x14ac:dyDescent="0.2">
      <c r="B105" s="738">
        <f t="shared" si="0"/>
        <v>0</v>
      </c>
      <c r="C105" s="735" t="s">
        <v>3776</v>
      </c>
      <c r="D105" s="735"/>
      <c r="E105" s="735"/>
      <c r="F105" s="736">
        <f>COUNTIF(Sheele!$C$20:$F$29,C105)</f>
        <v>0</v>
      </c>
      <c r="G105" s="2068"/>
      <c r="H105" s="2068">
        <f>IF(OR($F105=0,$G105=0),0,MAX($H$91:H104)+1)</f>
        <v>0</v>
      </c>
      <c r="I105" s="2068" t="s">
        <v>2310</v>
      </c>
      <c r="J105" s="2070" t="s">
        <v>2310</v>
      </c>
      <c r="K105" s="2068" t="s">
        <v>2310</v>
      </c>
      <c r="L105" s="4953" t="s">
        <v>3777</v>
      </c>
      <c r="M105" s="4947"/>
      <c r="N105" s="4947"/>
      <c r="O105" s="4947"/>
      <c r="P105" s="4947"/>
      <c r="Q105" s="4947"/>
      <c r="R105" s="2089" t="s">
        <v>2310</v>
      </c>
    </row>
    <row r="106" spans="2:18" x14ac:dyDescent="0.2">
      <c r="B106" s="738">
        <f t="shared" si="0"/>
        <v>0</v>
      </c>
      <c r="C106" s="735" t="s">
        <v>3778</v>
      </c>
      <c r="D106" s="735"/>
      <c r="E106" s="735"/>
      <c r="F106" s="736"/>
      <c r="G106" s="2068"/>
      <c r="H106" s="2068"/>
      <c r="I106" s="2068" t="s">
        <v>2310</v>
      </c>
      <c r="J106" s="2068" t="s">
        <v>2310</v>
      </c>
      <c r="K106" s="2068" t="s">
        <v>2310</v>
      </c>
      <c r="L106" s="4946"/>
      <c r="M106" s="4947"/>
      <c r="N106" s="4947"/>
      <c r="O106" s="4947"/>
      <c r="P106" s="4947"/>
      <c r="Q106" s="4947"/>
      <c r="R106" s="2090"/>
    </row>
    <row r="107" spans="2:18" x14ac:dyDescent="0.2">
      <c r="B107" s="738">
        <f t="shared" si="0"/>
        <v>0</v>
      </c>
      <c r="C107" s="735" t="s">
        <v>3779</v>
      </c>
      <c r="D107" s="735"/>
      <c r="E107" s="735"/>
      <c r="F107" s="736">
        <f>COUNTIF(Sheele!$C$20:$F$29,C107)</f>
        <v>0</v>
      </c>
      <c r="G107" s="2068"/>
      <c r="H107" s="2068">
        <f>IF(OR($F107=0,$G107=0),0,MAX($H$91:H106)+1)</f>
        <v>0</v>
      </c>
      <c r="I107" s="2068" t="s">
        <v>2310</v>
      </c>
      <c r="J107" s="2070" t="s">
        <v>2310</v>
      </c>
      <c r="K107" s="2068" t="s">
        <v>2310</v>
      </c>
      <c r="L107" s="4946" t="s">
        <v>3780</v>
      </c>
      <c r="M107" s="4947"/>
      <c r="N107" s="4947"/>
      <c r="O107" s="4947"/>
      <c r="P107" s="4947"/>
      <c r="Q107" s="4947"/>
      <c r="R107" s="2089" t="s">
        <v>2310</v>
      </c>
    </row>
    <row r="108" spans="2:18" x14ac:dyDescent="0.2">
      <c r="B108" s="738">
        <f t="shared" si="0"/>
        <v>0</v>
      </c>
      <c r="C108" s="735" t="s">
        <v>3781</v>
      </c>
      <c r="D108" s="735"/>
      <c r="E108" s="735"/>
      <c r="F108" s="736">
        <f>COUNTIF(Sheele!$C$20:$F$29,C108)</f>
        <v>0</v>
      </c>
      <c r="G108" s="2068"/>
      <c r="H108" s="2068">
        <f>IF(OR($F108=0,$G108=0),0,MAX($H$91:H107)+1)</f>
        <v>0</v>
      </c>
      <c r="I108" s="2068" t="s">
        <v>2310</v>
      </c>
      <c r="J108" s="2068" t="s">
        <v>2310</v>
      </c>
      <c r="K108" s="2068" t="s">
        <v>2310</v>
      </c>
      <c r="L108" s="4953" t="s">
        <v>3782</v>
      </c>
      <c r="M108" s="4947"/>
      <c r="N108" s="4947"/>
      <c r="O108" s="4947"/>
      <c r="P108" s="4947"/>
      <c r="Q108" s="4947"/>
      <c r="R108" s="2089" t="s">
        <v>2310</v>
      </c>
    </row>
    <row r="109" spans="2:18" ht="13.5" thickBot="1" x14ac:dyDescent="0.25">
      <c r="B109" s="738">
        <f t="shared" si="0"/>
        <v>0</v>
      </c>
      <c r="C109" s="735" t="s">
        <v>3783</v>
      </c>
      <c r="D109" s="735"/>
      <c r="E109" s="735"/>
      <c r="F109" s="736">
        <f>COUNTIF(Sheele!$C$20:$F$29,C109)</f>
        <v>0</v>
      </c>
      <c r="G109" s="2068"/>
      <c r="H109" s="2068">
        <f>IF(OR($F109=0,$G109=0),0,MAX($H$91:H108)+1)</f>
        <v>0</v>
      </c>
      <c r="I109" s="2068" t="s">
        <v>2310</v>
      </c>
      <c r="J109" s="2070" t="s">
        <v>2310</v>
      </c>
      <c r="K109" s="2068" t="s">
        <v>2310</v>
      </c>
      <c r="L109" s="4959" t="s">
        <v>3784</v>
      </c>
      <c r="M109" s="4960"/>
      <c r="N109" s="4960"/>
      <c r="O109" s="4960"/>
      <c r="P109" s="4960"/>
      <c r="Q109" s="4960"/>
      <c r="R109" s="2089" t="s">
        <v>2310</v>
      </c>
    </row>
    <row r="110" spans="2:18" ht="13.5" thickBot="1" x14ac:dyDescent="0.25">
      <c r="B110" s="738">
        <f>G110</f>
        <v>0</v>
      </c>
      <c r="C110" s="4956" t="s">
        <v>3785</v>
      </c>
      <c r="D110" s="4957"/>
      <c r="E110" s="4957"/>
      <c r="F110" s="740" t="s">
        <v>3786</v>
      </c>
      <c r="G110" s="741"/>
      <c r="H110" s="742">
        <f>COUNTIF(H91:H109,"&gt;0")</f>
        <v>0</v>
      </c>
      <c r="I110" s="752"/>
      <c r="J110" s="2091"/>
      <c r="K110" s="2091"/>
      <c r="L110" s="2091"/>
      <c r="M110" s="752"/>
      <c r="N110" s="2091"/>
      <c r="O110" s="2091"/>
      <c r="P110" s="2091"/>
      <c r="Q110" s="752"/>
      <c r="R110" s="2092"/>
    </row>
    <row r="111" spans="2:18" x14ac:dyDescent="0.2">
      <c r="B111" s="738">
        <f t="shared" si="0"/>
        <v>0</v>
      </c>
      <c r="C111" s="2081" t="s">
        <v>3692</v>
      </c>
      <c r="D111" s="743"/>
      <c r="E111" s="743"/>
      <c r="F111" s="744"/>
      <c r="G111" s="745"/>
      <c r="H111" s="746"/>
      <c r="I111" s="747" t="s">
        <v>3787</v>
      </c>
      <c r="J111" s="748" t="s">
        <v>3788</v>
      </c>
      <c r="K111" s="749" t="s">
        <v>2432</v>
      </c>
      <c r="L111" s="4958" t="s">
        <v>2407</v>
      </c>
      <c r="M111" s="4958"/>
      <c r="N111" s="4958"/>
      <c r="O111" s="4958"/>
      <c r="P111" s="4958"/>
      <c r="Q111" s="4958"/>
      <c r="R111" s="2093"/>
    </row>
    <row r="112" spans="2:18" x14ac:dyDescent="0.2">
      <c r="B112" s="738">
        <f t="shared" si="0"/>
        <v>0</v>
      </c>
      <c r="C112" s="750" t="s">
        <v>3789</v>
      </c>
      <c r="D112" s="750"/>
      <c r="E112" s="750"/>
      <c r="F112" s="736">
        <f>COUNTIF(Sheele!$G$20:$J$29,C112)</f>
        <v>0</v>
      </c>
      <c r="G112" s="2068">
        <v>1</v>
      </c>
      <c r="H112" s="2068">
        <f>IF(OR($F112=0,$G112=0),0,MAX($H$111:H111)+1)</f>
        <v>0</v>
      </c>
      <c r="I112" s="2067">
        <v>250</v>
      </c>
      <c r="J112" s="2068">
        <f>50+Sheele!N10</f>
        <v>110</v>
      </c>
      <c r="K112" s="2071">
        <f>Sheele!N21*2</f>
        <v>60</v>
      </c>
      <c r="L112" s="4947" t="s">
        <v>3790</v>
      </c>
      <c r="M112" s="4947"/>
      <c r="N112" s="4947"/>
      <c r="O112" s="4947"/>
      <c r="P112" s="4947"/>
      <c r="Q112" s="4947"/>
      <c r="R112" s="2089" t="s">
        <v>2310</v>
      </c>
    </row>
    <row r="113" spans="2:18" x14ac:dyDescent="0.2">
      <c r="B113" s="738">
        <f t="shared" si="0"/>
        <v>0</v>
      </c>
      <c r="C113" s="750" t="s">
        <v>3791</v>
      </c>
      <c r="D113" s="750"/>
      <c r="E113" s="750"/>
      <c r="F113" s="736">
        <f>COUNTIF(Sheele!$G$20:$J$29,C113)</f>
        <v>0</v>
      </c>
      <c r="G113" s="2068">
        <v>1</v>
      </c>
      <c r="H113" s="2068">
        <f>IF(OR($F113=0,$G113=0),0,MAX($H$111:H112)+1)</f>
        <v>0</v>
      </c>
      <c r="I113" s="2067">
        <v>100</v>
      </c>
      <c r="J113" s="2068">
        <f>Sheele!N10</f>
        <v>60</v>
      </c>
      <c r="K113" s="2071">
        <v>60</v>
      </c>
      <c r="L113" s="4947" t="s">
        <v>3792</v>
      </c>
      <c r="M113" s="4947"/>
      <c r="N113" s="4947"/>
      <c r="O113" s="4947"/>
      <c r="P113" s="4947"/>
      <c r="Q113" s="4947"/>
      <c r="R113" s="2089" t="s">
        <v>2310</v>
      </c>
    </row>
    <row r="114" spans="2:18" x14ac:dyDescent="0.2">
      <c r="B114" s="738">
        <f t="shared" si="0"/>
        <v>0</v>
      </c>
      <c r="C114" s="750" t="s">
        <v>3793</v>
      </c>
      <c r="D114" s="750"/>
      <c r="E114" s="750"/>
      <c r="F114" s="736">
        <f>COUNTIF(Sheele!$G$20:$J$29,C114)</f>
        <v>0</v>
      </c>
      <c r="G114" s="2068">
        <v>1</v>
      </c>
      <c r="H114" s="2068">
        <f>IF(OR($F114=0,$G114=0),0,MAX($H$111:H113)+1)</f>
        <v>0</v>
      </c>
      <c r="I114" s="2067">
        <v>100</v>
      </c>
      <c r="J114" s="2068" t="s">
        <v>2310</v>
      </c>
      <c r="K114" s="2071" t="s">
        <v>2310</v>
      </c>
      <c r="L114" s="4947" t="s">
        <v>3794</v>
      </c>
      <c r="M114" s="4947"/>
      <c r="N114" s="4947"/>
      <c r="O114" s="4947"/>
      <c r="P114" s="4947"/>
      <c r="Q114" s="4947"/>
      <c r="R114" s="2089" t="s">
        <v>2310</v>
      </c>
    </row>
    <row r="115" spans="2:18" x14ac:dyDescent="0.2">
      <c r="B115" s="738">
        <f t="shared" si="0"/>
        <v>0</v>
      </c>
      <c r="C115" s="750" t="s">
        <v>3795</v>
      </c>
      <c r="D115" s="750"/>
      <c r="E115" s="750"/>
      <c r="F115" s="736">
        <f>COUNTIF(Sheele!$G$20:$J$29,C115)</f>
        <v>0</v>
      </c>
      <c r="G115" s="2068">
        <v>1</v>
      </c>
      <c r="H115" s="2068">
        <f>IF(OR($F115=0,$G115=0),0,MAX($H$111:H114)+1)</f>
        <v>0</v>
      </c>
      <c r="I115" s="2067">
        <v>20</v>
      </c>
      <c r="J115" s="2068">
        <f>Sheele!N10</f>
        <v>60</v>
      </c>
      <c r="K115" s="2071" t="str">
        <f>"+"&amp;Sheele!H15</f>
        <v>+10</v>
      </c>
      <c r="L115" s="4947" t="s">
        <v>3796</v>
      </c>
      <c r="M115" s="4947"/>
      <c r="N115" s="4947"/>
      <c r="O115" s="4947"/>
      <c r="P115" s="4947"/>
      <c r="Q115" s="4947"/>
      <c r="R115" s="2089" t="s">
        <v>2310</v>
      </c>
    </row>
    <row r="116" spans="2:18" x14ac:dyDescent="0.2">
      <c r="B116" s="738">
        <f t="shared" si="0"/>
        <v>0</v>
      </c>
      <c r="C116" s="750" t="s">
        <v>294</v>
      </c>
      <c r="D116" s="750"/>
      <c r="E116" s="750"/>
      <c r="F116" s="736">
        <f>COUNTIF(Sheele!$G$20:$J$29,C116)</f>
        <v>0</v>
      </c>
      <c r="G116" s="2068">
        <v>1</v>
      </c>
      <c r="H116" s="2068">
        <f>IF(OR($F116=0,$G116=0),0,MAX($H$111:H115)+1)</f>
        <v>0</v>
      </c>
      <c r="I116" s="2067" t="s">
        <v>2310</v>
      </c>
      <c r="J116" s="2068" t="s">
        <v>2310</v>
      </c>
      <c r="K116" s="2071" t="s">
        <v>2310</v>
      </c>
      <c r="L116" s="4947" t="s">
        <v>3797</v>
      </c>
      <c r="M116" s="4947"/>
      <c r="N116" s="4947"/>
      <c r="O116" s="4947"/>
      <c r="P116" s="4947"/>
      <c r="Q116" s="4947"/>
      <c r="R116" s="2089" t="s">
        <v>2310</v>
      </c>
    </row>
    <row r="117" spans="2:18" x14ac:dyDescent="0.2">
      <c r="B117" s="738">
        <f t="shared" si="0"/>
        <v>0</v>
      </c>
      <c r="C117" s="750" t="s">
        <v>3798</v>
      </c>
      <c r="D117" s="750"/>
      <c r="E117" s="750"/>
      <c r="F117" s="736">
        <f>COUNTIF(Sheele!$G$20:$J$29,C117)</f>
        <v>0</v>
      </c>
      <c r="G117" s="2068"/>
      <c r="H117" s="2068">
        <f>IF(OR($F117=0,$G117=0),0,MAX($H$111:H116)+1)</f>
        <v>0</v>
      </c>
      <c r="I117" s="2067" t="s">
        <v>2310</v>
      </c>
      <c r="J117" s="2068" t="s">
        <v>2310</v>
      </c>
      <c r="K117" s="2071" t="s">
        <v>2310</v>
      </c>
      <c r="L117" s="4947" t="s">
        <v>3799</v>
      </c>
      <c r="M117" s="4947"/>
      <c r="N117" s="4947"/>
      <c r="O117" s="4947"/>
      <c r="P117" s="4947"/>
      <c r="Q117" s="4947"/>
      <c r="R117" s="2089" t="s">
        <v>2310</v>
      </c>
    </row>
    <row r="118" spans="2:18" x14ac:dyDescent="0.2">
      <c r="B118" s="738">
        <f t="shared" si="0"/>
        <v>0</v>
      </c>
      <c r="C118" s="750" t="s">
        <v>3800</v>
      </c>
      <c r="D118" s="750"/>
      <c r="E118" s="750"/>
      <c r="F118" s="736">
        <f>COUNTIF(Sheele!$G$20:$J$29,C118)</f>
        <v>0</v>
      </c>
      <c r="G118" s="2068">
        <v>1</v>
      </c>
      <c r="H118" s="2068">
        <f>IF(OR($F118=0,$G118=0),0,MAX($H$111:H117)+1)</f>
        <v>0</v>
      </c>
      <c r="I118" s="2067" t="s">
        <v>2310</v>
      </c>
      <c r="J118" s="2068" t="s">
        <v>2310</v>
      </c>
      <c r="K118" s="2071" t="str">
        <f>"+"&amp;Sheele!H15</f>
        <v>+10</v>
      </c>
      <c r="L118" s="4961" t="str">
        <f>"+2 FUE al alcance y +"&amp;Sheele!H15&amp;" al daño de proyectiles de quien esté en contacto con ella."</f>
        <v>+2 FUE al alcance y +10 al daño de proyectiles de quien esté en contacto con ella.</v>
      </c>
      <c r="M118" s="4947"/>
      <c r="N118" s="4947"/>
      <c r="O118" s="4947"/>
      <c r="P118" s="4947"/>
      <c r="Q118" s="4947"/>
      <c r="R118" s="2089" t="s">
        <v>2234</v>
      </c>
    </row>
    <row r="119" spans="2:18" x14ac:dyDescent="0.2">
      <c r="B119" s="738">
        <f t="shared" si="0"/>
        <v>0</v>
      </c>
      <c r="C119" s="750" t="s">
        <v>3801</v>
      </c>
      <c r="D119" s="750"/>
      <c r="E119" s="750"/>
      <c r="F119" s="736">
        <f>COUNTIF(Sheele!$G$20:$J$29,C119)</f>
        <v>0</v>
      </c>
      <c r="G119" s="2068"/>
      <c r="H119" s="2068">
        <f>IF(OR($F119=0,$G119=0),0,MAX($H$111:H118)+1)</f>
        <v>0</v>
      </c>
      <c r="I119" s="2067" t="s">
        <v>2310</v>
      </c>
      <c r="J119" s="2068" t="s">
        <v>2310</v>
      </c>
      <c r="K119" s="2071" t="s">
        <v>2310</v>
      </c>
      <c r="L119" s="4961" t="s">
        <v>3802</v>
      </c>
      <c r="M119" s="4947"/>
      <c r="N119" s="4947"/>
      <c r="O119" s="4947"/>
      <c r="P119" s="4947"/>
      <c r="Q119" s="4947"/>
      <c r="R119" s="2089" t="s">
        <v>2310</v>
      </c>
    </row>
    <row r="120" spans="2:18" x14ac:dyDescent="0.2">
      <c r="B120" s="738">
        <f t="shared" si="0"/>
        <v>0</v>
      </c>
      <c r="C120" s="750" t="s">
        <v>3803</v>
      </c>
      <c r="D120" s="750"/>
      <c r="E120" s="750"/>
      <c r="F120" s="736">
        <f>COUNTIF(Sheele!$G$20:$J$29,C120)</f>
        <v>0</v>
      </c>
      <c r="G120" s="2068">
        <v>1</v>
      </c>
      <c r="H120" s="2068">
        <f>IF(OR($F120=0,$G120=0),0,MAX($H$111:H119)+1)</f>
        <v>0</v>
      </c>
      <c r="I120" s="751" t="s">
        <v>3804</v>
      </c>
      <c r="J120" s="2068" t="s">
        <v>2310</v>
      </c>
      <c r="K120" s="2071" t="s">
        <v>2310</v>
      </c>
      <c r="L120" s="4947" t="str">
        <f>"Aquel en contacto RF "&amp;Sheele!N21*2+Sheele!H15&amp;" o daño igual al nivel de fracaso. Inmune a ataques físicos"</f>
        <v>Aquel en contacto RF 70 o daño igual al nivel de fracaso. Inmune a ataques físicos</v>
      </c>
      <c r="M120" s="4947"/>
      <c r="N120" s="4947"/>
      <c r="O120" s="4947"/>
      <c r="P120" s="4947"/>
      <c r="Q120" s="4947"/>
      <c r="R120" s="2089" t="s">
        <v>2310</v>
      </c>
    </row>
    <row r="121" spans="2:18" x14ac:dyDescent="0.2">
      <c r="B121" s="738">
        <f t="shared" si="0"/>
        <v>0</v>
      </c>
      <c r="C121" s="750" t="s">
        <v>3805</v>
      </c>
      <c r="D121" s="750"/>
      <c r="E121" s="750"/>
      <c r="F121" s="736">
        <f>COUNTIF(Sheele!$G$20:$J$29,C121)</f>
        <v>0</v>
      </c>
      <c r="G121" s="2068"/>
      <c r="H121" s="2068">
        <f>IF(OR($F121=0,$G121=0),0,MAX($H$111:H120)+1)</f>
        <v>0</v>
      </c>
      <c r="I121" s="2067" t="s">
        <v>2310</v>
      </c>
      <c r="J121" s="2068" t="s">
        <v>2310</v>
      </c>
      <c r="K121" s="2071" t="s">
        <v>2310</v>
      </c>
      <c r="L121" s="4962" t="s">
        <v>3806</v>
      </c>
      <c r="M121" s="4960"/>
      <c r="N121" s="4960"/>
      <c r="O121" s="4960"/>
      <c r="P121" s="4960"/>
      <c r="Q121" s="4960"/>
      <c r="R121" s="2089" t="s">
        <v>2310</v>
      </c>
    </row>
    <row r="122" spans="2:18" x14ac:dyDescent="0.2">
      <c r="B122" s="738">
        <f t="shared" si="0"/>
        <v>0</v>
      </c>
      <c r="C122" s="2081" t="s">
        <v>3697</v>
      </c>
      <c r="D122" s="752"/>
      <c r="E122" s="752"/>
      <c r="F122" s="744"/>
      <c r="G122" s="749"/>
      <c r="H122" s="748"/>
      <c r="I122" s="753" t="s">
        <v>3787</v>
      </c>
      <c r="J122" s="746" t="s">
        <v>3788</v>
      </c>
      <c r="K122" s="745" t="s">
        <v>2432</v>
      </c>
      <c r="L122" s="4958" t="s">
        <v>2407</v>
      </c>
      <c r="M122" s="4958"/>
      <c r="N122" s="4958"/>
      <c r="O122" s="4958"/>
      <c r="P122" s="4958"/>
      <c r="Q122" s="4958"/>
      <c r="R122" s="2092"/>
    </row>
    <row r="123" spans="2:18" x14ac:dyDescent="0.2">
      <c r="B123" s="738">
        <f t="shared" si="0"/>
        <v>0</v>
      </c>
      <c r="C123" s="750" t="s">
        <v>3807</v>
      </c>
      <c r="D123" s="750"/>
      <c r="E123" s="750"/>
      <c r="F123" s="736">
        <f>COUNTIF(Sheele!$G$20:$J$29,C123)</f>
        <v>0</v>
      </c>
      <c r="G123" s="2068">
        <v>1</v>
      </c>
      <c r="H123" s="2068">
        <f>IF(OR($F123=0,$G123=0),0,MAX($H$111:H122)+1)</f>
        <v>0</v>
      </c>
      <c r="I123" s="2067" t="s">
        <v>3808</v>
      </c>
      <c r="J123" s="2068">
        <f>Sheele!N10</f>
        <v>60</v>
      </c>
      <c r="K123" s="2071">
        <v>50</v>
      </c>
      <c r="L123" s="4947" t="s">
        <v>3809</v>
      </c>
      <c r="M123" s="4947"/>
      <c r="N123" s="4947"/>
      <c r="O123" s="4947"/>
      <c r="P123" s="4947"/>
      <c r="Q123" s="4947"/>
      <c r="R123" s="2089" t="s">
        <v>2310</v>
      </c>
    </row>
    <row r="124" spans="2:18" x14ac:dyDescent="0.2">
      <c r="B124" s="738">
        <f t="shared" si="0"/>
        <v>0</v>
      </c>
      <c r="C124" s="750" t="s">
        <v>3810</v>
      </c>
      <c r="D124" s="750"/>
      <c r="E124" s="750"/>
      <c r="F124" s="736">
        <f>COUNTIF(Sheele!$G$20:$J$29,C124)</f>
        <v>0</v>
      </c>
      <c r="G124" s="2068">
        <v>1</v>
      </c>
      <c r="H124" s="2068">
        <f>IF(OR($F124=0,$G124=0),0,MAX($H$111:H123)+1)</f>
        <v>0</v>
      </c>
      <c r="I124" s="2067" t="s">
        <v>3808</v>
      </c>
      <c r="J124" s="2068">
        <f>Sheele!N10</f>
        <v>60</v>
      </c>
      <c r="K124" s="2071">
        <f>Sheele!N21</f>
        <v>30</v>
      </c>
      <c r="L124" s="4947" t="str">
        <f>"Ataque CON, Área "&amp;Sheele!N21&amp;"m. Aquellos en contacto son inmunes. Impacto FUE "&amp;Sheele!G15</f>
        <v>Ataque CON, Área 30m. Aquellos en contacto son inmunes. Impacto FUE 8</v>
      </c>
      <c r="M124" s="4947"/>
      <c r="N124" s="4947"/>
      <c r="O124" s="4947"/>
      <c r="P124" s="4947"/>
      <c r="Q124" s="4947"/>
      <c r="R124" s="2089" t="s">
        <v>2310</v>
      </c>
    </row>
    <row r="125" spans="2:18" x14ac:dyDescent="0.2">
      <c r="B125" s="738">
        <f t="shared" si="0"/>
        <v>0</v>
      </c>
      <c r="C125" s="750" t="s">
        <v>3811</v>
      </c>
      <c r="D125" s="750"/>
      <c r="E125" s="750"/>
      <c r="F125" s="736">
        <f>COUNTIF(Sheele!$G$20:$J$29,C125)</f>
        <v>0</v>
      </c>
      <c r="G125" s="2068">
        <v>1</v>
      </c>
      <c r="H125" s="2068">
        <f>IF(OR($F125=0,$G125=0),0,MAX($H$111:H124)+1)</f>
        <v>0</v>
      </c>
      <c r="I125" s="2067">
        <v>30</v>
      </c>
      <c r="J125" s="2068" t="s">
        <v>2310</v>
      </c>
      <c r="K125" s="2071" t="s">
        <v>2310</v>
      </c>
      <c r="L125" s="4947" t="s">
        <v>3812</v>
      </c>
      <c r="M125" s="4947"/>
      <c r="N125" s="4947"/>
      <c r="O125" s="4947"/>
      <c r="P125" s="4947"/>
      <c r="Q125" s="4947"/>
      <c r="R125" s="2089" t="s">
        <v>2310</v>
      </c>
    </row>
    <row r="126" spans="2:18" x14ac:dyDescent="0.2">
      <c r="B126" s="738">
        <f t="shared" si="0"/>
        <v>0</v>
      </c>
      <c r="C126" s="750" t="s">
        <v>3813</v>
      </c>
      <c r="D126" s="750"/>
      <c r="E126" s="750"/>
      <c r="F126" s="736">
        <f>COUNTIF(Sheele!$G$20:$J$29,C126)</f>
        <v>0</v>
      </c>
      <c r="G126" s="2068">
        <v>1</v>
      </c>
      <c r="H126" s="2068">
        <f>IF(OR($F126=0,$G126=0),0,MAX($H$111:H125)+1)</f>
        <v>0</v>
      </c>
      <c r="I126" s="2067">
        <v>100</v>
      </c>
      <c r="J126" s="2068" t="s">
        <v>2310</v>
      </c>
      <c r="K126" s="2071" t="s">
        <v>2310</v>
      </c>
      <c r="L126" s="4947" t="str">
        <f>"Ataque automático 50m. RM o RF "&amp;Sheele!N21*2+Sheele!H15&amp;", -5 por cada TA en FRI. Parálisis total si &gt; 40"</f>
        <v>Ataque automático 50m. RM o RF 70, -5 por cada TA en FRI. Parálisis total si &gt; 40</v>
      </c>
      <c r="M126" s="4947"/>
      <c r="N126" s="4947"/>
      <c r="O126" s="4947"/>
      <c r="P126" s="4947"/>
      <c r="Q126" s="4947"/>
      <c r="R126" s="2089" t="s">
        <v>2310</v>
      </c>
    </row>
    <row r="127" spans="2:18" x14ac:dyDescent="0.2">
      <c r="B127" s="738">
        <f t="shared" si="0"/>
        <v>0</v>
      </c>
      <c r="C127" s="750" t="s">
        <v>3814</v>
      </c>
      <c r="D127" s="750"/>
      <c r="E127" s="750"/>
      <c r="F127" s="736">
        <f>COUNTIF(Sheele!$G$20:$J$29,C127)</f>
        <v>0</v>
      </c>
      <c r="G127" s="2068">
        <v>1</v>
      </c>
      <c r="H127" s="2068">
        <f>IF(OR($F127=0,$G127=0),0,MAX($H$111:H126)+1)</f>
        <v>0</v>
      </c>
      <c r="I127" s="2067">
        <v>150</v>
      </c>
      <c r="J127" s="2068">
        <f>Sheele!N10+50</f>
        <v>110</v>
      </c>
      <c r="K127" s="2071" t="s">
        <v>2310</v>
      </c>
      <c r="L127" s="4947" t="s">
        <v>3815</v>
      </c>
      <c r="M127" s="4947"/>
      <c r="N127" s="4947"/>
      <c r="O127" s="4947"/>
      <c r="P127" s="4947"/>
      <c r="Q127" s="4947"/>
      <c r="R127" s="2089" t="s">
        <v>2310</v>
      </c>
    </row>
    <row r="128" spans="2:18" x14ac:dyDescent="0.2">
      <c r="B128" s="738">
        <f t="shared" si="0"/>
        <v>0</v>
      </c>
      <c r="C128" s="750" t="s">
        <v>3816</v>
      </c>
      <c r="D128" s="750"/>
      <c r="E128" s="750"/>
      <c r="F128" s="736">
        <f>COUNTIF(Sheele!$G$20:$J$29,C128)</f>
        <v>0</v>
      </c>
      <c r="G128" s="2068">
        <v>1</v>
      </c>
      <c r="H128" s="2068">
        <f>IF(OR($F128=0,$G128=0),0,MAX($H$111:H127)+1)</f>
        <v>0</v>
      </c>
      <c r="I128" s="2067" t="s">
        <v>2310</v>
      </c>
      <c r="J128" s="2068" t="s">
        <v>2310</v>
      </c>
      <c r="K128" s="2071" t="s">
        <v>2310</v>
      </c>
      <c r="L128" s="4947" t="s">
        <v>3817</v>
      </c>
      <c r="M128" s="4947"/>
      <c r="N128" s="4947"/>
      <c r="O128" s="4947"/>
      <c r="P128" s="4947"/>
      <c r="Q128" s="4947"/>
      <c r="R128" s="2089" t="s">
        <v>2310</v>
      </c>
    </row>
    <row r="129" spans="2:19" x14ac:dyDescent="0.2">
      <c r="B129" s="738">
        <f t="shared" si="0"/>
        <v>0</v>
      </c>
      <c r="C129" s="750" t="s">
        <v>3818</v>
      </c>
      <c r="D129" s="750"/>
      <c r="E129" s="750"/>
      <c r="F129" s="736">
        <f>COUNTIF(Sheele!$G$20:$J$29,C129)</f>
        <v>0</v>
      </c>
      <c r="G129" s="2068">
        <v>1</v>
      </c>
      <c r="H129" s="2068">
        <f>IF(OR($F129=0,$G129=0),0,MAX($H$111:H128)+1)</f>
        <v>0</v>
      </c>
      <c r="I129" s="2067"/>
      <c r="J129" s="2068" t="s">
        <v>2310</v>
      </c>
      <c r="K129" s="2071" t="s">
        <v>2310</v>
      </c>
      <c r="L129" s="4947" t="s">
        <v>3819</v>
      </c>
      <c r="M129" s="4947"/>
      <c r="N129" s="4947"/>
      <c r="O129" s="4947"/>
      <c r="P129" s="4947"/>
      <c r="Q129" s="4947"/>
      <c r="R129" s="2089" t="s">
        <v>2234</v>
      </c>
    </row>
    <row r="130" spans="2:19" x14ac:dyDescent="0.2">
      <c r="B130" s="738">
        <f t="shared" si="0"/>
        <v>0</v>
      </c>
      <c r="C130" s="750" t="s">
        <v>3801</v>
      </c>
      <c r="D130" s="750"/>
      <c r="E130" s="750"/>
      <c r="F130" s="736">
        <f>COUNTIF(Sheele!$G$20:$J$29,C130)</f>
        <v>0</v>
      </c>
      <c r="G130" s="2068"/>
      <c r="H130" s="2068">
        <f>IF(OR($F130=0,$G130=0),0,MAX($H$111:H129)+1)</f>
        <v>0</v>
      </c>
      <c r="I130" s="2067" t="s">
        <v>2310</v>
      </c>
      <c r="J130" s="2068" t="s">
        <v>2310</v>
      </c>
      <c r="K130" s="2071" t="s">
        <v>2310</v>
      </c>
      <c r="L130" s="4961" t="s">
        <v>3802</v>
      </c>
      <c r="M130" s="4947"/>
      <c r="N130" s="4947"/>
      <c r="O130" s="4947"/>
      <c r="P130" s="4947"/>
      <c r="Q130" s="4947"/>
      <c r="R130" s="2089" t="s">
        <v>2310</v>
      </c>
    </row>
    <row r="131" spans="2:19" x14ac:dyDescent="0.2">
      <c r="B131" s="738">
        <f t="shared" si="0"/>
        <v>0</v>
      </c>
      <c r="C131" s="750" t="s">
        <v>3820</v>
      </c>
      <c r="D131" s="750"/>
      <c r="E131" s="750"/>
      <c r="F131" s="736">
        <f>COUNTIF(Sheele!$G$20:$J$29,C131)</f>
        <v>0</v>
      </c>
      <c r="G131" s="2068">
        <v>1</v>
      </c>
      <c r="H131" s="2068">
        <f>IF(OR($F131=0,$G131=0),0,MAX($H$111:H130)+1)</f>
        <v>0</v>
      </c>
      <c r="I131" s="2067">
        <v>10</v>
      </c>
      <c r="J131" s="2068" t="s">
        <v>2310</v>
      </c>
      <c r="K131" s="2071" t="s">
        <v>2310</v>
      </c>
      <c r="L131" s="4947" t="s">
        <v>3821</v>
      </c>
      <c r="M131" s="4947"/>
      <c r="N131" s="4947"/>
      <c r="O131" s="4947"/>
      <c r="P131" s="4947"/>
      <c r="Q131" s="4947"/>
      <c r="R131" s="2089" t="s">
        <v>2310</v>
      </c>
      <c r="S131" s="756"/>
    </row>
    <row r="132" spans="2:19" x14ac:dyDescent="0.2">
      <c r="B132" s="738">
        <f t="shared" si="0"/>
        <v>0</v>
      </c>
      <c r="C132" s="750" t="s">
        <v>2221</v>
      </c>
      <c r="D132" s="750"/>
      <c r="E132" s="750"/>
      <c r="F132" s="736">
        <f>COUNTIF(Sheele!$G$20:$J$29,C132)</f>
        <v>0</v>
      </c>
      <c r="G132" s="2068"/>
      <c r="H132" s="2068">
        <f>IF(OR($F132=0,$G132=0),0,MAX($H$111:H131)+1)</f>
        <v>0</v>
      </c>
      <c r="I132" s="2067" t="s">
        <v>2310</v>
      </c>
      <c r="J132" s="2068" t="s">
        <v>2310</v>
      </c>
      <c r="K132" s="2071" t="s">
        <v>2310</v>
      </c>
      <c r="L132" s="4960" t="s">
        <v>3822</v>
      </c>
      <c r="M132" s="4960"/>
      <c r="N132" s="4960"/>
      <c r="O132" s="4960"/>
      <c r="P132" s="4960"/>
      <c r="Q132" s="4960"/>
      <c r="R132" s="2089" t="s">
        <v>2310</v>
      </c>
      <c r="S132" s="756"/>
    </row>
    <row r="133" spans="2:19" x14ac:dyDescent="0.2">
      <c r="B133" s="738">
        <f t="shared" si="0"/>
        <v>0</v>
      </c>
      <c r="C133" s="2081" t="s">
        <v>3702</v>
      </c>
      <c r="D133" s="752"/>
      <c r="E133" s="752"/>
      <c r="F133" s="744"/>
      <c r="G133" s="749"/>
      <c r="H133" s="748"/>
      <c r="I133" s="753" t="s">
        <v>3787</v>
      </c>
      <c r="J133" s="746" t="s">
        <v>3788</v>
      </c>
      <c r="K133" s="745" t="s">
        <v>2432</v>
      </c>
      <c r="L133" s="4958" t="s">
        <v>2407</v>
      </c>
      <c r="M133" s="4958"/>
      <c r="N133" s="4958"/>
      <c r="O133" s="4958"/>
      <c r="P133" s="4958"/>
      <c r="Q133" s="4958"/>
      <c r="R133" s="2092"/>
      <c r="S133" s="756"/>
    </row>
    <row r="134" spans="2:19" x14ac:dyDescent="0.2">
      <c r="B134" s="738">
        <f t="shared" si="0"/>
        <v>0</v>
      </c>
      <c r="C134" s="750" t="s">
        <v>3823</v>
      </c>
      <c r="D134" s="750"/>
      <c r="E134" s="750"/>
      <c r="F134" s="736">
        <f>COUNTIF(Sheele!$G$20:$J$29,C134)</f>
        <v>0</v>
      </c>
      <c r="G134" s="2068">
        <v>1</v>
      </c>
      <c r="H134" s="2068">
        <f>IF(OR($F134=0,$G134=0),0,MAX($H$111:H133)+1)</f>
        <v>0</v>
      </c>
      <c r="I134" s="2067">
        <v>100</v>
      </c>
      <c r="J134" s="2068">
        <f>Sheele!N10+50</f>
        <v>110</v>
      </c>
      <c r="K134" s="2071">
        <f>Sheele!N21*2</f>
        <v>60</v>
      </c>
      <c r="L134" s="4947" t="s">
        <v>3824</v>
      </c>
      <c r="M134" s="4947"/>
      <c r="N134" s="4947"/>
      <c r="O134" s="4947"/>
      <c r="P134" s="4947"/>
      <c r="Q134" s="4947"/>
      <c r="R134" s="2089" t="s">
        <v>2310</v>
      </c>
      <c r="S134" s="756"/>
    </row>
    <row r="135" spans="2:19" x14ac:dyDescent="0.2">
      <c r="B135" s="738">
        <f t="shared" si="0"/>
        <v>0</v>
      </c>
      <c r="C135" s="750" t="s">
        <v>3825</v>
      </c>
      <c r="D135" s="750"/>
      <c r="E135" s="750"/>
      <c r="F135" s="736">
        <f>COUNTIF(Sheele!$G$20:$J$29,C135)</f>
        <v>0</v>
      </c>
      <c r="G135" s="2068">
        <v>1</v>
      </c>
      <c r="H135" s="2068">
        <f>IF(OR($F135=0,$G135=0),0,MAX($H$111:H134)+1)</f>
        <v>0</v>
      </c>
      <c r="I135" s="2067">
        <v>100</v>
      </c>
      <c r="J135" s="2068" t="s">
        <v>2310</v>
      </c>
      <c r="K135" s="2071" t="s">
        <v>2310</v>
      </c>
      <c r="L135" s="4947" t="s">
        <v>3826</v>
      </c>
      <c r="M135" s="4947"/>
      <c r="N135" s="4947"/>
      <c r="O135" s="4947"/>
      <c r="P135" s="4947"/>
      <c r="Q135" s="4947"/>
      <c r="R135" s="2089" t="s">
        <v>2310</v>
      </c>
      <c r="S135" s="756"/>
    </row>
    <row r="136" spans="2:19" x14ac:dyDescent="0.2">
      <c r="B136" s="738">
        <f t="shared" si="0"/>
        <v>0</v>
      </c>
      <c r="C136" s="750" t="s">
        <v>3827</v>
      </c>
      <c r="D136" s="750"/>
      <c r="E136" s="750"/>
      <c r="F136" s="736">
        <f>COUNTIF(Sheele!$G$20:$J$29,C136)</f>
        <v>0</v>
      </c>
      <c r="G136" s="2068">
        <v>1</v>
      </c>
      <c r="H136" s="2068">
        <f>IF(OR($F136=0,$G136=0),0,MAX($H$111:H135)+1)</f>
        <v>0</v>
      </c>
      <c r="I136" s="2067">
        <v>50</v>
      </c>
      <c r="J136" s="2068" t="s">
        <v>2310</v>
      </c>
      <c r="K136" s="2071" t="s">
        <v>2310</v>
      </c>
      <c r="L136" s="4947" t="s">
        <v>3828</v>
      </c>
      <c r="M136" s="4947"/>
      <c r="N136" s="4947"/>
      <c r="O136" s="4947"/>
      <c r="P136" s="4947"/>
      <c r="Q136" s="4947"/>
      <c r="R136" s="2089" t="s">
        <v>2310</v>
      </c>
      <c r="S136" s="756"/>
    </row>
    <row r="137" spans="2:19" x14ac:dyDescent="0.2">
      <c r="B137" s="738">
        <f t="shared" si="0"/>
        <v>0</v>
      </c>
      <c r="C137" s="750" t="s">
        <v>3829</v>
      </c>
      <c r="D137" s="750"/>
      <c r="E137" s="750"/>
      <c r="F137" s="736">
        <f>COUNTIF(Sheele!$G$20:$J$29,C137)</f>
        <v>0</v>
      </c>
      <c r="G137" s="2068">
        <v>1</v>
      </c>
      <c r="H137" s="2068">
        <f>IF(OR($F137=0,$G137=0),0,MAX($H$111:H136)+1)</f>
        <v>0</v>
      </c>
      <c r="I137" s="2067">
        <v>50</v>
      </c>
      <c r="J137" s="2068">
        <f>Sheele!N10</f>
        <v>60</v>
      </c>
      <c r="K137" s="2071">
        <f>Sheele!N21</f>
        <v>30</v>
      </c>
      <c r="L137" s="4947" t="str">
        <f>"Area CAL "&amp;Sheele!G16&amp;"m. Cada aatque sucesivo dobla el área y +10 daño"</f>
        <v>Area CAL 6m. Cada aatque sucesivo dobla el área y +10 daño</v>
      </c>
      <c r="M137" s="4947"/>
      <c r="N137" s="4947"/>
      <c r="O137" s="4947"/>
      <c r="P137" s="4947"/>
      <c r="Q137" s="4947"/>
      <c r="R137" s="2089" t="s">
        <v>2310</v>
      </c>
      <c r="S137" s="756"/>
    </row>
    <row r="138" spans="2:19" x14ac:dyDescent="0.2">
      <c r="B138" s="738">
        <f t="shared" si="0"/>
        <v>0</v>
      </c>
      <c r="C138" s="750" t="s">
        <v>3830</v>
      </c>
      <c r="D138" s="750"/>
      <c r="E138" s="750"/>
      <c r="F138" s="736">
        <f>COUNTIF(Sheele!$G$20:$J$29,C138)</f>
        <v>0</v>
      </c>
      <c r="G138" s="2068">
        <v>1</v>
      </c>
      <c r="H138" s="2068">
        <f>IF(OR($F138=0,$G138=0),0,MAX($H$111:H137)+1)</f>
        <v>0</v>
      </c>
      <c r="I138" s="2067" t="s">
        <v>2310</v>
      </c>
      <c r="J138" s="2068">
        <f>Sheele!N10</f>
        <v>60</v>
      </c>
      <c r="K138" s="2071" t="s">
        <v>2310</v>
      </c>
      <c r="L138" s="4947" t="str">
        <f>"La Sheele controla el fuego de hasta "&amp;Sheele!G15&amp;" intensidades. Puede atacar con él."</f>
        <v>La Sheele controla el fuego de hasta 8 intensidades. Puede atacar con él.</v>
      </c>
      <c r="M138" s="4947"/>
      <c r="N138" s="4947"/>
      <c r="O138" s="4947"/>
      <c r="P138" s="4947"/>
      <c r="Q138" s="4947"/>
      <c r="R138" s="2089" t="s">
        <v>2310</v>
      </c>
      <c r="S138" s="756"/>
    </row>
    <row r="139" spans="2:19" x14ac:dyDescent="0.2">
      <c r="B139" s="738">
        <f t="shared" si="0"/>
        <v>0</v>
      </c>
      <c r="C139" s="750" t="s">
        <v>3801</v>
      </c>
      <c r="D139" s="750"/>
      <c r="E139" s="750"/>
      <c r="F139" s="736">
        <f>COUNTIF(Sheele!$G$20:$J$29,C139)</f>
        <v>0</v>
      </c>
      <c r="G139" s="2068"/>
      <c r="H139" s="2068">
        <f>IF(OR($F139=0,$G139=0),0,MAX($H$111:H138)+1)</f>
        <v>0</v>
      </c>
      <c r="I139" s="2067" t="s">
        <v>2310</v>
      </c>
      <c r="J139" s="2068" t="s">
        <v>2310</v>
      </c>
      <c r="K139" s="2071" t="s">
        <v>2310</v>
      </c>
      <c r="L139" s="4961" t="s">
        <v>3802</v>
      </c>
      <c r="M139" s="4947"/>
      <c r="N139" s="4947"/>
      <c r="O139" s="4947"/>
      <c r="P139" s="4947"/>
      <c r="Q139" s="4947"/>
      <c r="R139" s="2089" t="s">
        <v>2310</v>
      </c>
      <c r="S139" s="756"/>
    </row>
    <row r="140" spans="2:19" x14ac:dyDescent="0.2">
      <c r="B140" s="738">
        <f t="shared" si="0"/>
        <v>0</v>
      </c>
      <c r="C140" s="750" t="s">
        <v>3831</v>
      </c>
      <c r="D140" s="750"/>
      <c r="E140" s="750"/>
      <c r="F140" s="736">
        <f>COUNTIF(Sheele!$G$20:$J$29,C140)</f>
        <v>0</v>
      </c>
      <c r="G140" s="2068">
        <v>1</v>
      </c>
      <c r="H140" s="2068">
        <f>IF(OR($F140=0,$G140=0),0,MAX($H$111:H139)+1)</f>
        <v>0</v>
      </c>
      <c r="I140" s="2067" t="s">
        <v>2310</v>
      </c>
      <c r="J140" s="2070" t="s">
        <v>2310</v>
      </c>
      <c r="K140" s="2071" t="s">
        <v>2310</v>
      </c>
      <c r="L140" s="4947" t="str">
        <f>"Aquel en contacto puede usar CAL como crítico secundario en sus armas, y éstas tienen +"&amp;Sheele!H15&amp;" daño."</f>
        <v>Aquel en contacto puede usar CAL como crítico secundario en sus armas, y éstas tienen +10 daño.</v>
      </c>
      <c r="M140" s="4947"/>
      <c r="N140" s="4947"/>
      <c r="O140" s="4947"/>
      <c r="P140" s="4947"/>
      <c r="Q140" s="4947"/>
      <c r="R140" s="2089" t="s">
        <v>2234</v>
      </c>
      <c r="S140" s="756"/>
    </row>
    <row r="141" spans="2:19" x14ac:dyDescent="0.2">
      <c r="B141" s="738">
        <f t="shared" si="0"/>
        <v>0</v>
      </c>
      <c r="C141" s="750" t="s">
        <v>3832</v>
      </c>
      <c r="D141" s="750"/>
      <c r="E141" s="750"/>
      <c r="F141" s="736">
        <f>COUNTIF(Sheele!$G$20:$J$29,C141)</f>
        <v>0</v>
      </c>
      <c r="G141" s="2068">
        <v>1</v>
      </c>
      <c r="H141" s="2068">
        <f>IF(OR($F141=0,$G141=0),0,MAX($H$111:H140)+1)</f>
        <v>0</v>
      </c>
      <c r="I141" s="751" t="s">
        <v>3804</v>
      </c>
      <c r="J141" s="2070" t="s">
        <v>2310</v>
      </c>
      <c r="K141" s="2071" t="s">
        <v>2310</v>
      </c>
      <c r="L141" s="4947" t="str">
        <f>"A voluntad, solo vulnerable a energía o frío. En contacto RF "&amp;Sheele!N21*2+Sheele!H15&amp;" o daño = nivel fracaso."</f>
        <v>A voluntad, solo vulnerable a energía o frío. En contacto RF 70 o daño = nivel fracaso.</v>
      </c>
      <c r="M141" s="4947"/>
      <c r="N141" s="4947"/>
      <c r="O141" s="4947"/>
      <c r="P141" s="4947"/>
      <c r="Q141" s="4947"/>
      <c r="R141" s="2089" t="s">
        <v>2310</v>
      </c>
      <c r="S141" s="756"/>
    </row>
    <row r="142" spans="2:19" x14ac:dyDescent="0.2">
      <c r="B142" s="738">
        <f t="shared" si="0"/>
        <v>0</v>
      </c>
      <c r="C142" s="750" t="s">
        <v>3833</v>
      </c>
      <c r="D142" s="750"/>
      <c r="E142" s="750"/>
      <c r="F142" s="736">
        <f>COUNTIF(Sheele!$G$20:$J$29,C142)</f>
        <v>0</v>
      </c>
      <c r="G142" s="2068">
        <v>1</v>
      </c>
      <c r="H142" s="2068">
        <f>IF(OR($F142=0,$G142=0),0,MAX($H$111:H141)+1)</f>
        <v>0</v>
      </c>
      <c r="I142" s="2067" t="s">
        <v>2310</v>
      </c>
      <c r="J142" s="2068" t="s">
        <v>2310</v>
      </c>
      <c r="K142" s="755" t="s">
        <v>3834</v>
      </c>
      <c r="L142" s="4961" t="s">
        <v>3835</v>
      </c>
      <c r="M142" s="4947"/>
      <c r="N142" s="4947"/>
      <c r="O142" s="4947"/>
      <c r="P142" s="4947"/>
      <c r="Q142" s="4947"/>
      <c r="R142" s="2089" t="s">
        <v>2234</v>
      </c>
      <c r="S142" s="756"/>
    </row>
    <row r="143" spans="2:19" x14ac:dyDescent="0.2">
      <c r="B143" s="738">
        <f t="shared" si="0"/>
        <v>0</v>
      </c>
      <c r="C143" s="750" t="s">
        <v>3836</v>
      </c>
      <c r="D143" s="750"/>
      <c r="E143" s="750"/>
      <c r="F143" s="736">
        <f>COUNTIF(Sheele!$G$20:$J$29,C143)</f>
        <v>0</v>
      </c>
      <c r="G143" s="2068"/>
      <c r="H143" s="2068">
        <f>IF(OR($F143=0,$G143=0),0,MAX($H$111:H142)+1)</f>
        <v>0</v>
      </c>
      <c r="I143" s="2067" t="s">
        <v>2310</v>
      </c>
      <c r="J143" s="2070" t="s">
        <v>2310</v>
      </c>
      <c r="K143" s="2071" t="s">
        <v>2310</v>
      </c>
      <c r="L143" s="4962" t="s">
        <v>3837</v>
      </c>
      <c r="M143" s="4960"/>
      <c r="N143" s="4960"/>
      <c r="O143" s="4960"/>
      <c r="P143" s="4960"/>
      <c r="Q143" s="4960"/>
      <c r="R143" s="2089" t="s">
        <v>2310</v>
      </c>
      <c r="S143" s="756"/>
    </row>
    <row r="144" spans="2:19" x14ac:dyDescent="0.2">
      <c r="B144" s="738">
        <f t="shared" si="0"/>
        <v>0</v>
      </c>
      <c r="C144" s="2081" t="s">
        <v>3706</v>
      </c>
      <c r="D144" s="752"/>
      <c r="E144" s="752"/>
      <c r="F144" s="744"/>
      <c r="G144" s="749"/>
      <c r="H144" s="748"/>
      <c r="I144" s="753" t="s">
        <v>3787</v>
      </c>
      <c r="J144" s="746" t="s">
        <v>3788</v>
      </c>
      <c r="K144" s="745" t="s">
        <v>2432</v>
      </c>
      <c r="L144" s="4958" t="s">
        <v>2407</v>
      </c>
      <c r="M144" s="4958"/>
      <c r="N144" s="4958"/>
      <c r="O144" s="4958"/>
      <c r="P144" s="4958"/>
      <c r="Q144" s="4958"/>
      <c r="R144" s="2092"/>
      <c r="S144" s="756"/>
    </row>
    <row r="145" spans="2:19" x14ac:dyDescent="0.2">
      <c r="B145" s="738">
        <f t="shared" si="0"/>
        <v>0</v>
      </c>
      <c r="C145" s="750" t="s">
        <v>3838</v>
      </c>
      <c r="D145" s="750"/>
      <c r="E145" s="750"/>
      <c r="F145" s="736">
        <f>COUNTIF(Sheele!$G$20:$J$29,C145)</f>
        <v>0</v>
      </c>
      <c r="G145" s="2068">
        <v>1</v>
      </c>
      <c r="H145" s="2068">
        <f>IF(OR($F145=0,$G145=0),0,MAX($H$111:H144)+1)</f>
        <v>0</v>
      </c>
      <c r="I145" s="2067">
        <v>150</v>
      </c>
      <c r="J145" s="2068" t="s">
        <v>2310</v>
      </c>
      <c r="K145" s="2071">
        <f>ROUNDUP(Sheele!N21*3/10,1)*10</f>
        <v>90</v>
      </c>
      <c r="L145" s="4947" t="s">
        <v>3839</v>
      </c>
      <c r="M145" s="4947"/>
      <c r="N145" s="4947"/>
      <c r="O145" s="4947"/>
      <c r="P145" s="4947"/>
      <c r="Q145" s="4947"/>
      <c r="R145" s="2089" t="s">
        <v>2310</v>
      </c>
      <c r="S145" s="756"/>
    </row>
    <row r="146" spans="2:19" x14ac:dyDescent="0.2">
      <c r="B146" s="738">
        <f t="shared" si="0"/>
        <v>0</v>
      </c>
      <c r="C146" s="750" t="s">
        <v>3840</v>
      </c>
      <c r="D146" s="750"/>
      <c r="E146" s="750"/>
      <c r="F146" s="736">
        <f>COUNTIF(Sheele!$G$20:$J$29,C146)</f>
        <v>0</v>
      </c>
      <c r="G146" s="2068">
        <v>1</v>
      </c>
      <c r="H146" s="2068">
        <f>IF(OR($F146=0,$G146=0),0,MAX($H$111:H145)+1)</f>
        <v>0</v>
      </c>
      <c r="I146" s="2067">
        <v>150</v>
      </c>
      <c r="J146" s="2068" t="s">
        <v>2310</v>
      </c>
      <c r="K146" s="2071" t="s">
        <v>2310</v>
      </c>
      <c r="L146" s="4947" t="str">
        <f>"Ataque automático  25m. RM "&amp;Sheele!N21*2+Sheele!H15&amp;" o -50 turno y x0.5 movimiento"</f>
        <v>Ataque automático  25m. RM 70 o -50 turno y x0.5 movimiento</v>
      </c>
      <c r="M146" s="4947"/>
      <c r="N146" s="4947"/>
      <c r="O146" s="4947"/>
      <c r="P146" s="4947"/>
      <c r="Q146" s="4947"/>
      <c r="R146" s="2089" t="s">
        <v>2310</v>
      </c>
      <c r="S146" s="756"/>
    </row>
    <row r="147" spans="2:19" x14ac:dyDescent="0.2">
      <c r="B147" s="738">
        <f t="shared" si="0"/>
        <v>0</v>
      </c>
      <c r="C147" s="750" t="s">
        <v>3841</v>
      </c>
      <c r="D147" s="750"/>
      <c r="E147" s="750"/>
      <c r="F147" s="736">
        <f>COUNTIF(Sheele!$G$20:$J$29,C147)</f>
        <v>0</v>
      </c>
      <c r="G147" s="2068">
        <v>1</v>
      </c>
      <c r="H147" s="2068">
        <f>IF(OR($F147=0,$G147=0),0,MAX($H$111:H146)+1)</f>
        <v>0</v>
      </c>
      <c r="I147" s="2067">
        <v>150</v>
      </c>
      <c r="J147" s="2068" t="s">
        <v>2310</v>
      </c>
      <c r="K147" s="755" t="s">
        <v>2310</v>
      </c>
      <c r="L147" s="4947" t="s">
        <v>3842</v>
      </c>
      <c r="M147" s="4947"/>
      <c r="N147" s="4947"/>
      <c r="O147" s="4947"/>
      <c r="P147" s="4947"/>
      <c r="Q147" s="4947"/>
      <c r="R147" s="2089" t="s">
        <v>2310</v>
      </c>
      <c r="S147" s="756"/>
    </row>
    <row r="148" spans="2:19" x14ac:dyDescent="0.2">
      <c r="B148" s="738">
        <f t="shared" si="0"/>
        <v>0</v>
      </c>
      <c r="C148" s="750" t="s">
        <v>3843</v>
      </c>
      <c r="D148" s="750"/>
      <c r="E148" s="750"/>
      <c r="F148" s="736">
        <f>COUNTIF(Sheele!$G$20:$J$29,C148)</f>
        <v>0</v>
      </c>
      <c r="G148" s="2068">
        <v>1</v>
      </c>
      <c r="H148" s="2068">
        <f>IF(OR($F148=0,$G148=0),0,MAX($H$111:H147)+1)</f>
        <v>0</v>
      </c>
      <c r="I148" s="2067">
        <v>80</v>
      </c>
      <c r="J148" s="2068" t="s">
        <v>2310</v>
      </c>
      <c r="K148" s="2071" t="s">
        <v>2310</v>
      </c>
      <c r="L148" s="4947" t="str">
        <f>"Area "&amp;Sheele!N21*2&amp;"m. Construcciones e individuos sobre el suelo control de AGI "&amp;Sheele!E12*2&amp;" o derribados"</f>
        <v>Area 60m. Construcciones e individuos sobre el suelo control de AGI 4 o derribados</v>
      </c>
      <c r="M148" s="4947"/>
      <c r="N148" s="4947"/>
      <c r="O148" s="4947"/>
      <c r="P148" s="4947"/>
      <c r="Q148" s="4947"/>
      <c r="R148" s="2089" t="s">
        <v>2310</v>
      </c>
      <c r="S148" s="756"/>
    </row>
    <row r="149" spans="2:19" x14ac:dyDescent="0.2">
      <c r="B149" s="738">
        <f t="shared" si="0"/>
        <v>0</v>
      </c>
      <c r="C149" s="750" t="s">
        <v>3844</v>
      </c>
      <c r="D149" s="750"/>
      <c r="E149" s="750"/>
      <c r="F149" s="736">
        <f>COUNTIF(Sheele!$G$20:$J$29,C149)</f>
        <v>0</v>
      </c>
      <c r="G149" s="2068"/>
      <c r="H149" s="2068">
        <f>IF(OR($F149=0,$G149=0),0,MAX($H$111:H148)+1)</f>
        <v>0</v>
      </c>
      <c r="I149" s="2067" t="s">
        <v>2310</v>
      </c>
      <c r="J149" s="2068" t="s">
        <v>2310</v>
      </c>
      <c r="K149" s="755" t="s">
        <v>2310</v>
      </c>
      <c r="L149" s="4961" t="s">
        <v>3845</v>
      </c>
      <c r="M149" s="4947"/>
      <c r="N149" s="4947"/>
      <c r="O149" s="4947"/>
      <c r="P149" s="4947"/>
      <c r="Q149" s="4947"/>
      <c r="R149" s="2089" t="s">
        <v>2310</v>
      </c>
      <c r="S149" s="756"/>
    </row>
    <row r="150" spans="2:19" x14ac:dyDescent="0.2">
      <c r="B150" s="738">
        <f t="shared" si="0"/>
        <v>0</v>
      </c>
      <c r="C150" s="750" t="s">
        <v>3846</v>
      </c>
      <c r="D150" s="750"/>
      <c r="E150" s="750"/>
      <c r="F150" s="736">
        <f>COUNTIF(Sheele!$G$20:$J$29,C150)</f>
        <v>0</v>
      </c>
      <c r="G150" s="2068">
        <v>1</v>
      </c>
      <c r="H150" s="2068">
        <f>IF(OR($F150=0,$G150=0),0,MAX($H$111:H149)+1)</f>
        <v>0</v>
      </c>
      <c r="I150" s="2067" t="s">
        <v>2310</v>
      </c>
      <c r="J150" s="2068" t="s">
        <v>2310</v>
      </c>
      <c r="K150" s="2071" t="s">
        <v>2310</v>
      </c>
      <c r="L150" s="4947" t="s">
        <v>3847</v>
      </c>
      <c r="M150" s="4947"/>
      <c r="N150" s="4947"/>
      <c r="O150" s="4947"/>
      <c r="P150" s="4947"/>
      <c r="Q150" s="4947"/>
      <c r="R150" s="2089" t="s">
        <v>2234</v>
      </c>
      <c r="S150" s="756"/>
    </row>
    <row r="151" spans="2:19" x14ac:dyDescent="0.2">
      <c r="B151" s="738">
        <f t="shared" si="0"/>
        <v>0</v>
      </c>
      <c r="C151" s="750" t="s">
        <v>3848</v>
      </c>
      <c r="D151" s="750"/>
      <c r="E151" s="750"/>
      <c r="F151" s="736">
        <f>COUNTIF(Sheele!$G$20:$J$29,C151)</f>
        <v>0</v>
      </c>
      <c r="G151" s="2068">
        <v>1</v>
      </c>
      <c r="H151" s="2068">
        <f>IF(OR($F151=0,$G151=0),0,MAX($H$111:H150)+1)</f>
        <v>0</v>
      </c>
      <c r="I151" s="2067">
        <v>150</v>
      </c>
      <c r="J151" s="2070">
        <f>Sheele!N10+50</f>
        <v>110</v>
      </c>
      <c r="K151" s="2071"/>
      <c r="L151" s="4947" t="str">
        <f>"Ataque 100m. De lograr daño, Control FUE "&amp;Sheele!E12+Sheele!E15+Sheele!E16&amp;" -1 por TA CON. 10 daño/fallo (50 a acumulación)"</f>
        <v>Ataque 100m. De lograr daño, Control FUE 16 -1 por TA CON. 10 daño/fallo (50 a acumulación)</v>
      </c>
      <c r="M151" s="4947"/>
      <c r="N151" s="4947"/>
      <c r="O151" s="4947"/>
      <c r="P151" s="4947"/>
      <c r="Q151" s="4947"/>
      <c r="R151" s="2089" t="s">
        <v>2310</v>
      </c>
      <c r="S151" s="756"/>
    </row>
    <row r="152" spans="2:19" x14ac:dyDescent="0.2">
      <c r="B152" s="738">
        <f t="shared" si="0"/>
        <v>0</v>
      </c>
      <c r="C152" s="750" t="s">
        <v>3801</v>
      </c>
      <c r="D152" s="750"/>
      <c r="E152" s="750"/>
      <c r="F152" s="736">
        <f>COUNTIF(Sheele!$G$20:$J$29,C152)</f>
        <v>0</v>
      </c>
      <c r="G152" s="2068"/>
      <c r="H152" s="2068">
        <f>IF(OR($F152=0,$G152=0),0,MAX($H$111:H151)+1)</f>
        <v>0</v>
      </c>
      <c r="I152" s="2067" t="s">
        <v>2310</v>
      </c>
      <c r="J152" s="2070" t="s">
        <v>2310</v>
      </c>
      <c r="K152" s="2071" t="s">
        <v>2310</v>
      </c>
      <c r="L152" s="4961" t="s">
        <v>3802</v>
      </c>
      <c r="M152" s="4947"/>
      <c r="N152" s="4947"/>
      <c r="O152" s="4947"/>
      <c r="P152" s="4947"/>
      <c r="Q152" s="4947"/>
      <c r="R152" s="2089" t="s">
        <v>2310</v>
      </c>
      <c r="S152" s="756"/>
    </row>
    <row r="153" spans="2:19" x14ac:dyDescent="0.2">
      <c r="B153" s="738">
        <f t="shared" si="0"/>
        <v>0</v>
      </c>
      <c r="C153" s="750" t="s">
        <v>3849</v>
      </c>
      <c r="D153" s="750"/>
      <c r="E153" s="750"/>
      <c r="F153" s="736">
        <f>COUNTIF(Sheele!$G$20:$J$29,C153)</f>
        <v>0</v>
      </c>
      <c r="G153" s="2068">
        <v>1</v>
      </c>
      <c r="H153" s="2068">
        <f>IF(OR($F153=0,$G153=0),0,MAX($H$111:H152)+1)</f>
        <v>0</v>
      </c>
      <c r="I153" s="2067" t="s">
        <v>2310</v>
      </c>
      <c r="J153" s="2068" t="s">
        <v>2310</v>
      </c>
      <c r="K153" s="2071" t="s">
        <v>2310</v>
      </c>
      <c r="L153" s="4947" t="str">
        <f>"Movimiento subterráneo de Tipo "&amp;Sheele!L31</f>
        <v>Movimiento subterráneo de Tipo 8</v>
      </c>
      <c r="M153" s="4947"/>
      <c r="N153" s="4947"/>
      <c r="O153" s="4947"/>
      <c r="P153" s="4947"/>
      <c r="Q153" s="4947"/>
      <c r="R153" s="2089" t="s">
        <v>2310</v>
      </c>
      <c r="S153" s="756"/>
    </row>
    <row r="154" spans="2:19" x14ac:dyDescent="0.2">
      <c r="B154" s="738">
        <f t="shared" si="0"/>
        <v>0</v>
      </c>
      <c r="C154" s="750" t="s">
        <v>3850</v>
      </c>
      <c r="D154" s="750"/>
      <c r="E154" s="750"/>
      <c r="F154" s="736">
        <f>COUNTIF(Sheele!$G$20:$J$29,C154)</f>
        <v>0</v>
      </c>
      <c r="G154" s="2068">
        <v>1</v>
      </c>
      <c r="H154" s="2068">
        <f>IF(OR($F154=0,$G154=0),0,MAX($H$111:H153)+1)</f>
        <v>0</v>
      </c>
      <c r="I154" s="2067" t="s">
        <v>2310</v>
      </c>
      <c r="J154" s="2068" t="s">
        <v>2310</v>
      </c>
      <c r="K154" s="2071" t="s">
        <v>2310</v>
      </c>
      <c r="L154" s="4960" t="s">
        <v>3851</v>
      </c>
      <c r="M154" s="4960"/>
      <c r="N154" s="4960"/>
      <c r="O154" s="4960"/>
      <c r="P154" s="4960"/>
      <c r="Q154" s="4960"/>
      <c r="R154" s="2089" t="s">
        <v>2234</v>
      </c>
      <c r="S154" s="756"/>
    </row>
    <row r="155" spans="2:19" x14ac:dyDescent="0.2">
      <c r="B155" s="738">
        <f t="shared" si="0"/>
        <v>0</v>
      </c>
      <c r="C155" s="2081" t="s">
        <v>3710</v>
      </c>
      <c r="D155" s="752"/>
      <c r="E155" s="752"/>
      <c r="F155" s="744"/>
      <c r="G155" s="749"/>
      <c r="H155" s="748"/>
      <c r="I155" s="753" t="s">
        <v>3787</v>
      </c>
      <c r="J155" s="746" t="s">
        <v>3788</v>
      </c>
      <c r="K155" s="745" t="s">
        <v>2432</v>
      </c>
      <c r="L155" s="4958" t="s">
        <v>2407</v>
      </c>
      <c r="M155" s="4958"/>
      <c r="N155" s="4958"/>
      <c r="O155" s="4958"/>
      <c r="P155" s="4958"/>
      <c r="Q155" s="4958"/>
      <c r="R155" s="2092"/>
    </row>
    <row r="156" spans="2:19" ht="15.75" customHeight="1" x14ac:dyDescent="0.2">
      <c r="B156" s="738">
        <f t="shared" ref="B156:B199" si="1">H156</f>
        <v>0</v>
      </c>
      <c r="C156" s="750" t="s">
        <v>3852</v>
      </c>
      <c r="D156" s="750"/>
      <c r="E156" s="750"/>
      <c r="F156" s="736">
        <f>COUNTIF(Sheele!$G$20:$J$29,C156)</f>
        <v>0</v>
      </c>
      <c r="G156" s="2068">
        <v>1</v>
      </c>
      <c r="H156" s="2068">
        <f>IF(OR($F156=0,$G156=0),0,MAX($H$111:H155)+1)</f>
        <v>0</v>
      </c>
      <c r="I156" s="2067">
        <v>250</v>
      </c>
      <c r="J156" s="2068">
        <f>Sheele!N10</f>
        <v>60</v>
      </c>
      <c r="K156" s="2071">
        <v>40</v>
      </c>
      <c r="L156" s="4947" t="str">
        <f>"Crea "&amp;Sheele!G15&amp;" proyectiles durante máximo "&amp;Sheele!G16&amp;" asaltos. Máximo "&amp;ROUNDDOWN(Sheele!G11/2,0)&amp;" ataques/ turno. Ataca en ENE."</f>
        <v>Crea 8 proyectiles durante máximo 6 asaltos. Máximo 4 ataques/ turno. Ataca en ENE.</v>
      </c>
      <c r="M156" s="4947"/>
      <c r="N156" s="4947"/>
      <c r="O156" s="4947"/>
      <c r="P156" s="4947"/>
      <c r="Q156" s="4947"/>
      <c r="R156" s="2089" t="s">
        <v>2310</v>
      </c>
    </row>
    <row r="157" spans="2:19" ht="12.75" customHeight="1" x14ac:dyDescent="0.2">
      <c r="B157" s="738">
        <f t="shared" si="1"/>
        <v>0</v>
      </c>
      <c r="C157" s="750" t="s">
        <v>3853</v>
      </c>
      <c r="D157" s="750"/>
      <c r="E157" s="750"/>
      <c r="F157" s="736">
        <f>COUNTIF(Sheele!$G$20:$J$29,C157)</f>
        <v>0</v>
      </c>
      <c r="G157" s="2068">
        <v>1</v>
      </c>
      <c r="H157" s="2068">
        <f>IF(OR($F157=0,$G157=0),0,MAX($H$111:H156)+1)</f>
        <v>0</v>
      </c>
      <c r="I157" s="2067">
        <v>250</v>
      </c>
      <c r="J157" s="2068" t="str">
        <f>Sheele!N10&amp;"+"</f>
        <v>60+</v>
      </c>
      <c r="K157" s="2071">
        <f>Sheele!N21</f>
        <v>30</v>
      </c>
      <c r="L157" s="4947" t="str">
        <f>"Ataque ENE. +15 Proy cada asalto que lo prepare, máximo "&amp;Sheele!G15&amp;" asaltos."</f>
        <v>Ataque ENE. +15 Proy cada asalto que lo prepare, máximo 8 asaltos.</v>
      </c>
      <c r="M157" s="4947"/>
      <c r="N157" s="4947"/>
      <c r="O157" s="4947"/>
      <c r="P157" s="4947"/>
      <c r="Q157" s="4947"/>
      <c r="R157" s="2089" t="s">
        <v>2310</v>
      </c>
    </row>
    <row r="158" spans="2:19" x14ac:dyDescent="0.2">
      <c r="B158" s="738">
        <f t="shared" si="1"/>
        <v>0</v>
      </c>
      <c r="C158" s="750" t="s">
        <v>470</v>
      </c>
      <c r="D158" s="750"/>
      <c r="E158" s="750"/>
      <c r="F158" s="736">
        <f>COUNTIF(Sheele!$G$20:$J$29,C158)</f>
        <v>0</v>
      </c>
      <c r="G158" s="2068">
        <v>1</v>
      </c>
      <c r="H158" s="2068">
        <f>IF(OR($F158=0,$G158=0),0,MAX($H$111:H157)+1)</f>
        <v>0</v>
      </c>
      <c r="I158" s="2067">
        <v>250</v>
      </c>
      <c r="J158" s="2070" t="s">
        <v>2310</v>
      </c>
      <c r="K158" s="2071" t="s">
        <v>2310</v>
      </c>
      <c r="L158" s="4947" t="str">
        <f>"5 asaltos. +"&amp;Sheele!H15*2&amp;" a toda acción y al ACT transferible. Después, -50 ata (10/ asalto)"</f>
        <v>5 asaltos. +20 a toda acción y al ACT transferible. Después, -50 ata (10/ asalto)</v>
      </c>
      <c r="M158" s="4947"/>
      <c r="N158" s="4947"/>
      <c r="O158" s="4947"/>
      <c r="P158" s="4947"/>
      <c r="Q158" s="4947"/>
      <c r="R158" s="2089" t="s">
        <v>2310</v>
      </c>
    </row>
    <row r="159" spans="2:19" x14ac:dyDescent="0.2">
      <c r="B159" s="738">
        <f t="shared" si="1"/>
        <v>0</v>
      </c>
      <c r="C159" s="750" t="s">
        <v>3854</v>
      </c>
      <c r="D159" s="750"/>
      <c r="E159" s="750"/>
      <c r="F159" s="736">
        <f>COUNTIF(Sheele!$G$20:$J$29,C159)</f>
        <v>0</v>
      </c>
      <c r="G159" s="2068">
        <v>1</v>
      </c>
      <c r="H159" s="2068">
        <f>IF(OR($F159=0,$G159=0),0,MAX($H$111:H158)+1)</f>
        <v>0</v>
      </c>
      <c r="I159" s="2067">
        <v>10</v>
      </c>
      <c r="J159" s="2068" t="s">
        <v>2310</v>
      </c>
      <c r="K159" s="2071" t="s">
        <v>2310</v>
      </c>
      <c r="L159" s="4947" t="str">
        <f>"Cura "&amp;Sheele!N21&amp;" PV o elimina penalizadores por el mismo valor. 1 uso/ persona/ día."</f>
        <v>Cura 30 PV o elimina penalizadores por el mismo valor. 1 uso/ persona/ día.</v>
      </c>
      <c r="M159" s="4947"/>
      <c r="N159" s="4947"/>
      <c r="O159" s="4947"/>
      <c r="P159" s="4947"/>
      <c r="Q159" s="4947"/>
      <c r="R159" s="2089" t="s">
        <v>2310</v>
      </c>
    </row>
    <row r="160" spans="2:19" x14ac:dyDescent="0.2">
      <c r="B160" s="738">
        <f t="shared" si="1"/>
        <v>0</v>
      </c>
      <c r="C160" s="750" t="s">
        <v>3855</v>
      </c>
      <c r="D160" s="750"/>
      <c r="E160" s="750"/>
      <c r="F160" s="736">
        <f>COUNTIF(Sheele!$G$20:$J$29,C160)</f>
        <v>0</v>
      </c>
      <c r="G160" s="2068">
        <v>1</v>
      </c>
      <c r="H160" s="2068">
        <f>IF(OR($F160=0,$G160=0),0,MAX($H$111:H159)+1)</f>
        <v>0</v>
      </c>
      <c r="I160" s="2067" t="s">
        <v>2310</v>
      </c>
      <c r="J160" s="2070" t="s">
        <v>2310</v>
      </c>
      <c r="K160" s="2071" t="s">
        <v>2310</v>
      </c>
      <c r="L160" s="4947" t="s">
        <v>3856</v>
      </c>
      <c r="M160" s="4947"/>
      <c r="N160" s="4947"/>
      <c r="O160" s="4947"/>
      <c r="P160" s="4947"/>
      <c r="Q160" s="4947"/>
      <c r="R160" s="2089" t="s">
        <v>2310</v>
      </c>
    </row>
    <row r="161" spans="2:18" x14ac:dyDescent="0.2">
      <c r="B161" s="738">
        <f t="shared" si="1"/>
        <v>0</v>
      </c>
      <c r="C161" s="750" t="s">
        <v>1765</v>
      </c>
      <c r="D161" s="750"/>
      <c r="E161" s="750"/>
      <c r="F161" s="736">
        <f>COUNTIF(Sheele!$G$20:$J$29,C161)</f>
        <v>0</v>
      </c>
      <c r="G161" s="2068"/>
      <c r="H161" s="2068">
        <f>IF(OR($F161=0,$G161=0),0,MAX($H$111:H160)+1)</f>
        <v>0</v>
      </c>
      <c r="I161" s="2067" t="s">
        <v>2310</v>
      </c>
      <c r="J161" s="2068" t="s">
        <v>2310</v>
      </c>
      <c r="K161" s="2071" t="s">
        <v>2310</v>
      </c>
      <c r="L161" s="4961" t="s">
        <v>3857</v>
      </c>
      <c r="M161" s="4947"/>
      <c r="N161" s="4947"/>
      <c r="O161" s="4947"/>
      <c r="P161" s="4947"/>
      <c r="Q161" s="4947"/>
      <c r="R161" s="2089" t="s">
        <v>2310</v>
      </c>
    </row>
    <row r="162" spans="2:18" x14ac:dyDescent="0.2">
      <c r="B162" s="738">
        <f t="shared" si="1"/>
        <v>0</v>
      </c>
      <c r="C162" s="750" t="s">
        <v>3858</v>
      </c>
      <c r="D162" s="750"/>
      <c r="E162" s="750"/>
      <c r="F162" s="736">
        <f>COUNTIF(Sheele!$G$20:$J$29,C162)</f>
        <v>0</v>
      </c>
      <c r="G162" s="2068">
        <v>1</v>
      </c>
      <c r="H162" s="2068">
        <f>IF(OR($F162=0,$G162=0),0,MAX($H$111:H161)+1)</f>
        <v>0</v>
      </c>
      <c r="I162" s="2067" t="s">
        <v>2310</v>
      </c>
      <c r="J162" s="2070" t="s">
        <v>2310</v>
      </c>
      <c r="K162" s="2071" t="s">
        <v>2310</v>
      </c>
      <c r="L162" s="4961" t="s">
        <v>3859</v>
      </c>
      <c r="M162" s="4947"/>
      <c r="N162" s="4947"/>
      <c r="O162" s="4947"/>
      <c r="P162" s="4947"/>
      <c r="Q162" s="4947"/>
      <c r="R162" s="2089" t="s">
        <v>2234</v>
      </c>
    </row>
    <row r="163" spans="2:18" x14ac:dyDescent="0.2">
      <c r="B163" s="738">
        <f t="shared" si="1"/>
        <v>0</v>
      </c>
      <c r="C163" s="750" t="s">
        <v>3801</v>
      </c>
      <c r="D163" s="750"/>
      <c r="E163" s="750"/>
      <c r="F163" s="736">
        <f>COUNTIF(Sheele!$G$20:$J$29,C163)</f>
        <v>0</v>
      </c>
      <c r="G163" s="2068"/>
      <c r="H163" s="2068">
        <f>IF(OR($F163=0,$G163=0),0,MAX($H$111:H162)+1)</f>
        <v>0</v>
      </c>
      <c r="I163" s="2067" t="s">
        <v>2310</v>
      </c>
      <c r="J163" s="2068" t="s">
        <v>2310</v>
      </c>
      <c r="K163" s="2071" t="s">
        <v>2310</v>
      </c>
      <c r="L163" s="4961" t="s">
        <v>3802</v>
      </c>
      <c r="M163" s="4947"/>
      <c r="N163" s="4947"/>
      <c r="O163" s="4947"/>
      <c r="P163" s="4947"/>
      <c r="Q163" s="4947"/>
      <c r="R163" s="2089" t="s">
        <v>2310</v>
      </c>
    </row>
    <row r="164" spans="2:18" x14ac:dyDescent="0.2">
      <c r="B164" s="738">
        <f t="shared" si="1"/>
        <v>0</v>
      </c>
      <c r="C164" s="750" t="s">
        <v>3860</v>
      </c>
      <c r="D164" s="750"/>
      <c r="E164" s="750"/>
      <c r="F164" s="736">
        <f>COUNTIF(Sheele!$G$20:$J$29,C164)</f>
        <v>0</v>
      </c>
      <c r="G164" s="2068">
        <v>1</v>
      </c>
      <c r="H164" s="2068">
        <f>IF(OR($F164=0,$G164=0),0,MAX($H$111:H163)+1)</f>
        <v>0</v>
      </c>
      <c r="I164" s="2067" t="s">
        <v>2310</v>
      </c>
      <c r="J164" s="2070" t="s">
        <v>2310</v>
      </c>
      <c r="K164" s="2071" t="s">
        <v>2310</v>
      </c>
      <c r="L164" s="4947" t="str">
        <f>"A voluntad. inmune a los ataques físicos. Puede cegar 1 turno por cada 10 de fallo en RM "&amp;Sheele!N21*2+Sheele!H15</f>
        <v>A voluntad. inmune a los ataques físicos. Puede cegar 1 turno por cada 10 de fallo en RM 70</v>
      </c>
      <c r="M164" s="4947"/>
      <c r="N164" s="4947"/>
      <c r="O164" s="4947"/>
      <c r="P164" s="4947"/>
      <c r="Q164" s="4947"/>
      <c r="R164" s="2089" t="s">
        <v>2310</v>
      </c>
    </row>
    <row r="165" spans="2:18" x14ac:dyDescent="0.2">
      <c r="B165" s="738">
        <f t="shared" si="1"/>
        <v>0</v>
      </c>
      <c r="C165" s="750" t="s">
        <v>3861</v>
      </c>
      <c r="D165" s="750"/>
      <c r="E165" s="750"/>
      <c r="F165" s="736">
        <f>COUNTIF(Sheele!$G$20:$J$29,C165)</f>
        <v>0</v>
      </c>
      <c r="G165" s="2068"/>
      <c r="H165" s="2068">
        <f>IF(OR($F165=0,$G165=0),0,MAX($H$111:H164)+1)</f>
        <v>0</v>
      </c>
      <c r="I165" s="2067" t="s">
        <v>2310</v>
      </c>
      <c r="J165" s="2068" t="s">
        <v>2310</v>
      </c>
      <c r="K165" s="2071" t="s">
        <v>2310</v>
      </c>
      <c r="L165" s="4962" t="s">
        <v>3862</v>
      </c>
      <c r="M165" s="4960"/>
      <c r="N165" s="4960"/>
      <c r="O165" s="4960"/>
      <c r="P165" s="4960"/>
      <c r="Q165" s="4960"/>
      <c r="R165" s="2089" t="s">
        <v>2310</v>
      </c>
    </row>
    <row r="166" spans="2:18" x14ac:dyDescent="0.2">
      <c r="B166" s="2080">
        <f t="shared" si="1"/>
        <v>0</v>
      </c>
      <c r="C166" s="2081" t="s">
        <v>3714</v>
      </c>
      <c r="D166" s="752"/>
      <c r="E166" s="752"/>
      <c r="F166" s="744"/>
      <c r="G166" s="749"/>
      <c r="H166" s="748"/>
      <c r="I166" s="753" t="s">
        <v>3787</v>
      </c>
      <c r="J166" s="746" t="s">
        <v>3788</v>
      </c>
      <c r="K166" s="745" t="s">
        <v>2432</v>
      </c>
      <c r="L166" s="4958" t="s">
        <v>2407</v>
      </c>
      <c r="M166" s="4958"/>
      <c r="N166" s="4958"/>
      <c r="O166" s="4958"/>
      <c r="P166" s="4958"/>
      <c r="Q166" s="4958"/>
      <c r="R166" s="2092"/>
    </row>
    <row r="167" spans="2:18" x14ac:dyDescent="0.2">
      <c r="B167" s="2080">
        <f t="shared" si="1"/>
        <v>0</v>
      </c>
      <c r="C167" s="750" t="s">
        <v>3863</v>
      </c>
      <c r="D167" s="750"/>
      <c r="E167" s="750"/>
      <c r="F167" s="736">
        <f>COUNTIF(Sheele!$G$20:$J$29,C167)</f>
        <v>0</v>
      </c>
      <c r="G167" s="2068"/>
      <c r="H167" s="2068">
        <f>IF(OR($F167=0,$G167=0),0,MAX($H$111:H166)+1)</f>
        <v>0</v>
      </c>
      <c r="I167" s="2067"/>
      <c r="J167" s="2068"/>
      <c r="K167" s="2071"/>
      <c r="L167" s="4963" t="s">
        <v>3864</v>
      </c>
      <c r="M167" s="4964"/>
      <c r="N167" s="4964"/>
      <c r="O167" s="4964"/>
      <c r="P167" s="4964"/>
      <c r="Q167" s="4964"/>
      <c r="R167" s="2089" t="s">
        <v>2310</v>
      </c>
    </row>
    <row r="168" spans="2:18" x14ac:dyDescent="0.2">
      <c r="B168" s="2080">
        <f t="shared" si="1"/>
        <v>0</v>
      </c>
      <c r="C168" s="750" t="s">
        <v>3865</v>
      </c>
      <c r="D168" s="750"/>
      <c r="E168" s="750"/>
      <c r="F168" s="736">
        <f>COUNTIF(Sheele!$G$20:$J$29,C168)</f>
        <v>0</v>
      </c>
      <c r="G168" s="2068">
        <v>1</v>
      </c>
      <c r="H168" s="2068">
        <f>IF(OR($F168=0,$G168=0),0,MAX($H$111:H167)+1)</f>
        <v>0</v>
      </c>
      <c r="I168" s="2067">
        <v>300</v>
      </c>
      <c r="J168" s="2068">
        <f>Sheele!$N$10</f>
        <v>60</v>
      </c>
      <c r="K168" s="2071">
        <f>Sheele!N21*2</f>
        <v>60</v>
      </c>
      <c r="L168" s="4947" t="s">
        <v>3866</v>
      </c>
      <c r="M168" s="4947"/>
      <c r="N168" s="4947"/>
      <c r="O168" s="4947"/>
      <c r="P168" s="4947"/>
      <c r="Q168" s="4947"/>
      <c r="R168" s="2089" t="s">
        <v>2310</v>
      </c>
    </row>
    <row r="169" spans="2:18" x14ac:dyDescent="0.2">
      <c r="B169" s="2080">
        <f t="shared" si="1"/>
        <v>0</v>
      </c>
      <c r="C169" s="750" t="s">
        <v>3867</v>
      </c>
      <c r="D169" s="750"/>
      <c r="E169" s="750"/>
      <c r="F169" s="736">
        <f>COUNTIF(Sheele!$G$20:$J$29,C169)</f>
        <v>0</v>
      </c>
      <c r="G169" s="2068">
        <v>1</v>
      </c>
      <c r="H169" s="2068">
        <f>IF(OR($F169=0,$G169=0),0,MAX($H$111:H168)+1)</f>
        <v>0</v>
      </c>
      <c r="I169" s="2067">
        <v>250</v>
      </c>
      <c r="J169" s="2068">
        <f>Sheele!$N$12+100</f>
        <v>160</v>
      </c>
      <c r="K169" s="2071" t="s">
        <v>2310</v>
      </c>
      <c r="L169" s="4947" t="str">
        <f>"Defensa. RM "&amp;Sheele!N21*2+Sheele!H15&amp;" (Pres·2+ POD) o -50 a toda acción que se recupera a 10/asalto"</f>
        <v>Defensa. RM 70 (Pres·2+ POD) o -50 a toda acción que se recupera a 10/asalto</v>
      </c>
      <c r="M169" s="4947"/>
      <c r="N169" s="4947"/>
      <c r="O169" s="4947"/>
      <c r="P169" s="4947"/>
      <c r="Q169" s="4947"/>
      <c r="R169" s="2089" t="s">
        <v>2310</v>
      </c>
    </row>
    <row r="170" spans="2:18" x14ac:dyDescent="0.2">
      <c r="B170" s="2080">
        <f t="shared" si="1"/>
        <v>0</v>
      </c>
      <c r="C170" s="750" t="s">
        <v>3868</v>
      </c>
      <c r="D170" s="750"/>
      <c r="E170" s="750"/>
      <c r="F170" s="736">
        <f>COUNTIF(Sheele!$G$20:$J$29,C170)</f>
        <v>0</v>
      </c>
      <c r="G170" s="2068">
        <v>1</v>
      </c>
      <c r="H170" s="2068">
        <f>IF(OR($F170=0,$G170=0),0,MAX($H$111:H169)+1)</f>
        <v>0</v>
      </c>
      <c r="I170" s="2067">
        <v>20</v>
      </c>
      <c r="J170" s="2068" t="s">
        <v>2310</v>
      </c>
      <c r="K170" s="2071" t="s">
        <v>2310</v>
      </c>
      <c r="L170" s="4947" t="s">
        <v>3869</v>
      </c>
      <c r="M170" s="4947"/>
      <c r="N170" s="4947"/>
      <c r="O170" s="4947"/>
      <c r="P170" s="4947"/>
      <c r="Q170" s="4947"/>
      <c r="R170" s="2089" t="s">
        <v>2310</v>
      </c>
    </row>
    <row r="171" spans="2:18" x14ac:dyDescent="0.2">
      <c r="B171" s="2080">
        <f t="shared" si="1"/>
        <v>0</v>
      </c>
      <c r="C171" s="750" t="s">
        <v>3870</v>
      </c>
      <c r="D171" s="750"/>
      <c r="E171" s="750"/>
      <c r="F171" s="736">
        <f>COUNTIF(Sheele!$G$20:$J$29,C171)</f>
        <v>0</v>
      </c>
      <c r="G171" s="2068">
        <v>1</v>
      </c>
      <c r="H171" s="2068">
        <f>IF(OR($F171=0,$G171=0),0,MAX($H$111:H170)+1)</f>
        <v>0</v>
      </c>
      <c r="I171" s="2067">
        <v>200</v>
      </c>
      <c r="J171" s="2068" t="s">
        <v>2310</v>
      </c>
      <c r="K171" s="2071" t="s">
        <v>2310</v>
      </c>
      <c r="L171" s="4947" t="str">
        <f>"Un blanco a 50m. RM "&amp;Sheele!N21*2&amp;" (Pres·2) o sufre -"&amp;Sheele!H15*2&amp;" (POD·2) a toda acción."</f>
        <v>Un blanco a 50m. RM 60 (Pres·2) o sufre -20 (POD·2) a toda acción.</v>
      </c>
      <c r="M171" s="4947"/>
      <c r="N171" s="4947"/>
      <c r="O171" s="4947"/>
      <c r="P171" s="4947"/>
      <c r="Q171" s="4947"/>
      <c r="R171" s="2089" t="s">
        <v>2310</v>
      </c>
    </row>
    <row r="172" spans="2:18" x14ac:dyDescent="0.2">
      <c r="B172" s="2080">
        <f t="shared" si="1"/>
        <v>0</v>
      </c>
      <c r="C172" s="750" t="s">
        <v>3871</v>
      </c>
      <c r="D172" s="750"/>
      <c r="E172" s="750"/>
      <c r="F172" s="736">
        <f>COUNTIF(Sheele!$G$20:$J$29,C172)</f>
        <v>0</v>
      </c>
      <c r="G172" s="2068">
        <v>1</v>
      </c>
      <c r="H172" s="2068">
        <f>IF(OR($F172=0,$G172=0),0,MAX($H$111:H171)+1)</f>
        <v>0</v>
      </c>
      <c r="I172" s="2067">
        <v>250</v>
      </c>
      <c r="J172" s="2068" t="s">
        <v>2310</v>
      </c>
      <c r="K172" s="2071" t="s">
        <v>2310</v>
      </c>
      <c r="L172" s="4947" t="str">
        <f>"5 asaltos. +"&amp;Sheele!H15*2&amp;" (POD·2) ATA y al ACT trasferible. Al finalizar, -50 ATA (-10/asalto)"</f>
        <v>5 asaltos. +20 (POD·2) ATA y al ACT trasferible. Al finalizar, -50 ATA (-10/asalto)</v>
      </c>
      <c r="M172" s="4947"/>
      <c r="N172" s="4947"/>
      <c r="O172" s="4947"/>
      <c r="P172" s="4947"/>
      <c r="Q172" s="4947"/>
      <c r="R172" s="2089" t="s">
        <v>2310</v>
      </c>
    </row>
    <row r="173" spans="2:18" x14ac:dyDescent="0.2">
      <c r="B173" s="2080">
        <f t="shared" si="1"/>
        <v>0</v>
      </c>
      <c r="C173" s="750" t="s">
        <v>3872</v>
      </c>
      <c r="D173" s="750"/>
      <c r="E173" s="750"/>
      <c r="F173" s="736">
        <f>COUNTIF(Sheele!$G$20:$J$29,C173)</f>
        <v>0</v>
      </c>
      <c r="G173" s="2068">
        <v>1</v>
      </c>
      <c r="H173" s="2068">
        <f>IF(OR($F173=0,$G173=0),0,MAX($H$111:H172)+1)</f>
        <v>0</v>
      </c>
      <c r="I173" s="2067" t="s">
        <v>2310</v>
      </c>
      <c r="J173" s="2070" t="s">
        <v>2310</v>
      </c>
      <c r="K173" s="2071" t="s">
        <v>2310</v>
      </c>
      <c r="L173" s="4947" t="str">
        <f>"Objetivo durmiendo. RM "&amp;Sheele!N21*2+Sheele!H15&amp;" (Pres·2+ POD) o malos sueños. En la Vigilia es más potente"</f>
        <v>Objetivo durmiendo. RM 70 (Pres·2+ POD) o malos sueños. En la Vigilia es más potente</v>
      </c>
      <c r="M173" s="4947"/>
      <c r="N173" s="4947"/>
      <c r="O173" s="4947"/>
      <c r="P173" s="4947"/>
      <c r="Q173" s="4947"/>
      <c r="R173" s="2089" t="s">
        <v>2310</v>
      </c>
    </row>
    <row r="174" spans="2:18" x14ac:dyDescent="0.2">
      <c r="B174" s="2080">
        <f t="shared" si="1"/>
        <v>0</v>
      </c>
      <c r="C174" s="750" t="s">
        <v>3873</v>
      </c>
      <c r="D174" s="750"/>
      <c r="E174" s="750"/>
      <c r="F174" s="736">
        <f>COUNTIF(Sheele!$G$20:$J$29,C174)</f>
        <v>0</v>
      </c>
      <c r="G174" s="2068">
        <v>1</v>
      </c>
      <c r="H174" s="2068">
        <f>IF(OR($F174=0,$G174=0),0,MAX($H$111:H173)+1)</f>
        <v>0</v>
      </c>
      <c r="I174" s="2067" t="s">
        <v>2310</v>
      </c>
      <c r="J174" s="2068" t="s">
        <v>2310</v>
      </c>
      <c r="K174" s="2071" t="s">
        <v>2310</v>
      </c>
      <c r="L174" s="4947" t="s">
        <v>3874</v>
      </c>
      <c r="M174" s="4947"/>
      <c r="N174" s="4947"/>
      <c r="O174" s="4947"/>
      <c r="P174" s="4947"/>
      <c r="Q174" s="4947"/>
      <c r="R174" s="2089" t="s">
        <v>2234</v>
      </c>
    </row>
    <row r="175" spans="2:18" x14ac:dyDescent="0.2">
      <c r="B175" s="2080">
        <f t="shared" si="1"/>
        <v>0</v>
      </c>
      <c r="C175" s="750" t="s">
        <v>3801</v>
      </c>
      <c r="D175" s="750"/>
      <c r="E175" s="750"/>
      <c r="F175" s="736">
        <f>COUNTIF(Sheele!$G$20:$J$29,C175)</f>
        <v>0</v>
      </c>
      <c r="G175" s="2068"/>
      <c r="H175" s="2068">
        <f>IF(OR($F175=0,$G175=0),0,MAX($H$111:H174)+1)</f>
        <v>0</v>
      </c>
      <c r="I175" s="2067" t="s">
        <v>2310</v>
      </c>
      <c r="J175" s="2070" t="s">
        <v>2310</v>
      </c>
      <c r="K175" s="2071" t="s">
        <v>2310</v>
      </c>
      <c r="L175" s="4961" t="s">
        <v>3802</v>
      </c>
      <c r="M175" s="4947"/>
      <c r="N175" s="4947"/>
      <c r="O175" s="4947"/>
      <c r="P175" s="4947"/>
      <c r="Q175" s="4947"/>
      <c r="R175" s="2089" t="s">
        <v>2310</v>
      </c>
    </row>
    <row r="176" spans="2:18" x14ac:dyDescent="0.2">
      <c r="B176" s="2080">
        <f t="shared" si="1"/>
        <v>0</v>
      </c>
      <c r="C176" s="750" t="s">
        <v>3875</v>
      </c>
      <c r="D176" s="750"/>
      <c r="E176" s="750"/>
      <c r="F176" s="736">
        <f>COUNTIF(Sheele!$G$20:$J$29,C176)</f>
        <v>0</v>
      </c>
      <c r="G176" s="2068">
        <v>1</v>
      </c>
      <c r="H176" s="2068">
        <f>IF(OR($F176=0,$G176=0),0,MAX($H$111:H175)+1)</f>
        <v>0</v>
      </c>
      <c r="I176" s="2067" t="s">
        <v>2310</v>
      </c>
      <c r="J176" s="2068" t="s">
        <v>2310</v>
      </c>
      <c r="K176" s="2071">
        <f>Sheele!N21+Sheele!H12</f>
        <v>10</v>
      </c>
      <c r="L176" s="4960" t="str">
        <f>"Puede atacar y defender usando su proyección. Daño base "&amp;Sheele!N21+Sheele!H12</f>
        <v>Puede atacar y defender usando su proyección. Daño base 10</v>
      </c>
      <c r="M176" s="4960"/>
      <c r="N176" s="4960"/>
      <c r="O176" s="4960"/>
      <c r="P176" s="4960"/>
      <c r="Q176" s="4960"/>
      <c r="R176" s="2089"/>
    </row>
    <row r="177" spans="2:18" x14ac:dyDescent="0.2">
      <c r="B177" s="738">
        <f t="shared" si="1"/>
        <v>0</v>
      </c>
      <c r="C177" s="2081" t="s">
        <v>3719</v>
      </c>
      <c r="D177" s="752"/>
      <c r="E177" s="752"/>
      <c r="F177" s="744"/>
      <c r="G177" s="749"/>
      <c r="H177" s="748"/>
      <c r="I177" s="753" t="s">
        <v>3787</v>
      </c>
      <c r="J177" s="746" t="s">
        <v>3788</v>
      </c>
      <c r="K177" s="745" t="s">
        <v>2432</v>
      </c>
      <c r="L177" s="4958" t="s">
        <v>2407</v>
      </c>
      <c r="M177" s="4958"/>
      <c r="N177" s="4958"/>
      <c r="O177" s="4958"/>
      <c r="P177" s="4958"/>
      <c r="Q177" s="4958"/>
      <c r="R177" s="2092"/>
    </row>
    <row r="178" spans="2:18" x14ac:dyDescent="0.2">
      <c r="B178" s="738">
        <f t="shared" si="1"/>
        <v>0</v>
      </c>
      <c r="C178" s="750" t="s">
        <v>3876</v>
      </c>
      <c r="D178" s="750"/>
      <c r="E178" s="750"/>
      <c r="F178" s="736">
        <f>COUNTIF(Sheele!$G$20:$J$29,C178)</f>
        <v>0</v>
      </c>
      <c r="G178" s="2068">
        <v>1</v>
      </c>
      <c r="H178" s="2068">
        <f>IF(OR($F178=0,$G178=0),0,MAX($H$111:H177)+1)</f>
        <v>0</v>
      </c>
      <c r="I178" s="2067" t="s">
        <v>3877</v>
      </c>
      <c r="J178" s="2068">
        <f>50+Sheele!N10</f>
        <v>110</v>
      </c>
      <c r="K178" s="755" t="s">
        <v>2310</v>
      </c>
      <c r="L178" s="4947" t="str">
        <f>"Ataque de presa de FUE "&amp;Sheele!G15&amp;". Se puede mantener pagando el coste de zeon."</f>
        <v>Ataque de presa de FUE 8. Se puede mantener pagando el coste de zeon.</v>
      </c>
      <c r="M178" s="4947"/>
      <c r="N178" s="4947"/>
      <c r="O178" s="4947"/>
      <c r="P178" s="4947"/>
      <c r="Q178" s="4947"/>
      <c r="R178" s="2089" t="s">
        <v>2310</v>
      </c>
    </row>
    <row r="179" spans="2:18" x14ac:dyDescent="0.2">
      <c r="B179" s="738">
        <f t="shared" si="1"/>
        <v>0</v>
      </c>
      <c r="C179" s="750" t="s">
        <v>3878</v>
      </c>
      <c r="D179" s="750"/>
      <c r="E179" s="750"/>
      <c r="F179" s="736">
        <f>COUNTIF(Sheele!$G$20:$J$29,C179)</f>
        <v>0</v>
      </c>
      <c r="G179" s="2068">
        <v>1</v>
      </c>
      <c r="H179" s="2068">
        <f>IF(OR($F179=0,$G179=0),0,MAX($H$111:H178)+1)</f>
        <v>0</v>
      </c>
      <c r="I179" s="2067">
        <v>50</v>
      </c>
      <c r="J179" s="2070">
        <f>Sheele!$N$12</f>
        <v>60</v>
      </c>
      <c r="K179" s="2071" t="s">
        <v>2310</v>
      </c>
      <c r="L179" s="4947" t="str">
        <f>"Escudo de aguante "&amp;10*Sheele!N21&amp;", que dura máximo "&amp;Sheele!G16&amp;" asaltos."</f>
        <v>Escudo de aguante 300, que dura máximo 6 asaltos.</v>
      </c>
      <c r="M179" s="4947"/>
      <c r="N179" s="4947"/>
      <c r="O179" s="4947"/>
      <c r="P179" s="4947"/>
      <c r="Q179" s="4947"/>
      <c r="R179" s="2089" t="s">
        <v>2310</v>
      </c>
    </row>
    <row r="180" spans="2:18" x14ac:dyDescent="0.2">
      <c r="B180" s="738">
        <f t="shared" si="1"/>
        <v>0</v>
      </c>
      <c r="C180" s="750" t="s">
        <v>3879</v>
      </c>
      <c r="D180" s="750"/>
      <c r="E180" s="750"/>
      <c r="F180" s="736">
        <f>COUNTIF(Sheele!$G$20:$J$29,C180)</f>
        <v>0</v>
      </c>
      <c r="G180" s="2068">
        <v>1</v>
      </c>
      <c r="H180" s="2068">
        <f>IF(OR($F180=0,$G180=0),0,MAX($H$111:H179)+1)</f>
        <v>0</v>
      </c>
      <c r="I180" s="2067">
        <v>50</v>
      </c>
      <c r="J180" s="2070" t="s">
        <v>2310</v>
      </c>
      <c r="K180" s="2071" t="s">
        <v>2310</v>
      </c>
      <c r="L180" s="4947" t="s">
        <v>3880</v>
      </c>
      <c r="M180" s="4947"/>
      <c r="N180" s="4947"/>
      <c r="O180" s="4947"/>
      <c r="P180" s="4947"/>
      <c r="Q180" s="4947"/>
      <c r="R180" s="2089" t="s">
        <v>2310</v>
      </c>
    </row>
    <row r="181" spans="2:18" ht="12.75" customHeight="1" x14ac:dyDescent="0.2">
      <c r="B181" s="738">
        <f t="shared" si="1"/>
        <v>0</v>
      </c>
      <c r="C181" s="750" t="s">
        <v>3881</v>
      </c>
      <c r="D181" s="750"/>
      <c r="E181" s="750"/>
      <c r="F181" s="736">
        <f>COUNTIF(Sheele!$G$20:$J$29,C181)</f>
        <v>0</v>
      </c>
      <c r="G181" s="2068">
        <v>1</v>
      </c>
      <c r="H181" s="2068">
        <f>IF(OR($F181=0,$G181=0),0,MAX($H$111:H180)+1)</f>
        <v>0</v>
      </c>
      <c r="I181" s="2067">
        <v>10</v>
      </c>
      <c r="J181" s="2068" t="s">
        <v>2310</v>
      </c>
      <c r="K181" s="2071" t="s">
        <v>2310</v>
      </c>
      <c r="L181" s="4947" t="str">
        <f>"Cura "&amp;Sheele!N21*2&amp;" PV. 1 uso/ persona/ día."</f>
        <v>Cura 60 PV. 1 uso/ persona/ día.</v>
      </c>
      <c r="M181" s="4947"/>
      <c r="N181" s="4947"/>
      <c r="O181" s="4947"/>
      <c r="P181" s="4947"/>
      <c r="Q181" s="4947"/>
      <c r="R181" s="2089" t="s">
        <v>2310</v>
      </c>
    </row>
    <row r="182" spans="2:18" ht="13.5" customHeight="1" x14ac:dyDescent="0.2">
      <c r="B182" s="738">
        <f t="shared" si="1"/>
        <v>0</v>
      </c>
      <c r="C182" s="750" t="s">
        <v>3810</v>
      </c>
      <c r="D182" s="750"/>
      <c r="E182" s="750"/>
      <c r="F182" s="736">
        <f>COUNTIF(Sheele!$G$20:$J$29,C182)</f>
        <v>0</v>
      </c>
      <c r="G182" s="2068">
        <v>1</v>
      </c>
      <c r="H182" s="2068">
        <f>IF(OR($F182=0,$G182=0),0,MAX($H$111:H181)+1)</f>
        <v>0</v>
      </c>
      <c r="I182" s="2067">
        <v>150</v>
      </c>
      <c r="J182" s="2068">
        <f>Sheele!N10</f>
        <v>60</v>
      </c>
      <c r="K182" s="2071">
        <f>Sheele!N21</f>
        <v>30</v>
      </c>
      <c r="L182" s="4947" t="s">
        <v>3882</v>
      </c>
      <c r="M182" s="4947"/>
      <c r="N182" s="4947"/>
      <c r="O182" s="4947"/>
      <c r="P182" s="4947"/>
      <c r="Q182" s="4947"/>
      <c r="R182" s="2089" t="s">
        <v>2310</v>
      </c>
    </row>
    <row r="183" spans="2:18" x14ac:dyDescent="0.2">
      <c r="B183" s="738">
        <f t="shared" si="1"/>
        <v>0</v>
      </c>
      <c r="C183" s="750" t="s">
        <v>3883</v>
      </c>
      <c r="D183" s="750"/>
      <c r="E183" s="750"/>
      <c r="F183" s="736">
        <f>COUNTIF(Sheele!$G$20:$J$29,C183)</f>
        <v>0</v>
      </c>
      <c r="G183" s="2068">
        <v>1</v>
      </c>
      <c r="H183" s="2068">
        <f>IF(OR($F183=0,$G183=0),0,MAX($H$111:H182)+1)</f>
        <v>0</v>
      </c>
      <c r="I183" s="2069" t="s">
        <v>2310</v>
      </c>
      <c r="J183" s="2068" t="s">
        <v>2310</v>
      </c>
      <c r="K183" s="2071" t="s">
        <v>2310</v>
      </c>
      <c r="L183" s="4961" t="s">
        <v>3884</v>
      </c>
      <c r="M183" s="4947"/>
      <c r="N183" s="4947"/>
      <c r="O183" s="4947"/>
      <c r="P183" s="4947"/>
      <c r="Q183" s="4947"/>
      <c r="R183" s="2089" t="s">
        <v>2234</v>
      </c>
    </row>
    <row r="184" spans="2:18" x14ac:dyDescent="0.2">
      <c r="B184" s="738">
        <f t="shared" si="1"/>
        <v>0</v>
      </c>
      <c r="C184" s="750" t="s">
        <v>3885</v>
      </c>
      <c r="D184" s="750"/>
      <c r="E184" s="750"/>
      <c r="F184" s="736">
        <f>COUNTIF(Sheele!$G$20:$J$29,C184)</f>
        <v>0</v>
      </c>
      <c r="G184" s="2068">
        <v>1</v>
      </c>
      <c r="H184" s="2068">
        <f>IF(OR($F184=0,$G184=0),0,MAX($H$111:H183)+1)</f>
        <v>0</v>
      </c>
      <c r="I184" s="2069" t="s">
        <v>2310</v>
      </c>
      <c r="J184" s="2070" t="s">
        <v>2310</v>
      </c>
      <c r="K184" s="2071" t="s">
        <v>2310</v>
      </c>
      <c r="L184" s="4947" t="s">
        <v>3886</v>
      </c>
      <c r="M184" s="4947"/>
      <c r="N184" s="4947"/>
      <c r="O184" s="4947"/>
      <c r="P184" s="4947"/>
      <c r="Q184" s="4947"/>
      <c r="R184" s="2089" t="s">
        <v>2234</v>
      </c>
    </row>
    <row r="185" spans="2:18" x14ac:dyDescent="0.2">
      <c r="B185" s="738">
        <f t="shared" si="1"/>
        <v>0</v>
      </c>
      <c r="C185" s="750" t="s">
        <v>3801</v>
      </c>
      <c r="D185" s="750"/>
      <c r="E185" s="750"/>
      <c r="F185" s="736">
        <f>COUNTIF(Sheele!$G$20:$J$29,C185)</f>
        <v>0</v>
      </c>
      <c r="G185" s="2068"/>
      <c r="H185" s="2068">
        <f>IF(OR($F185=0,$G185=0),0,MAX($H$111:H184)+1)</f>
        <v>0</v>
      </c>
      <c r="I185" s="2067" t="s">
        <v>2310</v>
      </c>
      <c r="J185" s="2070" t="s">
        <v>2310</v>
      </c>
      <c r="K185" s="2071" t="s">
        <v>2310</v>
      </c>
      <c r="L185" s="4961" t="s">
        <v>3802</v>
      </c>
      <c r="M185" s="4947"/>
      <c r="N185" s="4947"/>
      <c r="O185" s="4947"/>
      <c r="P185" s="4947"/>
      <c r="Q185" s="4947"/>
      <c r="R185" s="2089" t="s">
        <v>2310</v>
      </c>
    </row>
    <row r="186" spans="2:18" x14ac:dyDescent="0.2">
      <c r="B186" s="738">
        <f t="shared" si="1"/>
        <v>0</v>
      </c>
      <c r="C186" s="750" t="s">
        <v>3887</v>
      </c>
      <c r="D186" s="750"/>
      <c r="E186" s="750"/>
      <c r="F186" s="736">
        <f>COUNTIF(Sheele!$G$20:$J$29,C186)</f>
        <v>0</v>
      </c>
      <c r="G186" s="2068">
        <v>1</v>
      </c>
      <c r="H186" s="2068">
        <f>IF(OR($F186=0,$G186=0),0,MAX($H$111:H185)+1)</f>
        <v>0</v>
      </c>
      <c r="I186" s="2067">
        <v>20</v>
      </c>
      <c r="J186" s="2070" t="s">
        <v>2310</v>
      </c>
      <c r="K186" s="2071" t="s">
        <v>2310</v>
      </c>
      <c r="L186" s="4947" t="s">
        <v>3888</v>
      </c>
      <c r="M186" s="4947"/>
      <c r="N186" s="4947"/>
      <c r="O186" s="4947"/>
      <c r="P186" s="4947"/>
      <c r="Q186" s="4947"/>
      <c r="R186" s="2089" t="s">
        <v>2310</v>
      </c>
    </row>
    <row r="187" spans="2:18" x14ac:dyDescent="0.2">
      <c r="B187" s="738">
        <f t="shared" si="1"/>
        <v>0</v>
      </c>
      <c r="C187" s="750" t="s">
        <v>3889</v>
      </c>
      <c r="D187" s="750"/>
      <c r="E187" s="750"/>
      <c r="F187" s="736">
        <f>COUNTIF(Sheele!$G$20:$J$29,C187)</f>
        <v>0</v>
      </c>
      <c r="G187" s="2068"/>
      <c r="H187" s="2068">
        <f>IF(OR($F187=0,$G187=0),0,MAX($H$111:H186)+1)</f>
        <v>0</v>
      </c>
      <c r="I187" s="2067" t="s">
        <v>2310</v>
      </c>
      <c r="J187" s="2070" t="s">
        <v>2310</v>
      </c>
      <c r="K187" s="2071" t="s">
        <v>2310</v>
      </c>
      <c r="L187" s="4962" t="s">
        <v>3890</v>
      </c>
      <c r="M187" s="4960"/>
      <c r="N187" s="4960"/>
      <c r="O187" s="4960"/>
      <c r="P187" s="4960"/>
      <c r="Q187" s="4960"/>
      <c r="R187" s="2089" t="s">
        <v>2310</v>
      </c>
    </row>
    <row r="188" spans="2:18" x14ac:dyDescent="0.2">
      <c r="B188" s="738">
        <f t="shared" si="1"/>
        <v>0</v>
      </c>
      <c r="C188" s="2081" t="s">
        <v>3723</v>
      </c>
      <c r="D188" s="752"/>
      <c r="E188" s="752"/>
      <c r="F188" s="744"/>
      <c r="G188" s="749"/>
      <c r="H188" s="748"/>
      <c r="I188" s="753" t="s">
        <v>3787</v>
      </c>
      <c r="J188" s="746" t="s">
        <v>3788</v>
      </c>
      <c r="K188" s="745" t="s">
        <v>2432</v>
      </c>
      <c r="L188" s="4958" t="s">
        <v>2407</v>
      </c>
      <c r="M188" s="4958"/>
      <c r="N188" s="4958"/>
      <c r="O188" s="4958"/>
      <c r="P188" s="4958"/>
      <c r="Q188" s="4958"/>
      <c r="R188" s="2092"/>
    </row>
    <row r="189" spans="2:18" x14ac:dyDescent="0.2">
      <c r="B189" s="738">
        <f t="shared" si="1"/>
        <v>0</v>
      </c>
      <c r="C189" s="750" t="s">
        <v>3891</v>
      </c>
      <c r="D189" s="750"/>
      <c r="E189" s="750"/>
      <c r="F189" s="736">
        <f>COUNTIF(Sheele!$G$20:$J$29,C189)</f>
        <v>0</v>
      </c>
      <c r="G189" s="2068">
        <v>1</v>
      </c>
      <c r="H189" s="2068">
        <f>IF(OR($F189=0,$G189=0),0,MAX($H$111:H188)+1)</f>
        <v>0</v>
      </c>
      <c r="I189" s="2067">
        <v>100</v>
      </c>
      <c r="J189" s="2068">
        <f>Sheele!N10+50</f>
        <v>110</v>
      </c>
      <c r="K189" s="2071">
        <f>Sheele!N21*2</f>
        <v>60</v>
      </c>
      <c r="L189" s="4947" t="s">
        <v>3892</v>
      </c>
      <c r="M189" s="4947"/>
      <c r="N189" s="4947"/>
      <c r="O189" s="4947"/>
      <c r="P189" s="4947"/>
      <c r="Q189" s="4947"/>
      <c r="R189" s="2089" t="s">
        <v>2310</v>
      </c>
    </row>
    <row r="190" spans="2:18" x14ac:dyDescent="0.2">
      <c r="B190" s="738">
        <f t="shared" si="1"/>
        <v>0</v>
      </c>
      <c r="C190" s="750" t="s">
        <v>3893</v>
      </c>
      <c r="D190" s="750"/>
      <c r="E190" s="750"/>
      <c r="F190" s="736">
        <f>COUNTIF(Sheele!$G$20:$J$29,C190)</f>
        <v>0</v>
      </c>
      <c r="G190" s="2068">
        <v>1</v>
      </c>
      <c r="H190" s="2068">
        <f>IF(OR($F190=0,$G190=0),0,MAX($H$111:H189)+1)</f>
        <v>0</v>
      </c>
      <c r="I190" s="2067">
        <v>200</v>
      </c>
      <c r="J190" s="2070" t="s">
        <v>2310</v>
      </c>
      <c r="K190" s="2071" t="s">
        <v>2310</v>
      </c>
      <c r="L190" s="4947" t="s">
        <v>3894</v>
      </c>
      <c r="M190" s="4947"/>
      <c r="N190" s="4947"/>
      <c r="O190" s="4947"/>
      <c r="P190" s="4947"/>
      <c r="Q190" s="4947"/>
      <c r="R190" s="2089" t="s">
        <v>2310</v>
      </c>
    </row>
    <row r="191" spans="2:18" x14ac:dyDescent="0.2">
      <c r="B191" s="738">
        <f t="shared" si="1"/>
        <v>0</v>
      </c>
      <c r="C191" s="750" t="s">
        <v>3895</v>
      </c>
      <c r="D191" s="750"/>
      <c r="E191" s="750"/>
      <c r="F191" s="736">
        <f>COUNTIF(Sheele!$G$20:$J$29,C191)</f>
        <v>0</v>
      </c>
      <c r="G191" s="2068">
        <v>1</v>
      </c>
      <c r="H191" s="2068">
        <f>IF(OR($F191=0,$G191=0),0,MAX($H$111:H190)+1)</f>
        <v>0</v>
      </c>
      <c r="I191" s="2067" t="s">
        <v>2310</v>
      </c>
      <c r="J191" s="2070" t="s">
        <v>2310</v>
      </c>
      <c r="K191" s="2071" t="s">
        <v>2310</v>
      </c>
      <c r="L191" s="4947" t="s">
        <v>3896</v>
      </c>
      <c r="M191" s="4947"/>
      <c r="N191" s="4947"/>
      <c r="O191" s="4947"/>
      <c r="P191" s="4947"/>
      <c r="Q191" s="4947"/>
      <c r="R191" s="2089" t="s">
        <v>2310</v>
      </c>
    </row>
    <row r="192" spans="2:18" x14ac:dyDescent="0.2">
      <c r="B192" s="738">
        <f t="shared" si="1"/>
        <v>0</v>
      </c>
      <c r="C192" s="750" t="s">
        <v>3897</v>
      </c>
      <c r="D192" s="750"/>
      <c r="E192" s="750"/>
      <c r="F192" s="736">
        <f>COUNTIF(Sheele!$G$20:$J$29,C192)</f>
        <v>0</v>
      </c>
      <c r="G192" s="2068">
        <v>1</v>
      </c>
      <c r="H192" s="2068">
        <f>IF(OR($F192=0,$G192=0),0,MAX($H$111:H191)+1)</f>
        <v>0</v>
      </c>
      <c r="I192" s="2067">
        <v>100</v>
      </c>
      <c r="J192" s="2070" t="s">
        <v>2310</v>
      </c>
      <c r="K192" s="2071" t="s">
        <v>2310</v>
      </c>
      <c r="L192" s="4947" t="str">
        <f>"Area automática 25m. RM "&amp;Sheele!N21*2+Sheele!H15&amp;" o -[fracaso] a hab. perceptivas y -0.5*[fracaso] ata."</f>
        <v>Area automática 25m. RM 70 o -[fracaso] a hab. perceptivas y -0.5*[fracaso] ata.</v>
      </c>
      <c r="M192" s="4947"/>
      <c r="N192" s="4947"/>
      <c r="O192" s="4947"/>
      <c r="P192" s="4947"/>
      <c r="Q192" s="4947"/>
      <c r="R192" s="2089" t="s">
        <v>2310</v>
      </c>
    </row>
    <row r="193" spans="2:18" x14ac:dyDescent="0.2">
      <c r="B193" s="738">
        <f t="shared" si="1"/>
        <v>0</v>
      </c>
      <c r="C193" s="750" t="s">
        <v>3898</v>
      </c>
      <c r="D193" s="750"/>
      <c r="E193" s="750"/>
      <c r="F193" s="736">
        <f>COUNTIF(Sheele!$G$20:$J$29,C193)</f>
        <v>0</v>
      </c>
      <c r="G193" s="2068">
        <v>1</v>
      </c>
      <c r="H193" s="2068">
        <f>IF(OR($F193=0,$G193=0),0,MAX($H$111:H192)+1)</f>
        <v>0</v>
      </c>
      <c r="I193" s="2067" t="s">
        <v>2310</v>
      </c>
      <c r="J193" s="2070" t="s">
        <v>2310</v>
      </c>
      <c r="K193" s="2071" t="s">
        <v>2310</v>
      </c>
      <c r="L193" s="4947" t="s">
        <v>3899</v>
      </c>
      <c r="M193" s="4947"/>
      <c r="N193" s="4947"/>
      <c r="O193" s="4947"/>
      <c r="P193" s="4947"/>
      <c r="Q193" s="4947"/>
      <c r="R193" s="2089" t="s">
        <v>2310</v>
      </c>
    </row>
    <row r="194" spans="2:18" x14ac:dyDescent="0.2">
      <c r="B194" s="738">
        <f t="shared" si="1"/>
        <v>0</v>
      </c>
      <c r="C194" s="750" t="s">
        <v>3900</v>
      </c>
      <c r="D194" s="750"/>
      <c r="E194" s="750"/>
      <c r="F194" s="736">
        <f>COUNTIF(Sheele!$G$20:$J$29,C194)</f>
        <v>0</v>
      </c>
      <c r="G194" s="2068">
        <v>1</v>
      </c>
      <c r="H194" s="2068">
        <f>IF(OR($F194=0,$G194=0),0,MAX($H$111:H193)+1)</f>
        <v>0</v>
      </c>
      <c r="I194" s="2067" t="s">
        <v>2310</v>
      </c>
      <c r="J194" s="2070" t="s">
        <v>2310</v>
      </c>
      <c r="K194" s="2071" t="s">
        <v>2310</v>
      </c>
      <c r="L194" s="4961" t="s">
        <v>3901</v>
      </c>
      <c r="M194" s="4947"/>
      <c r="N194" s="4947"/>
      <c r="O194" s="4947"/>
      <c r="P194" s="4947"/>
      <c r="Q194" s="4947"/>
      <c r="R194" s="2089" t="s">
        <v>2234</v>
      </c>
    </row>
    <row r="195" spans="2:18" x14ac:dyDescent="0.2">
      <c r="B195" s="738">
        <f t="shared" si="1"/>
        <v>0</v>
      </c>
      <c r="C195" s="750" t="s">
        <v>3902</v>
      </c>
      <c r="D195" s="750"/>
      <c r="E195" s="750"/>
      <c r="F195" s="736">
        <f>COUNTIF(Sheele!$G$20:$J$29,C195)</f>
        <v>0</v>
      </c>
      <c r="G195" s="2068">
        <v>1</v>
      </c>
      <c r="H195" s="2068">
        <f>IF(OR($F195=0,$G195=0),0,MAX($H$111:H194)+1)</f>
        <v>0</v>
      </c>
      <c r="I195" s="2067">
        <v>200</v>
      </c>
      <c r="J195" s="2070" t="str">
        <f>"+10/c"</f>
        <v>+10/c</v>
      </c>
      <c r="K195" s="2071" t="s">
        <v>2310</v>
      </c>
      <c r="L195" s="4947" t="str">
        <f>"Defensa. Crea "&amp;Sheele!G15&amp;" copias. Se desvanece 1/ turno y 1/ defensa. Area las destruye todas."</f>
        <v>Defensa. Crea 8 copias. Se desvanece 1/ turno y 1/ defensa. Area las destruye todas.</v>
      </c>
      <c r="M195" s="4947"/>
      <c r="N195" s="4947"/>
      <c r="O195" s="4947"/>
      <c r="P195" s="4947"/>
      <c r="Q195" s="4947"/>
      <c r="R195" s="2089" t="s">
        <v>2310</v>
      </c>
    </row>
    <row r="196" spans="2:18" x14ac:dyDescent="0.2">
      <c r="B196" s="738">
        <f t="shared" si="1"/>
        <v>0</v>
      </c>
      <c r="C196" s="750" t="s">
        <v>3903</v>
      </c>
      <c r="D196" s="750"/>
      <c r="E196" s="750"/>
      <c r="F196" s="736">
        <f>COUNTIF(Sheele!$G$20:$J$29,C196)</f>
        <v>0</v>
      </c>
      <c r="G196" s="2068">
        <v>1</v>
      </c>
      <c r="H196" s="2068">
        <f>IF(OR($F196=0,$G196=0),0,MAX($H$111:H195)+1)</f>
        <v>0</v>
      </c>
      <c r="I196" s="2067" t="s">
        <v>2310</v>
      </c>
      <c r="J196" s="2070" t="s">
        <v>2310</v>
      </c>
      <c r="K196" s="2071" t="s">
        <v>2310</v>
      </c>
      <c r="L196" s="4947" t="s">
        <v>3904</v>
      </c>
      <c r="M196" s="4947"/>
      <c r="N196" s="4947"/>
      <c r="O196" s="4947"/>
      <c r="P196" s="4947"/>
      <c r="Q196" s="4947"/>
      <c r="R196" s="2089"/>
    </row>
    <row r="197" spans="2:18" x14ac:dyDescent="0.2">
      <c r="B197" s="738">
        <f t="shared" si="1"/>
        <v>0</v>
      </c>
      <c r="C197" s="750" t="s">
        <v>3801</v>
      </c>
      <c r="D197" s="750"/>
      <c r="E197" s="750"/>
      <c r="F197" s="736">
        <f>COUNTIF(Sheele!$G$20:$J$29,C197)</f>
        <v>0</v>
      </c>
      <c r="G197" s="2068"/>
      <c r="H197" s="2068">
        <f>IF(OR($F197=0,$G197=0),0,MAX($H$111:H196)+1)</f>
        <v>0</v>
      </c>
      <c r="I197" s="2067" t="s">
        <v>2310</v>
      </c>
      <c r="J197" s="2070" t="s">
        <v>2310</v>
      </c>
      <c r="K197" s="2071" t="s">
        <v>2310</v>
      </c>
      <c r="L197" s="4961" t="s">
        <v>3802</v>
      </c>
      <c r="M197" s="4947"/>
      <c r="N197" s="4947"/>
      <c r="O197" s="4947"/>
      <c r="P197" s="4947"/>
      <c r="Q197" s="4947"/>
      <c r="R197" s="2089" t="s">
        <v>2310</v>
      </c>
    </row>
    <row r="198" spans="2:18" ht="13.5" thickBot="1" x14ac:dyDescent="0.25">
      <c r="B198" s="757">
        <f t="shared" si="1"/>
        <v>0</v>
      </c>
      <c r="C198" s="758" t="s">
        <v>3905</v>
      </c>
      <c r="D198" s="758"/>
      <c r="E198" s="758"/>
      <c r="F198" s="1536">
        <f>COUNTIF(Sheele!$G$20:$J$29,C198)</f>
        <v>0</v>
      </c>
      <c r="G198" s="724">
        <v>1</v>
      </c>
      <c r="H198" s="724">
        <f>IF(OR($F198=0,$G198=0),0,MAX($H$111:H197)+1)</f>
        <v>0</v>
      </c>
      <c r="I198" s="2072" t="s">
        <v>3906</v>
      </c>
      <c r="J198" s="2094" t="s">
        <v>2310</v>
      </c>
      <c r="K198" s="2073" t="s">
        <v>2310</v>
      </c>
      <c r="L198" s="4975" t="str">
        <f>"Solo vulnerable a destrucción de sortilegios. Grado Base, valor zeonico "&amp;Sheele!P29</f>
        <v>Solo vulnerable a destrucción de sortilegios. Grado Base, valor zeonico 60</v>
      </c>
      <c r="M198" s="4975"/>
      <c r="N198" s="4975"/>
      <c r="O198" s="4975"/>
      <c r="P198" s="4975"/>
      <c r="Q198" s="4975"/>
      <c r="R198" s="2095"/>
    </row>
    <row r="199" spans="2:18" ht="13.5" thickBot="1" x14ac:dyDescent="0.25">
      <c r="B199" s="759">
        <f t="shared" si="1"/>
        <v>0</v>
      </c>
      <c r="F199" s="2082" t="s">
        <v>3907</v>
      </c>
      <c r="G199" s="2083"/>
      <c r="H199" s="722">
        <f>COUNTIF(H112:H198,"&gt;0")</f>
        <v>0</v>
      </c>
    </row>
    <row r="200" spans="2:18" ht="13.5" thickBot="1" x14ac:dyDescent="0.25"/>
    <row r="201" spans="2:18" x14ac:dyDescent="0.2">
      <c r="B201" s="4987" t="s">
        <v>3908</v>
      </c>
      <c r="C201" s="4988"/>
      <c r="D201" s="4988"/>
      <c r="E201" s="4988"/>
      <c r="F201" s="4988"/>
      <c r="G201" s="4988"/>
      <c r="H201" s="4988"/>
      <c r="I201" s="4988"/>
      <c r="J201" s="4988"/>
      <c r="K201" s="4988"/>
      <c r="L201" s="4988"/>
      <c r="M201" s="4989"/>
    </row>
    <row r="202" spans="2:18" x14ac:dyDescent="0.2">
      <c r="B202" s="4990"/>
      <c r="C202" s="4991"/>
      <c r="D202" s="4991"/>
      <c r="E202" s="4991"/>
      <c r="F202" s="4991"/>
      <c r="G202" s="4991"/>
      <c r="H202" s="4991"/>
      <c r="I202" s="4991"/>
      <c r="J202" s="4991"/>
      <c r="K202" s="4991"/>
      <c r="L202" s="4991"/>
      <c r="M202" s="4992"/>
    </row>
    <row r="203" spans="2:18" x14ac:dyDescent="0.2">
      <c r="B203" s="1544"/>
      <c r="C203" s="1447">
        <v>1</v>
      </c>
      <c r="D203" s="1447">
        <v>2</v>
      </c>
      <c r="E203" s="1447">
        <v>3</v>
      </c>
      <c r="F203" s="1447">
        <v>4</v>
      </c>
      <c r="G203" s="1447">
        <v>5</v>
      </c>
      <c r="H203" s="1447">
        <v>6</v>
      </c>
      <c r="I203" s="1447">
        <v>7</v>
      </c>
      <c r="J203" s="1447">
        <v>8</v>
      </c>
      <c r="K203" s="1541" t="s">
        <v>8727</v>
      </c>
      <c r="L203" s="4969" t="s">
        <v>3909</v>
      </c>
      <c r="M203" s="4970"/>
    </row>
    <row r="204" spans="2:18" x14ac:dyDescent="0.2">
      <c r="B204" s="1540"/>
      <c r="C204" s="4967" t="s">
        <v>2472</v>
      </c>
      <c r="D204" s="4968"/>
      <c r="E204" s="1543" t="str">
        <f t="array" ref="E204:H204">TRANSPOSE(C205:D208)</f>
        <v>Vuelo Místico 10</v>
      </c>
      <c r="F204" s="1543" t="str">
        <v>Movimiento Defensivo</v>
      </c>
      <c r="G204" s="1543" t="str">
        <v xml:space="preserve"> </v>
      </c>
      <c r="H204" s="1543" t="str">
        <v xml:space="preserve"> </v>
      </c>
      <c r="I204" s="1542"/>
      <c r="J204" s="1539"/>
      <c r="K204" s="1534"/>
      <c r="L204" s="4971"/>
      <c r="M204" s="4972"/>
    </row>
    <row r="205" spans="2:18" x14ac:dyDescent="0.2">
      <c r="B205" s="754"/>
      <c r="C205" s="4965" t="s">
        <v>3910</v>
      </c>
      <c r="D205" s="4966"/>
      <c r="E205" s="4977" t="s">
        <v>3911</v>
      </c>
      <c r="F205" s="4977"/>
      <c r="G205" s="4977"/>
      <c r="H205" s="4977"/>
      <c r="I205" s="4977"/>
      <c r="J205" s="4977"/>
      <c r="K205" s="736" t="s">
        <v>2310</v>
      </c>
      <c r="L205" s="4973">
        <v>10</v>
      </c>
      <c r="M205" s="4974"/>
    </row>
    <row r="206" spans="2:18" x14ac:dyDescent="0.2">
      <c r="B206" s="754"/>
      <c r="C206" s="4965" t="s">
        <v>3912</v>
      </c>
      <c r="D206" s="4966"/>
      <c r="E206" s="4977" t="s">
        <v>3913</v>
      </c>
      <c r="F206" s="4978"/>
      <c r="G206" s="4978"/>
      <c r="H206" s="4978"/>
      <c r="I206" s="4978"/>
      <c r="J206" s="4978"/>
      <c r="K206" s="736" t="s">
        <v>2310</v>
      </c>
      <c r="L206" s="4973"/>
      <c r="M206" s="4974"/>
    </row>
    <row r="207" spans="2:18" x14ac:dyDescent="0.2">
      <c r="B207" s="701"/>
      <c r="C207" s="4946" t="s">
        <v>3914</v>
      </c>
      <c r="D207" s="4976"/>
      <c r="E207" s="4977"/>
      <c r="F207" s="4978"/>
      <c r="G207" s="4978"/>
      <c r="H207" s="4978"/>
      <c r="I207" s="4978"/>
      <c r="J207" s="4978"/>
      <c r="K207" s="736"/>
      <c r="L207" s="4946"/>
      <c r="M207" s="4981"/>
    </row>
    <row r="208" spans="2:18" x14ac:dyDescent="0.2">
      <c r="B208" s="701"/>
      <c r="C208" s="4946" t="s">
        <v>3914</v>
      </c>
      <c r="D208" s="4976"/>
      <c r="E208" s="4977"/>
      <c r="F208" s="4978"/>
      <c r="G208" s="4978"/>
      <c r="H208" s="4978"/>
      <c r="I208" s="4978"/>
      <c r="J208" s="4978"/>
      <c r="K208" s="736"/>
      <c r="L208" s="4946"/>
      <c r="M208" s="4981"/>
    </row>
    <row r="209" spans="2:13" x14ac:dyDescent="0.2">
      <c r="B209" s="1540"/>
      <c r="C209" s="4967" t="s">
        <v>2475</v>
      </c>
      <c r="D209" s="4968"/>
      <c r="E209" s="1543" t="str">
        <f t="array" ref="E209:H209">TRANSPOSE(C210:D213)</f>
        <v>Vuelo Místico 4</v>
      </c>
      <c r="F209" s="1543" t="str">
        <v>Movimiento Acuático</v>
      </c>
      <c r="G209" s="1543" t="str">
        <v>Respiración Acuática</v>
      </c>
      <c r="H209" s="1543" t="str">
        <v>Resistencia Física</v>
      </c>
      <c r="I209" s="1538"/>
      <c r="J209" s="1539"/>
      <c r="K209" s="1537"/>
      <c r="L209" s="4979"/>
      <c r="M209" s="4980"/>
    </row>
    <row r="210" spans="2:13" x14ac:dyDescent="0.2">
      <c r="B210" s="754"/>
      <c r="C210" s="4965" t="s">
        <v>3915</v>
      </c>
      <c r="D210" s="4966"/>
      <c r="E210" s="4977" t="s">
        <v>3916</v>
      </c>
      <c r="F210" s="4977"/>
      <c r="G210" s="4977"/>
      <c r="H210" s="4977"/>
      <c r="I210" s="4977"/>
      <c r="J210" s="4977"/>
      <c r="K210" s="736" t="s">
        <v>2310</v>
      </c>
      <c r="L210" s="4973">
        <v>4</v>
      </c>
      <c r="M210" s="4974"/>
    </row>
    <row r="211" spans="2:13" x14ac:dyDescent="0.2">
      <c r="B211" s="754"/>
      <c r="C211" s="4965" t="s">
        <v>3917</v>
      </c>
      <c r="D211" s="4966"/>
      <c r="E211" s="4977" t="s">
        <v>3918</v>
      </c>
      <c r="F211" s="4978"/>
      <c r="G211" s="4978"/>
      <c r="H211" s="4978"/>
      <c r="I211" s="4978"/>
      <c r="J211" s="4978"/>
      <c r="K211" s="736" t="s">
        <v>2310</v>
      </c>
      <c r="L211" s="4973"/>
      <c r="M211" s="4974"/>
    </row>
    <row r="212" spans="2:13" x14ac:dyDescent="0.2">
      <c r="B212" s="701"/>
      <c r="C212" s="4946" t="s">
        <v>3919</v>
      </c>
      <c r="D212" s="4976"/>
      <c r="E212" s="4977" t="s">
        <v>3920</v>
      </c>
      <c r="F212" s="4978"/>
      <c r="G212" s="4978"/>
      <c r="H212" s="4978"/>
      <c r="I212" s="4978"/>
      <c r="J212" s="4978"/>
      <c r="K212" s="736" t="s">
        <v>2310</v>
      </c>
      <c r="L212" s="4973"/>
      <c r="M212" s="4974"/>
    </row>
    <row r="213" spans="2:13" x14ac:dyDescent="0.2">
      <c r="B213" s="701"/>
      <c r="C213" s="4946" t="s">
        <v>3921</v>
      </c>
      <c r="D213" s="4976"/>
      <c r="E213" s="4977" t="s">
        <v>3922</v>
      </c>
      <c r="F213" s="4978"/>
      <c r="G213" s="4978"/>
      <c r="H213" s="4978"/>
      <c r="I213" s="4978"/>
      <c r="J213" s="4978"/>
      <c r="K213" s="736" t="s">
        <v>2310</v>
      </c>
      <c r="L213" s="4973"/>
      <c r="M213" s="4974"/>
    </row>
    <row r="214" spans="2:13" x14ac:dyDescent="0.2">
      <c r="B214" s="1540"/>
      <c r="C214" s="4967" t="s">
        <v>2479</v>
      </c>
      <c r="D214" s="4968"/>
      <c r="E214" s="1543" t="str">
        <f t="array" ref="E214:H214">TRANSPOSE(C215:D218)</f>
        <v>Vuelo Místico 6</v>
      </c>
      <c r="F214" s="1543" t="str">
        <v>Control de Llamas</v>
      </c>
      <c r="G214" s="1543" t="str">
        <v xml:space="preserve"> </v>
      </c>
      <c r="H214" s="1543" t="str">
        <v xml:space="preserve"> </v>
      </c>
      <c r="I214" s="1538"/>
      <c r="J214" s="1539"/>
      <c r="K214" s="1537"/>
      <c r="L214" s="4979"/>
      <c r="M214" s="4980"/>
    </row>
    <row r="215" spans="2:13" x14ac:dyDescent="0.2">
      <c r="B215" s="754"/>
      <c r="C215" s="4965" t="s">
        <v>3923</v>
      </c>
      <c r="D215" s="4966"/>
      <c r="E215" s="4977" t="s">
        <v>3924</v>
      </c>
      <c r="F215" s="4977"/>
      <c r="G215" s="4977"/>
      <c r="H215" s="4977"/>
      <c r="I215" s="4977"/>
      <c r="J215" s="4977"/>
      <c r="K215" s="736" t="s">
        <v>2310</v>
      </c>
      <c r="L215" s="4973">
        <v>6</v>
      </c>
      <c r="M215" s="4974"/>
    </row>
    <row r="216" spans="2:13" x14ac:dyDescent="0.2">
      <c r="B216" s="754"/>
      <c r="C216" s="4965" t="s">
        <v>3925</v>
      </c>
      <c r="D216" s="4966"/>
      <c r="E216" s="4977" t="str">
        <f>"Controlar llamas de intensidades no superiores a "&amp;Sheele!G15/2&amp;". Puede atacar con ellas."</f>
        <v>Controlar llamas de intensidades no superiores a 4. Puede atacar con ellas.</v>
      </c>
      <c r="F216" s="4978"/>
      <c r="G216" s="4978"/>
      <c r="H216" s="4978"/>
      <c r="I216" s="4978"/>
      <c r="J216" s="4978"/>
      <c r="K216" s="736" t="s">
        <v>2310</v>
      </c>
      <c r="L216" s="4973"/>
      <c r="M216" s="4974"/>
    </row>
    <row r="217" spans="2:13" x14ac:dyDescent="0.2">
      <c r="B217" s="701"/>
      <c r="C217" s="4946" t="s">
        <v>3914</v>
      </c>
      <c r="D217" s="4976"/>
      <c r="E217" s="4977"/>
      <c r="F217" s="4978"/>
      <c r="G217" s="4978"/>
      <c r="H217" s="4978"/>
      <c r="I217" s="4978"/>
      <c r="J217" s="4978"/>
      <c r="K217" s="736"/>
      <c r="L217" s="4946"/>
      <c r="M217" s="4981"/>
    </row>
    <row r="218" spans="2:13" x14ac:dyDescent="0.2">
      <c r="B218" s="701"/>
      <c r="C218" s="4946" t="s">
        <v>3914</v>
      </c>
      <c r="D218" s="4976"/>
      <c r="E218" s="4977"/>
      <c r="F218" s="4978"/>
      <c r="G218" s="4978"/>
      <c r="H218" s="4978"/>
      <c r="I218" s="4978"/>
      <c r="J218" s="4978"/>
      <c r="K218" s="736"/>
      <c r="L218" s="4946"/>
      <c r="M218" s="4981"/>
    </row>
    <row r="219" spans="2:13" x14ac:dyDescent="0.2">
      <c r="B219" s="1540"/>
      <c r="C219" s="4967" t="s">
        <v>2575</v>
      </c>
      <c r="D219" s="4968"/>
      <c r="E219" s="1543" t="str">
        <f t="array" ref="E219:H219">TRANSPOSE(C220:D223)</f>
        <v>Vuelo Místico 4</v>
      </c>
      <c r="F219" s="1543" t="str">
        <v>Resistencia</v>
      </c>
      <c r="G219" s="1543" t="str">
        <v xml:space="preserve"> </v>
      </c>
      <c r="H219" s="1543" t="str">
        <v xml:space="preserve"> </v>
      </c>
      <c r="I219" s="1538"/>
      <c r="J219" s="1539"/>
      <c r="K219" s="1537"/>
      <c r="L219" s="4979"/>
      <c r="M219" s="4980"/>
    </row>
    <row r="220" spans="2:13" x14ac:dyDescent="0.2">
      <c r="B220" s="754"/>
      <c r="C220" s="4965" t="s">
        <v>3915</v>
      </c>
      <c r="D220" s="4966"/>
      <c r="E220" s="4977" t="s">
        <v>3916</v>
      </c>
      <c r="F220" s="4977"/>
      <c r="G220" s="4977"/>
      <c r="H220" s="4977"/>
      <c r="I220" s="4977"/>
      <c r="J220" s="4977"/>
      <c r="K220" s="736" t="s">
        <v>2310</v>
      </c>
      <c r="L220" s="4973">
        <v>4</v>
      </c>
      <c r="M220" s="4974"/>
    </row>
    <row r="221" spans="2:13" x14ac:dyDescent="0.2">
      <c r="B221" s="754"/>
      <c r="C221" s="4965" t="s">
        <v>3861</v>
      </c>
      <c r="D221" s="4966"/>
      <c r="E221" s="4977" t="s">
        <v>3926</v>
      </c>
      <c r="F221" s="4978"/>
      <c r="G221" s="4978"/>
      <c r="H221" s="4978"/>
      <c r="I221" s="4978"/>
      <c r="J221" s="4978"/>
      <c r="K221" s="736" t="s">
        <v>2310</v>
      </c>
      <c r="L221" s="4973"/>
      <c r="M221" s="4974"/>
    </row>
    <row r="222" spans="2:13" x14ac:dyDescent="0.2">
      <c r="B222" s="701"/>
      <c r="C222" s="4946" t="s">
        <v>3914</v>
      </c>
      <c r="D222" s="4976"/>
      <c r="E222" s="4977"/>
      <c r="F222" s="4978"/>
      <c r="G222" s="4978"/>
      <c r="H222" s="4978"/>
      <c r="I222" s="4978"/>
      <c r="J222" s="4978"/>
      <c r="K222" s="736"/>
      <c r="L222" s="4946"/>
      <c r="M222" s="4981"/>
    </row>
    <row r="223" spans="2:13" x14ac:dyDescent="0.2">
      <c r="B223" s="701"/>
      <c r="C223" s="4946" t="s">
        <v>3914</v>
      </c>
      <c r="D223" s="4976"/>
      <c r="E223" s="4977"/>
      <c r="F223" s="4978"/>
      <c r="G223" s="4978"/>
      <c r="H223" s="4978"/>
      <c r="I223" s="4978"/>
      <c r="J223" s="4978"/>
      <c r="K223" s="736"/>
      <c r="L223" s="4946"/>
      <c r="M223" s="4981"/>
    </row>
    <row r="224" spans="2:13" x14ac:dyDescent="0.2">
      <c r="B224" s="1540"/>
      <c r="C224" s="4967" t="s">
        <v>2570</v>
      </c>
      <c r="D224" s="4968"/>
      <c r="E224" s="1543" t="str">
        <f t="array" ref="E224:H224">TRANSPOSE(C225:D228)</f>
        <v>Vuelo  Místico 6</v>
      </c>
      <c r="F224" s="1543" t="str">
        <v>Visión de Luz</v>
      </c>
      <c r="G224" s="1543" t="str">
        <v>Luminosa</v>
      </c>
      <c r="H224" s="1543" t="str">
        <v xml:space="preserve"> </v>
      </c>
      <c r="I224" s="1538"/>
      <c r="J224" s="1539"/>
      <c r="K224" s="1537"/>
      <c r="L224" s="4979"/>
      <c r="M224" s="4980"/>
    </row>
    <row r="225" spans="2:13" x14ac:dyDescent="0.2">
      <c r="B225" s="754"/>
      <c r="C225" s="4965" t="s">
        <v>3927</v>
      </c>
      <c r="D225" s="4966"/>
      <c r="E225" s="4977" t="s">
        <v>3924</v>
      </c>
      <c r="F225" s="4977"/>
      <c r="G225" s="4977"/>
      <c r="H225" s="4977"/>
      <c r="I225" s="4977"/>
      <c r="J225" s="4977"/>
      <c r="K225" s="736" t="s">
        <v>2310</v>
      </c>
      <c r="L225" s="4973">
        <v>6</v>
      </c>
      <c r="M225" s="4974"/>
    </row>
    <row r="226" spans="2:13" x14ac:dyDescent="0.2">
      <c r="B226" s="754"/>
      <c r="C226" s="4965" t="s">
        <v>3928</v>
      </c>
      <c r="D226" s="4966"/>
      <c r="E226" s="4977" t="s">
        <v>3929</v>
      </c>
      <c r="F226" s="4978"/>
      <c r="G226" s="4978"/>
      <c r="H226" s="4978"/>
      <c r="I226" s="4978"/>
      <c r="J226" s="4978"/>
      <c r="K226" s="736" t="s">
        <v>2310</v>
      </c>
      <c r="L226" s="4973"/>
      <c r="M226" s="4974"/>
    </row>
    <row r="227" spans="2:13" x14ac:dyDescent="0.2">
      <c r="B227" s="701"/>
      <c r="C227" s="4946" t="s">
        <v>3930</v>
      </c>
      <c r="D227" s="4976"/>
      <c r="E227" s="4977" t="s">
        <v>3931</v>
      </c>
      <c r="F227" s="4978"/>
      <c r="G227" s="4978"/>
      <c r="H227" s="4978"/>
      <c r="I227" s="4978"/>
      <c r="J227" s="4978"/>
      <c r="K227" s="736" t="s">
        <v>2310</v>
      </c>
      <c r="L227" s="4973"/>
      <c r="M227" s="4974"/>
    </row>
    <row r="228" spans="2:13" x14ac:dyDescent="0.2">
      <c r="B228" s="701"/>
      <c r="C228" s="4946" t="s">
        <v>3914</v>
      </c>
      <c r="D228" s="4976"/>
      <c r="E228" s="4977"/>
      <c r="F228" s="4978"/>
      <c r="G228" s="4978"/>
      <c r="H228" s="4978"/>
      <c r="I228" s="4978"/>
      <c r="J228" s="4978"/>
      <c r="K228" s="736"/>
      <c r="L228" s="4946"/>
      <c r="M228" s="4981"/>
    </row>
    <row r="229" spans="2:13" x14ac:dyDescent="0.2">
      <c r="B229" s="1540"/>
      <c r="C229" s="4967" t="s">
        <v>2571</v>
      </c>
      <c r="D229" s="4968"/>
      <c r="E229" s="1543" t="str">
        <f t="array" ref="E229:H229">TRANSPOSE(C230:D233)</f>
        <v>Vuelo Místico 8</v>
      </c>
      <c r="F229" s="1543" t="str">
        <v>Visión oscura</v>
      </c>
      <c r="G229" s="1543" t="str">
        <v>Invisible en la Sombra</v>
      </c>
      <c r="H229" s="1543" t="str">
        <v xml:space="preserve"> </v>
      </c>
      <c r="I229" s="1538"/>
      <c r="J229" s="1539"/>
      <c r="K229" s="1537"/>
      <c r="L229" s="4979"/>
      <c r="M229" s="4980"/>
    </row>
    <row r="230" spans="2:13" x14ac:dyDescent="0.2">
      <c r="B230" s="754"/>
      <c r="C230" s="4965" t="s">
        <v>3932</v>
      </c>
      <c r="D230" s="4966"/>
      <c r="E230" s="4977" t="s">
        <v>3933</v>
      </c>
      <c r="F230" s="4977"/>
      <c r="G230" s="4977"/>
      <c r="H230" s="4977"/>
      <c r="I230" s="4977"/>
      <c r="J230" s="4977"/>
      <c r="K230" s="736" t="s">
        <v>2310</v>
      </c>
      <c r="L230" s="4973">
        <v>8</v>
      </c>
      <c r="M230" s="4974"/>
    </row>
    <row r="231" spans="2:13" x14ac:dyDescent="0.2">
      <c r="B231" s="754"/>
      <c r="C231" s="4965" t="s">
        <v>3934</v>
      </c>
      <c r="D231" s="4966"/>
      <c r="E231" s="4977" t="s">
        <v>3935</v>
      </c>
      <c r="F231" s="4978"/>
      <c r="G231" s="4978"/>
      <c r="H231" s="4978"/>
      <c r="I231" s="4978"/>
      <c r="J231" s="4978"/>
      <c r="K231" s="736" t="s">
        <v>2310</v>
      </c>
      <c r="L231" s="4973"/>
      <c r="M231" s="4974"/>
    </row>
    <row r="232" spans="2:13" x14ac:dyDescent="0.2">
      <c r="B232" s="701"/>
      <c r="C232" s="4946" t="s">
        <v>3936</v>
      </c>
      <c r="D232" s="4976"/>
      <c r="E232" s="4977" t="s">
        <v>3937</v>
      </c>
      <c r="F232" s="4978"/>
      <c r="G232" s="4978"/>
      <c r="H232" s="4978"/>
      <c r="I232" s="4978"/>
      <c r="J232" s="4978"/>
      <c r="K232" s="736" t="s">
        <v>2310</v>
      </c>
      <c r="L232" s="4973"/>
      <c r="M232" s="4974"/>
    </row>
    <row r="233" spans="2:13" x14ac:dyDescent="0.2">
      <c r="B233" s="701"/>
      <c r="C233" s="4946" t="s">
        <v>3914</v>
      </c>
      <c r="D233" s="4976"/>
      <c r="E233" s="4977"/>
      <c r="F233" s="4978"/>
      <c r="G233" s="4978"/>
      <c r="H233" s="4978"/>
      <c r="I233" s="4978"/>
      <c r="J233" s="4978"/>
      <c r="K233" s="736"/>
      <c r="L233" s="4946"/>
      <c r="M233" s="4981"/>
    </row>
    <row r="234" spans="2:13" x14ac:dyDescent="0.2">
      <c r="B234" s="1540"/>
      <c r="C234" s="4967" t="s">
        <v>3718</v>
      </c>
      <c r="D234" s="4968"/>
      <c r="E234" s="1543" t="str">
        <f t="array" ref="E234:H234">TRANSPOSE(C235:D238)</f>
        <v>Vuelo Místico 6</v>
      </c>
      <c r="F234" s="1543" t="str">
        <v>Naturaleza Sanadora</v>
      </c>
      <c r="G234" s="1543" t="str">
        <v xml:space="preserve"> </v>
      </c>
      <c r="H234" s="1543" t="str">
        <v xml:space="preserve"> </v>
      </c>
      <c r="I234" s="1538"/>
      <c r="J234" s="1539"/>
      <c r="K234" s="1537"/>
      <c r="L234" s="4979"/>
      <c r="M234" s="4980"/>
    </row>
    <row r="235" spans="2:13" x14ac:dyDescent="0.2">
      <c r="B235" s="754"/>
      <c r="C235" s="4965" t="s">
        <v>3923</v>
      </c>
      <c r="D235" s="4966"/>
      <c r="E235" s="4977" t="s">
        <v>3924</v>
      </c>
      <c r="F235" s="4977"/>
      <c r="G235" s="4977"/>
      <c r="H235" s="4977"/>
      <c r="I235" s="4977"/>
      <c r="J235" s="4977"/>
      <c r="K235" s="736" t="s">
        <v>2310</v>
      </c>
      <c r="L235" s="4973">
        <v>6</v>
      </c>
      <c r="M235" s="4974"/>
    </row>
    <row r="236" spans="2:13" x14ac:dyDescent="0.2">
      <c r="B236" s="754"/>
      <c r="C236" s="4965" t="s">
        <v>3938</v>
      </c>
      <c r="D236" s="4966"/>
      <c r="E236" s="4977" t="s">
        <v>3939</v>
      </c>
      <c r="F236" s="4978"/>
      <c r="G236" s="4978"/>
      <c r="H236" s="4978"/>
      <c r="I236" s="4978"/>
      <c r="J236" s="4978"/>
      <c r="K236" s="736" t="s">
        <v>2310</v>
      </c>
      <c r="L236" s="4973"/>
      <c r="M236" s="4974"/>
    </row>
    <row r="237" spans="2:13" x14ac:dyDescent="0.2">
      <c r="B237" s="701"/>
      <c r="C237" s="4946" t="s">
        <v>3914</v>
      </c>
      <c r="D237" s="4976"/>
      <c r="E237" s="4977"/>
      <c r="F237" s="4978"/>
      <c r="G237" s="4978"/>
      <c r="H237" s="4978"/>
      <c r="I237" s="4978"/>
      <c r="J237" s="4978"/>
      <c r="K237" s="736"/>
      <c r="L237" s="4946"/>
      <c r="M237" s="4981"/>
    </row>
    <row r="238" spans="2:13" x14ac:dyDescent="0.2">
      <c r="B238" s="701"/>
      <c r="C238" s="4946" t="s">
        <v>3914</v>
      </c>
      <c r="D238" s="4976"/>
      <c r="E238" s="4977"/>
      <c r="F238" s="4978"/>
      <c r="G238" s="4978"/>
      <c r="H238" s="4978"/>
      <c r="I238" s="4978"/>
      <c r="J238" s="4978"/>
      <c r="K238" s="736"/>
      <c r="L238" s="4946"/>
      <c r="M238" s="4981"/>
    </row>
    <row r="239" spans="2:13" x14ac:dyDescent="0.2">
      <c r="B239" s="1540"/>
      <c r="C239" s="4967" t="s">
        <v>2582</v>
      </c>
      <c r="D239" s="4968"/>
      <c r="E239" s="1543" t="str">
        <f t="array" ref="E239:H239">TRANSPOSE(C240:D243)</f>
        <v>Vuelo Místico 6</v>
      </c>
      <c r="F239" s="1543" t="str">
        <v>La que Todo lo Ve</v>
      </c>
      <c r="G239" s="1543" t="str">
        <v>Destellos de Ilusión</v>
      </c>
      <c r="H239" s="1543" t="str">
        <v xml:space="preserve"> </v>
      </c>
      <c r="I239" s="1538"/>
      <c r="J239" s="1539"/>
      <c r="K239" s="1537"/>
      <c r="L239" s="4979"/>
      <c r="M239" s="4980"/>
    </row>
    <row r="240" spans="2:13" x14ac:dyDescent="0.2">
      <c r="B240" s="754"/>
      <c r="C240" s="4965" t="s">
        <v>3923</v>
      </c>
      <c r="D240" s="4966"/>
      <c r="E240" s="4977" t="s">
        <v>3924</v>
      </c>
      <c r="F240" s="4977"/>
      <c r="G240" s="4977"/>
      <c r="H240" s="4977"/>
      <c r="I240" s="4977"/>
      <c r="J240" s="4977"/>
      <c r="K240" s="736" t="s">
        <v>2310</v>
      </c>
      <c r="L240" s="4973">
        <v>6</v>
      </c>
      <c r="M240" s="4974"/>
    </row>
    <row r="241" spans="2:13" x14ac:dyDescent="0.2">
      <c r="B241" s="754"/>
      <c r="C241" s="4965" t="s">
        <v>3940</v>
      </c>
      <c r="D241" s="4966"/>
      <c r="E241" s="4977" t="s">
        <v>3941</v>
      </c>
      <c r="F241" s="4978"/>
      <c r="G241" s="4978"/>
      <c r="H241" s="4978"/>
      <c r="I241" s="4978"/>
      <c r="J241" s="4978"/>
      <c r="K241" s="736" t="s">
        <v>2310</v>
      </c>
      <c r="L241" s="4973"/>
      <c r="M241" s="4974"/>
    </row>
    <row r="242" spans="2:13" x14ac:dyDescent="0.2">
      <c r="B242" s="701"/>
      <c r="C242" s="4946" t="s">
        <v>3942</v>
      </c>
      <c r="D242" s="4976"/>
      <c r="E242" s="4977" t="s">
        <v>3943</v>
      </c>
      <c r="F242" s="4978"/>
      <c r="G242" s="4978"/>
      <c r="H242" s="4978"/>
      <c r="I242" s="4978"/>
      <c r="J242" s="4978"/>
      <c r="K242" s="736" t="s">
        <v>2310</v>
      </c>
      <c r="L242" s="4973"/>
      <c r="M242" s="4974"/>
    </row>
    <row r="243" spans="2:13" ht="13.5" thickBot="1" x14ac:dyDescent="0.25">
      <c r="B243" s="1535"/>
      <c r="C243" s="4984" t="s">
        <v>3914</v>
      </c>
      <c r="D243" s="4985"/>
      <c r="E243" s="4982"/>
      <c r="F243" s="4983"/>
      <c r="G243" s="4983"/>
      <c r="H243" s="4983"/>
      <c r="I243" s="4983"/>
      <c r="J243" s="4983"/>
      <c r="K243" s="1536"/>
      <c r="L243" s="4984"/>
      <c r="M243" s="4986"/>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H76" sqref="AH76"/>
    </sheetView>
  </sheetViews>
  <sheetFormatPr defaultColWidth="11.42578125" defaultRowHeight="12.75" x14ac:dyDescent="0.2"/>
  <cols>
    <col min="1" max="1" width="3.140625" style="2322" customWidth="1"/>
    <col min="2" max="2" width="4.7109375" style="1233" customWidth="1"/>
    <col min="3" max="3" width="9.5703125" style="1233" customWidth="1"/>
    <col min="4" max="4" width="24" style="1233" customWidth="1"/>
    <col min="5" max="5" width="10.140625" style="1233" customWidth="1"/>
    <col min="6" max="8" width="9.5703125" style="1233" customWidth="1"/>
    <col min="9" max="18" width="17.7109375" style="1233" hidden="1" customWidth="1"/>
    <col min="19" max="19" width="7.28515625" style="1233" customWidth="1"/>
    <col min="20" max="20" width="4.42578125" style="1233" customWidth="1"/>
    <col min="21" max="21" width="4.28515625" style="1233" customWidth="1"/>
    <col min="22" max="22" width="4.28515625" style="2321" customWidth="1"/>
    <col min="23" max="32" width="4.28515625" style="1233" customWidth="1"/>
    <col min="33" max="33" width="6.28515625" style="1233" customWidth="1"/>
    <col min="35" max="35" width="9.5703125" style="2467" customWidth="1"/>
    <col min="36" max="256" width="9.5703125" style="1233" customWidth="1"/>
    <col min="257" max="16384" width="11.42578125" style="1233"/>
  </cols>
  <sheetData>
    <row r="1" spans="1:62" ht="12.75" customHeight="1" x14ac:dyDescent="0.2">
      <c r="A1" s="2322">
        <v>1</v>
      </c>
    </row>
    <row r="2" spans="1:62" ht="12.75" customHeight="1" thickBot="1" x14ac:dyDescent="0.25">
      <c r="A2" s="2322">
        <v>2</v>
      </c>
      <c r="B2" s="1234"/>
      <c r="C2" s="1234"/>
      <c r="S2" s="1239"/>
      <c r="T2" s="1239"/>
      <c r="AL2" s="1239"/>
      <c r="AM2" s="1239"/>
      <c r="AN2" s="1239"/>
      <c r="AO2" s="1239"/>
      <c r="AP2" s="1239"/>
      <c r="AQ2" s="1239"/>
      <c r="AR2" s="1239"/>
      <c r="AS2" s="1239"/>
      <c r="AT2" s="1239"/>
      <c r="AU2" s="1239"/>
      <c r="AV2" s="1239"/>
      <c r="AW2" s="1239"/>
      <c r="AX2" s="1239"/>
      <c r="AY2" s="1239"/>
      <c r="AZ2" s="1239"/>
      <c r="BA2" s="1239"/>
      <c r="BB2" s="1239"/>
      <c r="BC2" s="1239"/>
      <c r="BD2" s="1239"/>
      <c r="BE2" s="1239"/>
      <c r="BF2" s="1239"/>
      <c r="BG2" s="1234"/>
      <c r="BH2" s="1234"/>
      <c r="BI2" s="1234"/>
      <c r="BJ2" s="1234"/>
    </row>
    <row r="3" spans="1:62" ht="12.75" customHeight="1" x14ac:dyDescent="0.2">
      <c r="A3" s="2322">
        <v>3</v>
      </c>
      <c r="B3" s="1238"/>
      <c r="C3" s="2778" t="s">
        <v>8166</v>
      </c>
      <c r="D3" s="2779"/>
      <c r="E3" s="2779"/>
      <c r="F3" s="2779"/>
      <c r="G3" s="2779"/>
      <c r="H3" s="2779"/>
      <c r="I3" s="2779"/>
      <c r="J3" s="2779"/>
      <c r="K3" s="2779"/>
      <c r="L3" s="2779"/>
      <c r="M3" s="2779"/>
      <c r="N3" s="2779"/>
      <c r="O3" s="2779"/>
      <c r="P3" s="2779"/>
      <c r="Q3" s="2779"/>
      <c r="R3" s="2780"/>
      <c r="S3" s="1239"/>
      <c r="T3" s="1239"/>
      <c r="U3" s="4993" t="s">
        <v>9895</v>
      </c>
      <c r="V3" s="4993"/>
      <c r="W3" s="4993"/>
      <c r="X3" s="4993"/>
      <c r="Y3" s="4993"/>
      <c r="Z3" s="4993"/>
      <c r="AA3" s="4993"/>
      <c r="AB3" s="4993"/>
      <c r="AC3" s="4993"/>
      <c r="AD3" s="4993"/>
      <c r="AE3" s="4993"/>
      <c r="AF3" s="4993"/>
      <c r="AG3" s="4993"/>
      <c r="AO3" s="1239"/>
      <c r="AP3" s="1239"/>
      <c r="AQ3" s="1239"/>
      <c r="AR3" s="1239"/>
      <c r="AS3" s="1239"/>
      <c r="AT3" s="1239"/>
      <c r="AU3" s="1239"/>
      <c r="AV3" s="1239"/>
      <c r="AW3" s="1239"/>
      <c r="AX3" s="1239"/>
      <c r="AY3" s="1239"/>
      <c r="AZ3" s="1239"/>
      <c r="BA3" s="1239"/>
      <c r="BB3" s="1239"/>
      <c r="BC3" s="1239"/>
      <c r="BD3" s="1239"/>
      <c r="BE3" s="1239"/>
      <c r="BF3" s="1239"/>
      <c r="BG3" s="1234"/>
      <c r="BH3" s="1234"/>
      <c r="BI3" s="1234"/>
      <c r="BJ3" s="1234"/>
    </row>
    <row r="4" spans="1:62" ht="12.75" customHeight="1" thickBot="1" x14ac:dyDescent="0.25">
      <c r="A4" s="2322">
        <v>4</v>
      </c>
      <c r="B4" s="1238"/>
      <c r="C4" s="2781"/>
      <c r="D4" s="2782"/>
      <c r="E4" s="2782"/>
      <c r="F4" s="2782"/>
      <c r="G4" s="2782"/>
      <c r="H4" s="2782"/>
      <c r="I4" s="2782"/>
      <c r="J4" s="2782"/>
      <c r="K4" s="2782"/>
      <c r="L4" s="2782"/>
      <c r="M4" s="2782"/>
      <c r="N4" s="2782"/>
      <c r="O4" s="2782"/>
      <c r="P4" s="2782"/>
      <c r="Q4" s="2782"/>
      <c r="R4" s="2783"/>
      <c r="S4" s="1244"/>
      <c r="T4" s="1244"/>
      <c r="U4" s="4993"/>
      <c r="V4" s="4993"/>
      <c r="W4" s="4993"/>
      <c r="X4" s="4993"/>
      <c r="Y4" s="4993"/>
      <c r="Z4" s="4993"/>
      <c r="AA4" s="4993"/>
      <c r="AB4" s="4993"/>
      <c r="AC4" s="4993"/>
      <c r="AD4" s="4993"/>
      <c r="AE4" s="4993"/>
      <c r="AF4" s="4993"/>
      <c r="AG4" s="4993"/>
      <c r="AO4" s="4934"/>
      <c r="AP4" s="4934"/>
      <c r="AQ4" s="1244"/>
      <c r="AR4" s="4934"/>
      <c r="AS4" s="4934"/>
      <c r="AT4" s="1244"/>
      <c r="AU4" s="4934"/>
      <c r="AV4" s="4934"/>
      <c r="AW4" s="1244"/>
      <c r="AX4" s="4934"/>
      <c r="AY4" s="4934"/>
      <c r="AZ4" s="1244"/>
      <c r="BA4" s="4934"/>
      <c r="BB4" s="4934"/>
      <c r="BC4" s="1244"/>
      <c r="BD4" s="4934"/>
      <c r="BE4" s="4934"/>
      <c r="BF4" s="1244"/>
      <c r="BG4" s="1234"/>
      <c r="BH4" s="1234"/>
      <c r="BI4" s="1234"/>
      <c r="BJ4" s="1234"/>
    </row>
    <row r="5" spans="1:62" ht="12.75" customHeight="1" x14ac:dyDescent="0.2">
      <c r="A5" s="2322">
        <v>5</v>
      </c>
      <c r="B5" s="4995" t="s">
        <v>9592</v>
      </c>
      <c r="C5" s="1241"/>
      <c r="D5" s="863">
        <v>1</v>
      </c>
      <c r="E5" s="863">
        <v>2</v>
      </c>
      <c r="F5" s="863">
        <v>3</v>
      </c>
      <c r="G5" s="863">
        <v>4</v>
      </c>
      <c r="H5" s="863">
        <v>5</v>
      </c>
      <c r="I5" s="863">
        <v>6</v>
      </c>
      <c r="J5" s="863">
        <v>7</v>
      </c>
      <c r="K5" s="863">
        <v>8</v>
      </c>
      <c r="L5" s="1242">
        <v>9</v>
      </c>
      <c r="M5" s="1242">
        <v>10</v>
      </c>
      <c r="N5" s="1242">
        <v>11</v>
      </c>
      <c r="O5" s="1242">
        <v>12</v>
      </c>
      <c r="P5" s="1242">
        <v>13</v>
      </c>
      <c r="Q5" s="1242">
        <v>14</v>
      </c>
      <c r="R5" s="1243">
        <v>15</v>
      </c>
      <c r="S5" s="4995" t="s">
        <v>9591</v>
      </c>
      <c r="T5" s="1249"/>
      <c r="U5" s="863"/>
      <c r="V5" s="863">
        <v>1</v>
      </c>
      <c r="W5" s="863">
        <v>2</v>
      </c>
      <c r="X5" s="863">
        <v>3</v>
      </c>
      <c r="Y5" s="863">
        <v>4</v>
      </c>
      <c r="Z5" s="863">
        <v>5</v>
      </c>
      <c r="AA5" s="863">
        <v>6</v>
      </c>
      <c r="AB5" s="863">
        <v>7</v>
      </c>
      <c r="AC5" s="863">
        <v>8</v>
      </c>
      <c r="AD5" s="1242">
        <v>9</v>
      </c>
      <c r="AE5" s="1242">
        <v>10</v>
      </c>
      <c r="AF5" s="1242"/>
      <c r="AG5" s="4994" t="s">
        <v>9897</v>
      </c>
      <c r="AO5" s="4941"/>
      <c r="AP5" s="4941"/>
      <c r="AQ5" s="1249"/>
      <c r="AR5" s="4941"/>
      <c r="AS5" s="4941"/>
      <c r="AT5" s="1249"/>
      <c r="AU5" s="4941"/>
      <c r="AV5" s="4941"/>
      <c r="AW5" s="1249"/>
      <c r="AX5" s="4941"/>
      <c r="AY5" s="4941"/>
      <c r="AZ5" s="1249"/>
      <c r="BA5" s="4941"/>
      <c r="BB5" s="4941"/>
      <c r="BC5" s="1249"/>
      <c r="BD5" s="4941"/>
      <c r="BE5" s="4941"/>
      <c r="BF5" s="1249"/>
      <c r="BG5" s="1234"/>
      <c r="BH5" s="1234"/>
      <c r="BI5" s="1234"/>
      <c r="BJ5" s="1234"/>
    </row>
    <row r="6" spans="1:62" ht="12.75" customHeight="1" thickBot="1" x14ac:dyDescent="0.25">
      <c r="A6" s="2322">
        <v>6</v>
      </c>
      <c r="B6" s="4996"/>
      <c r="C6" s="1247"/>
      <c r="D6" s="1248" t="s">
        <v>2296</v>
      </c>
      <c r="E6" s="1248" t="s">
        <v>297</v>
      </c>
      <c r="F6" s="1248" t="s">
        <v>2256</v>
      </c>
      <c r="G6" s="1248" t="s">
        <v>8167</v>
      </c>
      <c r="H6" s="1248" t="s">
        <v>3989</v>
      </c>
      <c r="I6" s="1248" t="s">
        <v>9882</v>
      </c>
      <c r="J6" s="1248" t="s">
        <v>9883</v>
      </c>
      <c r="K6" s="1248" t="s">
        <v>9884</v>
      </c>
      <c r="L6" s="1248" t="s">
        <v>9893</v>
      </c>
      <c r="M6" s="1248" t="s">
        <v>9885</v>
      </c>
      <c r="N6" s="1248" t="s">
        <v>9886</v>
      </c>
      <c r="O6" s="1248" t="s">
        <v>9887</v>
      </c>
      <c r="P6" s="1248" t="s">
        <v>9888</v>
      </c>
      <c r="Q6" s="1248" t="s">
        <v>9889</v>
      </c>
      <c r="R6" s="1281" t="s">
        <v>9890</v>
      </c>
      <c r="S6" s="4996"/>
      <c r="U6" s="709" t="s">
        <v>9894</v>
      </c>
      <c r="V6" s="709" t="s">
        <v>9882</v>
      </c>
      <c r="W6" s="709" t="s">
        <v>9883</v>
      </c>
      <c r="X6" s="709" t="s">
        <v>9884</v>
      </c>
      <c r="Y6" s="709" t="s">
        <v>9893</v>
      </c>
      <c r="Z6" s="709" t="s">
        <v>9885</v>
      </c>
      <c r="AA6" s="709" t="s">
        <v>9886</v>
      </c>
      <c r="AB6" s="709" t="s">
        <v>9887</v>
      </c>
      <c r="AC6" s="709" t="s">
        <v>9888</v>
      </c>
      <c r="AD6" s="709" t="s">
        <v>9889</v>
      </c>
      <c r="AE6" s="709" t="s">
        <v>9890</v>
      </c>
      <c r="AF6" s="709" t="s">
        <v>9896</v>
      </c>
      <c r="AG6" s="4994"/>
      <c r="AH6" s="2944" t="s">
        <v>9089</v>
      </c>
    </row>
    <row r="7" spans="1:62" ht="12.75" customHeight="1" x14ac:dyDescent="0.2">
      <c r="A7" s="2322">
        <v>7</v>
      </c>
      <c r="B7" s="2314">
        <f>IF(OR(S7=0),0,SUM($S$6:S7))</f>
        <v>0</v>
      </c>
      <c r="C7" s="1262"/>
      <c r="D7" s="1263" t="s">
        <v>298</v>
      </c>
      <c r="E7" s="1254"/>
      <c r="F7" s="1255"/>
      <c r="G7" s="1255"/>
      <c r="H7" s="1256"/>
      <c r="I7" s="1254"/>
      <c r="J7" s="1254"/>
      <c r="K7" s="1254"/>
      <c r="L7" s="1254"/>
      <c r="M7" s="1254"/>
      <c r="N7" s="1254"/>
      <c r="O7" s="1254"/>
      <c r="P7" s="1254"/>
      <c r="Q7" s="1254"/>
      <c r="R7" s="1282"/>
      <c r="S7" s="2318">
        <f>S8</f>
        <v>0</v>
      </c>
      <c r="U7" s="1254" t="str">
        <f t="shared" ref="U7:U38" si="0">IF(OR(G7="No",ISNUMBER(SEARCH("&gt;",D7))),"",INDEX($I$6:$R$6,SUMPRODUCT(--(ISNUMBER(SEARCH("Fatiga",$I7:$R7))))+1))</f>
        <v/>
      </c>
      <c r="V7" s="2784"/>
      <c r="W7" s="2784"/>
      <c r="X7" s="2784"/>
      <c r="Y7" s="2784"/>
      <c r="Z7" s="2784"/>
      <c r="AA7" s="2784"/>
      <c r="AB7" s="2784"/>
      <c r="AC7" s="2784"/>
      <c r="AD7" s="2784"/>
      <c r="AE7" s="2784"/>
      <c r="AF7" s="2784">
        <f>IF(ISNUMBER(SEARCH("&gt;",D7)),0,COUNTIF(Psiquicos!$AD$11:$AH$64,D7))</f>
        <v>0</v>
      </c>
      <c r="AG7" s="1254" t="str">
        <f>IF(AF7=0,"",VLOOKUP(D7,Psiquicos!$AD$11:$AK$64,8,FALSE))</f>
        <v/>
      </c>
      <c r="AH7" s="5163"/>
      <c r="AI7" s="2945" t="s">
        <v>298</v>
      </c>
    </row>
    <row r="8" spans="1:62" ht="12.75" customHeight="1" x14ac:dyDescent="0.2">
      <c r="A8" s="2322">
        <v>8</v>
      </c>
      <c r="B8" s="2314">
        <f>IF(OR(S8=0),0,SUM($S$6:S8))</f>
        <v>0</v>
      </c>
      <c r="C8" s="1262"/>
      <c r="D8" s="1263" t="s">
        <v>299</v>
      </c>
      <c r="E8" s="1254" t="s">
        <v>277</v>
      </c>
      <c r="F8" s="1255">
        <v>1</v>
      </c>
      <c r="G8" s="1255" t="s">
        <v>3696</v>
      </c>
      <c r="H8" s="1256" t="s">
        <v>1919</v>
      </c>
      <c r="I8" s="1254" t="s">
        <v>8168</v>
      </c>
      <c r="J8" s="1254" t="s">
        <v>8169</v>
      </c>
      <c r="K8" s="1254" t="s">
        <v>8170</v>
      </c>
      <c r="L8" s="1254" t="s">
        <v>8171</v>
      </c>
      <c r="M8" s="1254" t="s">
        <v>8172</v>
      </c>
      <c r="N8" s="1254" t="s">
        <v>8173</v>
      </c>
      <c r="O8" s="1254" t="s">
        <v>8174</v>
      </c>
      <c r="P8" s="1254" t="s">
        <v>8175</v>
      </c>
      <c r="Q8" s="1254" t="s">
        <v>8176</v>
      </c>
      <c r="R8" s="1282" t="s">
        <v>8177</v>
      </c>
      <c r="S8" s="2316">
        <f>IF(COUNTIF(Psiquicos!$C$25:$E$36,E8)=0,0,1)</f>
        <v>0</v>
      </c>
      <c r="T8" s="1233">
        <f>MATCH(U8,I6:R6)</f>
        <v>9</v>
      </c>
      <c r="U8" s="1254" t="str">
        <f t="shared" si="0"/>
        <v>MED</v>
      </c>
      <c r="V8" s="2784"/>
      <c r="W8" s="2784"/>
      <c r="X8" s="2784" t="str">
        <f t="shared" ref="X8:AE8" si="1">MID(K8,5,LEN(K8))</f>
        <v>10</v>
      </c>
      <c r="Y8" s="2784" t="str">
        <f t="shared" si="1"/>
        <v>30</v>
      </c>
      <c r="Z8" s="2784" t="str">
        <f t="shared" si="1"/>
        <v>50</v>
      </c>
      <c r="AA8" s="2784" t="str">
        <f t="shared" si="1"/>
        <v>80</v>
      </c>
      <c r="AB8" s="2784" t="str">
        <f t="shared" si="1"/>
        <v>120</v>
      </c>
      <c r="AC8" s="2784" t="str">
        <f t="shared" si="1"/>
        <v>160</v>
      </c>
      <c r="AD8" s="2784" t="str">
        <f t="shared" si="1"/>
        <v>200</v>
      </c>
      <c r="AE8" s="2784" t="str">
        <f t="shared" si="1"/>
        <v>240</v>
      </c>
      <c r="AF8" s="2784">
        <f>IF(ISNUMBER(SEARCH("&gt;",D8)),0,COUNTIF(Psiquicos!$AD$11:$AH$64,D8))</f>
        <v>0</v>
      </c>
      <c r="AG8" s="1254" t="str">
        <f>IF(AF8=0,"",VLOOKUP(D8,Psiquicos!$AD$11:$AK$64,8,FALSE))</f>
        <v/>
      </c>
      <c r="AH8" s="5163">
        <f>VALUE(IF('Tablas psiquica'!$AF8&gt;0,INDEX('Tablas psiquica'!$V8:$AE8,MATCH('Tablas psiquica'!$AG8,'Tablas psiquica'!$V$6:$AE$6,0)),0))</f>
        <v>0</v>
      </c>
      <c r="AI8" s="2945" t="s">
        <v>299</v>
      </c>
    </row>
    <row r="9" spans="1:62" ht="12.75" customHeight="1" x14ac:dyDescent="0.2">
      <c r="A9" s="2322">
        <v>9</v>
      </c>
      <c r="B9" s="2314">
        <f>IF(OR(S9=0),0,SUM($S$6:S9))</f>
        <v>0</v>
      </c>
      <c r="C9" s="1262"/>
      <c r="D9" s="1263" t="s">
        <v>300</v>
      </c>
      <c r="E9" s="1254" t="s">
        <v>277</v>
      </c>
      <c r="F9" s="1255">
        <v>1</v>
      </c>
      <c r="G9" s="1255" t="s">
        <v>3696</v>
      </c>
      <c r="H9" s="1256" t="s">
        <v>1918</v>
      </c>
      <c r="I9" s="1254" t="s">
        <v>8168</v>
      </c>
      <c r="J9" s="1254" t="s">
        <v>8169</v>
      </c>
      <c r="K9" s="1254" t="s">
        <v>8178</v>
      </c>
      <c r="L9" s="1254" t="s">
        <v>8179</v>
      </c>
      <c r="M9" s="1254" t="s">
        <v>8180</v>
      </c>
      <c r="N9" s="1254" t="s">
        <v>8181</v>
      </c>
      <c r="O9" s="1254" t="s">
        <v>8182</v>
      </c>
      <c r="P9" s="1254" t="s">
        <v>8183</v>
      </c>
      <c r="Q9" s="1254" t="s">
        <v>8184</v>
      </c>
      <c r="R9" s="1282" t="s">
        <v>8185</v>
      </c>
      <c r="S9" s="2316">
        <f>IF(COUNTIF(Psiquicos!$C$25:$E$36,E9)=0,0,1)</f>
        <v>0</v>
      </c>
      <c r="T9" s="1233" t="e">
        <f>MATCH(VLOOKUP(Psiquicos!AD21,'Tablas psiquica'!$D$7:$U$145,18,FALSE),'Tablas psiquica'!$I$6:$R$6,0)</f>
        <v>#N/A</v>
      </c>
      <c r="U9" s="1254" t="str">
        <f t="shared" si="0"/>
        <v>MED</v>
      </c>
      <c r="V9" s="2784"/>
      <c r="W9" s="2784"/>
      <c r="X9" s="2784"/>
      <c r="Y9" s="2784"/>
      <c r="Z9" s="2784"/>
      <c r="AA9" s="2784"/>
      <c r="AB9" s="2784"/>
      <c r="AC9" s="2784"/>
      <c r="AD9" s="2784"/>
      <c r="AE9" s="2784"/>
      <c r="AF9" s="2784">
        <f>IF(ISNUMBER(SEARCH("&gt;",D9)),0,COUNTIF(Psiquicos!$AD$11:$AH$64,D9))</f>
        <v>0</v>
      </c>
      <c r="AG9" s="1254" t="str">
        <f>IF(AF9=0,"",VLOOKUP(D9,Psiquicos!$AD$11:$AK$64,8,FALSE))</f>
        <v/>
      </c>
      <c r="AH9" s="5163"/>
      <c r="AI9" s="2946" t="s">
        <v>300</v>
      </c>
    </row>
    <row r="10" spans="1:62" ht="12.75" customHeight="1" x14ac:dyDescent="0.2">
      <c r="A10" s="2322">
        <v>10</v>
      </c>
      <c r="B10" s="2314">
        <f>IF(OR(S10=0),0,SUM($S$6:S10))</f>
        <v>0</v>
      </c>
      <c r="C10" s="1262"/>
      <c r="D10" s="1263" t="s">
        <v>301</v>
      </c>
      <c r="E10" s="1254" t="s">
        <v>277</v>
      </c>
      <c r="F10" s="1255">
        <v>1</v>
      </c>
      <c r="G10" s="1255" t="s">
        <v>3696</v>
      </c>
      <c r="H10" s="1256" t="s">
        <v>1918</v>
      </c>
      <c r="I10" s="1254" t="s">
        <v>8168</v>
      </c>
      <c r="J10" s="1254" t="s">
        <v>8169</v>
      </c>
      <c r="K10" s="1254" t="s">
        <v>8186</v>
      </c>
      <c r="L10" s="1254" t="s">
        <v>8187</v>
      </c>
      <c r="M10" s="1254" t="s">
        <v>8188</v>
      </c>
      <c r="N10" s="1254" t="s">
        <v>8189</v>
      </c>
      <c r="O10" s="1254" t="s">
        <v>8190</v>
      </c>
      <c r="P10" s="1254" t="s">
        <v>8191</v>
      </c>
      <c r="Q10" s="1254" t="s">
        <v>8192</v>
      </c>
      <c r="R10" s="1282" t="s">
        <v>8193</v>
      </c>
      <c r="S10" s="2316">
        <f>IF(COUNTIF(Psiquicos!$C$25:$E$36,E10)=0,0,1)</f>
        <v>0</v>
      </c>
      <c r="U10" s="1254" t="str">
        <f t="shared" si="0"/>
        <v>MED</v>
      </c>
      <c r="V10" s="2784"/>
      <c r="W10" s="2784"/>
      <c r="X10" s="2784"/>
      <c r="Y10" s="2784"/>
      <c r="Z10" s="2784"/>
      <c r="AA10" s="2784"/>
      <c r="AB10" s="2784"/>
      <c r="AC10" s="2784"/>
      <c r="AD10" s="2784"/>
      <c r="AE10" s="2784"/>
      <c r="AF10" s="2784">
        <f>IF(ISNUMBER(SEARCH("&gt;",D10)),0,COUNTIF(Psiquicos!$AD$11:$AH$64,D10))</f>
        <v>0</v>
      </c>
      <c r="AG10" s="1254" t="str">
        <f>IF(AF10=0,"",VLOOKUP(D10,Psiquicos!$AD$11:$AK$64,8,FALSE))</f>
        <v/>
      </c>
      <c r="AH10" s="5163"/>
      <c r="AI10" s="2946" t="s">
        <v>301</v>
      </c>
    </row>
    <row r="11" spans="1:62" ht="12.75" customHeight="1" x14ac:dyDescent="0.2">
      <c r="A11" s="2322">
        <v>11</v>
      </c>
      <c r="B11" s="2314">
        <f>IF(OR(S11=0),0,SUM($S$6:S11))</f>
        <v>0</v>
      </c>
      <c r="C11" s="1262"/>
      <c r="D11" s="1263" t="s">
        <v>302</v>
      </c>
      <c r="E11" s="1254" t="s">
        <v>277</v>
      </c>
      <c r="F11" s="1255">
        <v>1</v>
      </c>
      <c r="G11" s="1255" t="s">
        <v>3696</v>
      </c>
      <c r="H11" s="1256" t="s">
        <v>1918</v>
      </c>
      <c r="I11" s="1254" t="s">
        <v>8194</v>
      </c>
      <c r="J11" s="1254" t="s">
        <v>8169</v>
      </c>
      <c r="K11" s="1254" t="s">
        <v>8195</v>
      </c>
      <c r="L11" s="1254" t="s">
        <v>8196</v>
      </c>
      <c r="M11" s="1254" t="s">
        <v>8197</v>
      </c>
      <c r="N11" s="1254" t="s">
        <v>8198</v>
      </c>
      <c r="O11" s="1254" t="s">
        <v>8199</v>
      </c>
      <c r="P11" s="1254" t="s">
        <v>8200</v>
      </c>
      <c r="Q11" s="1254" t="s">
        <v>8201</v>
      </c>
      <c r="R11" s="1282" t="s">
        <v>8202</v>
      </c>
      <c r="S11" s="2316">
        <f>IF(COUNTIF(Psiquicos!$C$25:$E$36,E11)=0,0,1)</f>
        <v>0</v>
      </c>
      <c r="U11" s="1254" t="str">
        <f t="shared" si="0"/>
        <v>MED</v>
      </c>
      <c r="V11" s="2784"/>
      <c r="W11" s="2784"/>
      <c r="X11" s="2784"/>
      <c r="Y11" s="2784"/>
      <c r="Z11" s="2784"/>
      <c r="AA11" s="2784"/>
      <c r="AB11" s="2784"/>
      <c r="AC11" s="2784"/>
      <c r="AD11" s="2784"/>
      <c r="AE11" s="2784"/>
      <c r="AF11" s="2784">
        <f>IF(ISNUMBER(SEARCH("&gt;",D11)),0,COUNTIF(Psiquicos!$AD$11:$AH$64,D11))</f>
        <v>0</v>
      </c>
      <c r="AG11" s="1254" t="str">
        <f>IF(AF11=0,"",VLOOKUP(D11,Psiquicos!$AD$11:$AK$64,8,FALSE))</f>
        <v/>
      </c>
      <c r="AH11" s="5163"/>
      <c r="AI11" s="2946" t="s">
        <v>302</v>
      </c>
    </row>
    <row r="12" spans="1:62" ht="12.75" customHeight="1" x14ac:dyDescent="0.2">
      <c r="A12" s="2322">
        <v>12</v>
      </c>
      <c r="B12" s="2314">
        <f>IF(OR(S12=0),0,SUM($S$6:S12))</f>
        <v>0</v>
      </c>
      <c r="C12" s="1262"/>
      <c r="D12" s="1263" t="s">
        <v>303</v>
      </c>
      <c r="E12" s="1254" t="s">
        <v>277</v>
      </c>
      <c r="F12" s="1255">
        <v>1</v>
      </c>
      <c r="G12" s="1255" t="s">
        <v>3696</v>
      </c>
      <c r="H12" s="1256" t="s">
        <v>1918</v>
      </c>
      <c r="I12" s="1254" t="s">
        <v>8168</v>
      </c>
      <c r="J12" s="1254" t="s">
        <v>8169</v>
      </c>
      <c r="K12" s="1254" t="s">
        <v>8203</v>
      </c>
      <c r="L12" s="1254" t="s">
        <v>8186</v>
      </c>
      <c r="M12" s="1254" t="s">
        <v>8187</v>
      </c>
      <c r="N12" s="1254" t="s">
        <v>8188</v>
      </c>
      <c r="O12" s="1254" t="s">
        <v>8189</v>
      </c>
      <c r="P12" s="1254" t="s">
        <v>8190</v>
      </c>
      <c r="Q12" s="1254" t="s">
        <v>8191</v>
      </c>
      <c r="R12" s="1282" t="s">
        <v>8192</v>
      </c>
      <c r="S12" s="2316">
        <f>IF(COUNTIF(Psiquicos!$C$25:$E$36,E12)=0,0,1)</f>
        <v>0</v>
      </c>
      <c r="U12" s="1254" t="str">
        <f t="shared" si="0"/>
        <v>MED</v>
      </c>
      <c r="V12" s="2784"/>
      <c r="W12" s="2784"/>
      <c r="X12" s="2784"/>
      <c r="Y12" s="2784"/>
      <c r="Z12" s="2784"/>
      <c r="AA12" s="2784"/>
      <c r="AB12" s="2784"/>
      <c r="AC12" s="2784"/>
      <c r="AD12" s="2784"/>
      <c r="AE12" s="2784"/>
      <c r="AF12" s="2784">
        <f>IF(ISNUMBER(SEARCH("&gt;",D12)),0,COUNTIF(Psiquicos!$AD$11:$AH$64,D12))</f>
        <v>0</v>
      </c>
      <c r="AG12" s="1254" t="str">
        <f>IF(AF12=0,"",VLOOKUP(D12,Psiquicos!$AD$11:$AK$64,8,FALSE))</f>
        <v/>
      </c>
      <c r="AH12" s="5163"/>
      <c r="AI12" s="2946" t="s">
        <v>303</v>
      </c>
    </row>
    <row r="13" spans="1:62" ht="12.75" customHeight="1" x14ac:dyDescent="0.2">
      <c r="A13" s="2322">
        <v>13</v>
      </c>
      <c r="B13" s="2314">
        <f>IF(OR(S13=0),0,SUM($S$6:S13))</f>
        <v>0</v>
      </c>
      <c r="C13" s="1262"/>
      <c r="D13" s="1263" t="s">
        <v>304</v>
      </c>
      <c r="E13" s="1254" t="s">
        <v>277</v>
      </c>
      <c r="F13" s="1255">
        <v>1</v>
      </c>
      <c r="G13" s="1255" t="s">
        <v>3696</v>
      </c>
      <c r="H13" s="1256" t="s">
        <v>1918</v>
      </c>
      <c r="I13" s="1254" t="s">
        <v>8204</v>
      </c>
      <c r="J13" s="1254" t="s">
        <v>8168</v>
      </c>
      <c r="K13" s="1254" t="s">
        <v>8203</v>
      </c>
      <c r="L13" s="1254" t="s">
        <v>8186</v>
      </c>
      <c r="M13" s="1254" t="s">
        <v>8187</v>
      </c>
      <c r="N13" s="1254" t="s">
        <v>8188</v>
      </c>
      <c r="O13" s="1254" t="s">
        <v>8189</v>
      </c>
      <c r="P13" s="1254" t="s">
        <v>8190</v>
      </c>
      <c r="Q13" s="1254" t="s">
        <v>8191</v>
      </c>
      <c r="R13" s="1282" t="s">
        <v>8192</v>
      </c>
      <c r="S13" s="2316">
        <f>IF(COUNTIF(Psiquicos!$C$25:$E$36,E13)=0,0,1)</f>
        <v>0</v>
      </c>
      <c r="U13" s="1254" t="str">
        <f t="shared" si="0"/>
        <v>MED</v>
      </c>
      <c r="V13" s="2784"/>
      <c r="W13" s="2784"/>
      <c r="X13" s="2784"/>
      <c r="Y13" s="2784"/>
      <c r="Z13" s="2784"/>
      <c r="AA13" s="2784"/>
      <c r="AB13" s="2784"/>
      <c r="AC13" s="2784"/>
      <c r="AD13" s="2784"/>
      <c r="AE13" s="2784"/>
      <c r="AF13" s="2784">
        <f>IF(ISNUMBER(SEARCH("&gt;",D13)),0,COUNTIF(Psiquicos!$AD$11:$AH$64,D13))</f>
        <v>0</v>
      </c>
      <c r="AG13" s="1254" t="str">
        <f>IF(AF13=0,"",VLOOKUP(D13,Psiquicos!$AD$11:$AK$64,8,FALSE))</f>
        <v/>
      </c>
      <c r="AH13" s="5163"/>
      <c r="AI13" s="2946" t="s">
        <v>304</v>
      </c>
    </row>
    <row r="14" spans="1:62" ht="12.75" customHeight="1" x14ac:dyDescent="0.2">
      <c r="A14" s="2322">
        <v>14</v>
      </c>
      <c r="B14" s="2314">
        <f>IF(OR(S14=0),0,SUM($S$6:S14))</f>
        <v>0</v>
      </c>
      <c r="C14" s="1262"/>
      <c r="D14" s="1263" t="s">
        <v>305</v>
      </c>
      <c r="E14" s="1254" t="s">
        <v>277</v>
      </c>
      <c r="F14" s="1255">
        <v>2</v>
      </c>
      <c r="G14" s="1255" t="s">
        <v>3696</v>
      </c>
      <c r="H14" s="1256" t="s">
        <v>1918</v>
      </c>
      <c r="I14" s="1254" t="s">
        <v>8205</v>
      </c>
      <c r="J14" s="1254" t="s">
        <v>8204</v>
      </c>
      <c r="K14" s="1254" t="s">
        <v>8168</v>
      </c>
      <c r="L14" s="1254" t="s">
        <v>8186</v>
      </c>
      <c r="M14" s="1254" t="s">
        <v>8187</v>
      </c>
      <c r="N14" s="1254" t="s">
        <v>8188</v>
      </c>
      <c r="O14" s="1254" t="s">
        <v>8189</v>
      </c>
      <c r="P14" s="1254" t="s">
        <v>8190</v>
      </c>
      <c r="Q14" s="1254" t="s">
        <v>8191</v>
      </c>
      <c r="R14" s="1282" t="s">
        <v>8193</v>
      </c>
      <c r="S14" s="2316">
        <f>IF(COUNTIF(Psiquicos!$C$25:$E$36,E14)=0,0,1)</f>
        <v>0</v>
      </c>
      <c r="U14" s="1254" t="str">
        <f t="shared" si="0"/>
        <v>DIF</v>
      </c>
      <c r="V14" s="2784"/>
      <c r="W14" s="2784"/>
      <c r="X14" s="2784"/>
      <c r="Y14" s="2784"/>
      <c r="Z14" s="2784"/>
      <c r="AA14" s="2784"/>
      <c r="AB14" s="2784"/>
      <c r="AC14" s="2784"/>
      <c r="AD14" s="2784"/>
      <c r="AE14" s="2784"/>
      <c r="AF14" s="2784">
        <f>IF(ISNUMBER(SEARCH("&gt;",D14)),0,COUNTIF(Psiquicos!$AD$11:$AH$64,D14))</f>
        <v>0</v>
      </c>
      <c r="AG14" s="1254" t="str">
        <f>IF(AF14=0,"",VLOOKUP(D14,Psiquicos!$AD$11:$AK$64,8,FALSE))</f>
        <v/>
      </c>
      <c r="AH14" s="5163"/>
      <c r="AI14" s="2946" t="s">
        <v>305</v>
      </c>
    </row>
    <row r="15" spans="1:62" ht="12.75" customHeight="1" x14ac:dyDescent="0.2">
      <c r="A15" s="2322">
        <v>15</v>
      </c>
      <c r="B15" s="2314">
        <f>IF(OR(S15=0),0,SUM($S$6:S15))</f>
        <v>0</v>
      </c>
      <c r="C15" s="1262"/>
      <c r="D15" s="1263" t="s">
        <v>306</v>
      </c>
      <c r="E15" s="1254" t="s">
        <v>277</v>
      </c>
      <c r="F15" s="1255">
        <v>2</v>
      </c>
      <c r="G15" s="1255" t="s">
        <v>2234</v>
      </c>
      <c r="H15" s="1256" t="s">
        <v>1918</v>
      </c>
      <c r="I15" s="1254" t="s">
        <v>8206</v>
      </c>
      <c r="J15" s="1254" t="s">
        <v>8204</v>
      </c>
      <c r="K15" s="1254" t="s">
        <v>8168</v>
      </c>
      <c r="L15" s="1254" t="s">
        <v>8187</v>
      </c>
      <c r="M15" s="1254" t="s">
        <v>8188</v>
      </c>
      <c r="N15" s="1254" t="s">
        <v>8189</v>
      </c>
      <c r="O15" s="1254" t="s">
        <v>8190</v>
      </c>
      <c r="P15" s="1254" t="s">
        <v>8191</v>
      </c>
      <c r="Q15" s="1254" t="s">
        <v>8192</v>
      </c>
      <c r="R15" s="1282" t="s">
        <v>8207</v>
      </c>
      <c r="S15" s="2316">
        <f>IF(COUNTIF(Psiquicos!$C$25:$E$36,E15)=0,0,1)</f>
        <v>0</v>
      </c>
      <c r="U15" s="1254" t="str">
        <f t="shared" si="0"/>
        <v/>
      </c>
      <c r="V15" s="2784"/>
      <c r="W15" s="2784"/>
      <c r="X15" s="2784"/>
      <c r="Y15" s="2784"/>
      <c r="Z15" s="2784"/>
      <c r="AA15" s="2784"/>
      <c r="AB15" s="2784"/>
      <c r="AC15" s="2784"/>
      <c r="AD15" s="2784"/>
      <c r="AE15" s="2784"/>
      <c r="AF15" s="2784">
        <f>IF(ISNUMBER(SEARCH("&gt;",D15)),0,COUNTIF(Psiquicos!$AD$11:$AH$64,D15))</f>
        <v>0</v>
      </c>
      <c r="AG15" s="1254" t="str">
        <f>IF(AF15=0,"",VLOOKUP(D15,Psiquicos!$AD$11:$AK$64,8,FALSE))</f>
        <v/>
      </c>
      <c r="AH15" s="5163"/>
      <c r="AI15" s="2946" t="s">
        <v>306</v>
      </c>
    </row>
    <row r="16" spans="1:62" ht="12.75" customHeight="1" x14ac:dyDescent="0.2">
      <c r="A16" s="2322">
        <v>16</v>
      </c>
      <c r="B16" s="2314">
        <f>IF(OR(S16=0),0,SUM($S$6:S16))</f>
        <v>0</v>
      </c>
      <c r="C16" s="1262"/>
      <c r="D16" s="1263" t="s">
        <v>307</v>
      </c>
      <c r="E16" s="1254" t="s">
        <v>277</v>
      </c>
      <c r="F16" s="1255">
        <v>2</v>
      </c>
      <c r="G16" s="1255" t="s">
        <v>3696</v>
      </c>
      <c r="H16" s="1256" t="s">
        <v>1918</v>
      </c>
      <c r="I16" s="1254" t="s">
        <v>8205</v>
      </c>
      <c r="J16" s="1254" t="s">
        <v>8204</v>
      </c>
      <c r="K16" s="1254" t="s">
        <v>8168</v>
      </c>
      <c r="L16" s="1254" t="s">
        <v>8178</v>
      </c>
      <c r="M16" s="1254" t="s">
        <v>8179</v>
      </c>
      <c r="N16" s="1254" t="s">
        <v>8180</v>
      </c>
      <c r="O16" s="1254" t="s">
        <v>8181</v>
      </c>
      <c r="P16" s="1254" t="s">
        <v>8182</v>
      </c>
      <c r="Q16" s="1254" t="s">
        <v>8183</v>
      </c>
      <c r="R16" s="1282" t="s">
        <v>8185</v>
      </c>
      <c r="S16" s="2316">
        <f>IF(COUNTIF(Psiquicos!$C$25:$E$36,E16)=0,0,1)</f>
        <v>0</v>
      </c>
      <c r="U16" s="1254" t="str">
        <f t="shared" si="0"/>
        <v>DIF</v>
      </c>
      <c r="V16" s="2784"/>
      <c r="W16" s="2784"/>
      <c r="X16" s="2784"/>
      <c r="Y16" s="2784"/>
      <c r="Z16" s="2784"/>
      <c r="AA16" s="2784"/>
      <c r="AB16" s="2784"/>
      <c r="AC16" s="2784"/>
      <c r="AD16" s="2784"/>
      <c r="AE16" s="2784"/>
      <c r="AF16" s="2784">
        <f>IF(ISNUMBER(SEARCH("&gt;",D16)),0,COUNTIF(Psiquicos!$AD$11:$AH$64,D16))</f>
        <v>0</v>
      </c>
      <c r="AG16" s="1254" t="str">
        <f>IF(AF16=0,"",VLOOKUP(D16,Psiquicos!$AD$11:$AK$64,8,FALSE))</f>
        <v/>
      </c>
      <c r="AH16" s="5163"/>
      <c r="AI16" s="2946" t="s">
        <v>307</v>
      </c>
    </row>
    <row r="17" spans="1:35" ht="12.75" customHeight="1" x14ac:dyDescent="0.2">
      <c r="A17" s="2322">
        <v>17</v>
      </c>
      <c r="B17" s="2314">
        <f>IF(OR(S17=0),0,SUM($S$6:S17))</f>
        <v>0</v>
      </c>
      <c r="C17" s="1262"/>
      <c r="D17" s="1263" t="s">
        <v>308</v>
      </c>
      <c r="E17" s="1254" t="s">
        <v>277</v>
      </c>
      <c r="F17" s="1255">
        <v>2</v>
      </c>
      <c r="G17" s="1255" t="s">
        <v>2234</v>
      </c>
      <c r="H17" s="1256" t="s">
        <v>1918</v>
      </c>
      <c r="I17" s="1254" t="s">
        <v>8206</v>
      </c>
      <c r="J17" s="1254" t="s">
        <v>8205</v>
      </c>
      <c r="K17" s="1254" t="s">
        <v>8204</v>
      </c>
      <c r="L17" s="1254" t="s">
        <v>8168</v>
      </c>
      <c r="M17" s="1254" t="s">
        <v>8186</v>
      </c>
      <c r="N17" s="1254" t="s">
        <v>8187</v>
      </c>
      <c r="O17" s="1254" t="s">
        <v>8188</v>
      </c>
      <c r="P17" s="1254" t="s">
        <v>8189</v>
      </c>
      <c r="Q17" s="1254" t="s">
        <v>8190</v>
      </c>
      <c r="R17" s="1282" t="s">
        <v>8191</v>
      </c>
      <c r="S17" s="2316">
        <f>IF(COUNTIF(Psiquicos!$C$25:$E$36,E17)=0,0,1)</f>
        <v>0</v>
      </c>
      <c r="U17" s="1254" t="str">
        <f t="shared" si="0"/>
        <v/>
      </c>
      <c r="V17" s="2784"/>
      <c r="W17" s="2784"/>
      <c r="X17" s="2784"/>
      <c r="Y17" s="2784"/>
      <c r="Z17" s="2784"/>
      <c r="AA17" s="2784"/>
      <c r="AB17" s="2784"/>
      <c r="AC17" s="2784"/>
      <c r="AD17" s="2784"/>
      <c r="AE17" s="2784"/>
      <c r="AF17" s="2784">
        <f>IF(ISNUMBER(SEARCH("&gt;",D17)),0,COUNTIF(Psiquicos!$AD$11:$AH$64,D17))</f>
        <v>0</v>
      </c>
      <c r="AG17" s="1254" t="str">
        <f>IF(AF17=0,"",VLOOKUP(D17,Psiquicos!$AD$11:$AK$64,8,FALSE))</f>
        <v/>
      </c>
      <c r="AH17" s="5163"/>
      <c r="AI17" s="2946" t="s">
        <v>308</v>
      </c>
    </row>
    <row r="18" spans="1:35" ht="12.75" customHeight="1" x14ac:dyDescent="0.2">
      <c r="A18" s="2322">
        <v>18</v>
      </c>
      <c r="B18" s="2314">
        <f>IF(OR(S18=0),0,SUM($S$6:S18))</f>
        <v>0</v>
      </c>
      <c r="C18" s="1262"/>
      <c r="D18" s="1263" t="s">
        <v>309</v>
      </c>
      <c r="E18" s="1254" t="s">
        <v>277</v>
      </c>
      <c r="F18" s="1255">
        <v>2</v>
      </c>
      <c r="G18" s="1255" t="s">
        <v>3696</v>
      </c>
      <c r="H18" s="1256" t="s">
        <v>1918</v>
      </c>
      <c r="I18" s="1254" t="s">
        <v>8206</v>
      </c>
      <c r="J18" s="1254" t="s">
        <v>8205</v>
      </c>
      <c r="K18" s="1254" t="s">
        <v>8204</v>
      </c>
      <c r="L18" s="1254" t="s">
        <v>8168</v>
      </c>
      <c r="M18" s="1254" t="s">
        <v>8208</v>
      </c>
      <c r="N18" s="1254" t="s">
        <v>8209</v>
      </c>
      <c r="O18" s="1254" t="s">
        <v>8210</v>
      </c>
      <c r="P18" s="1254" t="s">
        <v>8211</v>
      </c>
      <c r="Q18" s="1254" t="s">
        <v>8212</v>
      </c>
      <c r="R18" s="1282" t="s">
        <v>8185</v>
      </c>
      <c r="S18" s="2316">
        <f>IF(COUNTIF(Psiquicos!$C$25:$E$36,E18)=0,0,1)</f>
        <v>0</v>
      </c>
      <c r="U18" s="1254" t="str">
        <f t="shared" si="0"/>
        <v>MDF</v>
      </c>
      <c r="V18" s="2784"/>
      <c r="W18" s="2784"/>
      <c r="X18" s="2784"/>
      <c r="Y18" s="2784"/>
      <c r="Z18" s="2784"/>
      <c r="AA18" s="2784"/>
      <c r="AB18" s="2784"/>
      <c r="AC18" s="2784"/>
      <c r="AD18" s="2784"/>
      <c r="AE18" s="2784"/>
      <c r="AF18" s="2784">
        <f>IF(ISNUMBER(SEARCH("&gt;",D18)),0,COUNTIF(Psiquicos!$AD$11:$AH$64,D18))</f>
        <v>0</v>
      </c>
      <c r="AG18" s="1254" t="str">
        <f>IF(AF18=0,"",VLOOKUP(D18,Psiquicos!$AD$11:$AK$64,8,FALSE))</f>
        <v/>
      </c>
      <c r="AH18" s="5163"/>
      <c r="AI18" s="2946" t="s">
        <v>309</v>
      </c>
    </row>
    <row r="19" spans="1:35" ht="12.75" customHeight="1" x14ac:dyDescent="0.2">
      <c r="A19" s="2322">
        <v>19</v>
      </c>
      <c r="B19" s="2314">
        <f>IF(OR(S19=0),0,SUM($S$6:S19))</f>
        <v>0</v>
      </c>
      <c r="C19" s="1262"/>
      <c r="D19" s="1263" t="s">
        <v>310</v>
      </c>
      <c r="E19" s="1254" t="s">
        <v>277</v>
      </c>
      <c r="F19" s="1255">
        <v>2</v>
      </c>
      <c r="G19" s="1255" t="s">
        <v>3696</v>
      </c>
      <c r="H19" s="1256" t="s">
        <v>1918</v>
      </c>
      <c r="I19" s="1254" t="s">
        <v>8206</v>
      </c>
      <c r="J19" s="1254" t="s">
        <v>8205</v>
      </c>
      <c r="K19" s="1254" t="s">
        <v>8204</v>
      </c>
      <c r="L19" s="1254" t="s">
        <v>8168</v>
      </c>
      <c r="M19" s="1254" t="s">
        <v>8213</v>
      </c>
      <c r="N19" s="1254" t="s">
        <v>8214</v>
      </c>
      <c r="O19" s="1254" t="s">
        <v>8215</v>
      </c>
      <c r="P19" s="1254" t="s">
        <v>8216</v>
      </c>
      <c r="Q19" s="1254" t="s">
        <v>8217</v>
      </c>
      <c r="R19" s="1282" t="s">
        <v>8218</v>
      </c>
      <c r="S19" s="2316">
        <f>IF(COUNTIF(Psiquicos!$C$25:$E$36,E19)=0,0,1)</f>
        <v>0</v>
      </c>
      <c r="U19" s="1254" t="str">
        <f t="shared" si="0"/>
        <v>MDF</v>
      </c>
      <c r="V19" s="2784"/>
      <c r="W19" s="2784"/>
      <c r="X19" s="2784"/>
      <c r="Y19" s="2784"/>
      <c r="Z19" s="2784"/>
      <c r="AA19" s="2784"/>
      <c r="AB19" s="2784"/>
      <c r="AC19" s="2784"/>
      <c r="AD19" s="2784"/>
      <c r="AE19" s="2784"/>
      <c r="AF19" s="2784">
        <f>IF(ISNUMBER(SEARCH("&gt;",D19)),0,COUNTIF(Psiquicos!$AD$11:$AH$64,D19))</f>
        <v>0</v>
      </c>
      <c r="AG19" s="1254" t="str">
        <f>IF(AF19=0,"",VLOOKUP(D19,Psiquicos!$AD$11:$AK$64,8,FALSE))</f>
        <v/>
      </c>
      <c r="AH19" s="5163"/>
      <c r="AI19" s="2946" t="s">
        <v>310</v>
      </c>
    </row>
    <row r="20" spans="1:35" ht="12.75" customHeight="1" x14ac:dyDescent="0.2">
      <c r="A20" s="2322">
        <v>20</v>
      </c>
      <c r="B20" s="2314">
        <f>IF(OR(S20=0),0,SUM($S$6:S20))</f>
        <v>0</v>
      </c>
      <c r="C20" s="1262"/>
      <c r="D20" s="1263" t="s">
        <v>311</v>
      </c>
      <c r="E20" s="1254" t="s">
        <v>277</v>
      </c>
      <c r="F20" s="1255">
        <v>3</v>
      </c>
      <c r="G20" s="1255" t="s">
        <v>3696</v>
      </c>
      <c r="H20" s="1256" t="s">
        <v>1918</v>
      </c>
      <c r="I20" s="1254" t="s">
        <v>8219</v>
      </c>
      <c r="J20" s="1254" t="s">
        <v>8206</v>
      </c>
      <c r="K20" s="1254" t="s">
        <v>8205</v>
      </c>
      <c r="L20" s="1254" t="s">
        <v>8204</v>
      </c>
      <c r="M20" s="1254" t="s">
        <v>8186</v>
      </c>
      <c r="N20" s="1254" t="s">
        <v>8187</v>
      </c>
      <c r="O20" s="1254" t="s">
        <v>8188</v>
      </c>
      <c r="P20" s="1254" t="s">
        <v>8189</v>
      </c>
      <c r="Q20" s="1254" t="s">
        <v>8190</v>
      </c>
      <c r="R20" s="1282" t="s">
        <v>8192</v>
      </c>
      <c r="S20" s="2316">
        <f>IF(COUNTIF(Psiquicos!$C$25:$E$36,E20)=0,0,1)</f>
        <v>0</v>
      </c>
      <c r="U20" s="1254" t="str">
        <f t="shared" si="0"/>
        <v>MDF</v>
      </c>
      <c r="V20" s="2784"/>
      <c r="W20" s="2784"/>
      <c r="X20" s="2784"/>
      <c r="Y20" s="2784"/>
      <c r="Z20" s="2784"/>
      <c r="AA20" s="2784"/>
      <c r="AB20" s="2784"/>
      <c r="AC20" s="2784"/>
      <c r="AD20" s="2784"/>
      <c r="AE20" s="2784"/>
      <c r="AF20" s="2784">
        <f>IF(ISNUMBER(SEARCH("&gt;",D20)),0,COUNTIF(Psiquicos!$AD$11:$AH$64,D20))</f>
        <v>0</v>
      </c>
      <c r="AG20" s="1254" t="str">
        <f>IF(AF20=0,"",VLOOKUP(D20,Psiquicos!$AD$11:$AK$64,8,FALSE))</f>
        <v/>
      </c>
      <c r="AH20" s="5163"/>
      <c r="AI20" s="2946" t="s">
        <v>311</v>
      </c>
    </row>
    <row r="21" spans="1:35" ht="12.75" customHeight="1" x14ac:dyDescent="0.2">
      <c r="A21" s="2322">
        <v>21</v>
      </c>
      <c r="B21" s="2314">
        <f>IF(OR(S21=0),0,SUM($S$6:S21))</f>
        <v>0</v>
      </c>
      <c r="C21" s="1262"/>
      <c r="D21" s="1263" t="s">
        <v>312</v>
      </c>
      <c r="E21" s="1254" t="s">
        <v>277</v>
      </c>
      <c r="F21" s="1255">
        <v>3</v>
      </c>
      <c r="G21" s="1255" t="s">
        <v>2234</v>
      </c>
      <c r="H21" s="1256" t="s">
        <v>1918</v>
      </c>
      <c r="I21" s="1254" t="s">
        <v>8220</v>
      </c>
      <c r="J21" s="1254" t="s">
        <v>8219</v>
      </c>
      <c r="K21" s="1254" t="s">
        <v>8206</v>
      </c>
      <c r="L21" s="1254" t="s">
        <v>8205</v>
      </c>
      <c r="M21" s="1254" t="s">
        <v>8204</v>
      </c>
      <c r="N21" s="1254" t="s">
        <v>8188</v>
      </c>
      <c r="O21" s="1254" t="s">
        <v>8189</v>
      </c>
      <c r="P21" s="1254" t="s">
        <v>8190</v>
      </c>
      <c r="Q21" s="1254" t="s">
        <v>8192</v>
      </c>
      <c r="R21" s="1282" t="s">
        <v>8193</v>
      </c>
      <c r="S21" s="2316">
        <f>IF(COUNTIF(Psiquicos!$C$25:$E$36,E21)=0,0,1)</f>
        <v>0</v>
      </c>
      <c r="U21" s="1254" t="str">
        <f t="shared" si="0"/>
        <v/>
      </c>
      <c r="V21" s="2784"/>
      <c r="W21" s="2784"/>
      <c r="X21" s="2784"/>
      <c r="Y21" s="2784"/>
      <c r="Z21" s="2784"/>
      <c r="AA21" s="2784"/>
      <c r="AB21" s="2784"/>
      <c r="AC21" s="2784"/>
      <c r="AD21" s="2784"/>
      <c r="AE21" s="2784"/>
      <c r="AF21" s="2784">
        <f>IF(ISNUMBER(SEARCH("&gt;",D21)),0,COUNTIF(Psiquicos!$AD$11:$AH$64,D21))</f>
        <v>0</v>
      </c>
      <c r="AG21" s="1254" t="str">
        <f>IF(AF21=0,"",VLOOKUP(D21,Psiquicos!$AD$11:$AK$64,8,FALSE))</f>
        <v/>
      </c>
      <c r="AH21" s="5163"/>
      <c r="AI21" s="2946" t="s">
        <v>312</v>
      </c>
    </row>
    <row r="22" spans="1:35" ht="12.75" customHeight="1" x14ac:dyDescent="0.2">
      <c r="A22" s="2322">
        <v>22</v>
      </c>
      <c r="B22" s="2314">
        <f>IF(OR(S22=0),0,SUM($S$6:S22))</f>
        <v>0</v>
      </c>
      <c r="C22" s="1262"/>
      <c r="D22" s="1263" t="s">
        <v>313</v>
      </c>
      <c r="E22" s="1254" t="s">
        <v>277</v>
      </c>
      <c r="F22" s="1255">
        <v>3</v>
      </c>
      <c r="G22" s="1255" t="s">
        <v>3696</v>
      </c>
      <c r="H22" s="1256" t="s">
        <v>1918</v>
      </c>
      <c r="I22" s="1254" t="s">
        <v>8220</v>
      </c>
      <c r="J22" s="1254" t="s">
        <v>8219</v>
      </c>
      <c r="K22" s="1254" t="s">
        <v>8206</v>
      </c>
      <c r="L22" s="1254" t="s">
        <v>8204</v>
      </c>
      <c r="M22" s="1254" t="s">
        <v>8221</v>
      </c>
      <c r="N22" s="1254" t="s">
        <v>8178</v>
      </c>
      <c r="O22" s="1254" t="s">
        <v>8180</v>
      </c>
      <c r="P22" s="1254" t="s">
        <v>8181</v>
      </c>
      <c r="Q22" s="1254" t="s">
        <v>8182</v>
      </c>
      <c r="R22" s="1282" t="s">
        <v>8222</v>
      </c>
      <c r="S22" s="2316">
        <f>IF(COUNTIF(Psiquicos!$C$25:$E$36,E22)=0,0,1)</f>
        <v>0</v>
      </c>
      <c r="U22" s="1254" t="str">
        <f t="shared" si="0"/>
        <v>MDF</v>
      </c>
      <c r="V22" s="2784"/>
      <c r="W22" s="2784"/>
      <c r="X22" s="2784"/>
      <c r="Y22" s="2784"/>
      <c r="Z22" s="2784"/>
      <c r="AA22" s="2784"/>
      <c r="AB22" s="2784"/>
      <c r="AC22" s="2784"/>
      <c r="AD22" s="2784"/>
      <c r="AE22" s="2784"/>
      <c r="AF22" s="2784">
        <f>IF(ISNUMBER(SEARCH("&gt;",D22)),0,COUNTIF(Psiquicos!$AD$11:$AH$64,D22))</f>
        <v>0</v>
      </c>
      <c r="AG22" s="1254" t="str">
        <f>IF(AF22=0,"",VLOOKUP(D22,Psiquicos!$AD$11:$AK$64,8,FALSE))</f>
        <v/>
      </c>
      <c r="AH22" s="5163"/>
      <c r="AI22" s="2946" t="s">
        <v>313</v>
      </c>
    </row>
    <row r="23" spans="1:35" ht="12.75" customHeight="1" x14ac:dyDescent="0.2">
      <c r="A23" s="2322">
        <v>23</v>
      </c>
      <c r="B23" s="2314">
        <f>IF(OR(S23=0),0,SUM($S$6:S23))</f>
        <v>1</v>
      </c>
      <c r="C23" s="1262"/>
      <c r="D23" s="1263" t="s">
        <v>314</v>
      </c>
      <c r="E23" s="1254"/>
      <c r="F23" s="1255"/>
      <c r="G23" s="1255"/>
      <c r="H23" s="1256"/>
      <c r="I23" s="1254"/>
      <c r="J23" s="1254"/>
      <c r="K23" s="1254"/>
      <c r="L23" s="1254"/>
      <c r="M23" s="1254"/>
      <c r="N23" s="1254"/>
      <c r="O23" s="1254"/>
      <c r="P23" s="1254"/>
      <c r="Q23" s="1254"/>
      <c r="R23" s="1282"/>
      <c r="S23" s="2316">
        <f>S24</f>
        <v>1</v>
      </c>
      <c r="U23" s="1254" t="str">
        <f t="shared" si="0"/>
        <v/>
      </c>
      <c r="V23" s="2784"/>
      <c r="W23" s="2784"/>
      <c r="X23" s="2784"/>
      <c r="Y23" s="2784"/>
      <c r="Z23" s="2784"/>
      <c r="AA23" s="2784"/>
      <c r="AB23" s="2784"/>
      <c r="AC23" s="2784"/>
      <c r="AD23" s="2784"/>
      <c r="AE23" s="2784"/>
      <c r="AF23" s="2784">
        <f>IF(ISNUMBER(SEARCH("&gt;",D23)),0,COUNTIF(Psiquicos!$AD$11:$AH$64,D23))</f>
        <v>0</v>
      </c>
      <c r="AG23" s="1254" t="str">
        <f>IF(AF23=0,"",VLOOKUP(D23,Psiquicos!$AD$11:$AK$64,8,FALSE))</f>
        <v/>
      </c>
      <c r="AH23" s="5163"/>
      <c r="AI23" s="2946" t="s">
        <v>314</v>
      </c>
    </row>
    <row r="24" spans="1:35" ht="12.75" customHeight="1" x14ac:dyDescent="0.2">
      <c r="A24" s="2322">
        <v>24</v>
      </c>
      <c r="B24" s="2314">
        <f>IF(OR(S24=0),0,SUM($S$6:S24))</f>
        <v>2</v>
      </c>
      <c r="C24" s="1262"/>
      <c r="D24" s="1263" t="s">
        <v>315</v>
      </c>
      <c r="E24" s="1254" t="s">
        <v>279</v>
      </c>
      <c r="F24" s="1255">
        <v>1</v>
      </c>
      <c r="G24" s="1255" t="s">
        <v>3696</v>
      </c>
      <c r="H24" s="1256" t="s">
        <v>1918</v>
      </c>
      <c r="I24" s="1254" t="s">
        <v>8169</v>
      </c>
      <c r="J24" s="1254" t="s">
        <v>8223</v>
      </c>
      <c r="K24" s="1254" t="s">
        <v>8224</v>
      </c>
      <c r="L24" s="1254" t="s">
        <v>8225</v>
      </c>
      <c r="M24" s="1254" t="s">
        <v>8226</v>
      </c>
      <c r="N24" s="1254" t="s">
        <v>8227</v>
      </c>
      <c r="O24" s="1254" t="s">
        <v>8228</v>
      </c>
      <c r="P24" s="1254" t="s">
        <v>8229</v>
      </c>
      <c r="Q24" s="1254" t="s">
        <v>8230</v>
      </c>
      <c r="R24" s="1282" t="s">
        <v>8231</v>
      </c>
      <c r="S24" s="2316">
        <f>IF(COUNTIF(Psiquicos!$C$25:$E$36,E24)=0,0,1)</f>
        <v>1</v>
      </c>
      <c r="U24" s="1254" t="str">
        <f t="shared" si="0"/>
        <v>FAC</v>
      </c>
      <c r="V24" s="2784"/>
      <c r="W24" s="2784"/>
      <c r="X24" s="2784"/>
      <c r="Y24" s="2784"/>
      <c r="Z24" s="2784"/>
      <c r="AA24" s="2784"/>
      <c r="AB24" s="2784"/>
      <c r="AC24" s="2784"/>
      <c r="AD24" s="2784"/>
      <c r="AE24" s="2784"/>
      <c r="AF24" s="2784">
        <f>IF(ISNUMBER(SEARCH("&gt;",D24)),0,COUNTIF(Psiquicos!$AD$11:$AH$64,D24))</f>
        <v>0</v>
      </c>
      <c r="AG24" s="1254" t="str">
        <f>IF(AF24=0,"",VLOOKUP(D24,Psiquicos!$AD$11:$AK$64,8,FALSE))</f>
        <v/>
      </c>
      <c r="AH24" s="5163"/>
      <c r="AI24" s="2946" t="s">
        <v>315</v>
      </c>
    </row>
    <row r="25" spans="1:35" ht="12.75" customHeight="1" x14ac:dyDescent="0.2">
      <c r="A25" s="2322">
        <v>25</v>
      </c>
      <c r="B25" s="2314">
        <f>IF(OR(S25=0),0,SUM($S$6:S25))</f>
        <v>3</v>
      </c>
      <c r="C25" s="1262"/>
      <c r="D25" s="1263" t="s">
        <v>316</v>
      </c>
      <c r="E25" s="1254" t="s">
        <v>279</v>
      </c>
      <c r="F25" s="1255">
        <v>1</v>
      </c>
      <c r="G25" s="1255" t="s">
        <v>2234</v>
      </c>
      <c r="H25" s="1256" t="s">
        <v>1918</v>
      </c>
      <c r="I25" s="1254" t="s">
        <v>8168</v>
      </c>
      <c r="J25" s="1254" t="s">
        <v>8169</v>
      </c>
      <c r="K25" s="1254" t="s">
        <v>8232</v>
      </c>
      <c r="L25" s="1254" t="s">
        <v>8233</v>
      </c>
      <c r="M25" s="1254" t="s">
        <v>8234</v>
      </c>
      <c r="N25" s="1254" t="s">
        <v>8235</v>
      </c>
      <c r="O25" s="1254" t="s">
        <v>8236</v>
      </c>
      <c r="P25" s="1254" t="s">
        <v>8237</v>
      </c>
      <c r="Q25" s="1254" t="s">
        <v>8238</v>
      </c>
      <c r="R25" s="1282" t="s">
        <v>8239</v>
      </c>
      <c r="S25" s="2316">
        <f>IF(COUNTIF(Psiquicos!$C$25:$E$36,E25)=0,0,1)</f>
        <v>1</v>
      </c>
      <c r="U25" s="1254" t="str">
        <f t="shared" si="0"/>
        <v/>
      </c>
      <c r="V25" s="2784"/>
      <c r="W25" s="2784"/>
      <c r="X25" s="2784"/>
      <c r="Y25" s="2784"/>
      <c r="Z25" s="2784"/>
      <c r="AA25" s="2784"/>
      <c r="AB25" s="2784"/>
      <c r="AC25" s="2784"/>
      <c r="AD25" s="2784"/>
      <c r="AE25" s="2784"/>
      <c r="AF25" s="2784">
        <f>IF(ISNUMBER(SEARCH("&gt;",D25)),0,COUNTIF(Psiquicos!$AD$11:$AH$64,D25))</f>
        <v>0</v>
      </c>
      <c r="AG25" s="1254" t="str">
        <f>IF(AF25=0,"",VLOOKUP(D25,Psiquicos!$AD$11:$AK$64,8,FALSE))</f>
        <v/>
      </c>
      <c r="AH25" s="5163"/>
      <c r="AI25" s="2946" t="s">
        <v>316</v>
      </c>
    </row>
    <row r="26" spans="1:35" ht="12.75" customHeight="1" x14ac:dyDescent="0.2">
      <c r="A26" s="2322">
        <v>26</v>
      </c>
      <c r="B26" s="2314">
        <f>IF(OR(S26=0),0,SUM($S$6:S26))</f>
        <v>4</v>
      </c>
      <c r="C26" s="1262"/>
      <c r="D26" s="1263" t="s">
        <v>317</v>
      </c>
      <c r="E26" s="1254" t="s">
        <v>279</v>
      </c>
      <c r="F26" s="1255">
        <v>1</v>
      </c>
      <c r="G26" s="1255" t="s">
        <v>3696</v>
      </c>
      <c r="H26" s="1256" t="s">
        <v>1919</v>
      </c>
      <c r="I26" s="1254" t="s">
        <v>8168</v>
      </c>
      <c r="J26" s="1254" t="s">
        <v>8169</v>
      </c>
      <c r="K26" s="1254" t="s">
        <v>8240</v>
      </c>
      <c r="L26" s="1254" t="s">
        <v>8241</v>
      </c>
      <c r="M26" s="1254" t="s">
        <v>8242</v>
      </c>
      <c r="N26" s="1254" t="s">
        <v>8243</v>
      </c>
      <c r="O26" s="1254" t="s">
        <v>8244</v>
      </c>
      <c r="P26" s="1254" t="s">
        <v>8245</v>
      </c>
      <c r="Q26" s="1254" t="s">
        <v>8246</v>
      </c>
      <c r="R26" s="1282" t="s">
        <v>8247</v>
      </c>
      <c r="S26" s="2316">
        <f>IF(COUNTIF(Psiquicos!$C$25:$E$36,E26)=0,0,1)</f>
        <v>1</v>
      </c>
      <c r="U26" s="1254" t="str">
        <f t="shared" si="0"/>
        <v>MED</v>
      </c>
      <c r="V26" s="2784"/>
      <c r="W26" s="2784"/>
      <c r="X26" s="2784"/>
      <c r="Y26" s="2784"/>
      <c r="Z26" s="2784"/>
      <c r="AA26" s="2784"/>
      <c r="AB26" s="2784"/>
      <c r="AC26" s="2784"/>
      <c r="AD26" s="2784"/>
      <c r="AE26" s="2784"/>
      <c r="AF26" s="2784">
        <f>IF(ISNUMBER(SEARCH("&gt;",D26)),0,COUNTIF(Psiquicos!$AD$11:$AH$64,D26))</f>
        <v>0</v>
      </c>
      <c r="AG26" s="1254" t="str">
        <f>IF(AF26=0,"",VLOOKUP(D26,Psiquicos!$AD$11:$AK$64,8,FALSE))</f>
        <v/>
      </c>
      <c r="AH26" s="5163"/>
      <c r="AI26" s="2946" t="s">
        <v>317</v>
      </c>
    </row>
    <row r="27" spans="1:35" ht="12.75" customHeight="1" x14ac:dyDescent="0.2">
      <c r="A27" s="2322">
        <v>27</v>
      </c>
      <c r="B27" s="2314">
        <f>IF(OR(S27=0),0,SUM($S$6:S27))</f>
        <v>5</v>
      </c>
      <c r="C27" s="1262"/>
      <c r="D27" s="1263" t="s">
        <v>318</v>
      </c>
      <c r="E27" s="1254" t="s">
        <v>279</v>
      </c>
      <c r="F27" s="1255">
        <v>1</v>
      </c>
      <c r="G27" s="1255" t="s">
        <v>3696</v>
      </c>
      <c r="H27" s="1256" t="s">
        <v>1919</v>
      </c>
      <c r="I27" s="1254" t="s">
        <v>8168</v>
      </c>
      <c r="J27" s="1254" t="s">
        <v>8169</v>
      </c>
      <c r="K27" s="1254" t="s">
        <v>8248</v>
      </c>
      <c r="L27" s="1254" t="s">
        <v>6552</v>
      </c>
      <c r="M27" s="1254" t="s">
        <v>6553</v>
      </c>
      <c r="N27" s="1254" t="s">
        <v>6554</v>
      </c>
      <c r="O27" s="1254" t="s">
        <v>6555</v>
      </c>
      <c r="P27" s="1254" t="s">
        <v>8249</v>
      </c>
      <c r="Q27" s="1254" t="s">
        <v>8250</v>
      </c>
      <c r="R27" s="1282" t="s">
        <v>8251</v>
      </c>
      <c r="S27" s="2316">
        <f>IF(COUNTIF(Psiquicos!$C$25:$E$36,E27)=0,0,1)</f>
        <v>1</v>
      </c>
      <c r="U27" s="1254" t="str">
        <f t="shared" si="0"/>
        <v>MED</v>
      </c>
      <c r="V27" s="2784"/>
      <c r="W27" s="2784"/>
      <c r="X27" s="2784" t="str">
        <f t="shared" ref="X27:AE27" si="2">MID(K27,4,LEN(K27))</f>
        <v>1</v>
      </c>
      <c r="Y27" s="2784" t="str">
        <f t="shared" si="2"/>
        <v>2</v>
      </c>
      <c r="Z27" s="2784" t="str">
        <f t="shared" si="2"/>
        <v>4</v>
      </c>
      <c r="AA27" s="2784" t="str">
        <f t="shared" si="2"/>
        <v>6</v>
      </c>
      <c r="AB27" s="2784" t="str">
        <f t="shared" si="2"/>
        <v>8</v>
      </c>
      <c r="AC27" s="2784" t="str">
        <f t="shared" si="2"/>
        <v>10</v>
      </c>
      <c r="AD27" s="2784" t="str">
        <f t="shared" si="2"/>
        <v>12</v>
      </c>
      <c r="AE27" s="2784" t="str">
        <f t="shared" si="2"/>
        <v>14</v>
      </c>
      <c r="AF27" s="2784">
        <f>IF(ISNUMBER(SEARCH("&gt;",D27)),0,COUNTIF(Psiquicos!$AD$11:$AH$64,D27))</f>
        <v>1</v>
      </c>
      <c r="AG27" s="1254" t="str">
        <f>IF(AF27=0,"",VLOOKUP(D27,Psiquicos!$AD$11:$AK$64,8,FALSE))</f>
        <v>ZEN</v>
      </c>
      <c r="AH27" s="5163">
        <f>VALUE(IF('Tablas psiquica'!$AF27&gt;0,INDEX('Tablas psiquica'!$V27:$AE27,MATCH('Tablas psiquica'!$AG27,'Tablas psiquica'!$V$6:$AE$6,0)),0))</f>
        <v>14</v>
      </c>
      <c r="AI27" s="2946" t="s">
        <v>318</v>
      </c>
    </row>
    <row r="28" spans="1:35" ht="12.75" customHeight="1" x14ac:dyDescent="0.2">
      <c r="A28" s="2322">
        <v>28</v>
      </c>
      <c r="B28" s="2314">
        <f>IF(OR(S28=0),0,SUM($S$6:S28))</f>
        <v>6</v>
      </c>
      <c r="C28" s="1262"/>
      <c r="D28" s="1263" t="s">
        <v>319</v>
      </c>
      <c r="E28" s="1254" t="s">
        <v>279</v>
      </c>
      <c r="F28" s="1255">
        <v>1</v>
      </c>
      <c r="G28" s="1255" t="s">
        <v>3696</v>
      </c>
      <c r="H28" s="1256" t="s">
        <v>1918</v>
      </c>
      <c r="I28" s="1254" t="s">
        <v>8168</v>
      </c>
      <c r="J28" s="1254" t="s">
        <v>8169</v>
      </c>
      <c r="K28" s="1254" t="s">
        <v>8252</v>
      </c>
      <c r="L28" s="1254" t="s">
        <v>8232</v>
      </c>
      <c r="M28" s="1254" t="s">
        <v>8233</v>
      </c>
      <c r="N28" s="1254" t="s">
        <v>8253</v>
      </c>
      <c r="O28" s="1254" t="s">
        <v>8254</v>
      </c>
      <c r="P28" s="1254" t="s">
        <v>8255</v>
      </c>
      <c r="Q28" s="1254" t="s">
        <v>8256</v>
      </c>
      <c r="R28" s="1282" t="s">
        <v>8257</v>
      </c>
      <c r="S28" s="2316">
        <f>IF(COUNTIF(Psiquicos!$C$25:$E$36,E28)=0,0,1)</f>
        <v>1</v>
      </c>
      <c r="U28" s="1254" t="str">
        <f t="shared" si="0"/>
        <v>MED</v>
      </c>
      <c r="V28" s="2784"/>
      <c r="W28" s="2784"/>
      <c r="X28" s="2785"/>
      <c r="Y28" s="2785"/>
      <c r="Z28" s="2785"/>
      <c r="AA28" s="2785"/>
      <c r="AB28" s="2784"/>
      <c r="AC28" s="2784"/>
      <c r="AD28" s="2784"/>
      <c r="AE28" s="2785"/>
      <c r="AF28" s="2784">
        <f>IF(ISNUMBER(SEARCH("&gt;",D28)),0,COUNTIF(Psiquicos!$AD$11:$AH$64,D28))</f>
        <v>0</v>
      </c>
      <c r="AG28" s="1254" t="str">
        <f>IF(AF28=0,"",VLOOKUP(D28,Psiquicos!$AD$11:$AK$64,8,FALSE))</f>
        <v/>
      </c>
      <c r="AH28" s="5163"/>
      <c r="AI28" s="2946" t="s">
        <v>319</v>
      </c>
    </row>
    <row r="29" spans="1:35" ht="12.75" customHeight="1" x14ac:dyDescent="0.2">
      <c r="A29" s="2322">
        <v>29</v>
      </c>
      <c r="B29" s="2314">
        <f>IF(OR(S29=0),0,SUM($S$6:S29))</f>
        <v>7</v>
      </c>
      <c r="C29" s="1262"/>
      <c r="D29" s="1263" t="s">
        <v>320</v>
      </c>
      <c r="E29" s="1254" t="s">
        <v>279</v>
      </c>
      <c r="F29" s="1255">
        <v>2</v>
      </c>
      <c r="G29" s="1255" t="s">
        <v>2234</v>
      </c>
      <c r="H29" s="1256" t="s">
        <v>1918</v>
      </c>
      <c r="I29" s="1254" t="s">
        <v>8204</v>
      </c>
      <c r="J29" s="1254" t="s">
        <v>8168</v>
      </c>
      <c r="K29" s="1254" t="s">
        <v>8169</v>
      </c>
      <c r="L29" s="1266" t="s">
        <v>9524</v>
      </c>
      <c r="M29" s="1266" t="s">
        <v>9525</v>
      </c>
      <c r="N29" s="1266" t="s">
        <v>9526</v>
      </c>
      <c r="O29" s="1266" t="s">
        <v>9527</v>
      </c>
      <c r="P29" s="1266" t="s">
        <v>9528</v>
      </c>
      <c r="Q29" s="1266" t="s">
        <v>9529</v>
      </c>
      <c r="R29" s="2274" t="s">
        <v>9530</v>
      </c>
      <c r="S29" s="2316">
        <f>IF(COUNTIF(Psiquicos!$C$25:$E$36,E29)=0,0,1)</f>
        <v>1</v>
      </c>
      <c r="U29" s="1254" t="str">
        <f t="shared" si="0"/>
        <v/>
      </c>
      <c r="V29" s="2784"/>
      <c r="W29" s="2784"/>
      <c r="X29" s="2784"/>
      <c r="Y29" s="2784"/>
      <c r="Z29" s="2784"/>
      <c r="AA29" s="2784"/>
      <c r="AB29" s="2784"/>
      <c r="AC29" s="2784"/>
      <c r="AD29" s="2784"/>
      <c r="AE29" s="2784"/>
      <c r="AF29" s="2784">
        <f>IF(ISNUMBER(SEARCH("&gt;",D29)),0,COUNTIF(Psiquicos!$AD$11:$AH$64,D29))</f>
        <v>0</v>
      </c>
      <c r="AG29" s="1254" t="str">
        <f>IF(AF29=0,"",VLOOKUP(D29,Psiquicos!$AD$11:$AK$64,8,FALSE))</f>
        <v/>
      </c>
      <c r="AH29" s="5163"/>
      <c r="AI29" s="2946" t="s">
        <v>320</v>
      </c>
    </row>
    <row r="30" spans="1:35" ht="12.75" customHeight="1" x14ac:dyDescent="0.2">
      <c r="A30" s="2322">
        <v>30</v>
      </c>
      <c r="B30" s="2314">
        <f>IF(OR(S30=0),0,SUM($S$6:S30))</f>
        <v>8</v>
      </c>
      <c r="C30" s="1262"/>
      <c r="D30" s="1263" t="s">
        <v>321</v>
      </c>
      <c r="E30" s="1254" t="s">
        <v>279</v>
      </c>
      <c r="F30" s="1255">
        <v>2</v>
      </c>
      <c r="G30" s="1255" t="s">
        <v>3696</v>
      </c>
      <c r="H30" s="1256" t="s">
        <v>1918</v>
      </c>
      <c r="I30" s="1254" t="s">
        <v>8204</v>
      </c>
      <c r="J30" s="1254" t="s">
        <v>8168</v>
      </c>
      <c r="K30" s="1254" t="s">
        <v>8169</v>
      </c>
      <c r="L30" s="1254" t="s">
        <v>8258</v>
      </c>
      <c r="M30" s="1254" t="s">
        <v>8259</v>
      </c>
      <c r="N30" s="1254" t="s">
        <v>8260</v>
      </c>
      <c r="O30" s="1254" t="s">
        <v>8261</v>
      </c>
      <c r="P30" s="1254" t="s">
        <v>8262</v>
      </c>
      <c r="Q30" s="1254" t="s">
        <v>8263</v>
      </c>
      <c r="R30" s="1282" t="s">
        <v>8264</v>
      </c>
      <c r="S30" s="2316">
        <f>IF(COUNTIF(Psiquicos!$C$25:$E$36,E30)=0,0,1)</f>
        <v>1</v>
      </c>
      <c r="U30" s="1254" t="str">
        <f t="shared" si="0"/>
        <v>DIF</v>
      </c>
      <c r="V30" s="2784"/>
      <c r="W30" s="2784"/>
      <c r="X30" s="2784"/>
      <c r="Y30" s="2784"/>
      <c r="Z30" s="2784"/>
      <c r="AA30" s="2784"/>
      <c r="AB30" s="2784"/>
      <c r="AC30" s="2784"/>
      <c r="AD30" s="2784"/>
      <c r="AE30" s="2784"/>
      <c r="AF30" s="2784">
        <f>IF(ISNUMBER(SEARCH("&gt;",D30)),0,COUNTIF(Psiquicos!$AD$11:$AH$64,D30))</f>
        <v>0</v>
      </c>
      <c r="AG30" s="1254" t="str">
        <f>IF(AF30=0,"",VLOOKUP(D30,Psiquicos!$AD$11:$AK$64,8,FALSE))</f>
        <v/>
      </c>
      <c r="AH30" s="5163"/>
      <c r="AI30" s="2946" t="s">
        <v>321</v>
      </c>
    </row>
    <row r="31" spans="1:35" ht="12.75" customHeight="1" x14ac:dyDescent="0.2">
      <c r="A31" s="2322">
        <v>31</v>
      </c>
      <c r="B31" s="2314">
        <f>IF(OR(S31=0),0,SUM($S$6:S31))</f>
        <v>9</v>
      </c>
      <c r="C31" s="1262"/>
      <c r="D31" s="1263" t="s">
        <v>322</v>
      </c>
      <c r="E31" s="1254" t="s">
        <v>279</v>
      </c>
      <c r="F31" s="1255">
        <v>2</v>
      </c>
      <c r="G31" s="1255" t="s">
        <v>3696</v>
      </c>
      <c r="H31" s="1256" t="s">
        <v>1918</v>
      </c>
      <c r="I31" s="1254" t="s">
        <v>8206</v>
      </c>
      <c r="J31" s="1254" t="s">
        <v>8205</v>
      </c>
      <c r="K31" s="1254" t="s">
        <v>8204</v>
      </c>
      <c r="L31" s="1254" t="s">
        <v>8168</v>
      </c>
      <c r="M31" s="1254" t="s">
        <v>8265</v>
      </c>
      <c r="N31" s="1254" t="s">
        <v>8266</v>
      </c>
      <c r="O31" s="1254" t="s">
        <v>8267</v>
      </c>
      <c r="P31" s="1254" t="s">
        <v>8268</v>
      </c>
      <c r="Q31" s="1254" t="s">
        <v>8269</v>
      </c>
      <c r="R31" s="1282" t="s">
        <v>8270</v>
      </c>
      <c r="S31" s="2316">
        <f>IF(COUNTIF(Psiquicos!$C$25:$E$36,E31)=0,0,1)</f>
        <v>1</v>
      </c>
      <c r="U31" s="1254" t="str">
        <f t="shared" si="0"/>
        <v>MDF</v>
      </c>
      <c r="V31" s="2784"/>
      <c r="W31" s="2784"/>
      <c r="X31" s="2784"/>
      <c r="Y31" s="2784"/>
      <c r="Z31" s="2784"/>
      <c r="AA31" s="2784"/>
      <c r="AB31" s="2784"/>
      <c r="AC31" s="2784"/>
      <c r="AD31" s="2784"/>
      <c r="AE31" s="2784"/>
      <c r="AF31" s="2784">
        <f>IF(ISNUMBER(SEARCH("&gt;",D31)),0,COUNTIF(Psiquicos!$AD$11:$AH$64,D31))</f>
        <v>0</v>
      </c>
      <c r="AG31" s="1254" t="str">
        <f>IF(AF31=0,"",VLOOKUP(D31,Psiquicos!$AD$11:$AK$64,8,FALSE))</f>
        <v/>
      </c>
      <c r="AH31" s="5163"/>
      <c r="AI31" s="2946" t="s">
        <v>322</v>
      </c>
    </row>
    <row r="32" spans="1:35" ht="12.75" customHeight="1" x14ac:dyDescent="0.2">
      <c r="A32" s="2322">
        <v>32</v>
      </c>
      <c r="B32" s="2314">
        <f>IF(OR(S32=0),0,SUM($S$6:S32))</f>
        <v>10</v>
      </c>
      <c r="C32" s="1262"/>
      <c r="D32" s="1263" t="s">
        <v>323</v>
      </c>
      <c r="E32" s="1254" t="s">
        <v>279</v>
      </c>
      <c r="F32" s="1255">
        <v>2</v>
      </c>
      <c r="G32" s="1255" t="s">
        <v>2234</v>
      </c>
      <c r="H32" s="1256" t="s">
        <v>1918</v>
      </c>
      <c r="I32" s="1254" t="s">
        <v>8206</v>
      </c>
      <c r="J32" s="1254" t="s">
        <v>8205</v>
      </c>
      <c r="K32" s="1254" t="s">
        <v>8204</v>
      </c>
      <c r="L32" s="1254" t="s">
        <v>8168</v>
      </c>
      <c r="M32" s="1254" t="s">
        <v>8271</v>
      </c>
      <c r="N32" s="1254" t="s">
        <v>8272</v>
      </c>
      <c r="O32" s="1254" t="s">
        <v>8273</v>
      </c>
      <c r="P32" s="1254" t="s">
        <v>8274</v>
      </c>
      <c r="Q32" s="1254" t="s">
        <v>8275</v>
      </c>
      <c r="R32" s="1282" t="s">
        <v>8276</v>
      </c>
      <c r="S32" s="2316">
        <f>IF(COUNTIF(Psiquicos!$C$25:$E$36,E32)=0,0,1)</f>
        <v>1</v>
      </c>
      <c r="U32" s="1254" t="str">
        <f t="shared" si="0"/>
        <v/>
      </c>
      <c r="V32" s="2784"/>
      <c r="W32" s="2784"/>
      <c r="X32" s="2784"/>
      <c r="Y32" s="2784"/>
      <c r="Z32" s="2784"/>
      <c r="AA32" s="2784"/>
      <c r="AB32" s="2784"/>
      <c r="AC32" s="2784"/>
      <c r="AD32" s="2784"/>
      <c r="AE32" s="2784"/>
      <c r="AF32" s="2784">
        <f>IF(ISNUMBER(SEARCH("&gt;",D32)),0,COUNTIF(Psiquicos!$AD$11:$AH$64,D32))</f>
        <v>0</v>
      </c>
      <c r="AG32" s="1254" t="str">
        <f>IF(AF32=0,"",VLOOKUP(D32,Psiquicos!$AD$11:$AK$64,8,FALSE))</f>
        <v/>
      </c>
      <c r="AH32" s="5163"/>
      <c r="AI32" s="2946" t="s">
        <v>323</v>
      </c>
    </row>
    <row r="33" spans="1:35" ht="12.75" customHeight="1" x14ac:dyDescent="0.2">
      <c r="A33" s="2322">
        <v>33</v>
      </c>
      <c r="B33" s="2314">
        <f>IF(OR(S33=0),0,SUM($S$6:S33))</f>
        <v>11</v>
      </c>
      <c r="C33" s="1262"/>
      <c r="D33" s="1263" t="s">
        <v>324</v>
      </c>
      <c r="E33" s="1254" t="s">
        <v>279</v>
      </c>
      <c r="F33" s="1255">
        <v>2</v>
      </c>
      <c r="G33" s="1255" t="s">
        <v>3696</v>
      </c>
      <c r="H33" s="1256" t="s">
        <v>1918</v>
      </c>
      <c r="I33" s="1254" t="s">
        <v>8204</v>
      </c>
      <c r="J33" s="1254" t="s">
        <v>8168</v>
      </c>
      <c r="K33" s="1254" t="s">
        <v>8169</v>
      </c>
      <c r="L33" s="1254" t="s">
        <v>7197</v>
      </c>
      <c r="M33" s="1254" t="s">
        <v>7198</v>
      </c>
      <c r="N33" s="1254" t="s">
        <v>7199</v>
      </c>
      <c r="O33" s="1254" t="s">
        <v>8277</v>
      </c>
      <c r="P33" s="1254" t="s">
        <v>8278</v>
      </c>
      <c r="Q33" s="1254" t="s">
        <v>8279</v>
      </c>
      <c r="R33" s="1282" t="s">
        <v>8280</v>
      </c>
      <c r="S33" s="2316">
        <f>IF(COUNTIF(Psiquicos!$C$25:$E$36,E33)=0,0,1)</f>
        <v>1</v>
      </c>
      <c r="U33" s="1254" t="str">
        <f t="shared" si="0"/>
        <v>DIF</v>
      </c>
      <c r="V33" s="2784"/>
      <c r="W33" s="2784"/>
      <c r="X33" s="2784"/>
      <c r="Y33" s="2784" t="str">
        <f t="shared" ref="Y33:AE33" si="3">MID(L33,SEARCH("lo ",L33)+3,LEN(L33))</f>
        <v>6</v>
      </c>
      <c r="Z33" s="2784" t="str">
        <f t="shared" si="3"/>
        <v>8</v>
      </c>
      <c r="AA33" s="2784" t="str">
        <f t="shared" si="3"/>
        <v>10</v>
      </c>
      <c r="AB33" s="2784" t="str">
        <f t="shared" si="3"/>
        <v>12</v>
      </c>
      <c r="AC33" s="2784" t="str">
        <f t="shared" si="3"/>
        <v>14</v>
      </c>
      <c r="AD33" s="2784" t="str">
        <f t="shared" si="3"/>
        <v>16</v>
      </c>
      <c r="AE33" s="2784" t="str">
        <f t="shared" si="3"/>
        <v>18</v>
      </c>
      <c r="AF33" s="2784">
        <f>IF(ISNUMBER(SEARCH("&gt;",D33)),0,COUNTIF(Psiquicos!$AD$11:$AH$64,D33))</f>
        <v>0</v>
      </c>
      <c r="AG33" s="1254" t="str">
        <f>IF(AF33=0,"",VLOOKUP(D33,Psiquicos!$AD$11:$AK$64,8,FALSE))</f>
        <v/>
      </c>
      <c r="AH33" s="5163"/>
      <c r="AI33" s="2946" t="s">
        <v>324</v>
      </c>
    </row>
    <row r="34" spans="1:35" ht="12.75" customHeight="1" x14ac:dyDescent="0.2">
      <c r="A34" s="2322">
        <v>34</v>
      </c>
      <c r="B34" s="2314">
        <f>IF(OR(S34=0),0,SUM($S$6:S34))</f>
        <v>12</v>
      </c>
      <c r="C34" s="1262"/>
      <c r="D34" s="1263" t="s">
        <v>325</v>
      </c>
      <c r="E34" s="1254" t="s">
        <v>279</v>
      </c>
      <c r="F34" s="1255">
        <v>2</v>
      </c>
      <c r="G34" s="1255" t="s">
        <v>3696</v>
      </c>
      <c r="H34" s="1256" t="s">
        <v>1918</v>
      </c>
      <c r="I34" s="1254" t="s">
        <v>8205</v>
      </c>
      <c r="J34" s="1254" t="s">
        <v>8204</v>
      </c>
      <c r="K34" s="1254" t="s">
        <v>8168</v>
      </c>
      <c r="L34" s="1254" t="s">
        <v>8281</v>
      </c>
      <c r="M34" s="1254" t="s">
        <v>8282</v>
      </c>
      <c r="N34" s="1254" t="s">
        <v>8283</v>
      </c>
      <c r="O34" s="1254" t="s">
        <v>8284</v>
      </c>
      <c r="P34" s="1254" t="s">
        <v>8285</v>
      </c>
      <c r="Q34" s="1254" t="s">
        <v>8286</v>
      </c>
      <c r="R34" s="1282" t="s">
        <v>8287</v>
      </c>
      <c r="S34" s="2316">
        <f>IF(COUNTIF(Psiquicos!$C$25:$E$36,E34)=0,0,1)</f>
        <v>1</v>
      </c>
      <c r="U34" s="1254" t="str">
        <f t="shared" si="0"/>
        <v>DIF</v>
      </c>
      <c r="V34" s="2784"/>
      <c r="W34" s="2784"/>
      <c r="X34" s="2784"/>
      <c r="Y34" s="2784"/>
      <c r="Z34" s="2784"/>
      <c r="AA34" s="2784"/>
      <c r="AB34" s="2784"/>
      <c r="AC34" s="2784"/>
      <c r="AD34" s="2784"/>
      <c r="AE34" s="2784"/>
      <c r="AF34" s="2784">
        <f>IF(ISNUMBER(SEARCH("&gt;",D34)),0,COUNTIF(Psiquicos!$AD$11:$AH$64,D34))</f>
        <v>0</v>
      </c>
      <c r="AG34" s="1254" t="str">
        <f>IF(AF34=0,"",VLOOKUP(D34,Psiquicos!$AD$11:$AK$64,8,FALSE))</f>
        <v/>
      </c>
      <c r="AH34" s="5163"/>
      <c r="AI34" s="2946" t="s">
        <v>325</v>
      </c>
    </row>
    <row r="35" spans="1:35" ht="12.75" customHeight="1" x14ac:dyDescent="0.2">
      <c r="A35" s="2322">
        <v>35</v>
      </c>
      <c r="B35" s="2314">
        <f>IF(OR(S35=0),0,SUM($S$6:S35))</f>
        <v>13</v>
      </c>
      <c r="C35" s="1262"/>
      <c r="D35" s="1263" t="s">
        <v>326</v>
      </c>
      <c r="E35" s="1254" t="s">
        <v>279</v>
      </c>
      <c r="F35" s="1255">
        <v>3</v>
      </c>
      <c r="G35" s="1255" t="s">
        <v>2234</v>
      </c>
      <c r="H35" s="1256" t="s">
        <v>1918</v>
      </c>
      <c r="I35" s="1254" t="s">
        <v>8220</v>
      </c>
      <c r="J35" s="1254" t="s">
        <v>8219</v>
      </c>
      <c r="K35" s="1254" t="s">
        <v>8206</v>
      </c>
      <c r="L35" s="1254" t="s">
        <v>8205</v>
      </c>
      <c r="M35" s="1254" t="s">
        <v>8204</v>
      </c>
      <c r="N35" s="1254" t="s">
        <v>8288</v>
      </c>
      <c r="O35" s="1254" t="s">
        <v>8289</v>
      </c>
      <c r="P35" s="1254" t="s">
        <v>8290</v>
      </c>
      <c r="Q35" s="1254" t="s">
        <v>8291</v>
      </c>
      <c r="R35" s="1282" t="s">
        <v>8292</v>
      </c>
      <c r="S35" s="2316">
        <f>IF(COUNTIF(Psiquicos!$C$25:$E$36,E35)=0,0,1)</f>
        <v>1</v>
      </c>
      <c r="U35" s="1254" t="str">
        <f t="shared" si="0"/>
        <v/>
      </c>
      <c r="V35" s="2784"/>
      <c r="W35" s="2784"/>
      <c r="X35" s="2784"/>
      <c r="Y35" s="2784"/>
      <c r="Z35" s="2784"/>
      <c r="AA35" s="2784"/>
      <c r="AB35" s="2784"/>
      <c r="AC35" s="2784"/>
      <c r="AD35" s="2784"/>
      <c r="AE35" s="2784"/>
      <c r="AF35" s="2784">
        <f>IF(ISNUMBER(SEARCH("&gt;",D35)),0,COUNTIF(Psiquicos!$AD$11:$AH$64,D35))</f>
        <v>0</v>
      </c>
      <c r="AG35" s="1254" t="str">
        <f>IF(AF35=0,"",VLOOKUP(D35,Psiquicos!$AD$11:$AK$64,8,FALSE))</f>
        <v/>
      </c>
      <c r="AH35" s="5163"/>
      <c r="AI35" s="2946" t="s">
        <v>326</v>
      </c>
    </row>
    <row r="36" spans="1:35" ht="12.75" customHeight="1" x14ac:dyDescent="0.2">
      <c r="A36" s="2322">
        <v>36</v>
      </c>
      <c r="B36" s="2314">
        <f>IF(OR(S36=0),0,SUM($S$6:S36))</f>
        <v>14</v>
      </c>
      <c r="C36" s="1262"/>
      <c r="D36" s="1263" t="s">
        <v>327</v>
      </c>
      <c r="E36" s="1254" t="s">
        <v>279</v>
      </c>
      <c r="F36" s="1255">
        <v>3</v>
      </c>
      <c r="G36" s="1255" t="s">
        <v>3696</v>
      </c>
      <c r="H36" s="1256" t="s">
        <v>1918</v>
      </c>
      <c r="I36" s="1254" t="s">
        <v>8293</v>
      </c>
      <c r="J36" s="1254" t="s">
        <v>8294</v>
      </c>
      <c r="K36" s="1254" t="s">
        <v>8220</v>
      </c>
      <c r="L36" s="1254" t="s">
        <v>8219</v>
      </c>
      <c r="M36" s="1254" t="s">
        <v>8206</v>
      </c>
      <c r="N36" s="1254" t="s">
        <v>8204</v>
      </c>
      <c r="O36" s="1254" t="s">
        <v>8295</v>
      </c>
      <c r="P36" s="1254" t="s">
        <v>8296</v>
      </c>
      <c r="Q36" s="1254" t="s">
        <v>8297</v>
      </c>
      <c r="R36" s="1282" t="s">
        <v>8298</v>
      </c>
      <c r="S36" s="2316">
        <f>IF(COUNTIF(Psiquicos!$C$25:$E$36,E36)=0,0,1)</f>
        <v>1</v>
      </c>
      <c r="U36" s="1254" t="str">
        <f t="shared" si="0"/>
        <v>CIM</v>
      </c>
      <c r="V36" s="2784"/>
      <c r="W36" s="2784"/>
      <c r="X36" s="2784"/>
      <c r="Y36" s="2784"/>
      <c r="Z36" s="2784"/>
      <c r="AA36" s="2784"/>
      <c r="AB36" s="2784"/>
      <c r="AC36" s="2784"/>
      <c r="AD36" s="2784"/>
      <c r="AE36" s="2784"/>
      <c r="AF36" s="2784">
        <f>IF(ISNUMBER(SEARCH("&gt;",D36)),0,COUNTIF(Psiquicos!$AD$11:$AH$64,D36))</f>
        <v>0</v>
      </c>
      <c r="AG36" s="1254" t="str">
        <f>IF(AF36=0,"",VLOOKUP(D36,Psiquicos!$AD$11:$AK$64,8,FALSE))</f>
        <v/>
      </c>
      <c r="AH36" s="5163"/>
      <c r="AI36" s="2946" t="s">
        <v>327</v>
      </c>
    </row>
    <row r="37" spans="1:35" ht="12.75" customHeight="1" x14ac:dyDescent="0.2">
      <c r="A37" s="2322">
        <v>37</v>
      </c>
      <c r="B37" s="2314">
        <f>IF(OR(S37=0),0,SUM($S$6:S37))</f>
        <v>15</v>
      </c>
      <c r="C37" s="1262"/>
      <c r="D37" s="1263" t="s">
        <v>328</v>
      </c>
      <c r="E37" s="1254" t="s">
        <v>279</v>
      </c>
      <c r="F37" s="1255">
        <v>3</v>
      </c>
      <c r="G37" s="1255" t="s">
        <v>2234</v>
      </c>
      <c r="H37" s="1256" t="s">
        <v>1918</v>
      </c>
      <c r="I37" s="1254" t="s">
        <v>8293</v>
      </c>
      <c r="J37" s="1254" t="s">
        <v>8294</v>
      </c>
      <c r="K37" s="1254" t="s">
        <v>8220</v>
      </c>
      <c r="L37" s="1254" t="s">
        <v>8219</v>
      </c>
      <c r="M37" s="1254" t="s">
        <v>8206</v>
      </c>
      <c r="N37" s="1254" t="s">
        <v>8205</v>
      </c>
      <c r="O37" s="1254" t="s">
        <v>8204</v>
      </c>
      <c r="P37" s="1254" t="s">
        <v>8299</v>
      </c>
      <c r="Q37" s="1254" t="s">
        <v>8300</v>
      </c>
      <c r="R37" s="1282" t="s">
        <v>8301</v>
      </c>
      <c r="S37" s="2316">
        <f>IF(COUNTIF(Psiquicos!$C$25:$E$36,E37)=0,0,1)</f>
        <v>1</v>
      </c>
      <c r="U37" s="1254" t="str">
        <f t="shared" si="0"/>
        <v/>
      </c>
      <c r="V37" s="2784"/>
      <c r="W37" s="2784"/>
      <c r="X37" s="2784"/>
      <c r="Y37" s="2784"/>
      <c r="Z37" s="2784"/>
      <c r="AA37" s="2784"/>
      <c r="AB37" s="2784"/>
      <c r="AC37" s="2784"/>
      <c r="AD37" s="2784"/>
      <c r="AE37" s="2784"/>
      <c r="AF37" s="2784">
        <f>IF(ISNUMBER(SEARCH("&gt;",D37)),0,COUNTIF(Psiquicos!$AD$11:$AH$64,D37))</f>
        <v>0</v>
      </c>
      <c r="AG37" s="1254" t="str">
        <f>IF(AF37=0,"",VLOOKUP(D37,Psiquicos!$AD$11:$AK$64,8,FALSE))</f>
        <v/>
      </c>
      <c r="AH37" s="5163"/>
      <c r="AI37" s="2946" t="s">
        <v>328</v>
      </c>
    </row>
    <row r="38" spans="1:35" ht="12.75" customHeight="1" x14ac:dyDescent="0.2">
      <c r="A38" s="2322">
        <v>38</v>
      </c>
      <c r="B38" s="2314">
        <f>IF(OR(S38=0),0,SUM($S$6:S38))</f>
        <v>0</v>
      </c>
      <c r="C38" s="1262"/>
      <c r="D38" s="1263" t="s">
        <v>329</v>
      </c>
      <c r="E38" s="1254"/>
      <c r="F38" s="1255"/>
      <c r="G38" s="1255"/>
      <c r="H38" s="1256"/>
      <c r="I38" s="1254"/>
      <c r="J38" s="1254"/>
      <c r="K38" s="1254"/>
      <c r="L38" s="1254"/>
      <c r="M38" s="1254"/>
      <c r="N38" s="1254"/>
      <c r="O38" s="1254"/>
      <c r="P38" s="1254"/>
      <c r="Q38" s="1254"/>
      <c r="R38" s="1282"/>
      <c r="S38" s="2318">
        <f>S39</f>
        <v>0</v>
      </c>
      <c r="U38" s="1254" t="str">
        <f t="shared" si="0"/>
        <v/>
      </c>
      <c r="V38" s="2784"/>
      <c r="W38" s="2784"/>
      <c r="X38" s="2784"/>
      <c r="Y38" s="2784"/>
      <c r="Z38" s="2784"/>
      <c r="AA38" s="2784"/>
      <c r="AB38" s="2784"/>
      <c r="AC38" s="2784"/>
      <c r="AD38" s="2784"/>
      <c r="AE38" s="2784"/>
      <c r="AF38" s="2784">
        <f>IF(ISNUMBER(SEARCH("&gt;",D38)),0,COUNTIF(Psiquicos!$AD$11:$AH$64,D38))</f>
        <v>0</v>
      </c>
      <c r="AG38" s="1254" t="str">
        <f>IF(AF38=0,"",VLOOKUP(D38,Psiquicos!$AD$11:$AK$64,8,FALSE))</f>
        <v/>
      </c>
      <c r="AH38" s="5163"/>
      <c r="AI38" s="2946" t="s">
        <v>329</v>
      </c>
    </row>
    <row r="39" spans="1:35" ht="12.75" customHeight="1" x14ac:dyDescent="0.2">
      <c r="A39" s="2322">
        <v>39</v>
      </c>
      <c r="B39" s="2314">
        <f>IF(OR(S39=0),0,SUM($S$6:S39))</f>
        <v>0</v>
      </c>
      <c r="C39" s="1262"/>
      <c r="D39" s="1263" t="s">
        <v>330</v>
      </c>
      <c r="E39" s="1254" t="s">
        <v>281</v>
      </c>
      <c r="F39" s="1255">
        <v>1</v>
      </c>
      <c r="G39" s="1255" t="s">
        <v>3696</v>
      </c>
      <c r="H39" s="1256" t="s">
        <v>1918</v>
      </c>
      <c r="I39" s="1254" t="s">
        <v>8169</v>
      </c>
      <c r="J39" s="1254" t="s">
        <v>5642</v>
      </c>
      <c r="K39" s="1254" t="s">
        <v>7090</v>
      </c>
      <c r="L39" s="1254" t="s">
        <v>5643</v>
      </c>
      <c r="M39" s="1254" t="s">
        <v>8302</v>
      </c>
      <c r="N39" s="1254" t="s">
        <v>5644</v>
      </c>
      <c r="O39" s="1254" t="s">
        <v>8303</v>
      </c>
      <c r="P39" s="1254" t="s">
        <v>8304</v>
      </c>
      <c r="Q39" s="1254" t="s">
        <v>5645</v>
      </c>
      <c r="R39" s="1282" t="s">
        <v>6487</v>
      </c>
      <c r="S39" s="2316">
        <f>IF(COUNTIF(Psiquicos!$C$25:$E$36,E39)=0,0,1)</f>
        <v>0</v>
      </c>
      <c r="U39" s="1254" t="str">
        <f t="shared" ref="U39:U70" si="4">IF(OR(G39="No",ISNUMBER(SEARCH("&gt;",D39))),"",INDEX($I$6:$R$6,SUMPRODUCT(--(ISNUMBER(SEARCH("Fatiga",$I39:$R39))))+1))</f>
        <v>FAC</v>
      </c>
      <c r="V39" s="2784"/>
      <c r="W39" s="2784"/>
      <c r="X39" s="2784"/>
      <c r="Y39" s="2784"/>
      <c r="Z39" s="2784"/>
      <c r="AA39" s="2784"/>
      <c r="AB39" s="2784"/>
      <c r="AC39" s="2784"/>
      <c r="AD39" s="2784"/>
      <c r="AE39" s="2784"/>
      <c r="AF39" s="2784">
        <f>IF(ISNUMBER(SEARCH("&gt;",D39)),0,COUNTIF(Psiquicos!$AD$11:$AH$64,D39))</f>
        <v>0</v>
      </c>
      <c r="AG39" s="1254" t="str">
        <f>IF(AF39=0,"",VLOOKUP(D39,Psiquicos!$AD$11:$AK$64,8,FALSE))</f>
        <v/>
      </c>
      <c r="AH39" s="5163"/>
      <c r="AI39" s="2946" t="s">
        <v>330</v>
      </c>
    </row>
    <row r="40" spans="1:35" ht="12.75" customHeight="1" x14ac:dyDescent="0.2">
      <c r="A40" s="2322">
        <v>40</v>
      </c>
      <c r="B40" s="2314">
        <f>IF(OR(S40=0),0,SUM($S$6:S40))</f>
        <v>0</v>
      </c>
      <c r="C40" s="1262"/>
      <c r="D40" s="1263" t="s">
        <v>331</v>
      </c>
      <c r="E40" s="1254" t="s">
        <v>281</v>
      </c>
      <c r="F40" s="1255">
        <v>1</v>
      </c>
      <c r="G40" s="1255" t="s">
        <v>2234</v>
      </c>
      <c r="H40" s="1256" t="s">
        <v>1918</v>
      </c>
      <c r="I40" s="1254" t="s">
        <v>8169</v>
      </c>
      <c r="J40" s="1254" t="s">
        <v>8305</v>
      </c>
      <c r="K40" s="1254" t="s">
        <v>8306</v>
      </c>
      <c r="L40" s="1254" t="s">
        <v>8307</v>
      </c>
      <c r="M40" s="1254" t="s">
        <v>8308</v>
      </c>
      <c r="N40" s="1254" t="s">
        <v>8309</v>
      </c>
      <c r="O40" s="1254" t="s">
        <v>8310</v>
      </c>
      <c r="P40" s="1254" t="s">
        <v>8311</v>
      </c>
      <c r="Q40" s="1254" t="s">
        <v>8312</v>
      </c>
      <c r="R40" s="1282" t="s">
        <v>8313</v>
      </c>
      <c r="S40" s="2316">
        <f>IF(COUNTIF(Psiquicos!$C$25:$E$36,E40)=0,0,1)</f>
        <v>0</v>
      </c>
      <c r="U40" s="1254" t="str">
        <f t="shared" si="4"/>
        <v/>
      </c>
      <c r="V40" s="2784"/>
      <c r="W40" s="2784"/>
      <c r="X40" s="2784"/>
      <c r="Y40" s="2784"/>
      <c r="Z40" s="2784"/>
      <c r="AA40" s="2784"/>
      <c r="AB40" s="2784"/>
      <c r="AC40" s="2784"/>
      <c r="AD40" s="2784"/>
      <c r="AE40" s="2784"/>
      <c r="AF40" s="2784">
        <f>IF(ISNUMBER(SEARCH("&gt;",D40)),0,COUNTIF(Psiquicos!$AD$11:$AH$64,D40))</f>
        <v>0</v>
      </c>
      <c r="AG40" s="1254" t="str">
        <f>IF(AF40=0,"",VLOOKUP(D40,Psiquicos!$AD$11:$AK$64,8,FALSE))</f>
        <v/>
      </c>
      <c r="AH40" s="5163"/>
      <c r="AI40" s="2946" t="s">
        <v>331</v>
      </c>
    </row>
    <row r="41" spans="1:35" ht="12.75" customHeight="1" x14ac:dyDescent="0.2">
      <c r="A41" s="2322">
        <v>41</v>
      </c>
      <c r="B41" s="2314">
        <f>IF(OR(S41=0),0,SUM($S$6:S41))</f>
        <v>0</v>
      </c>
      <c r="C41" s="1262"/>
      <c r="D41" s="1263" t="s">
        <v>332</v>
      </c>
      <c r="E41" s="1254" t="s">
        <v>281</v>
      </c>
      <c r="F41" s="1255">
        <v>1</v>
      </c>
      <c r="G41" s="1255" t="s">
        <v>3696</v>
      </c>
      <c r="H41" s="1256" t="s">
        <v>1918</v>
      </c>
      <c r="I41" s="1254" t="s">
        <v>8168</v>
      </c>
      <c r="J41" s="1254" t="s">
        <v>8169</v>
      </c>
      <c r="K41" s="1254" t="s">
        <v>8314</v>
      </c>
      <c r="L41" s="1254" t="s">
        <v>8315</v>
      </c>
      <c r="M41" s="1254" t="s">
        <v>8316</v>
      </c>
      <c r="N41" s="1254" t="s">
        <v>8317</v>
      </c>
      <c r="O41" s="1254" t="s">
        <v>8318</v>
      </c>
      <c r="P41" s="1254" t="s">
        <v>8319</v>
      </c>
      <c r="Q41" s="1254" t="s">
        <v>8320</v>
      </c>
      <c r="R41" s="1282" t="s">
        <v>8321</v>
      </c>
      <c r="S41" s="2316">
        <f>IF(COUNTIF(Psiquicos!$C$25:$E$36,E41)=0,0,1)</f>
        <v>0</v>
      </c>
      <c r="U41" s="1254" t="str">
        <f t="shared" si="4"/>
        <v>MED</v>
      </c>
      <c r="V41" s="2784"/>
      <c r="W41" s="2784"/>
      <c r="X41" s="2784"/>
      <c r="Y41" s="2784"/>
      <c r="Z41" s="2784"/>
      <c r="AA41" s="2784"/>
      <c r="AB41" s="2784"/>
      <c r="AC41" s="2784"/>
      <c r="AD41" s="2784"/>
      <c r="AE41" s="2784"/>
      <c r="AF41" s="2784">
        <f>IF(ISNUMBER(SEARCH("&gt;",D41)),0,COUNTIF(Psiquicos!$AD$11:$AH$64,D41))</f>
        <v>0</v>
      </c>
      <c r="AG41" s="1254" t="str">
        <f>IF(AF41=0,"",VLOOKUP(D41,Psiquicos!$AD$11:$AK$64,8,FALSE))</f>
        <v/>
      </c>
      <c r="AH41" s="5163"/>
      <c r="AI41" s="2946" t="s">
        <v>332</v>
      </c>
    </row>
    <row r="42" spans="1:35" ht="12.75" customHeight="1" x14ac:dyDescent="0.2">
      <c r="A42" s="2322">
        <v>42</v>
      </c>
      <c r="B42" s="2314">
        <f>IF(OR(S42=0),0,SUM($S$6:S42))</f>
        <v>0</v>
      </c>
      <c r="C42" s="1262"/>
      <c r="D42" s="1263" t="s">
        <v>333</v>
      </c>
      <c r="E42" s="1254" t="s">
        <v>281</v>
      </c>
      <c r="F42" s="1255">
        <v>1</v>
      </c>
      <c r="G42" s="1255" t="s">
        <v>2234</v>
      </c>
      <c r="H42" s="1256" t="s">
        <v>1918</v>
      </c>
      <c r="I42" s="1254" t="s">
        <v>8204</v>
      </c>
      <c r="J42" s="1254" t="s">
        <v>8168</v>
      </c>
      <c r="K42" s="1254" t="s">
        <v>8169</v>
      </c>
      <c r="L42" s="1254" t="s">
        <v>8322</v>
      </c>
      <c r="M42" s="1254" t="s">
        <v>8323</v>
      </c>
      <c r="N42" s="1254" t="s">
        <v>8324</v>
      </c>
      <c r="O42" s="1254" t="s">
        <v>8325</v>
      </c>
      <c r="P42" s="1254" t="s">
        <v>8326</v>
      </c>
      <c r="Q42" s="1254" t="s">
        <v>8327</v>
      </c>
      <c r="R42" s="1282" t="s">
        <v>8328</v>
      </c>
      <c r="S42" s="2316">
        <f>IF(COUNTIF(Psiquicos!$C$25:$E$36,E42)=0,0,1)</f>
        <v>0</v>
      </c>
      <c r="U42" s="1254" t="str">
        <f t="shared" si="4"/>
        <v/>
      </c>
      <c r="V42" s="2784"/>
      <c r="W42" s="2784"/>
      <c r="X42" s="2784"/>
      <c r="Y42" s="2784"/>
      <c r="Z42" s="2784"/>
      <c r="AA42" s="2784"/>
      <c r="AB42" s="2784"/>
      <c r="AC42" s="2784"/>
      <c r="AD42" s="2784"/>
      <c r="AE42" s="2784"/>
      <c r="AF42" s="2784">
        <f>IF(ISNUMBER(SEARCH("&gt;",D42)),0,COUNTIF(Psiquicos!$AD$11:$AH$64,D42))</f>
        <v>0</v>
      </c>
      <c r="AG42" s="1254" t="str">
        <f>IF(AF42=0,"",VLOOKUP(D42,Psiquicos!$AD$11:$AK$64,8,FALSE))</f>
        <v/>
      </c>
      <c r="AH42" s="5163"/>
      <c r="AI42" s="2946" t="s">
        <v>333</v>
      </c>
    </row>
    <row r="43" spans="1:35" ht="12.75" customHeight="1" x14ac:dyDescent="0.2">
      <c r="A43" s="2322">
        <v>43</v>
      </c>
      <c r="B43" s="2314">
        <f>IF(OR(S43=0),0,SUM($S$6:S43))</f>
        <v>0</v>
      </c>
      <c r="C43" s="1262"/>
      <c r="D43" s="1263" t="s">
        <v>334</v>
      </c>
      <c r="E43" s="1254" t="s">
        <v>281</v>
      </c>
      <c r="F43" s="1255">
        <v>2</v>
      </c>
      <c r="G43" s="1255" t="s">
        <v>3696</v>
      </c>
      <c r="H43" s="1256" t="s">
        <v>1918</v>
      </c>
      <c r="I43" s="1254" t="s">
        <v>8204</v>
      </c>
      <c r="J43" s="1254" t="s">
        <v>8168</v>
      </c>
      <c r="K43" s="1254" t="s">
        <v>8169</v>
      </c>
      <c r="L43" s="1254" t="s">
        <v>5643</v>
      </c>
      <c r="M43" s="1254" t="s">
        <v>5644</v>
      </c>
      <c r="N43" s="1254" t="s">
        <v>6486</v>
      </c>
      <c r="O43" s="1254" t="s">
        <v>5645</v>
      </c>
      <c r="P43" s="1254" t="s">
        <v>8329</v>
      </c>
      <c r="Q43" s="1254" t="s">
        <v>8330</v>
      </c>
      <c r="R43" s="1282" t="s">
        <v>8331</v>
      </c>
      <c r="S43" s="2316">
        <f>IF(COUNTIF(Psiquicos!$C$25:$E$36,E43)=0,0,1)</f>
        <v>0</v>
      </c>
      <c r="U43" s="1254" t="str">
        <f t="shared" si="4"/>
        <v>DIF</v>
      </c>
      <c r="V43" s="2784"/>
      <c r="W43" s="2784"/>
      <c r="X43" s="2784"/>
      <c r="Y43" s="2784"/>
      <c r="Z43" s="2784"/>
      <c r="AA43" s="2784"/>
      <c r="AB43" s="2784"/>
      <c r="AC43" s="2784"/>
      <c r="AD43" s="2784"/>
      <c r="AE43" s="2784"/>
      <c r="AF43" s="2784">
        <f>IF(ISNUMBER(SEARCH("&gt;",D43)),0,COUNTIF(Psiquicos!$AD$11:$AH$64,D43))</f>
        <v>0</v>
      </c>
      <c r="AG43" s="1254" t="str">
        <f>IF(AF43=0,"",VLOOKUP(D43,Psiquicos!$AD$11:$AK$64,8,FALSE))</f>
        <v/>
      </c>
      <c r="AH43" s="5163"/>
      <c r="AI43" s="2946" t="s">
        <v>334</v>
      </c>
    </row>
    <row r="44" spans="1:35" ht="12.75" customHeight="1" x14ac:dyDescent="0.2">
      <c r="A44" s="2322">
        <v>44</v>
      </c>
      <c r="B44" s="2314">
        <f>IF(OR(S44=0),0,SUM($S$6:S44))</f>
        <v>0</v>
      </c>
      <c r="C44" s="1262"/>
      <c r="D44" s="1263" t="s">
        <v>335</v>
      </c>
      <c r="E44" s="1254" t="s">
        <v>281</v>
      </c>
      <c r="F44" s="1255">
        <v>2</v>
      </c>
      <c r="G44" s="1255" t="s">
        <v>3696</v>
      </c>
      <c r="H44" s="1256" t="s">
        <v>1919</v>
      </c>
      <c r="I44" s="1254" t="s">
        <v>8204</v>
      </c>
      <c r="J44" s="1254" t="s">
        <v>8168</v>
      </c>
      <c r="K44" s="1254" t="s">
        <v>8169</v>
      </c>
      <c r="L44" s="1254" t="s">
        <v>5643</v>
      </c>
      <c r="M44" s="1254" t="s">
        <v>5644</v>
      </c>
      <c r="N44" s="1254" t="s">
        <v>6486</v>
      </c>
      <c r="O44" s="1254" t="s">
        <v>5645</v>
      </c>
      <c r="P44" s="1254" t="s">
        <v>8329</v>
      </c>
      <c r="Q44" s="1254" t="s">
        <v>8330</v>
      </c>
      <c r="R44" s="1282" t="s">
        <v>8331</v>
      </c>
      <c r="S44" s="2316">
        <f>IF(COUNTIF(Psiquicos!$C$25:$E$36,E44)=0,0,1)</f>
        <v>0</v>
      </c>
      <c r="U44" s="1254" t="str">
        <f t="shared" si="4"/>
        <v>DIF</v>
      </c>
      <c r="V44" s="2784"/>
      <c r="W44" s="2784"/>
      <c r="X44" s="2784"/>
      <c r="Y44" s="2784"/>
      <c r="Z44" s="2784"/>
      <c r="AA44" s="2784"/>
      <c r="AB44" s="2784"/>
      <c r="AC44" s="2784"/>
      <c r="AD44" s="2784"/>
      <c r="AE44" s="2784"/>
      <c r="AF44" s="2784">
        <f>IF(ISNUMBER(SEARCH("&gt;",D44)),0,COUNTIF(Psiquicos!$AD$11:$AH$64,D44))</f>
        <v>0</v>
      </c>
      <c r="AG44" s="1254" t="str">
        <f>IF(AF44=0,"",VLOOKUP(D44,Psiquicos!$AD$11:$AK$64,8,FALSE))</f>
        <v/>
      </c>
      <c r="AH44" s="5163"/>
      <c r="AI44" s="2946" t="s">
        <v>335</v>
      </c>
    </row>
    <row r="45" spans="1:35" ht="12.75" customHeight="1" x14ac:dyDescent="0.2">
      <c r="A45" s="2322">
        <v>45</v>
      </c>
      <c r="B45" s="2314">
        <f>IF(OR(S45=0),0,SUM($S$6:S45))</f>
        <v>0</v>
      </c>
      <c r="C45" s="1262"/>
      <c r="D45" s="1263" t="s">
        <v>336</v>
      </c>
      <c r="E45" s="1254" t="s">
        <v>281</v>
      </c>
      <c r="F45" s="1255">
        <v>2</v>
      </c>
      <c r="G45" s="1255" t="s">
        <v>3696</v>
      </c>
      <c r="H45" s="1256" t="s">
        <v>1918</v>
      </c>
      <c r="I45" s="1254" t="s">
        <v>8205</v>
      </c>
      <c r="J45" s="1254" t="s">
        <v>8204</v>
      </c>
      <c r="K45" s="1254" t="s">
        <v>8168</v>
      </c>
      <c r="L45" s="1254" t="s">
        <v>8169</v>
      </c>
      <c r="M45" s="1254" t="s">
        <v>8322</v>
      </c>
      <c r="N45" s="1254" t="s">
        <v>8323</v>
      </c>
      <c r="O45" s="1254" t="s">
        <v>8332</v>
      </c>
      <c r="P45" s="1254" t="s">
        <v>8333</v>
      </c>
      <c r="Q45" s="1254" t="s">
        <v>8334</v>
      </c>
      <c r="R45" s="1282" t="s">
        <v>8335</v>
      </c>
      <c r="S45" s="2316">
        <f>IF(COUNTIF(Psiquicos!$C$25:$E$36,E45)=0,0,1)</f>
        <v>0</v>
      </c>
      <c r="U45" s="1254" t="str">
        <f t="shared" si="4"/>
        <v>MDF</v>
      </c>
      <c r="V45" s="2784"/>
      <c r="W45" s="2784"/>
      <c r="X45" s="2784"/>
      <c r="Y45" s="2784"/>
      <c r="Z45" s="2784"/>
      <c r="AA45" s="2784"/>
      <c r="AB45" s="2784"/>
      <c r="AC45" s="2784"/>
      <c r="AD45" s="2784"/>
      <c r="AE45" s="2784"/>
      <c r="AF45" s="2784">
        <f>IF(ISNUMBER(SEARCH("&gt;",D45)),0,COUNTIF(Psiquicos!$AD$11:$AH$64,D45))</f>
        <v>0</v>
      </c>
      <c r="AG45" s="1254" t="str">
        <f>IF(AF45=0,"",VLOOKUP(D45,Psiquicos!$AD$11:$AK$64,8,FALSE))</f>
        <v/>
      </c>
      <c r="AH45" s="5163"/>
      <c r="AI45" s="2946" t="s">
        <v>336</v>
      </c>
    </row>
    <row r="46" spans="1:35" ht="12.75" customHeight="1" x14ac:dyDescent="0.2">
      <c r="A46" s="2322">
        <v>46</v>
      </c>
      <c r="B46" s="2314">
        <f>IF(OR(S46=0),0,SUM($S$6:S46))</f>
        <v>0</v>
      </c>
      <c r="C46" s="1262"/>
      <c r="D46" s="1263" t="s">
        <v>337</v>
      </c>
      <c r="E46" s="1254" t="s">
        <v>281</v>
      </c>
      <c r="F46" s="1255">
        <v>2</v>
      </c>
      <c r="G46" s="1255" t="s">
        <v>3696</v>
      </c>
      <c r="H46" s="1256" t="s">
        <v>1918</v>
      </c>
      <c r="I46" s="1254" t="s">
        <v>8205</v>
      </c>
      <c r="J46" s="1254" t="s">
        <v>8204</v>
      </c>
      <c r="K46" s="1254" t="s">
        <v>8168</v>
      </c>
      <c r="L46" s="1254" t="s">
        <v>8169</v>
      </c>
      <c r="M46" s="1254" t="s">
        <v>8336</v>
      </c>
      <c r="N46" s="1254" t="s">
        <v>8337</v>
      </c>
      <c r="O46" s="1254" t="s">
        <v>8338</v>
      </c>
      <c r="P46" s="1254" t="s">
        <v>8339</v>
      </c>
      <c r="Q46" s="1254" t="s">
        <v>8340</v>
      </c>
      <c r="R46" s="1282" t="s">
        <v>8341</v>
      </c>
      <c r="S46" s="2316">
        <f>IF(COUNTIF(Psiquicos!$C$25:$E$36,E46)=0,0,1)</f>
        <v>0</v>
      </c>
      <c r="U46" s="1254" t="str">
        <f t="shared" si="4"/>
        <v>MDF</v>
      </c>
      <c r="V46" s="2784"/>
      <c r="W46" s="2784"/>
      <c r="X46" s="2784"/>
      <c r="Y46" s="2784"/>
      <c r="Z46" s="2784"/>
      <c r="AA46" s="2784"/>
      <c r="AB46" s="2784"/>
      <c r="AC46" s="2784"/>
      <c r="AD46" s="2784"/>
      <c r="AE46" s="2784"/>
      <c r="AF46" s="2784">
        <f>IF(ISNUMBER(SEARCH("&gt;",D46)),0,COUNTIF(Psiquicos!$AD$11:$AH$64,D46))</f>
        <v>0</v>
      </c>
      <c r="AG46" s="1254" t="str">
        <f>IF(AF46=0,"",VLOOKUP(D46,Psiquicos!$AD$11:$AK$64,8,FALSE))</f>
        <v/>
      </c>
      <c r="AH46" s="5163"/>
      <c r="AI46" s="2946" t="s">
        <v>337</v>
      </c>
    </row>
    <row r="47" spans="1:35" ht="12.75" customHeight="1" x14ac:dyDescent="0.2">
      <c r="A47" s="2322">
        <v>47</v>
      </c>
      <c r="B47" s="2314">
        <f>IF(OR(S47=0),0,SUM($S$6:S47))</f>
        <v>0</v>
      </c>
      <c r="C47" s="1262"/>
      <c r="D47" s="1263" t="s">
        <v>338</v>
      </c>
      <c r="E47" s="1254" t="s">
        <v>281</v>
      </c>
      <c r="F47" s="1255">
        <v>3</v>
      </c>
      <c r="G47" s="1255" t="s">
        <v>2234</v>
      </c>
      <c r="H47" s="1256" t="s">
        <v>1918</v>
      </c>
      <c r="I47" s="1254" t="s">
        <v>8220</v>
      </c>
      <c r="J47" s="1254" t="s">
        <v>8219</v>
      </c>
      <c r="K47" s="1254" t="s">
        <v>8206</v>
      </c>
      <c r="L47" s="1254" t="s">
        <v>8205</v>
      </c>
      <c r="M47" s="1254" t="s">
        <v>8204</v>
      </c>
      <c r="N47" s="1254" t="s">
        <v>8342</v>
      </c>
      <c r="O47" s="1254" t="s">
        <v>8343</v>
      </c>
      <c r="P47" s="1254" t="s">
        <v>8344</v>
      </c>
      <c r="Q47" s="1254" t="s">
        <v>8345</v>
      </c>
      <c r="R47" s="1282" t="s">
        <v>8346</v>
      </c>
      <c r="S47" s="2316">
        <f>IF(COUNTIF(Psiquicos!$C$25:$E$36,E47)=0,0,1)</f>
        <v>0</v>
      </c>
      <c r="U47" s="1254" t="str">
        <f t="shared" si="4"/>
        <v/>
      </c>
      <c r="V47" s="2784"/>
      <c r="W47" s="2784"/>
      <c r="X47" s="2784"/>
      <c r="Y47" s="2784"/>
      <c r="Z47" s="2784"/>
      <c r="AA47" s="2784"/>
      <c r="AB47" s="2784"/>
      <c r="AC47" s="2784"/>
      <c r="AD47" s="2784"/>
      <c r="AE47" s="2784"/>
      <c r="AF47" s="2784">
        <f>IF(ISNUMBER(SEARCH("&gt;",D47)),0,COUNTIF(Psiquicos!$AD$11:$AH$64,D47))</f>
        <v>0</v>
      </c>
      <c r="AG47" s="1254" t="str">
        <f>IF(AF47=0,"",VLOOKUP(D47,Psiquicos!$AD$11:$AK$64,8,FALSE))</f>
        <v/>
      </c>
      <c r="AH47" s="5163"/>
      <c r="AI47" s="2946" t="s">
        <v>338</v>
      </c>
    </row>
    <row r="48" spans="1:35" ht="12.75" customHeight="1" x14ac:dyDescent="0.2">
      <c r="A48" s="2322">
        <v>48</v>
      </c>
      <c r="B48" s="2314">
        <f>IF(OR(S48=0),0,SUM($S$6:S48))</f>
        <v>0</v>
      </c>
      <c r="C48" s="1262"/>
      <c r="D48" s="1263" t="s">
        <v>339</v>
      </c>
      <c r="E48" s="1254" t="s">
        <v>281</v>
      </c>
      <c r="F48" s="1255">
        <v>3</v>
      </c>
      <c r="G48" s="1255" t="s">
        <v>3696</v>
      </c>
      <c r="H48" s="1256" t="s">
        <v>1918</v>
      </c>
      <c r="I48" s="1254" t="s">
        <v>8220</v>
      </c>
      <c r="J48" s="1254" t="s">
        <v>8219</v>
      </c>
      <c r="K48" s="1254" t="s">
        <v>8206</v>
      </c>
      <c r="L48" s="1254" t="s">
        <v>8347</v>
      </c>
      <c r="M48" s="1254" t="s">
        <v>8348</v>
      </c>
      <c r="N48" s="1254" t="s">
        <v>8349</v>
      </c>
      <c r="O48" s="1254" t="s">
        <v>7317</v>
      </c>
      <c r="P48" s="1254" t="s">
        <v>8350</v>
      </c>
      <c r="Q48" s="1254" t="s">
        <v>7318</v>
      </c>
      <c r="R48" s="1282" t="s">
        <v>8351</v>
      </c>
      <c r="S48" s="2316">
        <f>IF(COUNTIF(Psiquicos!$C$25:$E$36,E48)=0,0,1)</f>
        <v>0</v>
      </c>
      <c r="U48" s="1254" t="str">
        <f t="shared" si="4"/>
        <v>DIF</v>
      </c>
      <c r="V48" s="2784"/>
      <c r="W48" s="2784"/>
      <c r="X48" s="2784"/>
      <c r="Y48" s="2784"/>
      <c r="Z48" s="2784"/>
      <c r="AA48" s="2784"/>
      <c r="AB48" s="2784"/>
      <c r="AC48" s="2784"/>
      <c r="AD48" s="2784"/>
      <c r="AE48" s="2784"/>
      <c r="AF48" s="2784">
        <f>IF(ISNUMBER(SEARCH("&gt;",D48)),0,COUNTIF(Psiquicos!$AD$11:$AH$64,D48))</f>
        <v>0</v>
      </c>
      <c r="AG48" s="1254" t="str">
        <f>IF(AF48=0,"",VLOOKUP(D48,Psiquicos!$AD$11:$AK$64,8,FALSE))</f>
        <v/>
      </c>
      <c r="AH48" s="5163"/>
      <c r="AI48" s="2946" t="s">
        <v>339</v>
      </c>
    </row>
    <row r="49" spans="1:35" ht="12.75" customHeight="1" x14ac:dyDescent="0.2">
      <c r="A49" s="2322">
        <v>49</v>
      </c>
      <c r="B49" s="2314">
        <f>IF(OR(S49=0),0,SUM($S$6:S49))</f>
        <v>0</v>
      </c>
      <c r="C49" s="1262"/>
      <c r="D49" s="1263" t="s">
        <v>340</v>
      </c>
      <c r="E49" s="1254" t="s">
        <v>281</v>
      </c>
      <c r="F49" s="1255">
        <v>3</v>
      </c>
      <c r="G49" s="1255" t="s">
        <v>3696</v>
      </c>
      <c r="H49" s="1256" t="s">
        <v>1918</v>
      </c>
      <c r="I49" s="1254" t="s">
        <v>8294</v>
      </c>
      <c r="J49" s="1254" t="s">
        <v>8220</v>
      </c>
      <c r="K49" s="1254" t="s">
        <v>8219</v>
      </c>
      <c r="L49" s="1254" t="s">
        <v>8206</v>
      </c>
      <c r="M49" s="1254" t="s">
        <v>8205</v>
      </c>
      <c r="N49" s="1254" t="s">
        <v>8204</v>
      </c>
      <c r="O49" s="1254" t="s">
        <v>8329</v>
      </c>
      <c r="P49" s="1254" t="s">
        <v>8330</v>
      </c>
      <c r="Q49" s="1254" t="s">
        <v>8331</v>
      </c>
      <c r="R49" s="1282" t="s">
        <v>8352</v>
      </c>
      <c r="S49" s="2316">
        <f>IF(COUNTIF(Psiquicos!$C$25:$E$36,E49)=0,0,1)</f>
        <v>0</v>
      </c>
      <c r="U49" s="1254" t="str">
        <f t="shared" si="4"/>
        <v>CIM</v>
      </c>
      <c r="V49" s="2784"/>
      <c r="W49" s="2784"/>
      <c r="X49" s="2784"/>
      <c r="Y49" s="2784"/>
      <c r="Z49" s="2784"/>
      <c r="AA49" s="2784"/>
      <c r="AB49" s="2784"/>
      <c r="AC49" s="2784"/>
      <c r="AD49" s="2784"/>
      <c r="AE49" s="2784"/>
      <c r="AF49" s="2784">
        <f>IF(ISNUMBER(SEARCH("&gt;",D49)),0,COUNTIF(Psiquicos!$AD$11:$AH$64,D49))</f>
        <v>0</v>
      </c>
      <c r="AG49" s="1254" t="str">
        <f>IF(AF49=0,"",VLOOKUP(D49,Psiquicos!$AD$11:$AK$64,8,FALSE))</f>
        <v/>
      </c>
      <c r="AH49" s="5163"/>
      <c r="AI49" s="2946" t="s">
        <v>340</v>
      </c>
    </row>
    <row r="50" spans="1:35" ht="12.75" customHeight="1" x14ac:dyDescent="0.2">
      <c r="A50" s="2322">
        <v>50</v>
      </c>
      <c r="B50" s="2314">
        <f>IF(OR(S50=0),0,SUM($S$6:S50))</f>
        <v>0</v>
      </c>
      <c r="C50" s="1262"/>
      <c r="D50" s="1263" t="s">
        <v>341</v>
      </c>
      <c r="E50" s="1254"/>
      <c r="F50" s="1255"/>
      <c r="G50" s="1255"/>
      <c r="H50" s="1256"/>
      <c r="I50" s="1254"/>
      <c r="J50" s="1254"/>
      <c r="K50" s="1254"/>
      <c r="L50" s="1254"/>
      <c r="M50" s="1254"/>
      <c r="N50" s="1254"/>
      <c r="O50" s="1254"/>
      <c r="P50" s="1254"/>
      <c r="Q50" s="1254"/>
      <c r="R50" s="1282"/>
      <c r="S50" s="2318">
        <f>S51</f>
        <v>0</v>
      </c>
      <c r="U50" s="1254" t="str">
        <f t="shared" si="4"/>
        <v/>
      </c>
      <c r="V50" s="2784"/>
      <c r="W50" s="2784"/>
      <c r="X50" s="2784"/>
      <c r="Y50" s="2784"/>
      <c r="Z50" s="2784"/>
      <c r="AA50" s="2784"/>
      <c r="AB50" s="2784"/>
      <c r="AC50" s="2784"/>
      <c r="AD50" s="2784"/>
      <c r="AE50" s="2784"/>
      <c r="AF50" s="2784">
        <f>IF(ISNUMBER(SEARCH("&gt;",D50)),0,COUNTIF(Psiquicos!$AD$11:$AH$64,D50))</f>
        <v>0</v>
      </c>
      <c r="AG50" s="1254" t="str">
        <f>IF(AF50=0,"",VLOOKUP(D50,Psiquicos!$AD$11:$AK$64,8,FALSE))</f>
        <v/>
      </c>
      <c r="AH50" s="5163"/>
      <c r="AI50" s="2946" t="s">
        <v>341</v>
      </c>
    </row>
    <row r="51" spans="1:35" ht="12.75" customHeight="1" x14ac:dyDescent="0.2">
      <c r="A51" s="2322">
        <v>51</v>
      </c>
      <c r="B51" s="2314">
        <f>IF(OR(S51=0),0,SUM($S$6:S51))</f>
        <v>0</v>
      </c>
      <c r="C51" s="1262"/>
      <c r="D51" s="1263" t="s">
        <v>342</v>
      </c>
      <c r="E51" s="1254" t="s">
        <v>283</v>
      </c>
      <c r="F51" s="1255">
        <v>1</v>
      </c>
      <c r="G51" s="1255" t="s">
        <v>3696</v>
      </c>
      <c r="H51" s="1256" t="s">
        <v>1918</v>
      </c>
      <c r="I51" s="1254" t="s">
        <v>8169</v>
      </c>
      <c r="J51" s="1254" t="s">
        <v>5642</v>
      </c>
      <c r="K51" s="1254" t="s">
        <v>7090</v>
      </c>
      <c r="L51" s="1254" t="s">
        <v>5643</v>
      </c>
      <c r="M51" s="1254" t="s">
        <v>8302</v>
      </c>
      <c r="N51" s="1254" t="s">
        <v>5644</v>
      </c>
      <c r="O51" s="1254" t="s">
        <v>8303</v>
      </c>
      <c r="P51" s="1254" t="s">
        <v>8304</v>
      </c>
      <c r="Q51" s="1254" t="s">
        <v>5645</v>
      </c>
      <c r="R51" s="1282" t="s">
        <v>6487</v>
      </c>
      <c r="S51" s="2316">
        <f>IF(COUNTIF(Psiquicos!$C$25:$E$36,E51)=0,0,1)</f>
        <v>0</v>
      </c>
      <c r="U51" s="1254" t="str">
        <f t="shared" si="4"/>
        <v>FAC</v>
      </c>
      <c r="V51" s="2784"/>
      <c r="W51" s="2784"/>
      <c r="X51" s="2784"/>
      <c r="Y51" s="2784"/>
      <c r="Z51" s="2784"/>
      <c r="AA51" s="2784"/>
      <c r="AB51" s="2784"/>
      <c r="AC51" s="2784"/>
      <c r="AD51" s="2784"/>
      <c r="AE51" s="2784"/>
      <c r="AF51" s="2784">
        <f>IF(ISNUMBER(SEARCH("&gt;",D51)),0,COUNTIF(Psiquicos!$AD$11:$AH$64,D51))</f>
        <v>0</v>
      </c>
      <c r="AG51" s="1254" t="str">
        <f>IF(AF51=0,"",VLOOKUP(D51,Psiquicos!$AD$11:$AK$64,8,FALSE))</f>
        <v/>
      </c>
      <c r="AH51" s="5163"/>
      <c r="AI51" s="2946" t="s">
        <v>342</v>
      </c>
    </row>
    <row r="52" spans="1:35" ht="12.75" customHeight="1" x14ac:dyDescent="0.2">
      <c r="A52" s="2322">
        <v>52</v>
      </c>
      <c r="B52" s="2314">
        <f>IF(OR(S52=0),0,SUM($S$6:S52))</f>
        <v>0</v>
      </c>
      <c r="C52" s="1262"/>
      <c r="D52" s="1263" t="s">
        <v>343</v>
      </c>
      <c r="E52" s="1254" t="s">
        <v>283</v>
      </c>
      <c r="F52" s="1255">
        <v>1</v>
      </c>
      <c r="G52" s="1255" t="s">
        <v>3696</v>
      </c>
      <c r="H52" s="1256" t="s">
        <v>1918</v>
      </c>
      <c r="I52" s="1254" t="s">
        <v>8204</v>
      </c>
      <c r="J52" s="1254" t="s">
        <v>8168</v>
      </c>
      <c r="K52" s="1254" t="s">
        <v>8169</v>
      </c>
      <c r="L52" s="1254" t="s">
        <v>8353</v>
      </c>
      <c r="M52" s="1254" t="s">
        <v>8354</v>
      </c>
      <c r="N52" s="1254" t="s">
        <v>8355</v>
      </c>
      <c r="O52" s="1254" t="s">
        <v>8356</v>
      </c>
      <c r="P52" s="1254" t="s">
        <v>6491</v>
      </c>
      <c r="Q52" s="1254" t="s">
        <v>6493</v>
      </c>
      <c r="R52" s="1282" t="s">
        <v>8357</v>
      </c>
      <c r="S52" s="2316">
        <f>IF(COUNTIF(Psiquicos!$C$25:$E$36,E52)=0,0,1)</f>
        <v>0</v>
      </c>
      <c r="U52" s="1254" t="str">
        <f t="shared" si="4"/>
        <v>DIF</v>
      </c>
      <c r="V52" s="2784"/>
      <c r="W52" s="2784"/>
      <c r="X52" s="2784"/>
      <c r="Y52" s="2784"/>
      <c r="Z52" s="2784"/>
      <c r="AA52" s="2784"/>
      <c r="AB52" s="2784"/>
      <c r="AC52" s="2784"/>
      <c r="AD52" s="2784"/>
      <c r="AE52" s="2784"/>
      <c r="AF52" s="2784">
        <f>IF(ISNUMBER(SEARCH("&gt;",D52)),0,COUNTIF(Psiquicos!$AD$11:$AH$64,D52))</f>
        <v>0</v>
      </c>
      <c r="AG52" s="1254" t="str">
        <f>IF(AF52=0,"",VLOOKUP(D52,Psiquicos!$AD$11:$AK$64,8,FALSE))</f>
        <v/>
      </c>
      <c r="AH52" s="5163"/>
      <c r="AI52" s="2946" t="s">
        <v>343</v>
      </c>
    </row>
    <row r="53" spans="1:35" ht="12.75" customHeight="1" x14ac:dyDescent="0.2">
      <c r="A53" s="2322">
        <v>53</v>
      </c>
      <c r="B53" s="2314">
        <f>IF(OR(S53=0),0,SUM($S$6:S53))</f>
        <v>0</v>
      </c>
      <c r="C53" s="1262"/>
      <c r="D53" s="1263" t="s">
        <v>344</v>
      </c>
      <c r="E53" s="1254" t="s">
        <v>283</v>
      </c>
      <c r="F53" s="1255">
        <v>1</v>
      </c>
      <c r="G53" s="1255" t="s">
        <v>3696</v>
      </c>
      <c r="H53" s="1256" t="s">
        <v>1918</v>
      </c>
      <c r="I53" s="1254" t="s">
        <v>8169</v>
      </c>
      <c r="J53" s="1254" t="s">
        <v>8305</v>
      </c>
      <c r="K53" s="1254" t="s">
        <v>8306</v>
      </c>
      <c r="L53" s="1254" t="s">
        <v>8307</v>
      </c>
      <c r="M53" s="1254" t="s">
        <v>8308</v>
      </c>
      <c r="N53" s="1254" t="s">
        <v>8309</v>
      </c>
      <c r="O53" s="1254" t="s">
        <v>8310</v>
      </c>
      <c r="P53" s="1254" t="s">
        <v>8311</v>
      </c>
      <c r="Q53" s="1254" t="s">
        <v>8312</v>
      </c>
      <c r="R53" s="1282" t="s">
        <v>8313</v>
      </c>
      <c r="S53" s="2316">
        <f>IF(COUNTIF(Psiquicos!$C$25:$E$36,E53)=0,0,1)</f>
        <v>0</v>
      </c>
      <c r="U53" s="1254" t="str">
        <f t="shared" si="4"/>
        <v>FAC</v>
      </c>
      <c r="V53" s="2784"/>
      <c r="W53" s="2784"/>
      <c r="X53" s="2784"/>
      <c r="Y53" s="2784"/>
      <c r="Z53" s="2784"/>
      <c r="AA53" s="2784"/>
      <c r="AB53" s="2784"/>
      <c r="AC53" s="2784"/>
      <c r="AD53" s="2784"/>
      <c r="AE53" s="2784"/>
      <c r="AF53" s="2784">
        <f>IF(ISNUMBER(SEARCH("&gt;",D53)),0,COUNTIF(Psiquicos!$AD$11:$AH$64,D53))</f>
        <v>0</v>
      </c>
      <c r="AG53" s="1254" t="str">
        <f>IF(AF53=0,"",VLOOKUP(D53,Psiquicos!$AD$11:$AK$64,8,FALSE))</f>
        <v/>
      </c>
      <c r="AH53" s="5163"/>
      <c r="AI53" s="2946" t="s">
        <v>344</v>
      </c>
    </row>
    <row r="54" spans="1:35" ht="12.75" customHeight="1" x14ac:dyDescent="0.2">
      <c r="A54" s="2322">
        <v>54</v>
      </c>
      <c r="B54" s="2314">
        <f>IF(OR(S54=0),0,SUM($S$6:S54))</f>
        <v>0</v>
      </c>
      <c r="C54" s="1262"/>
      <c r="D54" s="1263" t="s">
        <v>345</v>
      </c>
      <c r="E54" s="1254" t="s">
        <v>283</v>
      </c>
      <c r="F54" s="1255">
        <v>1</v>
      </c>
      <c r="G54" s="1255" t="s">
        <v>2234</v>
      </c>
      <c r="H54" s="1256" t="s">
        <v>1918</v>
      </c>
      <c r="I54" s="1254" t="s">
        <v>8168</v>
      </c>
      <c r="J54" s="1254" t="s">
        <v>8169</v>
      </c>
      <c r="K54" s="1254" t="s">
        <v>8314</v>
      </c>
      <c r="L54" s="1254" t="s">
        <v>8315</v>
      </c>
      <c r="M54" s="1254" t="s">
        <v>8316</v>
      </c>
      <c r="N54" s="1254" t="s">
        <v>8317</v>
      </c>
      <c r="O54" s="1254" t="s">
        <v>8318</v>
      </c>
      <c r="P54" s="1254" t="s">
        <v>8319</v>
      </c>
      <c r="Q54" s="1254" t="s">
        <v>8320</v>
      </c>
      <c r="R54" s="1282" t="s">
        <v>8321</v>
      </c>
      <c r="S54" s="2316">
        <f>IF(COUNTIF(Psiquicos!$C$25:$E$36,E54)=0,0,1)</f>
        <v>0</v>
      </c>
      <c r="U54" s="1254" t="str">
        <f t="shared" si="4"/>
        <v/>
      </c>
      <c r="V54" s="2784"/>
      <c r="W54" s="2784"/>
      <c r="X54" s="2784"/>
      <c r="Y54" s="2784"/>
      <c r="Z54" s="2784"/>
      <c r="AA54" s="2784"/>
      <c r="AB54" s="2784"/>
      <c r="AC54" s="2784"/>
      <c r="AD54" s="2784"/>
      <c r="AE54" s="2784"/>
      <c r="AF54" s="2784">
        <f>IF(ISNUMBER(SEARCH("&gt;",D54)),0,COUNTIF(Psiquicos!$AD$11:$AH$64,D54))</f>
        <v>0</v>
      </c>
      <c r="AG54" s="1254" t="str">
        <f>IF(AF54=0,"",VLOOKUP(D54,Psiquicos!$AD$11:$AK$64,8,FALSE))</f>
        <v/>
      </c>
      <c r="AH54" s="5163"/>
      <c r="AI54" s="2946" t="s">
        <v>345</v>
      </c>
    </row>
    <row r="55" spans="1:35" ht="12.75" customHeight="1" x14ac:dyDescent="0.2">
      <c r="A55" s="2322">
        <v>55</v>
      </c>
      <c r="B55" s="2314">
        <f>IF(OR(S55=0),0,SUM($S$6:S55))</f>
        <v>0</v>
      </c>
      <c r="C55" s="1262"/>
      <c r="D55" s="1263" t="s">
        <v>346</v>
      </c>
      <c r="E55" s="1254" t="s">
        <v>283</v>
      </c>
      <c r="F55" s="1255">
        <v>1</v>
      </c>
      <c r="G55" s="1255" t="s">
        <v>3696</v>
      </c>
      <c r="H55" s="1256" t="s">
        <v>1918</v>
      </c>
      <c r="I55" s="1254" t="s">
        <v>8206</v>
      </c>
      <c r="J55" s="1254" t="s">
        <v>8205</v>
      </c>
      <c r="K55" s="1254" t="s">
        <v>8204</v>
      </c>
      <c r="L55" s="1254" t="s">
        <v>8203</v>
      </c>
      <c r="M55" s="1254" t="s">
        <v>8186</v>
      </c>
      <c r="N55" s="1254" t="s">
        <v>8187</v>
      </c>
      <c r="O55" s="1254" t="s">
        <v>8188</v>
      </c>
      <c r="P55" s="1254" t="s">
        <v>8189</v>
      </c>
      <c r="Q55" s="1254" t="s">
        <v>8190</v>
      </c>
      <c r="R55" s="1282" t="s">
        <v>8192</v>
      </c>
      <c r="S55" s="2316">
        <f>IF(COUNTIF(Psiquicos!$C$25:$E$36,E55)=0,0,1)</f>
        <v>0</v>
      </c>
      <c r="U55" s="1254" t="str">
        <f t="shared" si="4"/>
        <v>DIF</v>
      </c>
      <c r="V55" s="2784"/>
      <c r="W55" s="2784"/>
      <c r="X55" s="2785"/>
      <c r="Y55" s="2785"/>
      <c r="Z55" s="2785"/>
      <c r="AA55" s="2785"/>
      <c r="AB55" s="2784"/>
      <c r="AC55" s="2784"/>
      <c r="AD55" s="2784"/>
      <c r="AE55" s="2785"/>
      <c r="AF55" s="2784">
        <f>IF(ISNUMBER(SEARCH("&gt;",D55)),0,COUNTIF(Psiquicos!$AD$11:$AH$64,D55))</f>
        <v>0</v>
      </c>
      <c r="AG55" s="1254" t="str">
        <f>IF(AF55=0,"",VLOOKUP(D55,Psiquicos!$AD$11:$AK$64,8,FALSE))</f>
        <v/>
      </c>
      <c r="AH55" s="5163"/>
      <c r="AI55" s="2946" t="s">
        <v>346</v>
      </c>
    </row>
    <row r="56" spans="1:35" ht="12.75" customHeight="1" x14ac:dyDescent="0.2">
      <c r="A56" s="2322">
        <v>56</v>
      </c>
      <c r="B56" s="2314">
        <f>IF(OR(S56=0),0,SUM($S$6:S56))</f>
        <v>0</v>
      </c>
      <c r="C56" s="1262"/>
      <c r="D56" s="1263" t="s">
        <v>347</v>
      </c>
      <c r="E56" s="1254" t="s">
        <v>283</v>
      </c>
      <c r="F56" s="1255">
        <v>2</v>
      </c>
      <c r="G56" s="1255" t="s">
        <v>2234</v>
      </c>
      <c r="H56" s="1256" t="s">
        <v>1918</v>
      </c>
      <c r="I56" s="1254" t="s">
        <v>8206</v>
      </c>
      <c r="J56" s="1254" t="s">
        <v>8205</v>
      </c>
      <c r="K56" s="1254" t="s">
        <v>8204</v>
      </c>
      <c r="L56" s="1254" t="s">
        <v>8168</v>
      </c>
      <c r="M56" s="1254" t="s">
        <v>8169</v>
      </c>
      <c r="N56" s="1254" t="s">
        <v>6958</v>
      </c>
      <c r="O56" s="1254" t="s">
        <v>5894</v>
      </c>
      <c r="P56" s="1254" t="s">
        <v>5510</v>
      </c>
      <c r="Q56" s="1254" t="s">
        <v>8358</v>
      </c>
      <c r="R56" s="1282" t="s">
        <v>8359</v>
      </c>
      <c r="S56" s="2316">
        <f>IF(COUNTIF(Psiquicos!$C$25:$E$36,E56)=0,0,1)</f>
        <v>0</v>
      </c>
      <c r="U56" s="1254" t="str">
        <f t="shared" si="4"/>
        <v/>
      </c>
      <c r="V56" s="2784"/>
      <c r="W56" s="2784"/>
      <c r="X56" s="2784"/>
      <c r="Y56" s="2784"/>
      <c r="Z56" s="2784"/>
      <c r="AA56" s="2784"/>
      <c r="AB56" s="2784"/>
      <c r="AC56" s="2784"/>
      <c r="AD56" s="2784"/>
      <c r="AE56" s="2784"/>
      <c r="AF56" s="2784">
        <f>IF(ISNUMBER(SEARCH("&gt;",D56)),0,COUNTIF(Psiquicos!$AD$11:$AH$64,D56))</f>
        <v>0</v>
      </c>
      <c r="AG56" s="1254" t="str">
        <f>IF(AF56=0,"",VLOOKUP(D56,Psiquicos!$AD$11:$AK$64,8,FALSE))</f>
        <v/>
      </c>
      <c r="AH56" s="5163"/>
      <c r="AI56" s="2946" t="s">
        <v>347</v>
      </c>
    </row>
    <row r="57" spans="1:35" ht="12.75" customHeight="1" x14ac:dyDescent="0.2">
      <c r="A57" s="2322">
        <v>57</v>
      </c>
      <c r="B57" s="2314">
        <f>IF(OR(S57=0),0,SUM($S$6:S57))</f>
        <v>0</v>
      </c>
      <c r="C57" s="1262"/>
      <c r="D57" s="1263" t="s">
        <v>348</v>
      </c>
      <c r="E57" s="1254" t="s">
        <v>283</v>
      </c>
      <c r="F57" s="1255">
        <v>2</v>
      </c>
      <c r="G57" s="1255" t="s">
        <v>3696</v>
      </c>
      <c r="H57" s="1256" t="s">
        <v>1918</v>
      </c>
      <c r="I57" s="1254" t="s">
        <v>8205</v>
      </c>
      <c r="J57" s="1254" t="s">
        <v>8204</v>
      </c>
      <c r="K57" s="1254" t="s">
        <v>8168</v>
      </c>
      <c r="L57" s="1254" t="s">
        <v>8169</v>
      </c>
      <c r="M57" s="1254" t="s">
        <v>8360</v>
      </c>
      <c r="N57" s="1254" t="s">
        <v>8361</v>
      </c>
      <c r="O57" s="1254" t="s">
        <v>8362</v>
      </c>
      <c r="P57" s="1254" t="s">
        <v>8363</v>
      </c>
      <c r="Q57" s="1254" t="s">
        <v>8364</v>
      </c>
      <c r="R57" s="1282" t="s">
        <v>8365</v>
      </c>
      <c r="S57" s="2316">
        <f>IF(COUNTIF(Psiquicos!$C$25:$E$36,E57)=0,0,1)</f>
        <v>0</v>
      </c>
      <c r="U57" s="1254" t="str">
        <f t="shared" si="4"/>
        <v>MDF</v>
      </c>
      <c r="V57" s="2784"/>
      <c r="W57" s="2784"/>
      <c r="X57" s="2784"/>
      <c r="Y57" s="2784"/>
      <c r="Z57" s="2784"/>
      <c r="AA57" s="2784"/>
      <c r="AB57" s="2784"/>
      <c r="AC57" s="2784"/>
      <c r="AD57" s="2784"/>
      <c r="AE57" s="2784"/>
      <c r="AF57" s="2784">
        <f>IF(ISNUMBER(SEARCH("&gt;",D57)),0,COUNTIF(Psiquicos!$AD$11:$AH$64,D57))</f>
        <v>0</v>
      </c>
      <c r="AG57" s="1254" t="str">
        <f>IF(AF57=0,"",VLOOKUP(D57,Psiquicos!$AD$11:$AK$64,8,FALSE))</f>
        <v/>
      </c>
      <c r="AH57" s="5163"/>
      <c r="AI57" s="2946" t="s">
        <v>348</v>
      </c>
    </row>
    <row r="58" spans="1:35" ht="12.75" customHeight="1" x14ac:dyDescent="0.2">
      <c r="A58" s="2322">
        <v>58</v>
      </c>
      <c r="B58" s="2314">
        <f>IF(OR(S58=0),0,SUM($S$6:S58))</f>
        <v>0</v>
      </c>
      <c r="C58" s="1262"/>
      <c r="D58" s="1263" t="s">
        <v>349</v>
      </c>
      <c r="E58" s="1254" t="s">
        <v>283</v>
      </c>
      <c r="F58" s="1255">
        <v>2</v>
      </c>
      <c r="G58" s="1255" t="s">
        <v>3696</v>
      </c>
      <c r="H58" s="1256" t="s">
        <v>1919</v>
      </c>
      <c r="I58" s="1254" t="s">
        <v>8205</v>
      </c>
      <c r="J58" s="1254" t="s">
        <v>8204</v>
      </c>
      <c r="K58" s="1254" t="s">
        <v>8168</v>
      </c>
      <c r="L58" s="1254" t="s">
        <v>8366</v>
      </c>
      <c r="M58" s="1254" t="s">
        <v>8367</v>
      </c>
      <c r="N58" s="1254" t="s">
        <v>8368</v>
      </c>
      <c r="O58" s="1254" t="s">
        <v>8369</v>
      </c>
      <c r="P58" s="1254" t="s">
        <v>8370</v>
      </c>
      <c r="Q58" s="1254" t="s">
        <v>8371</v>
      </c>
      <c r="R58" s="1282" t="s">
        <v>8372</v>
      </c>
      <c r="S58" s="2316">
        <f>IF(COUNTIF(Psiquicos!$C$25:$E$36,E58)=0,0,1)</f>
        <v>0</v>
      </c>
      <c r="U58" s="1254" t="str">
        <f t="shared" si="4"/>
        <v>DIF</v>
      </c>
      <c r="V58" s="2784"/>
      <c r="W58" s="2784"/>
      <c r="X58" s="2784"/>
      <c r="Y58" s="2784"/>
      <c r="Z58" s="2784"/>
      <c r="AA58" s="2784"/>
      <c r="AB58" s="2784"/>
      <c r="AC58" s="2784"/>
      <c r="AD58" s="2784"/>
      <c r="AE58" s="2784"/>
      <c r="AF58" s="2784">
        <f>IF(ISNUMBER(SEARCH("&gt;",D58)),0,COUNTIF(Psiquicos!$AD$11:$AH$64,D58))</f>
        <v>0</v>
      </c>
      <c r="AG58" s="1254" t="str">
        <f>IF(AF58=0,"",VLOOKUP(D58,Psiquicos!$AD$11:$AK$64,8,FALSE))</f>
        <v/>
      </c>
      <c r="AH58" s="5163"/>
      <c r="AI58" s="2946" t="s">
        <v>349</v>
      </c>
    </row>
    <row r="59" spans="1:35" ht="12.75" customHeight="1" x14ac:dyDescent="0.2">
      <c r="A59" s="2322">
        <v>59</v>
      </c>
      <c r="B59" s="2314">
        <f>IF(OR(S59=0),0,SUM($S$6:S59))</f>
        <v>0</v>
      </c>
      <c r="C59" s="1262"/>
      <c r="D59" s="1263" t="s">
        <v>350</v>
      </c>
      <c r="E59" s="1254" t="s">
        <v>283</v>
      </c>
      <c r="F59" s="1255">
        <v>2</v>
      </c>
      <c r="G59" s="1255" t="s">
        <v>3696</v>
      </c>
      <c r="H59" s="1256" t="s">
        <v>1918</v>
      </c>
      <c r="I59" s="1254" t="s">
        <v>8219</v>
      </c>
      <c r="J59" s="1254" t="s">
        <v>8206</v>
      </c>
      <c r="K59" s="1254" t="s">
        <v>8205</v>
      </c>
      <c r="L59" s="1254" t="s">
        <v>8204</v>
      </c>
      <c r="M59" s="1254" t="s">
        <v>8168</v>
      </c>
      <c r="N59" s="1254" t="s">
        <v>8272</v>
      </c>
      <c r="O59" s="1254" t="s">
        <v>8273</v>
      </c>
      <c r="P59" s="1254" t="s">
        <v>8274</v>
      </c>
      <c r="Q59" s="1254" t="s">
        <v>8275</v>
      </c>
      <c r="R59" s="1282" t="s">
        <v>8276</v>
      </c>
      <c r="S59" s="2316">
        <f>IF(COUNTIF(Psiquicos!$C$25:$E$36,E59)=0,0,1)</f>
        <v>0</v>
      </c>
      <c r="U59" s="1254" t="str">
        <f t="shared" si="4"/>
        <v>ABS</v>
      </c>
      <c r="V59" s="2784"/>
      <c r="W59" s="2784"/>
      <c r="X59" s="2784"/>
      <c r="Y59" s="2784"/>
      <c r="Z59" s="2784"/>
      <c r="AA59" s="2784"/>
      <c r="AB59" s="2784"/>
      <c r="AC59" s="2784"/>
      <c r="AD59" s="2784"/>
      <c r="AE59" s="2784"/>
      <c r="AF59" s="2784">
        <f>IF(ISNUMBER(SEARCH("&gt;",D59)),0,COUNTIF(Psiquicos!$AD$11:$AH$64,D59))</f>
        <v>0</v>
      </c>
      <c r="AG59" s="1254" t="str">
        <f>IF(AF59=0,"",VLOOKUP(D59,Psiquicos!$AD$11:$AK$64,8,FALSE))</f>
        <v/>
      </c>
      <c r="AH59" s="5163"/>
      <c r="AI59" s="2946" t="s">
        <v>350</v>
      </c>
    </row>
    <row r="60" spans="1:35" ht="12.75" customHeight="1" x14ac:dyDescent="0.2">
      <c r="A60" s="2322">
        <v>60</v>
      </c>
      <c r="B60" s="2314">
        <f>IF(OR(S60=0),0,SUM($S$6:S60))</f>
        <v>0</v>
      </c>
      <c r="C60" s="1262"/>
      <c r="D60" s="1263" t="s">
        <v>351</v>
      </c>
      <c r="E60" s="1254" t="s">
        <v>283</v>
      </c>
      <c r="F60" s="1255">
        <v>2</v>
      </c>
      <c r="G60" s="1255" t="s">
        <v>3696</v>
      </c>
      <c r="H60" s="1256" t="s">
        <v>1919</v>
      </c>
      <c r="I60" s="1254" t="s">
        <v>8204</v>
      </c>
      <c r="J60" s="1254" t="s">
        <v>8168</v>
      </c>
      <c r="K60" s="1254" t="s">
        <v>8169</v>
      </c>
      <c r="L60" s="1254" t="s">
        <v>5643</v>
      </c>
      <c r="M60" s="1254" t="s">
        <v>5644</v>
      </c>
      <c r="N60" s="1254" t="s">
        <v>6486</v>
      </c>
      <c r="O60" s="1254" t="s">
        <v>5645</v>
      </c>
      <c r="P60" s="1254" t="s">
        <v>8329</v>
      </c>
      <c r="Q60" s="1254" t="s">
        <v>8330</v>
      </c>
      <c r="R60" s="1282" t="s">
        <v>8331</v>
      </c>
      <c r="S60" s="2316">
        <f>IF(COUNTIF(Psiquicos!$C$25:$E$36,E60)=0,0,1)</f>
        <v>0</v>
      </c>
      <c r="U60" s="1254" t="str">
        <f t="shared" si="4"/>
        <v>DIF</v>
      </c>
      <c r="V60" s="2784"/>
      <c r="W60" s="2784"/>
      <c r="X60" s="2784"/>
      <c r="Y60" s="2784"/>
      <c r="Z60" s="2784"/>
      <c r="AA60" s="2784"/>
      <c r="AB60" s="2784"/>
      <c r="AC60" s="2784"/>
      <c r="AD60" s="2784"/>
      <c r="AE60" s="2784"/>
      <c r="AF60" s="2784">
        <f>IF(ISNUMBER(SEARCH("&gt;",D60)),0,COUNTIF(Psiquicos!$AD$11:$AH$64,D60))</f>
        <v>0</v>
      </c>
      <c r="AG60" s="1254" t="str">
        <f>IF(AF60=0,"",VLOOKUP(D60,Psiquicos!$AD$11:$AK$64,8,FALSE))</f>
        <v/>
      </c>
      <c r="AH60" s="5163"/>
      <c r="AI60" s="2946" t="s">
        <v>351</v>
      </c>
    </row>
    <row r="61" spans="1:35" ht="12.75" customHeight="1" x14ac:dyDescent="0.2">
      <c r="A61" s="2322">
        <v>61</v>
      </c>
      <c r="B61" s="2314">
        <f>IF(OR(S61=0),0,SUM($S$6:S61))</f>
        <v>0</v>
      </c>
      <c r="C61" s="1262"/>
      <c r="D61" s="1263" t="s">
        <v>352</v>
      </c>
      <c r="E61" s="1254" t="s">
        <v>283</v>
      </c>
      <c r="F61" s="1255">
        <v>3</v>
      </c>
      <c r="G61" s="1255" t="s">
        <v>3696</v>
      </c>
      <c r="H61" s="1256" t="s">
        <v>1918</v>
      </c>
      <c r="I61" s="1254" t="s">
        <v>8220</v>
      </c>
      <c r="J61" s="1254" t="s">
        <v>8219</v>
      </c>
      <c r="K61" s="1254" t="s">
        <v>8206</v>
      </c>
      <c r="L61" s="1254" t="s">
        <v>8205</v>
      </c>
      <c r="M61" s="1254" t="s">
        <v>8204</v>
      </c>
      <c r="N61" s="1254" t="s">
        <v>8373</v>
      </c>
      <c r="O61" s="1254" t="s">
        <v>8374</v>
      </c>
      <c r="P61" s="1254" t="s">
        <v>8375</v>
      </c>
      <c r="Q61" s="1254" t="s">
        <v>8376</v>
      </c>
      <c r="R61" s="1282" t="s">
        <v>8377</v>
      </c>
      <c r="S61" s="2316">
        <f>IF(COUNTIF(Psiquicos!$C$25:$E$36,E61)=0,0,1)</f>
        <v>0</v>
      </c>
      <c r="U61" s="1254" t="str">
        <f t="shared" si="4"/>
        <v>ABS</v>
      </c>
      <c r="V61" s="2784"/>
      <c r="W61" s="2784"/>
      <c r="X61" s="2784"/>
      <c r="Y61" s="2784"/>
      <c r="Z61" s="2784"/>
      <c r="AA61" s="2784"/>
      <c r="AB61" s="2784"/>
      <c r="AC61" s="2784"/>
      <c r="AD61" s="2784"/>
      <c r="AE61" s="2784"/>
      <c r="AF61" s="2784">
        <f>IF(ISNUMBER(SEARCH("&gt;",D61)),0,COUNTIF(Psiquicos!$AD$11:$AH$64,D61))</f>
        <v>0</v>
      </c>
      <c r="AG61" s="1254" t="str">
        <f>IF(AF61=0,"",VLOOKUP(D61,Psiquicos!$AD$11:$AK$64,8,FALSE))</f>
        <v/>
      </c>
      <c r="AH61" s="5163"/>
      <c r="AI61" s="2946" t="s">
        <v>352</v>
      </c>
    </row>
    <row r="62" spans="1:35" ht="12.75" customHeight="1" x14ac:dyDescent="0.2">
      <c r="A62" s="2322">
        <v>62</v>
      </c>
      <c r="B62" s="2314">
        <f>IF(OR(S62=0),0,SUM($S$6:S62))</f>
        <v>0</v>
      </c>
      <c r="C62" s="1262"/>
      <c r="D62" s="1263" t="s">
        <v>353</v>
      </c>
      <c r="E62" s="1254" t="s">
        <v>283</v>
      </c>
      <c r="F62" s="1255">
        <v>3</v>
      </c>
      <c r="G62" s="1255" t="s">
        <v>3696</v>
      </c>
      <c r="H62" s="1256" t="s">
        <v>1918</v>
      </c>
      <c r="I62" s="1254" t="s">
        <v>8220</v>
      </c>
      <c r="J62" s="1254" t="s">
        <v>8219</v>
      </c>
      <c r="K62" s="1254" t="s">
        <v>8206</v>
      </c>
      <c r="L62" s="1254" t="s">
        <v>8205</v>
      </c>
      <c r="M62" s="1254" t="s">
        <v>8204</v>
      </c>
      <c r="N62" s="1254" t="s">
        <v>8378</v>
      </c>
      <c r="O62" s="1254" t="s">
        <v>8379</v>
      </c>
      <c r="P62" s="1254" t="s">
        <v>8380</v>
      </c>
      <c r="Q62" s="1254" t="s">
        <v>8381</v>
      </c>
      <c r="R62" s="1282" t="s">
        <v>8382</v>
      </c>
      <c r="S62" s="2316">
        <f>IF(COUNTIF(Psiquicos!$C$25:$E$36,E62)=0,0,1)</f>
        <v>0</v>
      </c>
      <c r="U62" s="1254" t="str">
        <f t="shared" si="4"/>
        <v>ABS</v>
      </c>
      <c r="V62" s="2784"/>
      <c r="W62" s="2784"/>
      <c r="X62" s="2784"/>
      <c r="Y62" s="2784"/>
      <c r="Z62" s="2784"/>
      <c r="AA62" s="2784"/>
      <c r="AB62" s="2784"/>
      <c r="AC62" s="2784"/>
      <c r="AD62" s="2784"/>
      <c r="AE62" s="2784"/>
      <c r="AF62" s="2784">
        <f>IF(ISNUMBER(SEARCH("&gt;",D62)),0,COUNTIF(Psiquicos!$AD$11:$AH$64,D62))</f>
        <v>0</v>
      </c>
      <c r="AG62" s="1254" t="str">
        <f>IF(AF62=0,"",VLOOKUP(D62,Psiquicos!$AD$11:$AK$64,8,FALSE))</f>
        <v/>
      </c>
      <c r="AH62" s="5163"/>
      <c r="AI62" s="2946" t="s">
        <v>353</v>
      </c>
    </row>
    <row r="63" spans="1:35" ht="12.75" customHeight="1" x14ac:dyDescent="0.2">
      <c r="A63" s="2322">
        <v>63</v>
      </c>
      <c r="B63" s="2314">
        <f>IF(OR(S63=0),0,SUM($S$6:S63))</f>
        <v>0</v>
      </c>
      <c r="C63" s="1262"/>
      <c r="D63" s="1263" t="s">
        <v>354</v>
      </c>
      <c r="E63" s="1254" t="s">
        <v>283</v>
      </c>
      <c r="F63" s="1255">
        <v>3</v>
      </c>
      <c r="G63" s="1255" t="s">
        <v>3696</v>
      </c>
      <c r="H63" s="1256" t="s">
        <v>1918</v>
      </c>
      <c r="I63" s="1254" t="s">
        <v>8294</v>
      </c>
      <c r="J63" s="1254" t="s">
        <v>8220</v>
      </c>
      <c r="K63" s="1254" t="s">
        <v>8219</v>
      </c>
      <c r="L63" s="1254" t="s">
        <v>8206</v>
      </c>
      <c r="M63" s="1254" t="s">
        <v>8205</v>
      </c>
      <c r="N63" s="1254" t="s">
        <v>8204</v>
      </c>
      <c r="O63" s="1254" t="s">
        <v>8329</v>
      </c>
      <c r="P63" s="1254" t="s">
        <v>8330</v>
      </c>
      <c r="Q63" s="1254" t="s">
        <v>8331</v>
      </c>
      <c r="R63" s="1282" t="s">
        <v>8352</v>
      </c>
      <c r="S63" s="2316">
        <f>IF(COUNTIF(Psiquicos!$C$25:$E$36,E63)=0,0,1)</f>
        <v>0</v>
      </c>
      <c r="U63" s="1254" t="str">
        <f t="shared" si="4"/>
        <v>CIM</v>
      </c>
      <c r="V63" s="2784"/>
      <c r="W63" s="2784"/>
      <c r="X63" s="2784"/>
      <c r="Y63" s="2784"/>
      <c r="Z63" s="2784"/>
      <c r="AA63" s="2784"/>
      <c r="AB63" s="2784"/>
      <c r="AC63" s="2784"/>
      <c r="AD63" s="2784"/>
      <c r="AE63" s="2784"/>
      <c r="AF63" s="2784">
        <f>IF(ISNUMBER(SEARCH("&gt;",D63)),0,COUNTIF(Psiquicos!$AD$11:$AH$64,D63))</f>
        <v>0</v>
      </c>
      <c r="AG63" s="1254" t="str">
        <f>IF(AF63=0,"",VLOOKUP(D63,Psiquicos!$AD$11:$AK$64,8,FALSE))</f>
        <v/>
      </c>
      <c r="AH63" s="5163"/>
      <c r="AI63" s="2946" t="s">
        <v>354</v>
      </c>
    </row>
    <row r="64" spans="1:35" ht="12.75" customHeight="1" x14ac:dyDescent="0.2">
      <c r="A64" s="2322">
        <v>64</v>
      </c>
      <c r="B64" s="2314">
        <f>IF(OR(S64=0),0,SUM($S$6:S64))</f>
        <v>16</v>
      </c>
      <c r="C64" s="1262"/>
      <c r="D64" s="1263" t="s">
        <v>355</v>
      </c>
      <c r="E64" s="1254"/>
      <c r="F64" s="1255"/>
      <c r="G64" s="1255"/>
      <c r="H64" s="1256"/>
      <c r="I64" s="1254"/>
      <c r="J64" s="1254"/>
      <c r="K64" s="1254"/>
      <c r="L64" s="1254"/>
      <c r="M64" s="1254"/>
      <c r="N64" s="1254"/>
      <c r="O64" s="1254"/>
      <c r="P64" s="1254"/>
      <c r="Q64" s="1254"/>
      <c r="R64" s="1282"/>
      <c r="S64" s="2318">
        <f>S65</f>
        <v>1</v>
      </c>
      <c r="U64" s="1254" t="str">
        <f t="shared" si="4"/>
        <v/>
      </c>
      <c r="V64" s="2784"/>
      <c r="W64" s="2784"/>
      <c r="X64" s="2784"/>
      <c r="Y64" s="2784"/>
      <c r="Z64" s="2784"/>
      <c r="AA64" s="2784"/>
      <c r="AB64" s="2784"/>
      <c r="AC64" s="2784"/>
      <c r="AD64" s="2784"/>
      <c r="AE64" s="2784"/>
      <c r="AF64" s="2784">
        <f>IF(ISNUMBER(SEARCH("&gt;",D64)),0,COUNTIF(Psiquicos!$AD$11:$AH$64,D64))</f>
        <v>0</v>
      </c>
      <c r="AG64" s="1254" t="str">
        <f>IF(AF64=0,"",VLOOKUP(D64,Psiquicos!$AD$11:$AK$64,8,FALSE))</f>
        <v/>
      </c>
      <c r="AH64" s="5163"/>
      <c r="AI64" s="2946" t="s">
        <v>355</v>
      </c>
    </row>
    <row r="65" spans="1:35" ht="12.75" customHeight="1" x14ac:dyDescent="0.2">
      <c r="A65" s="2322">
        <v>65</v>
      </c>
      <c r="B65" s="2314">
        <f>IF(OR(S65=0),0,SUM($S$6:S65))</f>
        <v>17</v>
      </c>
      <c r="C65" s="1262"/>
      <c r="D65" s="1263" t="s">
        <v>356</v>
      </c>
      <c r="E65" s="1254" t="s">
        <v>285</v>
      </c>
      <c r="F65" s="1255">
        <v>1</v>
      </c>
      <c r="G65" s="1255" t="s">
        <v>3696</v>
      </c>
      <c r="H65" s="1256" t="s">
        <v>1918</v>
      </c>
      <c r="I65" s="1254" t="s">
        <v>8168</v>
      </c>
      <c r="J65" s="1254" t="s">
        <v>8383</v>
      </c>
      <c r="K65" s="1254" t="s">
        <v>8384</v>
      </c>
      <c r="L65" s="1254" t="s">
        <v>8385</v>
      </c>
      <c r="M65" s="1254" t="s">
        <v>8386</v>
      </c>
      <c r="N65" s="1254" t="s">
        <v>8387</v>
      </c>
      <c r="O65" s="1254" t="s">
        <v>8388</v>
      </c>
      <c r="P65" s="1254" t="s">
        <v>8389</v>
      </c>
      <c r="Q65" s="1254" t="s">
        <v>8390</v>
      </c>
      <c r="R65" s="1282" t="s">
        <v>8391</v>
      </c>
      <c r="S65" s="2316">
        <f>IF(COUNTIF(Psiquicos!$C$25:$E$36,E65)=0,0,1)</f>
        <v>1</v>
      </c>
      <c r="U65" s="1254" t="str">
        <f t="shared" si="4"/>
        <v>FAC</v>
      </c>
      <c r="V65" s="2784" t="str">
        <f t="shared" ref="V65:V76" si="5">IF(ISNUMBER(_xlfn.NUMBERVALUE(MID(I65,SEARCH("+",I65)+1,3))),_xlfn.NUMBERVALUE(MID(I65,SEARCH("+",I65)+1,3)),"")</f>
        <v/>
      </c>
      <c r="W65" s="2784">
        <f t="shared" ref="W65:W76" si="6">IF(ISNUMBER(_xlfn.NUMBERVALUE(MID(J65,SEARCH("+",J65)+1,3))),_xlfn.NUMBERVALUE(MID(J65,SEARCH("+",J65)+1,3)),"")</f>
        <v>10</v>
      </c>
      <c r="X65" s="2784">
        <f t="shared" ref="X65:X76" si="7">IF(ISNUMBER(_xlfn.NUMBERVALUE(MID(K65,SEARCH("+",K65)+1,3))),_xlfn.NUMBERVALUE(MID(K65,SEARCH("+",K65)+1,3)),"")</f>
        <v>20</v>
      </c>
      <c r="Y65" s="2784">
        <f t="shared" ref="Y65:Y76" si="8">IF(ISNUMBER(_xlfn.NUMBERVALUE(MID(L65,SEARCH("+",L65)+1,3))),_xlfn.NUMBERVALUE(MID(L65,SEARCH("+",L65)+1,3)),"")</f>
        <v>40</v>
      </c>
      <c r="Z65" s="2784">
        <f t="shared" ref="Z65:Z76" si="9">IF(ISNUMBER(_xlfn.NUMBERVALUE(MID(M65,SEARCH("+",M65)+1,3))),_xlfn.NUMBERVALUE(MID(M65,SEARCH("+",M65)+1,3)),"")</f>
        <v>80</v>
      </c>
      <c r="AA65" s="2784">
        <f t="shared" ref="AA65:AA76" si="10">IF(ISNUMBER(_xlfn.NUMBERVALUE(MID(N65,SEARCH("+",N65)+1,3))),_xlfn.NUMBERVALUE(MID(N65,SEARCH("+",N65)+1,3)),"")</f>
        <v>120</v>
      </c>
      <c r="AB65" s="2784">
        <f t="shared" ref="AB65:AB76" si="11">IF(ISNUMBER(_xlfn.NUMBERVALUE(MID(O65,SEARCH("+",O65)+1,3))),_xlfn.NUMBERVALUE(MID(O65,SEARCH("+",O65)+1,3)),"")</f>
        <v>180</v>
      </c>
      <c r="AC65" s="2784">
        <f t="shared" ref="AC65:AC76" si="12">IF(ISNUMBER(_xlfn.NUMBERVALUE(MID(P65,SEARCH("+",P65)+1,3))),_xlfn.NUMBERVALUE(MID(P65,SEARCH("+",P65)+1,3)),"")</f>
        <v>220</v>
      </c>
      <c r="AD65" s="2784">
        <f t="shared" ref="AD65:AD76" si="13">IF(ISNUMBER(_xlfn.NUMBERVALUE(MID(Q65,SEARCH("+",Q65)+1,3))),_xlfn.NUMBERVALUE(MID(Q65,SEARCH("+",Q65)+1,3)),"")</f>
        <v>280</v>
      </c>
      <c r="AE65" s="2784">
        <f t="shared" ref="AE65:AE76" si="14">IF(ISNUMBER(_xlfn.NUMBERVALUE(MID(R65,SEARCH("+",R65)+1,3))),_xlfn.NUMBERVALUE(MID(R65,SEARCH("+",R65)+1,3)),"")</f>
        <v>320</v>
      </c>
      <c r="AF65" s="2784">
        <f>IF(ISNUMBER(SEARCH("&gt;",D65)),0,COUNTIF(Psiquicos!$AD$11:$AH$64,D65))</f>
        <v>0</v>
      </c>
      <c r="AG65" s="1254" t="str">
        <f>IF(AF65=0,"",VLOOKUP(D65,Psiquicos!$AD$11:$AK$64,8,FALSE))</f>
        <v/>
      </c>
      <c r="AH65" s="5163">
        <f>VALUE(IF('Tablas psiquica'!$AF65&gt;0,INDEX('Tablas psiquica'!$V65:$AE65,MATCH('Tablas psiquica'!$AG65,'Tablas psiquica'!$V$6:$AE$6,0)),0))</f>
        <v>0</v>
      </c>
      <c r="AI65" s="2946" t="s">
        <v>356</v>
      </c>
    </row>
    <row r="66" spans="1:35" ht="12.75" customHeight="1" x14ac:dyDescent="0.2">
      <c r="A66" s="2322">
        <v>66</v>
      </c>
      <c r="B66" s="2314">
        <f>IF(OR(S66=0),0,SUM($S$6:S66))</f>
        <v>18</v>
      </c>
      <c r="C66" s="1262"/>
      <c r="D66" s="1263" t="s">
        <v>357</v>
      </c>
      <c r="E66" s="1254" t="s">
        <v>285</v>
      </c>
      <c r="F66" s="1255">
        <v>1</v>
      </c>
      <c r="G66" s="1255" t="s">
        <v>3696</v>
      </c>
      <c r="H66" s="1256" t="s">
        <v>1918</v>
      </c>
      <c r="I66" s="1254" t="s">
        <v>8168</v>
      </c>
      <c r="J66" s="1254" t="s">
        <v>8392</v>
      </c>
      <c r="K66" s="1254" t="s">
        <v>8393</v>
      </c>
      <c r="L66" s="1254" t="s">
        <v>8394</v>
      </c>
      <c r="M66" s="1254" t="s">
        <v>8395</v>
      </c>
      <c r="N66" s="1254" t="s">
        <v>8396</v>
      </c>
      <c r="O66" s="1254" t="s">
        <v>8397</v>
      </c>
      <c r="P66" s="1254" t="s">
        <v>8398</v>
      </c>
      <c r="Q66" s="1254" t="s">
        <v>8399</v>
      </c>
      <c r="R66" s="1282" t="s">
        <v>8400</v>
      </c>
      <c r="S66" s="2316">
        <f>IF(COUNTIF(Psiquicos!$C$25:$E$36,E66)=0,0,1)</f>
        <v>1</v>
      </c>
      <c r="U66" s="1254" t="str">
        <f t="shared" si="4"/>
        <v>FAC</v>
      </c>
      <c r="V66" s="2784" t="str">
        <f t="shared" si="5"/>
        <v/>
      </c>
      <c r="W66" s="2784">
        <f t="shared" si="6"/>
        <v>10</v>
      </c>
      <c r="X66" s="2784">
        <f t="shared" si="7"/>
        <v>20</v>
      </c>
      <c r="Y66" s="2784">
        <f t="shared" si="8"/>
        <v>40</v>
      </c>
      <c r="Z66" s="2784">
        <f t="shared" si="9"/>
        <v>80</v>
      </c>
      <c r="AA66" s="2784">
        <f t="shared" si="10"/>
        <v>120</v>
      </c>
      <c r="AB66" s="2784">
        <f t="shared" si="11"/>
        <v>180</v>
      </c>
      <c r="AC66" s="2784">
        <f t="shared" si="12"/>
        <v>220</v>
      </c>
      <c r="AD66" s="2784">
        <f t="shared" si="13"/>
        <v>280</v>
      </c>
      <c r="AE66" s="2784">
        <f t="shared" si="14"/>
        <v>320</v>
      </c>
      <c r="AF66" s="2784">
        <f>IF(ISNUMBER(SEARCH("&gt;",D66)),0,COUNTIF(Psiquicos!$AD$11:$AH$64,D66))</f>
        <v>0</v>
      </c>
      <c r="AG66" s="1254" t="str">
        <f>IF(AF66=0,"",VLOOKUP(D66,Psiquicos!$AD$11:$AK$64,8,FALSE))</f>
        <v/>
      </c>
      <c r="AH66" s="5163">
        <f>VALUE(IF('Tablas psiquica'!$AF66&gt;0,INDEX('Tablas psiquica'!$V66:$AE66,MATCH('Tablas psiquica'!$AG66,'Tablas psiquica'!$V$6:$AE$6,0)),0))</f>
        <v>0</v>
      </c>
      <c r="AI66" s="2946" t="s">
        <v>357</v>
      </c>
    </row>
    <row r="67" spans="1:35" ht="12.75" customHeight="1" x14ac:dyDescent="0.2">
      <c r="A67" s="2322">
        <v>67</v>
      </c>
      <c r="B67" s="2314">
        <f>IF(OR(S67=0),0,SUM($S$6:S67))</f>
        <v>19</v>
      </c>
      <c r="C67" s="1262"/>
      <c r="D67" s="1263" t="s">
        <v>358</v>
      </c>
      <c r="E67" s="1254" t="s">
        <v>285</v>
      </c>
      <c r="F67" s="1255">
        <v>1</v>
      </c>
      <c r="G67" s="1255" t="s">
        <v>3696</v>
      </c>
      <c r="H67" s="1256" t="s">
        <v>1918</v>
      </c>
      <c r="I67" s="1254" t="s">
        <v>8204</v>
      </c>
      <c r="J67" s="1254" t="s">
        <v>8168</v>
      </c>
      <c r="K67" s="1254" t="s">
        <v>8401</v>
      </c>
      <c r="L67" s="1254" t="s">
        <v>8402</v>
      </c>
      <c r="M67" s="1254" t="s">
        <v>8403</v>
      </c>
      <c r="N67" s="1254" t="s">
        <v>8404</v>
      </c>
      <c r="O67" s="1254" t="s">
        <v>8405</v>
      </c>
      <c r="P67" s="1254" t="s">
        <v>8406</v>
      </c>
      <c r="Q67" s="1254" t="s">
        <v>8407</v>
      </c>
      <c r="R67" s="1282" t="s">
        <v>8408</v>
      </c>
      <c r="S67" s="2316">
        <f>IF(COUNTIF(Psiquicos!$C$25:$E$36,E67)=0,0,1)</f>
        <v>1</v>
      </c>
      <c r="U67" s="1254" t="str">
        <f t="shared" si="4"/>
        <v>MED</v>
      </c>
      <c r="V67" s="2784" t="str">
        <f t="shared" si="5"/>
        <v/>
      </c>
      <c r="W67" s="2784" t="str">
        <f t="shared" si="6"/>
        <v/>
      </c>
      <c r="X67" s="2784">
        <f t="shared" si="7"/>
        <v>1</v>
      </c>
      <c r="Y67" s="2784">
        <f t="shared" si="8"/>
        <v>2</v>
      </c>
      <c r="Z67" s="2784">
        <f t="shared" si="9"/>
        <v>3</v>
      </c>
      <c r="AA67" s="2784">
        <f t="shared" si="10"/>
        <v>4</v>
      </c>
      <c r="AB67" s="2784">
        <f t="shared" si="11"/>
        <v>5</v>
      </c>
      <c r="AC67" s="2784">
        <f t="shared" si="12"/>
        <v>6</v>
      </c>
      <c r="AD67" s="2784">
        <f t="shared" si="13"/>
        <v>8</v>
      </c>
      <c r="AE67" s="2784">
        <f t="shared" si="14"/>
        <v>10</v>
      </c>
      <c r="AF67" s="2784">
        <f>IF(ISNUMBER(SEARCH("&gt;",D67)),0,COUNTIF(Psiquicos!$AD$11:$AH$64,D67))</f>
        <v>0</v>
      </c>
      <c r="AG67" s="1254" t="str">
        <f>IF(AF67=0,"",VLOOKUP(D67,Psiquicos!$AD$11:$AK$64,8,FALSE))</f>
        <v/>
      </c>
      <c r="AH67" s="5163">
        <f>VALUE(IF('Tablas psiquica'!$AF67&gt;0,INDEX('Tablas psiquica'!$V67:$AE67,MATCH('Tablas psiquica'!$AG67,'Tablas psiquica'!$V$6:$AE$6,0)),0))</f>
        <v>0</v>
      </c>
      <c r="AI67" s="2946" t="s">
        <v>358</v>
      </c>
    </row>
    <row r="68" spans="1:35" ht="12.75" customHeight="1" x14ac:dyDescent="0.2">
      <c r="A68" s="2322">
        <v>68</v>
      </c>
      <c r="B68" s="2314">
        <f>IF(OR(S68=0),0,SUM($S$6:S68))</f>
        <v>20</v>
      </c>
      <c r="C68" s="1262"/>
      <c r="D68" s="1263" t="s">
        <v>2552</v>
      </c>
      <c r="E68" s="1254" t="s">
        <v>285</v>
      </c>
      <c r="F68" s="1255">
        <v>1</v>
      </c>
      <c r="G68" s="1255" t="s">
        <v>3696</v>
      </c>
      <c r="H68" s="1256" t="s">
        <v>1918</v>
      </c>
      <c r="I68" s="1254" t="s">
        <v>8204</v>
      </c>
      <c r="J68" s="1254" t="s">
        <v>8168</v>
      </c>
      <c r="K68" s="1254" t="s">
        <v>2552</v>
      </c>
      <c r="L68" s="1254" t="s">
        <v>9900</v>
      </c>
      <c r="M68" s="1254" t="s">
        <v>8409</v>
      </c>
      <c r="N68" s="1254" t="s">
        <v>8410</v>
      </c>
      <c r="O68" s="1254" t="s">
        <v>8411</v>
      </c>
      <c r="P68" s="1254" t="s">
        <v>8412</v>
      </c>
      <c r="Q68" s="1254" t="s">
        <v>8413</v>
      </c>
      <c r="R68" s="1282" t="s">
        <v>8414</v>
      </c>
      <c r="S68" s="2316">
        <f>IF(COUNTIF(Psiquicos!$C$25:$E$36,E68)=0,0,1)</f>
        <v>1</v>
      </c>
      <c r="U68" s="1254" t="str">
        <f t="shared" si="4"/>
        <v>MED</v>
      </c>
      <c r="V68" s="2784" t="str">
        <f t="shared" si="5"/>
        <v/>
      </c>
      <c r="W68" s="2784" t="str">
        <f t="shared" si="6"/>
        <v/>
      </c>
      <c r="X68" s="2784">
        <v>0</v>
      </c>
      <c r="Y68" s="2784">
        <f t="shared" si="8"/>
        <v>5</v>
      </c>
      <c r="Z68" s="2784">
        <f t="shared" si="9"/>
        <v>10</v>
      </c>
      <c r="AA68" s="2784">
        <f t="shared" si="10"/>
        <v>20</v>
      </c>
      <c r="AB68" s="2784">
        <f t="shared" si="11"/>
        <v>30</v>
      </c>
      <c r="AC68" s="2784">
        <f t="shared" si="12"/>
        <v>40</v>
      </c>
      <c r="AD68" s="2784">
        <f t="shared" si="13"/>
        <v>60</v>
      </c>
      <c r="AE68" s="2784">
        <f t="shared" si="14"/>
        <v>80</v>
      </c>
      <c r="AF68" s="2784">
        <f>IF(ISNUMBER(SEARCH("&gt;",D68)),0,COUNTIF(Psiquicos!$AD$11:$AH$64,D68))</f>
        <v>0</v>
      </c>
      <c r="AG68" s="1254" t="str">
        <f>IF(AF68=0,"",VLOOKUP(D68,Psiquicos!$AD$11:$AK$64,8,FALSE))</f>
        <v/>
      </c>
      <c r="AH68" s="5163">
        <f>VALUE(IF('Tablas psiquica'!$AF68&gt;0,INDEX('Tablas psiquica'!$V68:$AE68,MATCH('Tablas psiquica'!$AG68,'Tablas psiquica'!$V$6:$AE$6,0)),0))</f>
        <v>0</v>
      </c>
      <c r="AI68" s="2946" t="s">
        <v>2552</v>
      </c>
    </row>
    <row r="69" spans="1:35" ht="12.75" customHeight="1" x14ac:dyDescent="0.2">
      <c r="A69" s="2322">
        <v>69</v>
      </c>
      <c r="B69" s="2314">
        <f>IF(OR(S69=0),0,SUM($S$6:S69))</f>
        <v>21</v>
      </c>
      <c r="C69" s="1262"/>
      <c r="D69" s="1263" t="s">
        <v>359</v>
      </c>
      <c r="E69" s="1254" t="s">
        <v>285</v>
      </c>
      <c r="F69" s="1255">
        <v>1</v>
      </c>
      <c r="G69" s="1255" t="s">
        <v>3696</v>
      </c>
      <c r="H69" s="1256" t="s">
        <v>1918</v>
      </c>
      <c r="I69" s="1254" t="s">
        <v>8204</v>
      </c>
      <c r="J69" s="1254" t="s">
        <v>8168</v>
      </c>
      <c r="K69" s="1254" t="s">
        <v>8401</v>
      </c>
      <c r="L69" s="1254" t="s">
        <v>8415</v>
      </c>
      <c r="M69" s="1254" t="s">
        <v>8416</v>
      </c>
      <c r="N69" s="1254" t="s">
        <v>8417</v>
      </c>
      <c r="O69" s="1254" t="s">
        <v>8418</v>
      </c>
      <c r="P69" s="1254" t="s">
        <v>8419</v>
      </c>
      <c r="Q69" s="1254" t="s">
        <v>8420</v>
      </c>
      <c r="R69" s="1282" t="s">
        <v>8421</v>
      </c>
      <c r="S69" s="2316">
        <f>IF(COUNTIF(Psiquicos!$C$25:$E$36,E69)=0,0,1)</f>
        <v>1</v>
      </c>
      <c r="U69" s="1254" t="str">
        <f t="shared" si="4"/>
        <v>MED</v>
      </c>
      <c r="V69" s="2784" t="str">
        <f t="shared" si="5"/>
        <v/>
      </c>
      <c r="W69" s="2784" t="str">
        <f t="shared" si="6"/>
        <v/>
      </c>
      <c r="X69" s="2784">
        <f t="shared" si="7"/>
        <v>1</v>
      </c>
      <c r="Y69" s="2784">
        <f t="shared" si="8"/>
        <v>1</v>
      </c>
      <c r="Z69" s="2784">
        <f t="shared" si="9"/>
        <v>2</v>
      </c>
      <c r="AA69" s="2784">
        <f t="shared" si="10"/>
        <v>3</v>
      </c>
      <c r="AB69" s="2784">
        <f t="shared" si="11"/>
        <v>4</v>
      </c>
      <c r="AC69" s="2784">
        <f t="shared" si="12"/>
        <v>5</v>
      </c>
      <c r="AD69" s="2784">
        <f t="shared" si="13"/>
        <v>6</v>
      </c>
      <c r="AE69" s="2784">
        <f t="shared" si="14"/>
        <v>8</v>
      </c>
      <c r="AF69" s="2784">
        <f>IF(ISNUMBER(SEARCH("&gt;",D69)),0,COUNTIF(Psiquicos!$AD$11:$AH$64,D69))</f>
        <v>0</v>
      </c>
      <c r="AG69" s="1254" t="str">
        <f>IF(AF69=0,"",VLOOKUP(D69,Psiquicos!$AD$11:$AK$64,8,FALSE))</f>
        <v/>
      </c>
      <c r="AH69" s="5163">
        <f>VALUE(IF('Tablas psiquica'!$AF69&gt;0,INDEX('Tablas psiquica'!$V69:$AE69,MATCH('Tablas psiquica'!$AG69,'Tablas psiquica'!$V$6:$AE$6,0)),0))</f>
        <v>0</v>
      </c>
      <c r="AI69" s="2946" t="s">
        <v>359</v>
      </c>
    </row>
    <row r="70" spans="1:35" ht="12.75" customHeight="1" x14ac:dyDescent="0.2">
      <c r="A70" s="2322">
        <v>70</v>
      </c>
      <c r="B70" s="2314">
        <f>IF(OR(S70=0),0,SUM($S$6:S70))</f>
        <v>22</v>
      </c>
      <c r="C70" s="1262"/>
      <c r="D70" s="1263" t="s">
        <v>360</v>
      </c>
      <c r="E70" s="1254" t="s">
        <v>285</v>
      </c>
      <c r="F70" s="1255">
        <v>1</v>
      </c>
      <c r="G70" s="1255" t="s">
        <v>3696</v>
      </c>
      <c r="H70" s="1256" t="s">
        <v>1918</v>
      </c>
      <c r="I70" s="1254" t="s">
        <v>8204</v>
      </c>
      <c r="J70" s="1254" t="s">
        <v>8168</v>
      </c>
      <c r="K70" s="1254" t="s">
        <v>8422</v>
      </c>
      <c r="L70" s="1254" t="s">
        <v>8423</v>
      </c>
      <c r="M70" s="1254" t="s">
        <v>8424</v>
      </c>
      <c r="N70" s="1254" t="s">
        <v>8425</v>
      </c>
      <c r="O70" s="1254" t="s">
        <v>8426</v>
      </c>
      <c r="P70" s="1254" t="s">
        <v>8427</v>
      </c>
      <c r="Q70" s="1254" t="s">
        <v>8428</v>
      </c>
      <c r="R70" s="1282" t="s">
        <v>8429</v>
      </c>
      <c r="S70" s="2316">
        <f>IF(COUNTIF(Psiquicos!$C$25:$E$36,E70)=0,0,1)</f>
        <v>1</v>
      </c>
      <c r="U70" s="1254" t="str">
        <f t="shared" si="4"/>
        <v>MED</v>
      </c>
      <c r="V70" s="2784" t="str">
        <f t="shared" si="5"/>
        <v/>
      </c>
      <c r="W70" s="2784" t="str">
        <f t="shared" si="6"/>
        <v/>
      </c>
      <c r="X70" s="2784">
        <f t="shared" si="7"/>
        <v>1</v>
      </c>
      <c r="Y70" s="2784">
        <f t="shared" si="8"/>
        <v>2</v>
      </c>
      <c r="Z70" s="2784">
        <f t="shared" si="9"/>
        <v>3</v>
      </c>
      <c r="AA70" s="2784">
        <f t="shared" si="10"/>
        <v>4</v>
      </c>
      <c r="AB70" s="2784">
        <f t="shared" si="11"/>
        <v>5</v>
      </c>
      <c r="AC70" s="2784">
        <f t="shared" si="12"/>
        <v>6</v>
      </c>
      <c r="AD70" s="2784">
        <f t="shared" si="13"/>
        <v>8</v>
      </c>
      <c r="AE70" s="2784">
        <f t="shared" si="14"/>
        <v>10</v>
      </c>
      <c r="AF70" s="2784">
        <f>IF(ISNUMBER(SEARCH("&gt;",D70)),0,COUNTIF(Psiquicos!$AD$11:$AH$64,D70))</f>
        <v>0</v>
      </c>
      <c r="AG70" s="1254" t="str">
        <f>IF(AF70=0,"",VLOOKUP(D70,Psiquicos!$AD$11:$AK$64,8,FALSE))</f>
        <v/>
      </c>
      <c r="AH70" s="5163">
        <f>VALUE(IF('Tablas psiquica'!$AF70&gt;0,INDEX('Tablas psiquica'!$V70:$AE70,MATCH('Tablas psiquica'!$AG70,'Tablas psiquica'!$V$6:$AE$6,0)),0))</f>
        <v>0</v>
      </c>
      <c r="AI70" s="2946" t="s">
        <v>360</v>
      </c>
    </row>
    <row r="71" spans="1:35" ht="12.75" customHeight="1" x14ac:dyDescent="0.2">
      <c r="A71" s="2322">
        <v>71</v>
      </c>
      <c r="B71" s="2314">
        <f>IF(OR(S71=0),0,SUM($S$6:S71))</f>
        <v>23</v>
      </c>
      <c r="C71" s="1262"/>
      <c r="D71" s="1263" t="s">
        <v>361</v>
      </c>
      <c r="E71" s="1254" t="s">
        <v>285</v>
      </c>
      <c r="F71" s="1255">
        <v>2</v>
      </c>
      <c r="G71" s="1255" t="s">
        <v>3696</v>
      </c>
      <c r="H71" s="1256" t="s">
        <v>1918</v>
      </c>
      <c r="I71" s="1254" t="s">
        <v>8206</v>
      </c>
      <c r="J71" s="1254" t="s">
        <v>8204</v>
      </c>
      <c r="K71" s="1254" t="s">
        <v>8168</v>
      </c>
      <c r="L71" s="1254" t="s">
        <v>8430</v>
      </c>
      <c r="M71" s="1254" t="s">
        <v>8431</v>
      </c>
      <c r="N71" s="1254" t="s">
        <v>8432</v>
      </c>
      <c r="O71" s="1254" t="s">
        <v>8433</v>
      </c>
      <c r="P71" s="1254" t="s">
        <v>8434</v>
      </c>
      <c r="Q71" s="1254" t="s">
        <v>8435</v>
      </c>
      <c r="R71" s="1282" t="s">
        <v>8436</v>
      </c>
      <c r="S71" s="2316">
        <f>IF(COUNTIF(Psiquicos!$C$25:$E$36,E71)=0,0,1)</f>
        <v>1</v>
      </c>
      <c r="U71" s="1254" t="str">
        <f t="shared" ref="U71:U102" si="15">IF(OR(G71="No",ISNUMBER(SEARCH("&gt;",D71))),"",INDEX($I$6:$R$6,SUMPRODUCT(--(ISNUMBER(SEARCH("Fatiga",$I71:$R71))))+1))</f>
        <v>DIF</v>
      </c>
      <c r="V71" s="2784" t="str">
        <f t="shared" si="5"/>
        <v/>
      </c>
      <c r="W71" s="2784" t="str">
        <f t="shared" si="6"/>
        <v/>
      </c>
      <c r="X71" s="2784" t="str">
        <f t="shared" si="7"/>
        <v/>
      </c>
      <c r="Y71" s="2784">
        <f t="shared" si="8"/>
        <v>20</v>
      </c>
      <c r="Z71" s="2784">
        <f t="shared" si="9"/>
        <v>40</v>
      </c>
      <c r="AA71" s="2784">
        <f t="shared" si="10"/>
        <v>60</v>
      </c>
      <c r="AB71" s="2784">
        <f t="shared" si="11"/>
        <v>80</v>
      </c>
      <c r="AC71" s="2784">
        <f t="shared" si="12"/>
        <v>120</v>
      </c>
      <c r="AD71" s="2784">
        <f t="shared" si="13"/>
        <v>160</v>
      </c>
      <c r="AE71" s="2784">
        <f t="shared" si="14"/>
        <v>200</v>
      </c>
      <c r="AF71" s="2784">
        <f>IF(ISNUMBER(SEARCH("&gt;",D71)),0,COUNTIF(Psiquicos!$AD$11:$AH$64,D71))</f>
        <v>0</v>
      </c>
      <c r="AG71" s="1254" t="str">
        <f>IF(AF71=0,"",VLOOKUP(D71,Psiquicos!$AD$11:$AK$64,8,FALSE))</f>
        <v/>
      </c>
      <c r="AH71" s="5163">
        <f>VALUE(IF('Tablas psiquica'!$AF71&gt;0,INDEX('Tablas psiquica'!$V71:$AE71,MATCH('Tablas psiquica'!$AG71,'Tablas psiquica'!$V$6:$AE$6,0)),0))</f>
        <v>0</v>
      </c>
      <c r="AI71" s="2946" t="s">
        <v>361</v>
      </c>
    </row>
    <row r="72" spans="1:35" ht="12.75" customHeight="1" x14ac:dyDescent="0.2">
      <c r="A72" s="2322">
        <v>72</v>
      </c>
      <c r="B72" s="2314">
        <f>IF(OR(S72=0),0,SUM($S$6:S72))</f>
        <v>24</v>
      </c>
      <c r="C72" s="1262"/>
      <c r="D72" s="1263" t="s">
        <v>362</v>
      </c>
      <c r="E72" s="1254" t="s">
        <v>285</v>
      </c>
      <c r="F72" s="1255">
        <v>2</v>
      </c>
      <c r="G72" s="1255" t="s">
        <v>3696</v>
      </c>
      <c r="H72" s="1256" t="s">
        <v>1918</v>
      </c>
      <c r="I72" s="1254" t="s">
        <v>8206</v>
      </c>
      <c r="J72" s="1254" t="s">
        <v>8204</v>
      </c>
      <c r="K72" s="1254" t="s">
        <v>8168</v>
      </c>
      <c r="L72" s="1254" t="s">
        <v>8437</v>
      </c>
      <c r="M72" s="1254" t="s">
        <v>8438</v>
      </c>
      <c r="N72" s="1254" t="s">
        <v>8439</v>
      </c>
      <c r="O72" s="1254" t="s">
        <v>8440</v>
      </c>
      <c r="P72" s="1254" t="s">
        <v>8441</v>
      </c>
      <c r="Q72" s="1254" t="s">
        <v>8442</v>
      </c>
      <c r="R72" s="1282" t="s">
        <v>8443</v>
      </c>
      <c r="S72" s="2316">
        <f>IF(COUNTIF(Psiquicos!$C$25:$E$36,E72)=0,0,1)</f>
        <v>1</v>
      </c>
      <c r="U72" s="1254" t="str">
        <f t="shared" si="15"/>
        <v>DIF</v>
      </c>
      <c r="V72" s="2784" t="str">
        <f t="shared" si="5"/>
        <v/>
      </c>
      <c r="W72" s="2784" t="str">
        <f t="shared" si="6"/>
        <v/>
      </c>
      <c r="X72" s="2784" t="str">
        <f t="shared" si="7"/>
        <v/>
      </c>
      <c r="Y72" s="2784">
        <f t="shared" si="8"/>
        <v>1</v>
      </c>
      <c r="Z72" s="2784">
        <f t="shared" si="9"/>
        <v>2</v>
      </c>
      <c r="AA72" s="2784">
        <f t="shared" si="10"/>
        <v>3</v>
      </c>
      <c r="AB72" s="2784">
        <f t="shared" si="11"/>
        <v>4</v>
      </c>
      <c r="AC72" s="2784">
        <f t="shared" si="12"/>
        <v>5</v>
      </c>
      <c r="AD72" s="2784">
        <f t="shared" si="13"/>
        <v>6</v>
      </c>
      <c r="AE72" s="2784">
        <f t="shared" si="14"/>
        <v>8</v>
      </c>
      <c r="AF72" s="2784">
        <f>IF(ISNUMBER(SEARCH("&gt;",D72)),0,COUNTIF(Psiquicos!$AD$11:$AH$64,D72))</f>
        <v>0</v>
      </c>
      <c r="AG72" s="1254" t="str">
        <f>IF(AF72=0,"",VLOOKUP(D72,Psiquicos!$AD$11:$AK$64,8,FALSE))</f>
        <v/>
      </c>
      <c r="AH72" s="5163">
        <f>VALUE(IF('Tablas psiquica'!$AF72&gt;0,INDEX('Tablas psiquica'!$V72:$AE72,MATCH('Tablas psiquica'!$AG72,'Tablas psiquica'!$V$6:$AE$6,0)),0))</f>
        <v>0</v>
      </c>
      <c r="AI72" s="2946" t="s">
        <v>362</v>
      </c>
    </row>
    <row r="73" spans="1:35" ht="12.75" customHeight="1" x14ac:dyDescent="0.2">
      <c r="A73" s="2322">
        <v>73</v>
      </c>
      <c r="B73" s="2314">
        <f>IF(OR(S73=0),0,SUM($S$6:S73))</f>
        <v>25</v>
      </c>
      <c r="C73" s="1262"/>
      <c r="D73" s="1263" t="s">
        <v>363</v>
      </c>
      <c r="E73" s="1254" t="s">
        <v>285</v>
      </c>
      <c r="F73" s="1255">
        <v>2</v>
      </c>
      <c r="G73" s="1255" t="s">
        <v>3696</v>
      </c>
      <c r="H73" s="1256" t="s">
        <v>1919</v>
      </c>
      <c r="I73" s="1254" t="s">
        <v>8206</v>
      </c>
      <c r="J73" s="1254" t="s">
        <v>8204</v>
      </c>
      <c r="K73" s="1254" t="s">
        <v>8168</v>
      </c>
      <c r="L73" s="1254" t="s">
        <v>8444</v>
      </c>
      <c r="M73" s="1254" t="s">
        <v>8445</v>
      </c>
      <c r="N73" s="1254" t="s">
        <v>8446</v>
      </c>
      <c r="O73" s="1254" t="s">
        <v>8447</v>
      </c>
      <c r="P73" s="1254" t="s">
        <v>8448</v>
      </c>
      <c r="Q73" s="1254" t="s">
        <v>8449</v>
      </c>
      <c r="R73" s="1282" t="s">
        <v>8450</v>
      </c>
      <c r="S73" s="2316">
        <f>IF(COUNTIF(Psiquicos!$C$25:$E$36,E73)=0,0,1)</f>
        <v>1</v>
      </c>
      <c r="U73" s="1254" t="str">
        <f t="shared" si="15"/>
        <v>DIF</v>
      </c>
      <c r="V73" s="2784" t="str">
        <f t="shared" si="5"/>
        <v/>
      </c>
      <c r="W73" s="2784" t="str">
        <f t="shared" si="6"/>
        <v/>
      </c>
      <c r="X73" s="2784" t="str">
        <f t="shared" si="7"/>
        <v/>
      </c>
      <c r="Y73" s="2784">
        <f t="shared" si="8"/>
        <v>10</v>
      </c>
      <c r="Z73" s="2784">
        <f t="shared" si="9"/>
        <v>20</v>
      </c>
      <c r="AA73" s="2784">
        <f t="shared" si="10"/>
        <v>40</v>
      </c>
      <c r="AB73" s="2784">
        <f t="shared" si="11"/>
        <v>80</v>
      </c>
      <c r="AC73" s="2784">
        <f t="shared" si="12"/>
        <v>120</v>
      </c>
      <c r="AD73" s="2784">
        <f t="shared" si="13"/>
        <v>160</v>
      </c>
      <c r="AE73" s="2784">
        <f t="shared" si="14"/>
        <v>200</v>
      </c>
      <c r="AF73" s="2784">
        <f>IF(ISNUMBER(SEARCH("&gt;",D73)),0,COUNTIF(Psiquicos!$AD$11:$AH$64,D73))</f>
        <v>0</v>
      </c>
      <c r="AG73" s="1254" t="str">
        <f>IF(AF73=0,"",VLOOKUP(D73,Psiquicos!$AD$11:$AK$64,8,FALSE))</f>
        <v/>
      </c>
      <c r="AH73" s="5163">
        <f>VALUE(IF('Tablas psiquica'!$AF73&gt;0,INDEX('Tablas psiquica'!$V73:$AE73,MATCH('Tablas psiquica'!$AG73,'Tablas psiquica'!$V$6:$AE$6,0)),0))</f>
        <v>0</v>
      </c>
      <c r="AI73" s="2946" t="s">
        <v>363</v>
      </c>
    </row>
    <row r="74" spans="1:35" ht="12.75" customHeight="1" x14ac:dyDescent="0.2">
      <c r="A74" s="2322">
        <v>74</v>
      </c>
      <c r="B74" s="2314">
        <f>IF(OR(S74=0),0,SUM($S$6:S74))</f>
        <v>26</v>
      </c>
      <c r="C74" s="1262"/>
      <c r="D74" s="1263" t="s">
        <v>2221</v>
      </c>
      <c r="E74" s="1254" t="s">
        <v>285</v>
      </c>
      <c r="F74" s="1255">
        <v>2</v>
      </c>
      <c r="G74" s="1255" t="s">
        <v>3696</v>
      </c>
      <c r="H74" s="1256" t="s">
        <v>1918</v>
      </c>
      <c r="I74" s="1254" t="s">
        <v>8206</v>
      </c>
      <c r="J74" s="1254" t="s">
        <v>8205</v>
      </c>
      <c r="K74" s="1254" t="s">
        <v>8204</v>
      </c>
      <c r="L74" s="1254" t="s">
        <v>8451</v>
      </c>
      <c r="M74" s="1254" t="s">
        <v>8452</v>
      </c>
      <c r="N74" s="1254" t="s">
        <v>8453</v>
      </c>
      <c r="O74" s="1254" t="s">
        <v>8454</v>
      </c>
      <c r="P74" s="1254" t="s">
        <v>8455</v>
      </c>
      <c r="Q74" s="1254" t="s">
        <v>8456</v>
      </c>
      <c r="R74" s="1282" t="s">
        <v>8457</v>
      </c>
      <c r="S74" s="2316">
        <f>IF(COUNTIF(Psiquicos!$C$25:$E$36,E74)=0,0,1)</f>
        <v>1</v>
      </c>
      <c r="U74" s="1254" t="str">
        <f t="shared" si="15"/>
        <v>DIF</v>
      </c>
      <c r="V74" s="2784" t="str">
        <f t="shared" si="5"/>
        <v/>
      </c>
      <c r="W74" s="2784" t="str">
        <f t="shared" si="6"/>
        <v/>
      </c>
      <c r="X74" s="2784" t="str">
        <f t="shared" si="7"/>
        <v/>
      </c>
      <c r="Y74" s="2784">
        <f t="shared" si="8"/>
        <v>1</v>
      </c>
      <c r="Z74" s="2784">
        <f t="shared" si="9"/>
        <v>2</v>
      </c>
      <c r="AA74" s="2784">
        <f t="shared" si="10"/>
        <v>4</v>
      </c>
      <c r="AB74" s="2784">
        <f t="shared" si="11"/>
        <v>6</v>
      </c>
      <c r="AC74" s="2784">
        <f t="shared" si="12"/>
        <v>8</v>
      </c>
      <c r="AD74" s="2784">
        <f t="shared" si="13"/>
        <v>10</v>
      </c>
      <c r="AE74" s="2784">
        <f t="shared" si="14"/>
        <v>12</v>
      </c>
      <c r="AF74" s="2784">
        <f>IF(ISNUMBER(SEARCH("&gt;",D74)),0,COUNTIF(Psiquicos!$AD$11:$AH$64,D74))</f>
        <v>0</v>
      </c>
      <c r="AG74" s="1254" t="str">
        <f>IF(AF74=0,"",VLOOKUP(D74,Psiquicos!$AD$11:$AK$64,8,FALSE))</f>
        <v/>
      </c>
      <c r="AH74" s="5163">
        <f>VALUE(IF('Tablas psiquica'!$AF74&gt;0,INDEX('Tablas psiquica'!$V74:$AE74,MATCH('Tablas psiquica'!$AG74,'Tablas psiquica'!$V$6:$AE$6,0)),0))</f>
        <v>0</v>
      </c>
      <c r="AI74" s="2946" t="s">
        <v>2221</v>
      </c>
    </row>
    <row r="75" spans="1:35" ht="12.75" customHeight="1" x14ac:dyDescent="0.2">
      <c r="A75" s="2322">
        <v>75</v>
      </c>
      <c r="B75" s="2314">
        <f>IF(OR(S75=0),0,SUM($S$6:S75))</f>
        <v>27</v>
      </c>
      <c r="C75" s="1262"/>
      <c r="D75" s="1263" t="s">
        <v>364</v>
      </c>
      <c r="E75" s="1254" t="s">
        <v>285</v>
      </c>
      <c r="F75" s="1255">
        <v>3</v>
      </c>
      <c r="G75" s="1255" t="s">
        <v>2234</v>
      </c>
      <c r="H75" s="1256" t="s">
        <v>1918</v>
      </c>
      <c r="I75" s="1254" t="s">
        <v>8220</v>
      </c>
      <c r="J75" s="1254" t="s">
        <v>8219</v>
      </c>
      <c r="K75" s="1254" t="s">
        <v>8206</v>
      </c>
      <c r="L75" s="1254" t="s">
        <v>8205</v>
      </c>
      <c r="M75" s="1254" t="s">
        <v>8204</v>
      </c>
      <c r="N75" s="1254" t="s">
        <v>8458</v>
      </c>
      <c r="O75" s="1254" t="s">
        <v>8459</v>
      </c>
      <c r="P75" s="1254" t="s">
        <v>8460</v>
      </c>
      <c r="Q75" s="1254" t="s">
        <v>8461</v>
      </c>
      <c r="R75" s="1282" t="s">
        <v>8462</v>
      </c>
      <c r="S75" s="2316">
        <f>IF(COUNTIF(Psiquicos!$C$25:$E$36,E75)=0,0,1)</f>
        <v>1</v>
      </c>
      <c r="U75" s="1254" t="str">
        <f t="shared" si="15"/>
        <v/>
      </c>
      <c r="V75" s="2784" t="str">
        <f t="shared" si="5"/>
        <v/>
      </c>
      <c r="W75" s="2784" t="str">
        <f t="shared" si="6"/>
        <v/>
      </c>
      <c r="X75" s="2784" t="str">
        <f t="shared" si="7"/>
        <v/>
      </c>
      <c r="Y75" s="2784" t="str">
        <f t="shared" si="8"/>
        <v/>
      </c>
      <c r="Z75" s="2784" t="str">
        <f t="shared" si="9"/>
        <v/>
      </c>
      <c r="AA75" s="2784" t="str">
        <f t="shared" si="10"/>
        <v/>
      </c>
      <c r="AB75" s="2784" t="str">
        <f t="shared" si="11"/>
        <v/>
      </c>
      <c r="AC75" s="2784" t="str">
        <f t="shared" si="12"/>
        <v/>
      </c>
      <c r="AD75" s="2784" t="str">
        <f t="shared" si="13"/>
        <v/>
      </c>
      <c r="AE75" s="2784" t="str">
        <f t="shared" si="14"/>
        <v/>
      </c>
      <c r="AF75" s="2784">
        <f>IF(ISNUMBER(SEARCH("&gt;",D75)),0,COUNTIF(Psiquicos!$AD$11:$AH$64,D75))</f>
        <v>0</v>
      </c>
      <c r="AG75" s="1254" t="str">
        <f>IF(AF75=0,"",VLOOKUP(D75,Psiquicos!$AD$11:$AK$64,8,FALSE))</f>
        <v/>
      </c>
      <c r="AH75" s="5163"/>
      <c r="AI75" s="2946" t="s">
        <v>364</v>
      </c>
    </row>
    <row r="76" spans="1:35" ht="12.75" customHeight="1" x14ac:dyDescent="0.2">
      <c r="A76" s="2322">
        <v>76</v>
      </c>
      <c r="B76" s="2314">
        <f>IF(OR(S76=0),0,SUM($S$6:S76))</f>
        <v>28</v>
      </c>
      <c r="C76" s="1262"/>
      <c r="D76" s="1263" t="s">
        <v>365</v>
      </c>
      <c r="E76" s="1254" t="s">
        <v>285</v>
      </c>
      <c r="F76" s="1255">
        <v>3</v>
      </c>
      <c r="G76" s="1255" t="s">
        <v>3696</v>
      </c>
      <c r="H76" s="1256" t="s">
        <v>1918</v>
      </c>
      <c r="I76" s="1254" t="s">
        <v>8220</v>
      </c>
      <c r="J76" s="1254" t="s">
        <v>8219</v>
      </c>
      <c r="K76" s="1254" t="s">
        <v>8206</v>
      </c>
      <c r="L76" s="1254" t="s">
        <v>8205</v>
      </c>
      <c r="M76" s="1254" t="s">
        <v>8204</v>
      </c>
      <c r="N76" s="1254" t="s">
        <v>8463</v>
      </c>
      <c r="O76" s="1254" t="s">
        <v>8464</v>
      </c>
      <c r="P76" s="1254" t="s">
        <v>8465</v>
      </c>
      <c r="Q76" s="1254" t="s">
        <v>8466</v>
      </c>
      <c r="R76" s="1282" t="s">
        <v>8467</v>
      </c>
      <c r="S76" s="2316">
        <f>IF(COUNTIF(Psiquicos!$C$25:$E$36,E76)=0,0,1)</f>
        <v>1</v>
      </c>
      <c r="U76" s="1254" t="str">
        <f t="shared" si="15"/>
        <v>ABS</v>
      </c>
      <c r="V76" s="2784" t="str">
        <f t="shared" si="5"/>
        <v/>
      </c>
      <c r="W76" s="2784" t="str">
        <f t="shared" si="6"/>
        <v/>
      </c>
      <c r="X76" s="2784" t="str">
        <f t="shared" si="7"/>
        <v/>
      </c>
      <c r="Y76" s="2784" t="str">
        <f t="shared" si="8"/>
        <v/>
      </c>
      <c r="Z76" s="2784" t="str">
        <f t="shared" si="9"/>
        <v/>
      </c>
      <c r="AA76" s="2784">
        <f t="shared" si="10"/>
        <v>1</v>
      </c>
      <c r="AB76" s="2784">
        <f t="shared" si="11"/>
        <v>2</v>
      </c>
      <c r="AC76" s="2784">
        <f t="shared" si="12"/>
        <v>4</v>
      </c>
      <c r="AD76" s="2784">
        <f t="shared" si="13"/>
        <v>6</v>
      </c>
      <c r="AE76" s="2784">
        <f t="shared" si="14"/>
        <v>8</v>
      </c>
      <c r="AF76" s="2784">
        <f>IF(ISNUMBER(SEARCH("&gt;",D76)),0,COUNTIF(Psiquicos!$AD$11:$AH$64,D76))</f>
        <v>0</v>
      </c>
      <c r="AG76" s="1254" t="str">
        <f>IF(AF76=0,"",VLOOKUP(D76,Psiquicos!$AD$11:$AK$64,8,FALSE))</f>
        <v/>
      </c>
      <c r="AH76" s="5163">
        <f>VALUE(IF('Tablas psiquica'!$AF76&gt;0,INDEX('Tablas psiquica'!$V76:$AE76,MATCH('Tablas psiquica'!$AG76,'Tablas psiquica'!$V$6:$AE$6,0)),0))</f>
        <v>0</v>
      </c>
      <c r="AI76" s="2946" t="s">
        <v>365</v>
      </c>
    </row>
    <row r="77" spans="1:35" ht="12.75" customHeight="1" x14ac:dyDescent="0.2">
      <c r="A77" s="2322">
        <v>77</v>
      </c>
      <c r="B77" s="2314">
        <f>IF(OR(S77=0),0,SUM($S$6:S77))</f>
        <v>29</v>
      </c>
      <c r="C77" s="1262"/>
      <c r="D77" s="1263" t="s">
        <v>366</v>
      </c>
      <c r="E77" s="1254" t="s">
        <v>285</v>
      </c>
      <c r="F77" s="1255">
        <v>3</v>
      </c>
      <c r="G77" s="1255" t="s">
        <v>3696</v>
      </c>
      <c r="H77" s="1256" t="s">
        <v>1918</v>
      </c>
      <c r="I77" s="1254" t="s">
        <v>8220</v>
      </c>
      <c r="J77" s="1254" t="s">
        <v>8219</v>
      </c>
      <c r="K77" s="1254" t="s">
        <v>8206</v>
      </c>
      <c r="L77" s="1254" t="s">
        <v>8205</v>
      </c>
      <c r="M77" s="1254" t="s">
        <v>8204</v>
      </c>
      <c r="N77" s="1254" t="s">
        <v>8468</v>
      </c>
      <c r="O77" s="1254" t="s">
        <v>8469</v>
      </c>
      <c r="P77" s="1254" t="s">
        <v>8470</v>
      </c>
      <c r="Q77" s="1254" t="s">
        <v>8471</v>
      </c>
      <c r="R77" s="1282" t="s">
        <v>8472</v>
      </c>
      <c r="S77" s="2316">
        <f>IF(COUNTIF(Psiquicos!$C$25:$E$36,E77)=0,0,1)</f>
        <v>1</v>
      </c>
      <c r="U77" s="1254" t="str">
        <f t="shared" si="15"/>
        <v>ABS</v>
      </c>
      <c r="V77" s="2784"/>
      <c r="W77" s="2784"/>
      <c r="X77" s="2784"/>
      <c r="Y77" s="2784"/>
      <c r="Z77" s="2784"/>
      <c r="AA77" s="2784"/>
      <c r="AB77" s="2784"/>
      <c r="AC77" s="2784"/>
      <c r="AD77" s="2784"/>
      <c r="AE77" s="2784"/>
      <c r="AF77" s="2784">
        <f>IF(ISNUMBER(SEARCH("&gt;",D77)),0,COUNTIF(Psiquicos!$AD$11:$AH$64,D77))</f>
        <v>0</v>
      </c>
      <c r="AG77" s="1254" t="str">
        <f>IF(AF77=0,"",VLOOKUP(D77,Psiquicos!$AD$11:$AK$64,8,FALSE))</f>
        <v/>
      </c>
      <c r="AH77" s="5163"/>
      <c r="AI77" s="2946" t="s">
        <v>366</v>
      </c>
    </row>
    <row r="78" spans="1:35" ht="12.75" customHeight="1" x14ac:dyDescent="0.2">
      <c r="A78" s="2322">
        <v>78</v>
      </c>
      <c r="B78" s="2314">
        <f>IF(OR(S78=0),0,SUM($S$6:S78))</f>
        <v>0</v>
      </c>
      <c r="C78" s="1262"/>
      <c r="D78" s="1263" t="s">
        <v>367</v>
      </c>
      <c r="E78" s="1254"/>
      <c r="F78" s="1255"/>
      <c r="G78" s="1255"/>
      <c r="H78" s="1256"/>
      <c r="I78" s="1254"/>
      <c r="J78" s="1254"/>
      <c r="K78" s="1254"/>
      <c r="L78" s="1254"/>
      <c r="M78" s="1254"/>
      <c r="N78" s="1254"/>
      <c r="O78" s="1254"/>
      <c r="P78" s="1254"/>
      <c r="Q78" s="1254"/>
      <c r="R78" s="1282"/>
      <c r="S78" s="2318">
        <f>S79</f>
        <v>0</v>
      </c>
      <c r="U78" s="1254" t="str">
        <f t="shared" si="15"/>
        <v/>
      </c>
      <c r="V78" s="2784"/>
      <c r="W78" s="2784"/>
      <c r="X78" s="2784"/>
      <c r="Y78" s="2784"/>
      <c r="Z78" s="2784"/>
      <c r="AA78" s="2784"/>
      <c r="AB78" s="2784"/>
      <c r="AC78" s="2784"/>
      <c r="AD78" s="2784"/>
      <c r="AE78" s="2784"/>
      <c r="AF78" s="2784">
        <f>IF(ISNUMBER(SEARCH("&gt;",D78)),0,COUNTIF(Psiquicos!$AD$11:$AH$64,D78))</f>
        <v>0</v>
      </c>
      <c r="AG78" s="1254" t="str">
        <f>IF(AF78=0,"",VLOOKUP(D78,Psiquicos!$AD$11:$AK$64,8,FALSE))</f>
        <v/>
      </c>
      <c r="AH78" s="5163"/>
      <c r="AI78" s="2946" t="s">
        <v>367</v>
      </c>
    </row>
    <row r="79" spans="1:35" ht="12.75" customHeight="1" x14ac:dyDescent="0.2">
      <c r="A79" s="2322">
        <v>79</v>
      </c>
      <c r="B79" s="2314">
        <f>IF(OR(S79=0),0,SUM($S$6:S79))</f>
        <v>0</v>
      </c>
      <c r="C79" s="1262"/>
      <c r="D79" s="1263" t="s">
        <v>368</v>
      </c>
      <c r="E79" s="1254" t="s">
        <v>286</v>
      </c>
      <c r="F79" s="1255">
        <v>1</v>
      </c>
      <c r="G79" s="1255" t="s">
        <v>3696</v>
      </c>
      <c r="H79" s="1256" t="s">
        <v>1918</v>
      </c>
      <c r="I79" s="1254" t="s">
        <v>8168</v>
      </c>
      <c r="J79" s="1254" t="s">
        <v>8169</v>
      </c>
      <c r="K79" s="1254" t="s">
        <v>8353</v>
      </c>
      <c r="L79" s="1254" t="s">
        <v>8354</v>
      </c>
      <c r="M79" s="1254" t="s">
        <v>8355</v>
      </c>
      <c r="N79" s="1254" t="s">
        <v>8473</v>
      </c>
      <c r="O79" s="1254" t="s">
        <v>8356</v>
      </c>
      <c r="P79" s="1254" t="s">
        <v>6491</v>
      </c>
      <c r="Q79" s="1254" t="s">
        <v>6493</v>
      </c>
      <c r="R79" s="1282" t="s">
        <v>8357</v>
      </c>
      <c r="S79" s="2316">
        <f>IF(COUNTIF(Psiquicos!$C$25:$E$36,E79)=0,0,1)</f>
        <v>0</v>
      </c>
      <c r="U79" s="1254" t="str">
        <f t="shared" si="15"/>
        <v>MED</v>
      </c>
      <c r="V79" s="2784"/>
      <c r="W79" s="2784"/>
      <c r="X79" s="2784"/>
      <c r="Y79" s="2784"/>
      <c r="Z79" s="2784"/>
      <c r="AA79" s="2784"/>
      <c r="AB79" s="2784"/>
      <c r="AC79" s="2784"/>
      <c r="AD79" s="2784"/>
      <c r="AE79" s="2784"/>
      <c r="AF79" s="2784">
        <f>IF(ISNUMBER(SEARCH("&gt;",D79)),0,COUNTIF(Psiquicos!$AD$11:$AH$64,D79))</f>
        <v>0</v>
      </c>
      <c r="AG79" s="1254" t="str">
        <f>IF(AF79=0,"",VLOOKUP(D79,Psiquicos!$AD$11:$AK$64,8,FALSE))</f>
        <v/>
      </c>
      <c r="AH79" s="5163"/>
      <c r="AI79" s="2946" t="s">
        <v>368</v>
      </c>
    </row>
    <row r="80" spans="1:35" ht="12.75" customHeight="1" x14ac:dyDescent="0.2">
      <c r="A80" s="2322">
        <v>80</v>
      </c>
      <c r="B80" s="2314">
        <f>IF(OR(S80=0),0,SUM($S$6:S80))</f>
        <v>0</v>
      </c>
      <c r="C80" s="1262"/>
      <c r="D80" s="1263" t="s">
        <v>369</v>
      </c>
      <c r="E80" s="1254" t="s">
        <v>286</v>
      </c>
      <c r="F80" s="1255">
        <v>1</v>
      </c>
      <c r="G80" s="1255" t="s">
        <v>3696</v>
      </c>
      <c r="H80" s="1256" t="s">
        <v>1918</v>
      </c>
      <c r="I80" s="1254" t="s">
        <v>8168</v>
      </c>
      <c r="J80" s="1254" t="s">
        <v>8169</v>
      </c>
      <c r="K80" s="1254" t="s">
        <v>5642</v>
      </c>
      <c r="L80" s="1254" t="s">
        <v>8474</v>
      </c>
      <c r="M80" s="1254" t="s">
        <v>8475</v>
      </c>
      <c r="N80" s="1254" t="s">
        <v>8476</v>
      </c>
      <c r="O80" s="1254" t="s">
        <v>8477</v>
      </c>
      <c r="P80" s="1254" t="s">
        <v>8478</v>
      </c>
      <c r="Q80" s="1254" t="s">
        <v>8479</v>
      </c>
      <c r="R80" s="1282" t="s">
        <v>8480</v>
      </c>
      <c r="S80" s="2316">
        <f>IF(COUNTIF(Psiquicos!$C$25:$E$36,E80)=0,0,1)</f>
        <v>0</v>
      </c>
      <c r="U80" s="1254" t="str">
        <f t="shared" si="15"/>
        <v>MED</v>
      </c>
      <c r="V80" s="2784"/>
      <c r="W80" s="2784"/>
      <c r="X80" s="2784"/>
      <c r="Y80" s="2784"/>
      <c r="Z80" s="2784"/>
      <c r="AA80" s="2784"/>
      <c r="AB80" s="2784"/>
      <c r="AC80" s="2784"/>
      <c r="AD80" s="2784"/>
      <c r="AE80" s="2784"/>
      <c r="AF80" s="2784">
        <f>IF(ISNUMBER(SEARCH("&gt;",D80)),0,COUNTIF(Psiquicos!$AD$11:$AH$64,D80))</f>
        <v>0</v>
      </c>
      <c r="AG80" s="1254" t="str">
        <f>IF(AF80=0,"",VLOOKUP(D80,Psiquicos!$AD$11:$AK$64,8,FALSE))</f>
        <v/>
      </c>
      <c r="AH80" s="5163"/>
      <c r="AI80" s="2946" t="s">
        <v>369</v>
      </c>
    </row>
    <row r="81" spans="1:35" ht="12.75" customHeight="1" x14ac:dyDescent="0.2">
      <c r="A81" s="2322">
        <v>81</v>
      </c>
      <c r="B81" s="2314">
        <f>IF(OR(S81=0),0,SUM($S$6:S81))</f>
        <v>0</v>
      </c>
      <c r="C81" s="1262"/>
      <c r="D81" s="1263" t="s">
        <v>370</v>
      </c>
      <c r="E81" s="1254" t="s">
        <v>286</v>
      </c>
      <c r="F81" s="1255">
        <v>1</v>
      </c>
      <c r="G81" s="1255" t="s">
        <v>3696</v>
      </c>
      <c r="H81" s="1256" t="s">
        <v>1919</v>
      </c>
      <c r="I81" s="1254" t="s">
        <v>8205</v>
      </c>
      <c r="J81" s="1254" t="s">
        <v>8204</v>
      </c>
      <c r="K81" s="1254" t="s">
        <v>8168</v>
      </c>
      <c r="L81" s="1254" t="s">
        <v>8240</v>
      </c>
      <c r="M81" s="1254" t="s">
        <v>8241</v>
      </c>
      <c r="N81" s="1254" t="s">
        <v>8367</v>
      </c>
      <c r="O81" s="1254" t="s">
        <v>8243</v>
      </c>
      <c r="P81" s="1254" t="s">
        <v>8481</v>
      </c>
      <c r="Q81" s="1254" t="s">
        <v>8482</v>
      </c>
      <c r="R81" s="1282" t="s">
        <v>8483</v>
      </c>
      <c r="S81" s="2316">
        <f>IF(COUNTIF(Psiquicos!$C$25:$E$36,E81)=0,0,1)</f>
        <v>0</v>
      </c>
      <c r="U81" s="1254" t="str">
        <f t="shared" si="15"/>
        <v>DIF</v>
      </c>
      <c r="V81" s="2784"/>
      <c r="W81" s="2784"/>
      <c r="X81" s="2784"/>
      <c r="Y81" s="2784"/>
      <c r="Z81" s="2784"/>
      <c r="AA81" s="2784"/>
      <c r="AB81" s="2784"/>
      <c r="AC81" s="2784"/>
      <c r="AD81" s="2784"/>
      <c r="AE81" s="2784"/>
      <c r="AF81" s="2784">
        <f>IF(ISNUMBER(SEARCH("&gt;",D81)),0,COUNTIF(Psiquicos!$AD$11:$AH$64,D81))</f>
        <v>0</v>
      </c>
      <c r="AG81" s="1254" t="str">
        <f>IF(AF81=0,"",VLOOKUP(D81,Psiquicos!$AD$11:$AK$64,8,FALSE))</f>
        <v/>
      </c>
      <c r="AH81" s="5163"/>
      <c r="AI81" s="2946" t="s">
        <v>370</v>
      </c>
    </row>
    <row r="82" spans="1:35" ht="12.75" customHeight="1" x14ac:dyDescent="0.2">
      <c r="A82" s="2322">
        <v>82</v>
      </c>
      <c r="B82" s="2314">
        <f>IF(OR(S82=0),0,SUM($S$6:S82))</f>
        <v>0</v>
      </c>
      <c r="C82" s="1262"/>
      <c r="D82" s="1263" t="s">
        <v>371</v>
      </c>
      <c r="E82" s="1254" t="s">
        <v>286</v>
      </c>
      <c r="F82" s="1255">
        <v>1</v>
      </c>
      <c r="G82" s="1255" t="s">
        <v>3696</v>
      </c>
      <c r="H82" s="1256" t="s">
        <v>1918</v>
      </c>
      <c r="I82" s="1254" t="s">
        <v>8204</v>
      </c>
      <c r="J82" s="1254" t="s">
        <v>8168</v>
      </c>
      <c r="K82" s="1254" t="s">
        <v>8169</v>
      </c>
      <c r="L82" s="1254" t="s">
        <v>8484</v>
      </c>
      <c r="M82" s="1254" t="s">
        <v>8485</v>
      </c>
      <c r="N82" s="1254" t="s">
        <v>8486</v>
      </c>
      <c r="O82" s="1254" t="s">
        <v>8487</v>
      </c>
      <c r="P82" s="1254" t="s">
        <v>8488</v>
      </c>
      <c r="Q82" s="1254" t="s">
        <v>8489</v>
      </c>
      <c r="R82" s="1282" t="s">
        <v>8490</v>
      </c>
      <c r="S82" s="2316">
        <f>IF(COUNTIF(Psiquicos!$C$25:$E$36,E82)=0,0,1)</f>
        <v>0</v>
      </c>
      <c r="U82" s="1254" t="str">
        <f t="shared" si="15"/>
        <v>DIF</v>
      </c>
      <c r="V82" s="2784"/>
      <c r="W82" s="2784"/>
      <c r="X82" s="2785"/>
      <c r="Y82" s="2785"/>
      <c r="Z82" s="2785"/>
      <c r="AA82" s="2785"/>
      <c r="AB82" s="2784"/>
      <c r="AC82" s="2784"/>
      <c r="AD82" s="2784"/>
      <c r="AE82" s="2785"/>
      <c r="AF82" s="2784">
        <f>IF(ISNUMBER(SEARCH("&gt;",D82)),0,COUNTIF(Psiquicos!$AD$11:$AH$64,D82))</f>
        <v>0</v>
      </c>
      <c r="AG82" s="1254" t="str">
        <f>IF(AF82=0,"",VLOOKUP(D82,Psiquicos!$AD$11:$AK$64,8,FALSE))</f>
        <v/>
      </c>
      <c r="AH82" s="5163"/>
      <c r="AI82" s="2946" t="s">
        <v>371</v>
      </c>
    </row>
    <row r="83" spans="1:35" ht="12.75" customHeight="1" x14ac:dyDescent="0.2">
      <c r="A83" s="2322">
        <v>83</v>
      </c>
      <c r="B83" s="2314">
        <f>IF(OR(S83=0),0,SUM($S$6:S83))</f>
        <v>0</v>
      </c>
      <c r="C83" s="1262"/>
      <c r="D83" s="1263" t="s">
        <v>372</v>
      </c>
      <c r="E83" s="1254" t="s">
        <v>286</v>
      </c>
      <c r="F83" s="1255">
        <v>1</v>
      </c>
      <c r="G83" s="1255" t="s">
        <v>2234</v>
      </c>
      <c r="H83" s="1256" t="s">
        <v>1918</v>
      </c>
      <c r="I83" s="1254" t="s">
        <v>8204</v>
      </c>
      <c r="J83" s="1254" t="s">
        <v>8168</v>
      </c>
      <c r="K83" s="1254" t="s">
        <v>8169</v>
      </c>
      <c r="L83" s="1254" t="s">
        <v>6394</v>
      </c>
      <c r="M83" s="1254" t="s">
        <v>6395</v>
      </c>
      <c r="N83" s="1254" t="s">
        <v>5894</v>
      </c>
      <c r="O83" s="1254" t="s">
        <v>5510</v>
      </c>
      <c r="P83" s="1254" t="s">
        <v>8491</v>
      </c>
      <c r="Q83" s="1254" t="s">
        <v>8492</v>
      </c>
      <c r="R83" s="1282" t="s">
        <v>8493</v>
      </c>
      <c r="S83" s="2316">
        <f>IF(COUNTIF(Psiquicos!$C$25:$E$36,E83)=0,0,1)</f>
        <v>0</v>
      </c>
      <c r="U83" s="1254" t="str">
        <f t="shared" si="15"/>
        <v/>
      </c>
      <c r="V83" s="2784"/>
      <c r="W83" s="2784"/>
      <c r="X83" s="2784"/>
      <c r="Y83" s="2784"/>
      <c r="Z83" s="2784"/>
      <c r="AA83" s="2784"/>
      <c r="AB83" s="2784"/>
      <c r="AC83" s="2784"/>
      <c r="AD83" s="2784"/>
      <c r="AE83" s="2784"/>
      <c r="AF83" s="2784">
        <f>IF(ISNUMBER(SEARCH("&gt;",D83)),0,COUNTIF(Psiquicos!$AD$11:$AH$64,D83))</f>
        <v>0</v>
      </c>
      <c r="AG83" s="1254" t="str">
        <f>IF(AF83=0,"",VLOOKUP(D83,Psiquicos!$AD$11:$AK$64,8,FALSE))</f>
        <v/>
      </c>
      <c r="AH83" s="5163"/>
      <c r="AI83" s="2946" t="s">
        <v>372</v>
      </c>
    </row>
    <row r="84" spans="1:35" ht="12.75" customHeight="1" x14ac:dyDescent="0.2">
      <c r="A84" s="2322">
        <v>84</v>
      </c>
      <c r="B84" s="2314">
        <f>IF(OR(S84=0),0,SUM($S$6:S84))</f>
        <v>0</v>
      </c>
      <c r="C84" s="1262"/>
      <c r="D84" s="1263" t="s">
        <v>373</v>
      </c>
      <c r="E84" s="1254" t="s">
        <v>286</v>
      </c>
      <c r="F84" s="1255">
        <v>2</v>
      </c>
      <c r="G84" s="1255" t="s">
        <v>2234</v>
      </c>
      <c r="H84" s="1256" t="s">
        <v>1918</v>
      </c>
      <c r="I84" s="1254" t="s">
        <v>8205</v>
      </c>
      <c r="J84" s="1254" t="s">
        <v>8204</v>
      </c>
      <c r="K84" s="1254" t="s">
        <v>8168</v>
      </c>
      <c r="L84" s="1254" t="s">
        <v>8494</v>
      </c>
      <c r="M84" s="1254" t="s">
        <v>8495</v>
      </c>
      <c r="N84" s="1254" t="s">
        <v>8496</v>
      </c>
      <c r="O84" s="1254" t="s">
        <v>8497</v>
      </c>
      <c r="P84" s="1254" t="s">
        <v>8498</v>
      </c>
      <c r="Q84" s="1254" t="s">
        <v>8499</v>
      </c>
      <c r="R84" s="1282" t="s">
        <v>8500</v>
      </c>
      <c r="S84" s="2316">
        <f>IF(COUNTIF(Psiquicos!$C$25:$E$36,E84)=0,0,1)</f>
        <v>0</v>
      </c>
      <c r="U84" s="1254" t="str">
        <f t="shared" si="15"/>
        <v/>
      </c>
      <c r="V84" s="2784"/>
      <c r="W84" s="2784"/>
      <c r="X84" s="2784"/>
      <c r="Y84" s="2784"/>
      <c r="Z84" s="2784"/>
      <c r="AA84" s="2784"/>
      <c r="AB84" s="2784"/>
      <c r="AC84" s="2784"/>
      <c r="AD84" s="2784"/>
      <c r="AE84" s="2784"/>
      <c r="AF84" s="2784">
        <f>IF(ISNUMBER(SEARCH("&gt;",D84)),0,COUNTIF(Psiquicos!$AD$11:$AH$64,D84))</f>
        <v>0</v>
      </c>
      <c r="AG84" s="1254" t="str">
        <f>IF(AF84=0,"",VLOOKUP(D84,Psiquicos!$AD$11:$AK$64,8,FALSE))</f>
        <v/>
      </c>
      <c r="AH84" s="5163"/>
      <c r="AI84" s="2946" t="s">
        <v>373</v>
      </c>
    </row>
    <row r="85" spans="1:35" ht="12.75" customHeight="1" x14ac:dyDescent="0.2">
      <c r="A85" s="2322">
        <v>85</v>
      </c>
      <c r="B85" s="2314">
        <f>IF(OR(S85=0),0,SUM($S$6:S85))</f>
        <v>0</v>
      </c>
      <c r="C85" s="1262"/>
      <c r="D85" s="1263" t="s">
        <v>374</v>
      </c>
      <c r="E85" s="1254" t="s">
        <v>286</v>
      </c>
      <c r="F85" s="1255">
        <v>2</v>
      </c>
      <c r="G85" s="1255" t="s">
        <v>3696</v>
      </c>
      <c r="H85" s="1256" t="s">
        <v>1919</v>
      </c>
      <c r="I85" s="1254" t="s">
        <v>8219</v>
      </c>
      <c r="J85" s="1254" t="s">
        <v>8206</v>
      </c>
      <c r="K85" s="1254" t="s">
        <v>8205</v>
      </c>
      <c r="L85" s="1254" t="s">
        <v>8204</v>
      </c>
      <c r="M85" s="1254" t="s">
        <v>8168</v>
      </c>
      <c r="N85" s="1254" t="s">
        <v>5644</v>
      </c>
      <c r="O85" s="1254" t="s">
        <v>6486</v>
      </c>
      <c r="P85" s="1254" t="s">
        <v>5645</v>
      </c>
      <c r="Q85" s="1254" t="s">
        <v>8329</v>
      </c>
      <c r="R85" s="1282" t="s">
        <v>8330</v>
      </c>
      <c r="S85" s="2316">
        <f>IF(COUNTIF(Psiquicos!$C$25:$E$36,E85)=0,0,1)</f>
        <v>0</v>
      </c>
      <c r="U85" s="1254" t="str">
        <f t="shared" si="15"/>
        <v>ABS</v>
      </c>
      <c r="V85" s="2784"/>
      <c r="W85" s="2784"/>
      <c r="X85" s="2784"/>
      <c r="Y85" s="2784"/>
      <c r="Z85" s="2784"/>
      <c r="AA85" s="2784"/>
      <c r="AB85" s="2784"/>
      <c r="AC85" s="2784"/>
      <c r="AD85" s="2784"/>
      <c r="AE85" s="2784"/>
      <c r="AF85" s="2784">
        <f>IF(ISNUMBER(SEARCH("&gt;",D85)),0,COUNTIF(Psiquicos!$AD$11:$AH$64,D85))</f>
        <v>0</v>
      </c>
      <c r="AG85" s="1254" t="str">
        <f>IF(AF85=0,"",VLOOKUP(D85,Psiquicos!$AD$11:$AK$64,8,FALSE))</f>
        <v/>
      </c>
      <c r="AH85" s="5163"/>
      <c r="AI85" s="2946" t="s">
        <v>374</v>
      </c>
    </row>
    <row r="86" spans="1:35" ht="12.75" customHeight="1" x14ac:dyDescent="0.2">
      <c r="A86" s="2322">
        <v>86</v>
      </c>
      <c r="B86" s="2314">
        <f>IF(OR(S86=0),0,SUM($S$6:S86))</f>
        <v>0</v>
      </c>
      <c r="C86" s="1262"/>
      <c r="D86" s="1263" t="s">
        <v>375</v>
      </c>
      <c r="E86" s="1254" t="s">
        <v>286</v>
      </c>
      <c r="F86" s="1255">
        <v>2</v>
      </c>
      <c r="G86" s="1255" t="s">
        <v>3696</v>
      </c>
      <c r="H86" s="1256" t="s">
        <v>1918</v>
      </c>
      <c r="I86" s="1254" t="s">
        <v>8205</v>
      </c>
      <c r="J86" s="1254" t="s">
        <v>8204</v>
      </c>
      <c r="K86" s="1254" t="s">
        <v>8168</v>
      </c>
      <c r="L86" s="1254" t="s">
        <v>8501</v>
      </c>
      <c r="M86" s="1254" t="s">
        <v>8502</v>
      </c>
      <c r="N86" s="1254" t="s">
        <v>8503</v>
      </c>
      <c r="O86" s="1254" t="s">
        <v>8504</v>
      </c>
      <c r="P86" s="1254" t="s">
        <v>8505</v>
      </c>
      <c r="Q86" s="1254" t="s">
        <v>8506</v>
      </c>
      <c r="R86" s="1282" t="s">
        <v>8507</v>
      </c>
      <c r="S86" s="2316">
        <f>IF(COUNTIF(Psiquicos!$C$25:$E$36,E86)=0,0,1)</f>
        <v>0</v>
      </c>
      <c r="U86" s="1254" t="str">
        <f t="shared" si="15"/>
        <v>DIF</v>
      </c>
      <c r="V86" s="2784"/>
      <c r="W86" s="2784"/>
      <c r="X86" s="2784"/>
      <c r="Y86" s="2784"/>
      <c r="Z86" s="2784"/>
      <c r="AA86" s="2784"/>
      <c r="AB86" s="2784"/>
      <c r="AC86" s="2784"/>
      <c r="AD86" s="2784"/>
      <c r="AE86" s="2784"/>
      <c r="AF86" s="2784">
        <f>IF(ISNUMBER(SEARCH("&gt;",D86)),0,COUNTIF(Psiquicos!$AD$11:$AH$64,D86))</f>
        <v>0</v>
      </c>
      <c r="AG86" s="1254" t="str">
        <f>IF(AF86=0,"",VLOOKUP(D86,Psiquicos!$AD$11:$AK$64,8,FALSE))</f>
        <v/>
      </c>
      <c r="AH86" s="5163"/>
      <c r="AI86" s="2946" t="s">
        <v>375</v>
      </c>
    </row>
    <row r="87" spans="1:35" ht="12.75" customHeight="1" x14ac:dyDescent="0.2">
      <c r="A87" s="2322">
        <v>87</v>
      </c>
      <c r="B87" s="2314">
        <f>IF(OR(S87=0),0,SUM($S$6:S87))</f>
        <v>0</v>
      </c>
      <c r="C87" s="1262"/>
      <c r="D87" s="1263" t="s">
        <v>376</v>
      </c>
      <c r="E87" s="1254" t="s">
        <v>286</v>
      </c>
      <c r="F87" s="1255">
        <v>2</v>
      </c>
      <c r="G87" s="1255" t="s">
        <v>2234</v>
      </c>
      <c r="H87" s="1256" t="s">
        <v>1918</v>
      </c>
      <c r="I87" s="1254" t="s">
        <v>8206</v>
      </c>
      <c r="J87" s="1254" t="s">
        <v>8205</v>
      </c>
      <c r="K87" s="1254" t="s">
        <v>8204</v>
      </c>
      <c r="L87" s="1254" t="s">
        <v>8168</v>
      </c>
      <c r="M87" s="1254" t="s">
        <v>8502</v>
      </c>
      <c r="N87" s="1254" t="s">
        <v>8503</v>
      </c>
      <c r="O87" s="1254" t="s">
        <v>8504</v>
      </c>
      <c r="P87" s="1254" t="s">
        <v>8505</v>
      </c>
      <c r="Q87" s="1254" t="s">
        <v>8506</v>
      </c>
      <c r="R87" s="1282" t="s">
        <v>8507</v>
      </c>
      <c r="S87" s="2316">
        <f>IF(COUNTIF(Psiquicos!$C$25:$E$36,E87)=0,0,1)</f>
        <v>0</v>
      </c>
      <c r="U87" s="1254" t="str">
        <f t="shared" si="15"/>
        <v/>
      </c>
      <c r="V87" s="2784"/>
      <c r="W87" s="2784"/>
      <c r="X87" s="2784"/>
      <c r="Y87" s="2784"/>
      <c r="Z87" s="2784"/>
      <c r="AA87" s="2784"/>
      <c r="AB87" s="2784"/>
      <c r="AC87" s="2784"/>
      <c r="AD87" s="2784"/>
      <c r="AE87" s="2784"/>
      <c r="AF87" s="2784">
        <f>IF(ISNUMBER(SEARCH("&gt;",D87)),0,COUNTIF(Psiquicos!$AD$11:$AH$64,D87))</f>
        <v>0</v>
      </c>
      <c r="AG87" s="1254" t="str">
        <f>IF(AF87=0,"",VLOOKUP(D87,Psiquicos!$AD$11:$AK$64,8,FALSE))</f>
        <v/>
      </c>
      <c r="AH87" s="5163"/>
      <c r="AI87" s="2946" t="s">
        <v>376</v>
      </c>
    </row>
    <row r="88" spans="1:35" ht="12.75" customHeight="1" x14ac:dyDescent="0.2">
      <c r="A88" s="2322">
        <v>88</v>
      </c>
      <c r="B88" s="2314">
        <f>IF(OR(S88=0),0,SUM($S$6:S88))</f>
        <v>0</v>
      </c>
      <c r="C88" s="1262"/>
      <c r="D88" s="1263" t="s">
        <v>377</v>
      </c>
      <c r="E88" s="1254" t="s">
        <v>286</v>
      </c>
      <c r="F88" s="1255">
        <v>3</v>
      </c>
      <c r="G88" s="1255" t="s">
        <v>2234</v>
      </c>
      <c r="H88" s="1256" t="s">
        <v>1918</v>
      </c>
      <c r="I88" s="1254" t="s">
        <v>8220</v>
      </c>
      <c r="J88" s="1254" t="s">
        <v>8219</v>
      </c>
      <c r="K88" s="1254" t="s">
        <v>8206</v>
      </c>
      <c r="L88" s="1254" t="s">
        <v>8205</v>
      </c>
      <c r="M88" s="1254" t="s">
        <v>8204</v>
      </c>
      <c r="N88" s="1254" t="s">
        <v>8508</v>
      </c>
      <c r="O88" s="1254" t="s">
        <v>8509</v>
      </c>
      <c r="P88" s="1254" t="s">
        <v>8510</v>
      </c>
      <c r="Q88" s="1254" t="s">
        <v>8511</v>
      </c>
      <c r="R88" s="1282" t="s">
        <v>8512</v>
      </c>
      <c r="S88" s="2316">
        <f>IF(COUNTIF(Psiquicos!$C$25:$E$36,E88)=0,0,1)</f>
        <v>0</v>
      </c>
      <c r="U88" s="1254" t="str">
        <f t="shared" si="15"/>
        <v/>
      </c>
      <c r="V88" s="2784"/>
      <c r="W88" s="2784"/>
      <c r="X88" s="2784"/>
      <c r="Y88" s="2784"/>
      <c r="Z88" s="2784"/>
      <c r="AA88" s="2784"/>
      <c r="AB88" s="2784"/>
      <c r="AC88" s="2784"/>
      <c r="AD88" s="2784"/>
      <c r="AE88" s="2784"/>
      <c r="AF88" s="2784">
        <f>IF(ISNUMBER(SEARCH("&gt;",D88)),0,COUNTIF(Psiquicos!$AD$11:$AH$64,D88))</f>
        <v>0</v>
      </c>
      <c r="AG88" s="1254" t="str">
        <f>IF(AF88=0,"",VLOOKUP(D88,Psiquicos!$AD$11:$AK$64,8,FALSE))</f>
        <v/>
      </c>
      <c r="AH88" s="5163"/>
      <c r="AI88" s="2946" t="s">
        <v>377</v>
      </c>
    </row>
    <row r="89" spans="1:35" ht="12.75" customHeight="1" x14ac:dyDescent="0.2">
      <c r="A89" s="2322">
        <v>89</v>
      </c>
      <c r="B89" s="2314">
        <f>IF(OR(S89=0),0,SUM($S$6:S89))</f>
        <v>0</v>
      </c>
      <c r="C89" s="1262"/>
      <c r="D89" s="1263" t="s">
        <v>378</v>
      </c>
      <c r="E89" s="1254" t="s">
        <v>286</v>
      </c>
      <c r="F89" s="1255">
        <v>3</v>
      </c>
      <c r="G89" s="1255" t="s">
        <v>3696</v>
      </c>
      <c r="H89" s="1256" t="s">
        <v>1918</v>
      </c>
      <c r="I89" s="1254" t="s">
        <v>8294</v>
      </c>
      <c r="J89" s="1254" t="s">
        <v>8220</v>
      </c>
      <c r="K89" s="1254" t="s">
        <v>8219</v>
      </c>
      <c r="L89" s="1254" t="s">
        <v>8206</v>
      </c>
      <c r="M89" s="1254" t="s">
        <v>8205</v>
      </c>
      <c r="N89" s="1254" t="s">
        <v>8204</v>
      </c>
      <c r="O89" s="1254" t="s">
        <v>6487</v>
      </c>
      <c r="P89" s="1254" t="s">
        <v>6488</v>
      </c>
      <c r="Q89" s="1254" t="s">
        <v>6489</v>
      </c>
      <c r="R89" s="1282" t="s">
        <v>8513</v>
      </c>
      <c r="S89" s="2316">
        <f>IF(COUNTIF(Psiquicos!$C$25:$E$36,E89)=0,0,1)</f>
        <v>0</v>
      </c>
      <c r="U89" s="1254" t="str">
        <f t="shared" si="15"/>
        <v>CIM</v>
      </c>
      <c r="V89" s="2784"/>
      <c r="W89" s="2784"/>
      <c r="X89" s="2784"/>
      <c r="Y89" s="2784"/>
      <c r="Z89" s="2784"/>
      <c r="AA89" s="2784"/>
      <c r="AB89" s="2784"/>
      <c r="AC89" s="2784"/>
      <c r="AD89" s="2784"/>
      <c r="AE89" s="2784"/>
      <c r="AF89" s="2784">
        <f>IF(ISNUMBER(SEARCH("&gt;",D89)),0,COUNTIF(Psiquicos!$AD$11:$AH$64,D89))</f>
        <v>0</v>
      </c>
      <c r="AG89" s="1254" t="str">
        <f>IF(AF89=0,"",VLOOKUP(D89,Psiquicos!$AD$11:$AK$64,8,FALSE))</f>
        <v/>
      </c>
      <c r="AH89" s="5163"/>
      <c r="AI89" s="2946" t="s">
        <v>378</v>
      </c>
    </row>
    <row r="90" spans="1:35" ht="12.75" customHeight="1" x14ac:dyDescent="0.2">
      <c r="A90" s="2322">
        <v>90</v>
      </c>
      <c r="B90" s="2314">
        <f>IF(OR(S90=0),0,SUM($S$6:S90))</f>
        <v>0</v>
      </c>
      <c r="C90" s="1262"/>
      <c r="D90" s="1263" t="s">
        <v>379</v>
      </c>
      <c r="E90" s="1254"/>
      <c r="F90" s="1255"/>
      <c r="G90" s="1255"/>
      <c r="H90" s="1256"/>
      <c r="I90" s="1254"/>
      <c r="J90" s="1254"/>
      <c r="K90" s="1254"/>
      <c r="L90" s="1254"/>
      <c r="M90" s="1254"/>
      <c r="N90" s="1254"/>
      <c r="O90" s="1254"/>
      <c r="P90" s="1254"/>
      <c r="Q90" s="1254"/>
      <c r="R90" s="1282"/>
      <c r="S90" s="2318">
        <f>S91</f>
        <v>0</v>
      </c>
      <c r="U90" s="1254" t="str">
        <f t="shared" si="15"/>
        <v/>
      </c>
      <c r="V90" s="2784"/>
      <c r="W90" s="2784"/>
      <c r="X90" s="2784"/>
      <c r="Y90" s="2784"/>
      <c r="Z90" s="2784"/>
      <c r="AA90" s="2784"/>
      <c r="AB90" s="2784"/>
      <c r="AC90" s="2784"/>
      <c r="AD90" s="2784"/>
      <c r="AE90" s="2784"/>
      <c r="AF90" s="2784">
        <f>IF(ISNUMBER(SEARCH("&gt;",D90)),0,COUNTIF(Psiquicos!$AD$11:$AH$64,D90))</f>
        <v>0</v>
      </c>
      <c r="AG90" s="1254" t="str">
        <f>IF(AF90=0,"",VLOOKUP(D90,Psiquicos!$AD$11:$AK$64,8,FALSE))</f>
        <v/>
      </c>
      <c r="AH90" s="5163"/>
      <c r="AI90" s="2946" t="s">
        <v>379</v>
      </c>
    </row>
    <row r="91" spans="1:35" ht="12.75" customHeight="1" x14ac:dyDescent="0.2">
      <c r="A91" s="2322">
        <v>91</v>
      </c>
      <c r="B91" s="2314">
        <f>IF(OR(S91=0),0,SUM($S$6:S91))</f>
        <v>0</v>
      </c>
      <c r="C91" s="1262"/>
      <c r="D91" s="1263" t="s">
        <v>380</v>
      </c>
      <c r="E91" s="1254" t="s">
        <v>289</v>
      </c>
      <c r="F91" s="1255">
        <v>1</v>
      </c>
      <c r="G91" s="1255" t="s">
        <v>3696</v>
      </c>
      <c r="H91" s="1256" t="s">
        <v>1918</v>
      </c>
      <c r="I91" s="1254" t="s">
        <v>8168</v>
      </c>
      <c r="J91" s="1254" t="s">
        <v>8169</v>
      </c>
      <c r="K91" s="1254" t="s">
        <v>8186</v>
      </c>
      <c r="L91" s="1254" t="s">
        <v>8187</v>
      </c>
      <c r="M91" s="1254" t="s">
        <v>8188</v>
      </c>
      <c r="N91" s="1254" t="s">
        <v>8189</v>
      </c>
      <c r="O91" s="1254" t="s">
        <v>8190</v>
      </c>
      <c r="P91" s="1254" t="s">
        <v>8191</v>
      </c>
      <c r="Q91" s="1254" t="s">
        <v>8192</v>
      </c>
      <c r="R91" s="1282" t="s">
        <v>8193</v>
      </c>
      <c r="S91" s="2316">
        <f>IF(COUNTIF(Psiquicos!$C$25:$E$36,E91)=0,0,1)</f>
        <v>0</v>
      </c>
      <c r="U91" s="1254" t="str">
        <f t="shared" si="15"/>
        <v>MED</v>
      </c>
      <c r="V91" s="2784"/>
      <c r="W91" s="2784"/>
      <c r="X91" s="2784"/>
      <c r="Y91" s="2784"/>
      <c r="Z91" s="2784"/>
      <c r="AA91" s="2784"/>
      <c r="AB91" s="2784"/>
      <c r="AC91" s="2784"/>
      <c r="AD91" s="2784"/>
      <c r="AE91" s="2784"/>
      <c r="AF91" s="2784">
        <f>IF(ISNUMBER(SEARCH("&gt;",D91)),0,COUNTIF(Psiquicos!$AD$11:$AH$64,D91))</f>
        <v>0</v>
      </c>
      <c r="AG91" s="1254" t="str">
        <f>IF(AF91=0,"",VLOOKUP(D91,Psiquicos!$AD$11:$AK$64,8,FALSE))</f>
        <v/>
      </c>
      <c r="AH91" s="5163"/>
      <c r="AI91" s="2946" t="s">
        <v>380</v>
      </c>
    </row>
    <row r="92" spans="1:35" ht="12.75" customHeight="1" x14ac:dyDescent="0.2">
      <c r="A92" s="2322">
        <v>92</v>
      </c>
      <c r="B92" s="2314">
        <f>IF(OR(S92=0),0,SUM($S$6:S92))</f>
        <v>0</v>
      </c>
      <c r="C92" s="1262"/>
      <c r="D92" s="1263" t="s">
        <v>381</v>
      </c>
      <c r="E92" s="1254" t="s">
        <v>289</v>
      </c>
      <c r="F92" s="1255">
        <v>1</v>
      </c>
      <c r="G92" s="1255" t="s">
        <v>3696</v>
      </c>
      <c r="H92" s="1256" t="s">
        <v>1918</v>
      </c>
      <c r="I92" s="1254" t="s">
        <v>8168</v>
      </c>
      <c r="J92" s="1254" t="s">
        <v>8169</v>
      </c>
      <c r="K92" s="1254" t="s">
        <v>8186</v>
      </c>
      <c r="L92" s="1254" t="s">
        <v>8187</v>
      </c>
      <c r="M92" s="1254" t="s">
        <v>8188</v>
      </c>
      <c r="N92" s="1254" t="s">
        <v>8189</v>
      </c>
      <c r="O92" s="1254" t="s">
        <v>8190</v>
      </c>
      <c r="P92" s="1254" t="s">
        <v>8191</v>
      </c>
      <c r="Q92" s="1254" t="s">
        <v>8192</v>
      </c>
      <c r="R92" s="1282" t="s">
        <v>8193</v>
      </c>
      <c r="S92" s="2316">
        <f>IF(COUNTIF(Psiquicos!$C$25:$E$36,E92)=0,0,1)</f>
        <v>0</v>
      </c>
      <c r="U92" s="1254" t="str">
        <f t="shared" si="15"/>
        <v>MED</v>
      </c>
      <c r="V92" s="2784"/>
      <c r="W92" s="2784"/>
      <c r="X92" s="2784"/>
      <c r="Y92" s="2784"/>
      <c r="Z92" s="2784"/>
      <c r="AA92" s="2784"/>
      <c r="AB92" s="2784"/>
      <c r="AC92" s="2784"/>
      <c r="AD92" s="2784"/>
      <c r="AE92" s="2784"/>
      <c r="AF92" s="2784">
        <f>IF(ISNUMBER(SEARCH("&gt;",D92)),0,COUNTIF(Psiquicos!$AD$11:$AH$64,D92))</f>
        <v>0</v>
      </c>
      <c r="AG92" s="1254" t="str">
        <f>IF(AF92=0,"",VLOOKUP(D92,Psiquicos!$AD$11:$AK$64,8,FALSE))</f>
        <v/>
      </c>
      <c r="AH92" s="5163"/>
      <c r="AI92" s="2946" t="s">
        <v>381</v>
      </c>
    </row>
    <row r="93" spans="1:35" ht="12.75" customHeight="1" x14ac:dyDescent="0.2">
      <c r="A93" s="2322">
        <v>93</v>
      </c>
      <c r="B93" s="2314">
        <f>IF(OR(S93=0),0,SUM($S$6:S93))</f>
        <v>0</v>
      </c>
      <c r="C93" s="1262"/>
      <c r="D93" s="1263" t="s">
        <v>382</v>
      </c>
      <c r="E93" s="1254" t="s">
        <v>289</v>
      </c>
      <c r="F93" s="1255">
        <v>1</v>
      </c>
      <c r="G93" s="1255" t="s">
        <v>3696</v>
      </c>
      <c r="H93" s="1256" t="s">
        <v>1918</v>
      </c>
      <c r="I93" s="1254" t="s">
        <v>8168</v>
      </c>
      <c r="J93" s="1254" t="s">
        <v>8169</v>
      </c>
      <c r="K93" s="1254" t="s">
        <v>8514</v>
      </c>
      <c r="L93" s="1254" t="s">
        <v>8515</v>
      </c>
      <c r="M93" s="1254" t="s">
        <v>8516</v>
      </c>
      <c r="N93" s="1254" t="s">
        <v>8517</v>
      </c>
      <c r="O93" s="1254" t="s">
        <v>8518</v>
      </c>
      <c r="P93" s="1254" t="s">
        <v>8519</v>
      </c>
      <c r="Q93" s="1254" t="s">
        <v>8520</v>
      </c>
      <c r="R93" s="1282" t="s">
        <v>8521</v>
      </c>
      <c r="S93" s="2316">
        <f>IF(COUNTIF(Psiquicos!$C$25:$E$36,E93)=0,0,1)</f>
        <v>0</v>
      </c>
      <c r="U93" s="1254" t="str">
        <f t="shared" si="15"/>
        <v>MED</v>
      </c>
      <c r="V93" s="2784"/>
      <c r="W93" s="2784"/>
      <c r="X93" s="2784"/>
      <c r="Y93" s="2784"/>
      <c r="Z93" s="2784"/>
      <c r="AA93" s="2784"/>
      <c r="AB93" s="2784"/>
      <c r="AC93" s="2784"/>
      <c r="AD93" s="2784"/>
      <c r="AE93" s="2784"/>
      <c r="AF93" s="2784">
        <f>IF(ISNUMBER(SEARCH("&gt;",D93)),0,COUNTIF(Psiquicos!$AD$11:$AH$64,D93))</f>
        <v>0</v>
      </c>
      <c r="AG93" s="1254" t="str">
        <f>IF(AF93=0,"",VLOOKUP(D93,Psiquicos!$AD$11:$AK$64,8,FALSE))</f>
        <v/>
      </c>
      <c r="AH93" s="5163"/>
      <c r="AI93" s="2946" t="s">
        <v>382</v>
      </c>
    </row>
    <row r="94" spans="1:35" ht="12.75" customHeight="1" x14ac:dyDescent="0.2">
      <c r="A94" s="2322">
        <v>94</v>
      </c>
      <c r="B94" s="2314">
        <f>IF(OR(S94=0),0,SUM($S$6:S94))</f>
        <v>0</v>
      </c>
      <c r="C94" s="1262"/>
      <c r="D94" s="1263" t="s">
        <v>383</v>
      </c>
      <c r="E94" s="1254" t="s">
        <v>289</v>
      </c>
      <c r="F94" s="1255">
        <v>1</v>
      </c>
      <c r="G94" s="1255" t="s">
        <v>3696</v>
      </c>
      <c r="H94" s="1256" t="s">
        <v>1918</v>
      </c>
      <c r="I94" s="1254" t="s">
        <v>8168</v>
      </c>
      <c r="J94" s="1254" t="s">
        <v>8169</v>
      </c>
      <c r="K94" s="1254" t="s">
        <v>8522</v>
      </c>
      <c r="L94" s="1254" t="s">
        <v>8523</v>
      </c>
      <c r="M94" s="1254" t="s">
        <v>8524</v>
      </c>
      <c r="N94" s="1254" t="s">
        <v>8525</v>
      </c>
      <c r="O94" s="1254" t="s">
        <v>8526</v>
      </c>
      <c r="P94" s="1254" t="s">
        <v>8527</v>
      </c>
      <c r="Q94" s="1254" t="s">
        <v>8528</v>
      </c>
      <c r="R94" s="1282" t="s">
        <v>8529</v>
      </c>
      <c r="S94" s="2316">
        <f>IF(COUNTIF(Psiquicos!$C$25:$E$36,E94)=0,0,1)</f>
        <v>0</v>
      </c>
      <c r="U94" s="1254" t="str">
        <f t="shared" si="15"/>
        <v>MED</v>
      </c>
      <c r="V94" s="2784"/>
      <c r="W94" s="2784"/>
      <c r="X94" s="2784"/>
      <c r="Y94" s="2784"/>
      <c r="Z94" s="2784"/>
      <c r="AA94" s="2784"/>
      <c r="AB94" s="2784"/>
      <c r="AC94" s="2784"/>
      <c r="AD94" s="2784"/>
      <c r="AE94" s="2784"/>
      <c r="AF94" s="2784">
        <f>IF(ISNUMBER(SEARCH("&gt;",D94)),0,COUNTIF(Psiquicos!$AD$11:$AH$64,D94))</f>
        <v>0</v>
      </c>
      <c r="AG94" s="1254" t="str">
        <f>IF(AF94=0,"",VLOOKUP(D94,Psiquicos!$AD$11:$AK$64,8,FALSE))</f>
        <v/>
      </c>
      <c r="AH94" s="5163"/>
      <c r="AI94" s="2946" t="s">
        <v>383</v>
      </c>
    </row>
    <row r="95" spans="1:35" ht="12.75" customHeight="1" x14ac:dyDescent="0.2">
      <c r="A95" s="2322">
        <v>95</v>
      </c>
      <c r="B95" s="2314">
        <f>IF(OR(S95=0),0,SUM($S$6:S95))</f>
        <v>0</v>
      </c>
      <c r="C95" s="1262"/>
      <c r="D95" s="1263" t="s">
        <v>384</v>
      </c>
      <c r="E95" s="1254" t="s">
        <v>289</v>
      </c>
      <c r="F95" s="1255">
        <v>2</v>
      </c>
      <c r="G95" s="1255" t="s">
        <v>2234</v>
      </c>
      <c r="H95" s="1256" t="s">
        <v>1918</v>
      </c>
      <c r="I95" s="1254" t="s">
        <v>8219</v>
      </c>
      <c r="J95" s="1254" t="s">
        <v>8206</v>
      </c>
      <c r="K95" s="1254" t="s">
        <v>8205</v>
      </c>
      <c r="L95" s="1254" t="s">
        <v>8204</v>
      </c>
      <c r="M95" s="1254" t="s">
        <v>8186</v>
      </c>
      <c r="N95" s="1254" t="s">
        <v>8187</v>
      </c>
      <c r="O95" s="1254" t="s">
        <v>8188</v>
      </c>
      <c r="P95" s="1254" t="s">
        <v>8189</v>
      </c>
      <c r="Q95" s="1254" t="s">
        <v>8190</v>
      </c>
      <c r="R95" s="1282" t="s">
        <v>8192</v>
      </c>
      <c r="S95" s="2316">
        <f>IF(COUNTIF(Psiquicos!$C$25:$E$36,E95)=0,0,1)</f>
        <v>0</v>
      </c>
      <c r="U95" s="1254" t="str">
        <f t="shared" si="15"/>
        <v/>
      </c>
      <c r="V95" s="2784"/>
      <c r="W95" s="2784"/>
      <c r="X95" s="2784"/>
      <c r="Y95" s="2784"/>
      <c r="Z95" s="2784"/>
      <c r="AA95" s="2784"/>
      <c r="AB95" s="2784"/>
      <c r="AC95" s="2784"/>
      <c r="AD95" s="2784"/>
      <c r="AE95" s="2784"/>
      <c r="AF95" s="2784">
        <f>IF(ISNUMBER(SEARCH("&gt;",D95)),0,COUNTIF(Psiquicos!$AD$11:$AH$64,D95))</f>
        <v>0</v>
      </c>
      <c r="AG95" s="1254" t="str">
        <f>IF(AF95=0,"",VLOOKUP(D95,Psiquicos!$AD$11:$AK$64,8,FALSE))</f>
        <v/>
      </c>
      <c r="AH95" s="5163"/>
      <c r="AI95" s="2946" t="s">
        <v>384</v>
      </c>
    </row>
    <row r="96" spans="1:35" ht="12.75" customHeight="1" x14ac:dyDescent="0.2">
      <c r="A96" s="2322">
        <v>96</v>
      </c>
      <c r="B96" s="2314">
        <f>IF(OR(S96=0),0,SUM($S$6:S96))</f>
        <v>0</v>
      </c>
      <c r="C96" s="1262"/>
      <c r="D96" s="1263" t="s">
        <v>385</v>
      </c>
      <c r="E96" s="1254" t="s">
        <v>289</v>
      </c>
      <c r="F96" s="1255">
        <v>2</v>
      </c>
      <c r="G96" s="1255" t="s">
        <v>3696</v>
      </c>
      <c r="H96" s="1256" t="s">
        <v>1918</v>
      </c>
      <c r="I96" s="1254" t="s">
        <v>8206</v>
      </c>
      <c r="J96" s="1254" t="s">
        <v>8205</v>
      </c>
      <c r="K96" s="1254" t="s">
        <v>8204</v>
      </c>
      <c r="L96" s="1254" t="s">
        <v>8168</v>
      </c>
      <c r="M96" s="1254" t="s">
        <v>8530</v>
      </c>
      <c r="N96" s="1254" t="s">
        <v>8531</v>
      </c>
      <c r="O96" s="1254" t="s">
        <v>8532</v>
      </c>
      <c r="P96" s="1254" t="s">
        <v>8533</v>
      </c>
      <c r="Q96" s="1254" t="s">
        <v>8534</v>
      </c>
      <c r="R96" s="1282" t="s">
        <v>8535</v>
      </c>
      <c r="S96" s="2316">
        <f>IF(COUNTIF(Psiquicos!$C$25:$E$36,E96)=0,0,1)</f>
        <v>0</v>
      </c>
      <c r="U96" s="1254" t="str">
        <f t="shared" si="15"/>
        <v>MDF</v>
      </c>
      <c r="V96" s="2784"/>
      <c r="W96" s="2784"/>
      <c r="X96" s="2784"/>
      <c r="Y96" s="2784"/>
      <c r="Z96" s="2784"/>
      <c r="AA96" s="2784"/>
      <c r="AB96" s="2784"/>
      <c r="AC96" s="2784"/>
      <c r="AD96" s="2784"/>
      <c r="AE96" s="2784"/>
      <c r="AF96" s="2784">
        <f>IF(ISNUMBER(SEARCH("&gt;",D96)),0,COUNTIF(Psiquicos!$AD$11:$AH$64,D96))</f>
        <v>0</v>
      </c>
      <c r="AG96" s="1254" t="str">
        <f>IF(AF96=0,"",VLOOKUP(D96,Psiquicos!$AD$11:$AK$64,8,FALSE))</f>
        <v/>
      </c>
      <c r="AH96" s="5163"/>
      <c r="AI96" s="2946" t="s">
        <v>385</v>
      </c>
    </row>
    <row r="97" spans="1:35" ht="12.75" customHeight="1" x14ac:dyDescent="0.2">
      <c r="A97" s="2322">
        <v>97</v>
      </c>
      <c r="B97" s="2314">
        <f>IF(OR(S97=0),0,SUM($S$6:S97))</f>
        <v>0</v>
      </c>
      <c r="C97" s="1262"/>
      <c r="D97" s="1263" t="s">
        <v>386</v>
      </c>
      <c r="E97" s="1254" t="s">
        <v>289</v>
      </c>
      <c r="F97" s="1255">
        <v>2</v>
      </c>
      <c r="G97" s="1255" t="s">
        <v>3696</v>
      </c>
      <c r="H97" s="1256" t="s">
        <v>1918</v>
      </c>
      <c r="I97" s="1254" t="s">
        <v>8206</v>
      </c>
      <c r="J97" s="1254" t="s">
        <v>8205</v>
      </c>
      <c r="K97" s="1254" t="s">
        <v>8204</v>
      </c>
      <c r="L97" s="1254" t="s">
        <v>8168</v>
      </c>
      <c r="M97" s="1254" t="s">
        <v>8186</v>
      </c>
      <c r="N97" s="1254" t="s">
        <v>8187</v>
      </c>
      <c r="O97" s="1254" t="s">
        <v>8188</v>
      </c>
      <c r="P97" s="1254" t="s">
        <v>8189</v>
      </c>
      <c r="Q97" s="1254" t="s">
        <v>8190</v>
      </c>
      <c r="R97" s="1282" t="s">
        <v>8192</v>
      </c>
      <c r="S97" s="2316">
        <f>IF(COUNTIF(Psiquicos!$C$25:$E$36,E97)=0,0,1)</f>
        <v>0</v>
      </c>
      <c r="U97" s="1254" t="str">
        <f t="shared" si="15"/>
        <v>MDF</v>
      </c>
      <c r="V97" s="2784"/>
      <c r="W97" s="2784"/>
      <c r="X97" s="2784"/>
      <c r="Y97" s="2784"/>
      <c r="Z97" s="2784"/>
      <c r="AA97" s="2784"/>
      <c r="AB97" s="2784"/>
      <c r="AC97" s="2784"/>
      <c r="AD97" s="2784"/>
      <c r="AE97" s="2784"/>
      <c r="AF97" s="2784">
        <f>IF(ISNUMBER(SEARCH("&gt;",D97)),0,COUNTIF(Psiquicos!$AD$11:$AH$64,D97))</f>
        <v>0</v>
      </c>
      <c r="AG97" s="1254" t="str">
        <f>IF(AF97=0,"",VLOOKUP(D97,Psiquicos!$AD$11:$AK$64,8,FALSE))</f>
        <v/>
      </c>
      <c r="AH97" s="5163"/>
      <c r="AI97" s="2946" t="s">
        <v>386</v>
      </c>
    </row>
    <row r="98" spans="1:35" ht="12.75" customHeight="1" x14ac:dyDescent="0.2">
      <c r="A98" s="2322">
        <v>98</v>
      </c>
      <c r="B98" s="2314">
        <f>IF(OR(S98=0),0,SUM($S$6:S98))</f>
        <v>0</v>
      </c>
      <c r="C98" s="1262"/>
      <c r="D98" s="1263" t="s">
        <v>387</v>
      </c>
      <c r="E98" s="1254" t="s">
        <v>289</v>
      </c>
      <c r="F98" s="1255">
        <v>2</v>
      </c>
      <c r="G98" s="1255" t="s">
        <v>3696</v>
      </c>
      <c r="H98" s="1256" t="s">
        <v>1918</v>
      </c>
      <c r="I98" s="1254" t="s">
        <v>8206</v>
      </c>
      <c r="J98" s="1254" t="s">
        <v>8205</v>
      </c>
      <c r="K98" s="1254" t="s">
        <v>8204</v>
      </c>
      <c r="L98" s="1254" t="s">
        <v>8168</v>
      </c>
      <c r="M98" s="1254" t="s">
        <v>8536</v>
      </c>
      <c r="N98" s="1254" t="s">
        <v>8181</v>
      </c>
      <c r="O98" s="1254" t="s">
        <v>8537</v>
      </c>
      <c r="P98" s="1254" t="s">
        <v>8182</v>
      </c>
      <c r="Q98" s="1254" t="s">
        <v>8183</v>
      </c>
      <c r="R98" s="1282" t="s">
        <v>8185</v>
      </c>
      <c r="S98" s="2316">
        <f>IF(COUNTIF(Psiquicos!$C$25:$E$36,E98)=0,0,1)</f>
        <v>0</v>
      </c>
      <c r="U98" s="1254" t="str">
        <f t="shared" si="15"/>
        <v>MDF</v>
      </c>
      <c r="V98" s="2784"/>
      <c r="W98" s="2784"/>
      <c r="X98" s="2784"/>
      <c r="Y98" s="2784"/>
      <c r="Z98" s="2784"/>
      <c r="AA98" s="2784"/>
      <c r="AB98" s="2784"/>
      <c r="AC98" s="2784"/>
      <c r="AD98" s="2784"/>
      <c r="AE98" s="2784"/>
      <c r="AF98" s="2784">
        <f>IF(ISNUMBER(SEARCH("&gt;",D98)),0,COUNTIF(Psiquicos!$AD$11:$AH$64,D98))</f>
        <v>0</v>
      </c>
      <c r="AG98" s="1254" t="str">
        <f>IF(AF98=0,"",VLOOKUP(D98,Psiquicos!$AD$11:$AK$64,8,FALSE))</f>
        <v/>
      </c>
      <c r="AH98" s="5163"/>
      <c r="AI98" s="2946" t="s">
        <v>387</v>
      </c>
    </row>
    <row r="99" spans="1:35" ht="12.75" customHeight="1" x14ac:dyDescent="0.2">
      <c r="A99" s="2322">
        <v>99</v>
      </c>
      <c r="B99" s="2314">
        <f>IF(OR(S99=0),0,SUM($S$6:S99))</f>
        <v>0</v>
      </c>
      <c r="C99" s="1262"/>
      <c r="D99" s="1263" t="s">
        <v>388</v>
      </c>
      <c r="E99" s="1254" t="s">
        <v>289</v>
      </c>
      <c r="F99" s="1255">
        <v>3</v>
      </c>
      <c r="G99" s="1255" t="s">
        <v>2234</v>
      </c>
      <c r="H99" s="1256" t="s">
        <v>1918</v>
      </c>
      <c r="I99" s="1254" t="s">
        <v>8220</v>
      </c>
      <c r="J99" s="1254" t="s">
        <v>8219</v>
      </c>
      <c r="K99" s="1254" t="s">
        <v>8206</v>
      </c>
      <c r="L99" s="1254" t="s">
        <v>8205</v>
      </c>
      <c r="M99" s="1254" t="s">
        <v>8204</v>
      </c>
      <c r="N99" s="1254" t="s">
        <v>8187</v>
      </c>
      <c r="O99" s="1254" t="s">
        <v>8188</v>
      </c>
      <c r="P99" s="1254" t="s">
        <v>8189</v>
      </c>
      <c r="Q99" s="1254" t="s">
        <v>8190</v>
      </c>
      <c r="R99" s="1282" t="s">
        <v>8191</v>
      </c>
      <c r="S99" s="2316">
        <f>IF(COUNTIF(Psiquicos!$C$25:$E$36,E99)=0,0,1)</f>
        <v>0</v>
      </c>
      <c r="U99" s="1254" t="str">
        <f t="shared" si="15"/>
        <v/>
      </c>
      <c r="V99" s="2784"/>
      <c r="W99" s="2784"/>
      <c r="X99" s="2784"/>
      <c r="Y99" s="2784"/>
      <c r="Z99" s="2784"/>
      <c r="AA99" s="2784"/>
      <c r="AB99" s="2784"/>
      <c r="AC99" s="2784"/>
      <c r="AD99" s="2784"/>
      <c r="AE99" s="2784"/>
      <c r="AF99" s="2784">
        <f>IF(ISNUMBER(SEARCH("&gt;",D99)),0,COUNTIF(Psiquicos!$AD$11:$AH$64,D99))</f>
        <v>0</v>
      </c>
      <c r="AG99" s="1254" t="str">
        <f>IF(AF99=0,"",VLOOKUP(D99,Psiquicos!$AD$11:$AK$64,8,FALSE))</f>
        <v/>
      </c>
      <c r="AH99" s="5163"/>
      <c r="AI99" s="2946" t="s">
        <v>388</v>
      </c>
    </row>
    <row r="100" spans="1:35" ht="12.75" customHeight="1" x14ac:dyDescent="0.2">
      <c r="A100" s="2322">
        <v>100</v>
      </c>
      <c r="B100" s="2314">
        <f>IF(OR(S100=0),0,SUM($S$6:S100))</f>
        <v>0</v>
      </c>
      <c r="C100" s="1262"/>
      <c r="D100" s="1263" t="s">
        <v>313</v>
      </c>
      <c r="E100" s="1254" t="s">
        <v>289</v>
      </c>
      <c r="F100" s="1255">
        <v>3</v>
      </c>
      <c r="G100" s="1255" t="s">
        <v>3696</v>
      </c>
      <c r="H100" s="1256" t="s">
        <v>1918</v>
      </c>
      <c r="I100" s="1254" t="s">
        <v>8220</v>
      </c>
      <c r="J100" s="1254" t="s">
        <v>8219</v>
      </c>
      <c r="K100" s="1254" t="s">
        <v>8206</v>
      </c>
      <c r="L100" s="1254" t="s">
        <v>8204</v>
      </c>
      <c r="M100" s="1254" t="s">
        <v>8221</v>
      </c>
      <c r="N100" s="1254" t="s">
        <v>8178</v>
      </c>
      <c r="O100" s="1254" t="s">
        <v>8180</v>
      </c>
      <c r="P100" s="1254" t="s">
        <v>8181</v>
      </c>
      <c r="Q100" s="1254" t="s">
        <v>8182</v>
      </c>
      <c r="R100" s="1282" t="s">
        <v>8222</v>
      </c>
      <c r="S100" s="2316">
        <f>IF(COUNTIF(Psiquicos!$C$25:$E$36,E100)=0,0,1)</f>
        <v>0</v>
      </c>
      <c r="U100" s="1254" t="str">
        <f t="shared" si="15"/>
        <v>MDF</v>
      </c>
      <c r="V100" s="2784"/>
      <c r="W100" s="2784"/>
      <c r="X100" s="2784"/>
      <c r="Y100" s="2784"/>
      <c r="Z100" s="2784"/>
      <c r="AA100" s="2784"/>
      <c r="AB100" s="2784"/>
      <c r="AC100" s="2784"/>
      <c r="AD100" s="2784"/>
      <c r="AE100" s="2784"/>
      <c r="AF100" s="2784">
        <f>IF(ISNUMBER(SEARCH("&gt;",D100)),0,COUNTIF(Psiquicos!$AD$11:$AH$64,D100))</f>
        <v>0</v>
      </c>
      <c r="AG100" s="1254" t="str">
        <f>IF(AF100=0,"",VLOOKUP(D100,Psiquicos!$AD$11:$AK$64,8,FALSE))</f>
        <v/>
      </c>
      <c r="AH100" s="5163"/>
      <c r="AI100" s="2946" t="s">
        <v>313</v>
      </c>
    </row>
    <row r="101" spans="1:35" ht="12.75" customHeight="1" x14ac:dyDescent="0.2">
      <c r="A101" s="2322">
        <v>101</v>
      </c>
      <c r="B101" s="2314">
        <f>IF(OR(S101=0),0,SUM($S$6:S101))</f>
        <v>0</v>
      </c>
      <c r="C101" s="1262"/>
      <c r="D101" s="1263" t="s">
        <v>389</v>
      </c>
      <c r="E101" s="1254"/>
      <c r="F101" s="1255"/>
      <c r="G101" s="1255"/>
      <c r="H101" s="1256"/>
      <c r="I101" s="1254"/>
      <c r="J101" s="1254"/>
      <c r="K101" s="1254"/>
      <c r="L101" s="1254"/>
      <c r="M101" s="1254"/>
      <c r="N101" s="1254"/>
      <c r="O101" s="1254"/>
      <c r="P101" s="1254"/>
      <c r="Q101" s="1254"/>
      <c r="R101" s="1282"/>
      <c r="S101" s="2318">
        <f>S102</f>
        <v>0</v>
      </c>
      <c r="U101" s="1254" t="str">
        <f t="shared" si="15"/>
        <v/>
      </c>
      <c r="V101" s="2784"/>
      <c r="W101" s="2784"/>
      <c r="X101" s="2784"/>
      <c r="Y101" s="2784"/>
      <c r="Z101" s="2784"/>
      <c r="AA101" s="2784"/>
      <c r="AB101" s="2784"/>
      <c r="AC101" s="2784"/>
      <c r="AD101" s="2784"/>
      <c r="AE101" s="2784"/>
      <c r="AF101" s="2784">
        <f>IF(ISNUMBER(SEARCH("&gt;",D101)),0,COUNTIF(Psiquicos!$AD$11:$AH$64,D101))</f>
        <v>0</v>
      </c>
      <c r="AG101" s="1254" t="str">
        <f>IF(AF101=0,"",VLOOKUP(D101,Psiquicos!$AD$11:$AK$64,8,FALSE))</f>
        <v/>
      </c>
      <c r="AH101" s="5163"/>
      <c r="AI101" s="2946" t="s">
        <v>389</v>
      </c>
    </row>
    <row r="102" spans="1:35" ht="12.75" customHeight="1" x14ac:dyDescent="0.2">
      <c r="A102" s="2322">
        <v>102</v>
      </c>
      <c r="B102" s="2314">
        <f>IF(OR(S102=0),0,SUM($S$6:S102))</f>
        <v>0</v>
      </c>
      <c r="C102" s="1262"/>
      <c r="D102" s="1263" t="s">
        <v>390</v>
      </c>
      <c r="E102" s="1254" t="s">
        <v>287</v>
      </c>
      <c r="F102" s="1255">
        <v>1</v>
      </c>
      <c r="G102" s="1255" t="s">
        <v>3696</v>
      </c>
      <c r="H102" s="1256" t="s">
        <v>1918</v>
      </c>
      <c r="I102" s="1254" t="s">
        <v>8169</v>
      </c>
      <c r="J102" s="1254" t="s">
        <v>8538</v>
      </c>
      <c r="K102" s="1254" t="s">
        <v>8539</v>
      </c>
      <c r="L102" s="1254" t="s">
        <v>5454</v>
      </c>
      <c r="M102" s="1254" t="s">
        <v>8540</v>
      </c>
      <c r="N102" s="1254" t="s">
        <v>5455</v>
      </c>
      <c r="O102" s="1254" t="s">
        <v>5456</v>
      </c>
      <c r="P102" s="1254" t="s">
        <v>5442</v>
      </c>
      <c r="Q102" s="1254" t="s">
        <v>7507</v>
      </c>
      <c r="R102" s="1282" t="s">
        <v>7508</v>
      </c>
      <c r="S102" s="2316">
        <f>IF(COUNTIF(Psiquicos!$C$25:$E$36,E102)=0,0,1)</f>
        <v>0</v>
      </c>
      <c r="U102" s="1254" t="str">
        <f t="shared" si="15"/>
        <v>FAC</v>
      </c>
      <c r="V102" s="2784"/>
      <c r="W102" s="2784"/>
      <c r="X102" s="2784"/>
      <c r="Y102" s="2784"/>
      <c r="Z102" s="2784"/>
      <c r="AA102" s="2784"/>
      <c r="AB102" s="2784"/>
      <c r="AC102" s="2784"/>
      <c r="AD102" s="2784"/>
      <c r="AE102" s="2784"/>
      <c r="AF102" s="2784">
        <f>IF(ISNUMBER(SEARCH("&gt;",D102)),0,COUNTIF(Psiquicos!$AD$11:$AH$64,D102))</f>
        <v>0</v>
      </c>
      <c r="AG102" s="1254" t="str">
        <f>IF(AF102=0,"",VLOOKUP(D102,Psiquicos!$AD$11:$AK$64,8,FALSE))</f>
        <v/>
      </c>
      <c r="AH102" s="5163"/>
      <c r="AI102" s="2946" t="s">
        <v>390</v>
      </c>
    </row>
    <row r="103" spans="1:35" ht="12.75" customHeight="1" x14ac:dyDescent="0.2">
      <c r="A103" s="2322">
        <v>103</v>
      </c>
      <c r="B103" s="2314">
        <f>IF(OR(S103=0),0,SUM($S$6:S103))</f>
        <v>0</v>
      </c>
      <c r="C103" s="1262"/>
      <c r="D103" s="1263" t="s">
        <v>391</v>
      </c>
      <c r="E103" s="1254" t="s">
        <v>287</v>
      </c>
      <c r="F103" s="1255">
        <v>2</v>
      </c>
      <c r="G103" s="1255" t="s">
        <v>2234</v>
      </c>
      <c r="H103" s="1256" t="s">
        <v>1918</v>
      </c>
      <c r="I103" s="1254" t="s">
        <v>8206</v>
      </c>
      <c r="J103" s="1254" t="s">
        <v>8205</v>
      </c>
      <c r="K103" s="1254" t="s">
        <v>8204</v>
      </c>
      <c r="L103" s="1254" t="s">
        <v>8538</v>
      </c>
      <c r="M103" s="1254" t="s">
        <v>8539</v>
      </c>
      <c r="N103" s="1254" t="s">
        <v>5454</v>
      </c>
      <c r="O103" s="1254" t="s">
        <v>8540</v>
      </c>
      <c r="P103" s="1254" t="s">
        <v>5455</v>
      </c>
      <c r="Q103" s="1254" t="s">
        <v>5456</v>
      </c>
      <c r="R103" s="1282" t="s">
        <v>5442</v>
      </c>
      <c r="S103" s="2316">
        <f>IF(COUNTIF(Psiquicos!$C$25:$E$36,E103)=0,0,1)</f>
        <v>0</v>
      </c>
      <c r="U103" s="1254" t="str">
        <f t="shared" ref="U103:U134" si="16">IF(OR(G103="No",ISNUMBER(SEARCH("&gt;",D103))),"",INDEX($I$6:$R$6,SUMPRODUCT(--(ISNUMBER(SEARCH("Fatiga",$I103:$R103))))+1))</f>
        <v/>
      </c>
      <c r="V103" s="2784"/>
      <c r="W103" s="2784"/>
      <c r="X103" s="2784"/>
      <c r="Y103" s="2784"/>
      <c r="Z103" s="2784"/>
      <c r="AA103" s="2784"/>
      <c r="AB103" s="2784"/>
      <c r="AC103" s="2784"/>
      <c r="AD103" s="2784"/>
      <c r="AE103" s="2784"/>
      <c r="AF103" s="2784">
        <f>IF(ISNUMBER(SEARCH("&gt;",D103)),0,COUNTIF(Psiquicos!$AD$11:$AH$64,D103))</f>
        <v>0</v>
      </c>
      <c r="AG103" s="1254" t="str">
        <f>IF(AF103=0,"",VLOOKUP(D103,Psiquicos!$AD$11:$AK$64,8,FALSE))</f>
        <v/>
      </c>
      <c r="AH103" s="5163"/>
      <c r="AI103" s="2946" t="s">
        <v>391</v>
      </c>
    </row>
    <row r="104" spans="1:35" ht="12.75" customHeight="1" x14ac:dyDescent="0.2">
      <c r="A104" s="2322">
        <v>104</v>
      </c>
      <c r="B104" s="2314">
        <f>IF(OR(S104=0),0,SUM($S$6:S104))</f>
        <v>0</v>
      </c>
      <c r="C104" s="1262"/>
      <c r="D104" s="1263" t="s">
        <v>392</v>
      </c>
      <c r="E104" s="1254" t="s">
        <v>287</v>
      </c>
      <c r="F104" s="1255">
        <v>2</v>
      </c>
      <c r="G104" s="1255" t="s">
        <v>2234</v>
      </c>
      <c r="H104" s="1256" t="s">
        <v>1918</v>
      </c>
      <c r="I104" s="1254" t="s">
        <v>8205</v>
      </c>
      <c r="J104" s="1254" t="s">
        <v>8204</v>
      </c>
      <c r="K104" s="1254" t="s">
        <v>8168</v>
      </c>
      <c r="L104" s="1254" t="s">
        <v>8541</v>
      </c>
      <c r="M104" s="1254" t="s">
        <v>8542</v>
      </c>
      <c r="N104" s="1254" t="s">
        <v>8543</v>
      </c>
      <c r="O104" s="1254" t="s">
        <v>8544</v>
      </c>
      <c r="P104" s="1254" t="s">
        <v>8545</v>
      </c>
      <c r="Q104" s="1254" t="s">
        <v>8546</v>
      </c>
      <c r="R104" s="1282" t="s">
        <v>8547</v>
      </c>
      <c r="S104" s="2316">
        <f>IF(COUNTIF(Psiquicos!$C$25:$E$36,E104)=0,0,1)</f>
        <v>0</v>
      </c>
      <c r="U104" s="1254" t="str">
        <f t="shared" si="16"/>
        <v/>
      </c>
      <c r="V104" s="2784"/>
      <c r="W104" s="2784"/>
      <c r="X104" s="2784"/>
      <c r="Y104" s="2784"/>
      <c r="Z104" s="2784"/>
      <c r="AA104" s="2784"/>
      <c r="AB104" s="2784"/>
      <c r="AC104" s="2784"/>
      <c r="AD104" s="2784"/>
      <c r="AE104" s="2784"/>
      <c r="AF104" s="2784">
        <f>IF(ISNUMBER(SEARCH("&gt;",D104)),0,COUNTIF(Psiquicos!$AD$11:$AH$64,D104))</f>
        <v>0</v>
      </c>
      <c r="AG104" s="1254" t="str">
        <f>IF(AF104=0,"",VLOOKUP(D104,Psiquicos!$AD$11:$AK$64,8,FALSE))</f>
        <v/>
      </c>
      <c r="AH104" s="5163"/>
      <c r="AI104" s="2946" t="s">
        <v>392</v>
      </c>
    </row>
    <row r="105" spans="1:35" ht="12.75" customHeight="1" x14ac:dyDescent="0.2">
      <c r="A105" s="2322">
        <v>105</v>
      </c>
      <c r="B105" s="2314">
        <f>IF(OR(S105=0),0,SUM($S$6:S105))</f>
        <v>0</v>
      </c>
      <c r="C105" s="1262"/>
      <c r="D105" s="1263" t="s">
        <v>393</v>
      </c>
      <c r="E105" s="1254" t="s">
        <v>287</v>
      </c>
      <c r="F105" s="1255">
        <v>3</v>
      </c>
      <c r="G105" s="1255" t="s">
        <v>3696</v>
      </c>
      <c r="H105" s="1256" t="s">
        <v>1918</v>
      </c>
      <c r="I105" s="1254" t="s">
        <v>8220</v>
      </c>
      <c r="J105" s="1254" t="s">
        <v>8219</v>
      </c>
      <c r="K105" s="1254" t="s">
        <v>8206</v>
      </c>
      <c r="L105" s="1254" t="s">
        <v>8205</v>
      </c>
      <c r="M105" s="1254" t="s">
        <v>8204</v>
      </c>
      <c r="N105" s="1254" t="s">
        <v>5442</v>
      </c>
      <c r="O105" s="1254" t="s">
        <v>8548</v>
      </c>
      <c r="P105" s="1254" t="s">
        <v>7508</v>
      </c>
      <c r="Q105" s="1254" t="s">
        <v>8549</v>
      </c>
      <c r="R105" s="1282" t="s">
        <v>8550</v>
      </c>
      <c r="S105" s="2316">
        <f>IF(COUNTIF(Psiquicos!$C$25:$E$36,E105)=0,0,1)</f>
        <v>0</v>
      </c>
      <c r="U105" s="1254" t="str">
        <f t="shared" si="16"/>
        <v>ABS</v>
      </c>
      <c r="V105" s="2784"/>
      <c r="W105" s="2784"/>
      <c r="X105" s="2784"/>
      <c r="Y105" s="2784"/>
      <c r="Z105" s="2784"/>
      <c r="AA105" s="2784"/>
      <c r="AB105" s="2784"/>
      <c r="AC105" s="2784"/>
      <c r="AD105" s="2784"/>
      <c r="AE105" s="2784"/>
      <c r="AF105" s="2784">
        <f>IF(ISNUMBER(SEARCH("&gt;",D105)),0,COUNTIF(Psiquicos!$AD$11:$AH$64,D105))</f>
        <v>0</v>
      </c>
      <c r="AG105" s="1254" t="str">
        <f>IF(AF105=0,"",VLOOKUP(D105,Psiquicos!$AD$11:$AK$64,8,FALSE))</f>
        <v/>
      </c>
      <c r="AH105" s="5163"/>
      <c r="AI105" s="2946" t="s">
        <v>393</v>
      </c>
    </row>
    <row r="106" spans="1:35" ht="12.75" customHeight="1" x14ac:dyDescent="0.2">
      <c r="A106" s="2322">
        <v>106</v>
      </c>
      <c r="B106" s="2314">
        <f>IF(OR(S106=0),0,SUM($S$6:S106))</f>
        <v>0</v>
      </c>
      <c r="C106" s="1262"/>
      <c r="D106" s="1263" t="s">
        <v>394</v>
      </c>
      <c r="E106" s="1254"/>
      <c r="F106" s="1255"/>
      <c r="G106" s="1255"/>
      <c r="H106" s="1256"/>
      <c r="I106" s="1254"/>
      <c r="J106" s="1254"/>
      <c r="K106" s="1254"/>
      <c r="L106" s="1254"/>
      <c r="M106" s="1254"/>
      <c r="N106" s="1254"/>
      <c r="O106" s="1254"/>
      <c r="P106" s="1254"/>
      <c r="Q106" s="1254"/>
      <c r="R106" s="1282"/>
      <c r="S106" s="2318">
        <f>S107</f>
        <v>0</v>
      </c>
      <c r="U106" s="1254" t="str">
        <f t="shared" si="16"/>
        <v/>
      </c>
      <c r="V106" s="2784"/>
      <c r="W106" s="2784"/>
      <c r="X106" s="2784"/>
      <c r="Y106" s="2784"/>
      <c r="Z106" s="2784"/>
      <c r="AA106" s="2784"/>
      <c r="AB106" s="2784"/>
      <c r="AC106" s="2784"/>
      <c r="AD106" s="2784"/>
      <c r="AE106" s="2784"/>
      <c r="AF106" s="2784">
        <f>IF(ISNUMBER(SEARCH("&gt;",D106)),0,COUNTIF(Psiquicos!$AD$11:$AH$64,D106))</f>
        <v>0</v>
      </c>
      <c r="AG106" s="1254" t="str">
        <f>IF(AF106=0,"",VLOOKUP(D106,Psiquicos!$AD$11:$AK$64,8,FALSE))</f>
        <v/>
      </c>
      <c r="AH106" s="5163"/>
      <c r="AI106" s="2946" t="s">
        <v>394</v>
      </c>
    </row>
    <row r="107" spans="1:35" ht="12.75" customHeight="1" x14ac:dyDescent="0.2">
      <c r="A107" s="2322">
        <v>107</v>
      </c>
      <c r="B107" s="2314">
        <f>IF(OR(S107=0),0,SUM($S$6:S107))</f>
        <v>0</v>
      </c>
      <c r="C107" s="1262"/>
      <c r="D107" s="1263" t="s">
        <v>395</v>
      </c>
      <c r="E107" s="1283" t="s">
        <v>291</v>
      </c>
      <c r="F107" s="1255">
        <v>1</v>
      </c>
      <c r="G107" s="1255" t="s">
        <v>3696</v>
      </c>
      <c r="H107" s="1256" t="s">
        <v>1918</v>
      </c>
      <c r="I107" s="1254" t="s">
        <v>8219</v>
      </c>
      <c r="J107" s="1254" t="s">
        <v>8206</v>
      </c>
      <c r="K107" s="1254" t="s">
        <v>8205</v>
      </c>
      <c r="L107" s="1254" t="s">
        <v>8204</v>
      </c>
      <c r="M107" s="1254" t="s">
        <v>8168</v>
      </c>
      <c r="N107" s="1254" t="s">
        <v>8551</v>
      </c>
      <c r="O107" s="1254" t="s">
        <v>8179</v>
      </c>
      <c r="P107" s="1254" t="s">
        <v>8536</v>
      </c>
      <c r="Q107" s="1254" t="s">
        <v>8552</v>
      </c>
      <c r="R107" s="1282" t="s">
        <v>8553</v>
      </c>
      <c r="S107" s="2316">
        <f>IF(COUNTIF(Psiquicos!$C$25:$E$36,E107)=0,0,1)</f>
        <v>0</v>
      </c>
      <c r="U107" s="1254" t="str">
        <f t="shared" si="16"/>
        <v>ABS</v>
      </c>
      <c r="V107" s="2784"/>
      <c r="W107" s="2784"/>
      <c r="X107" s="2784"/>
      <c r="Y107" s="2784"/>
      <c r="Z107" s="2784"/>
      <c r="AA107" s="2784"/>
      <c r="AB107" s="2784"/>
      <c r="AC107" s="2784"/>
      <c r="AD107" s="2784"/>
      <c r="AE107" s="2784"/>
      <c r="AF107" s="2784">
        <f>IF(ISNUMBER(SEARCH("&gt;",D107)),0,COUNTIF(Psiquicos!$AD$11:$AH$64,D107))</f>
        <v>0</v>
      </c>
      <c r="AG107" s="1254" t="str">
        <f>IF(AF107=0,"",VLOOKUP(D107,Psiquicos!$AD$11:$AK$64,8,FALSE))</f>
        <v/>
      </c>
      <c r="AH107" s="5163"/>
      <c r="AI107" s="2946" t="s">
        <v>395</v>
      </c>
    </row>
    <row r="108" spans="1:35" ht="12.75" customHeight="1" x14ac:dyDescent="0.2">
      <c r="A108" s="2322">
        <v>108</v>
      </c>
      <c r="B108" s="2314">
        <f>IF(OR(S108=0),0,SUM($S$6:S108))</f>
        <v>0</v>
      </c>
      <c r="C108" s="1262"/>
      <c r="D108" s="1263" t="s">
        <v>396</v>
      </c>
      <c r="E108" s="1283" t="s">
        <v>291</v>
      </c>
      <c r="F108" s="1255">
        <v>2</v>
      </c>
      <c r="G108" s="1255" t="s">
        <v>3696</v>
      </c>
      <c r="H108" s="1256" t="s">
        <v>1918</v>
      </c>
      <c r="I108" s="1254" t="s">
        <v>8219</v>
      </c>
      <c r="J108" s="1254" t="s">
        <v>8206</v>
      </c>
      <c r="K108" s="1254" t="s">
        <v>8205</v>
      </c>
      <c r="L108" s="1254" t="s">
        <v>8204</v>
      </c>
      <c r="M108" s="1254" t="s">
        <v>8168</v>
      </c>
      <c r="N108" s="1254" t="s">
        <v>8554</v>
      </c>
      <c r="O108" s="1254" t="s">
        <v>8555</v>
      </c>
      <c r="P108" s="1254" t="s">
        <v>8556</v>
      </c>
      <c r="Q108" s="1254" t="s">
        <v>8557</v>
      </c>
      <c r="R108" s="1254" t="s">
        <v>8558</v>
      </c>
      <c r="S108" s="2316">
        <f>IF(COUNTIF(Psiquicos!$C$25:$E$36,E108)=0,0,1)</f>
        <v>0</v>
      </c>
      <c r="U108" s="1254" t="str">
        <f t="shared" si="16"/>
        <v>ABS</v>
      </c>
      <c r="V108" s="2784"/>
      <c r="W108" s="2784"/>
      <c r="X108" s="2784"/>
      <c r="Y108" s="2784"/>
      <c r="Z108" s="2784"/>
      <c r="AA108" s="2784"/>
      <c r="AB108" s="2784"/>
      <c r="AC108" s="2784"/>
      <c r="AD108" s="2784"/>
      <c r="AE108" s="2784"/>
      <c r="AF108" s="2784">
        <f>IF(ISNUMBER(SEARCH("&gt;",D108)),0,COUNTIF(Psiquicos!$AD$11:$AH$64,D108))</f>
        <v>0</v>
      </c>
      <c r="AG108" s="1254" t="str">
        <f>IF(AF108=0,"",VLOOKUP(D108,Psiquicos!$AD$11:$AK$64,8,FALSE))</f>
        <v/>
      </c>
      <c r="AH108" s="5163"/>
      <c r="AI108" s="2946" t="s">
        <v>396</v>
      </c>
    </row>
    <row r="109" spans="1:35" ht="12.75" customHeight="1" x14ac:dyDescent="0.2">
      <c r="A109" s="2322">
        <v>109</v>
      </c>
      <c r="B109" s="2314">
        <f>IF(OR(S109=0),0,SUM($S$6:S109))</f>
        <v>0</v>
      </c>
      <c r="C109" s="1262"/>
      <c r="D109" s="1263" t="s">
        <v>397</v>
      </c>
      <c r="E109" s="1283" t="s">
        <v>291</v>
      </c>
      <c r="F109" s="1255">
        <v>2</v>
      </c>
      <c r="G109" s="1255" t="s">
        <v>2234</v>
      </c>
      <c r="H109" s="1256" t="s">
        <v>1918</v>
      </c>
      <c r="I109" s="1254" t="s">
        <v>8205</v>
      </c>
      <c r="J109" s="1254" t="s">
        <v>8204</v>
      </c>
      <c r="K109" s="1254" t="s">
        <v>8168</v>
      </c>
      <c r="L109" s="1254" t="s">
        <v>8169</v>
      </c>
      <c r="M109" s="1254" t="s">
        <v>8559</v>
      </c>
      <c r="N109" s="1254" t="s">
        <v>8560</v>
      </c>
      <c r="O109" s="1254" t="s">
        <v>8561</v>
      </c>
      <c r="P109" s="1254" t="s">
        <v>8562</v>
      </c>
      <c r="Q109" s="1254" t="s">
        <v>8563</v>
      </c>
      <c r="R109" s="1282" t="s">
        <v>8564</v>
      </c>
      <c r="S109" s="2316">
        <f>IF(COUNTIF(Psiquicos!$C$25:$E$36,E109)=0,0,1)</f>
        <v>0</v>
      </c>
      <c r="U109" s="1254" t="str">
        <f t="shared" si="16"/>
        <v/>
      </c>
      <c r="V109" s="2784"/>
      <c r="W109" s="2784"/>
      <c r="X109" s="2785"/>
      <c r="Y109" s="2785"/>
      <c r="Z109" s="2785"/>
      <c r="AA109" s="2785"/>
      <c r="AB109" s="2784"/>
      <c r="AC109" s="2784"/>
      <c r="AD109" s="2784"/>
      <c r="AE109" s="2785"/>
      <c r="AF109" s="2784">
        <f>IF(ISNUMBER(SEARCH("&gt;",D109)),0,COUNTIF(Psiquicos!$AD$11:$AH$64,D109))</f>
        <v>0</v>
      </c>
      <c r="AG109" s="1254" t="str">
        <f>IF(AF109=0,"",VLOOKUP(D109,Psiquicos!$AD$11:$AK$64,8,FALSE))</f>
        <v/>
      </c>
      <c r="AH109" s="5163"/>
      <c r="AI109" s="2946" t="s">
        <v>397</v>
      </c>
    </row>
    <row r="110" spans="1:35" ht="12.75" customHeight="1" x14ac:dyDescent="0.2">
      <c r="A110" s="2322">
        <v>110</v>
      </c>
      <c r="B110" s="2314">
        <f>IF(OR(S110=0),0,SUM($S$6:S110))</f>
        <v>0</v>
      </c>
      <c r="C110" s="1262"/>
      <c r="D110" s="1263" t="s">
        <v>398</v>
      </c>
      <c r="E110" s="1283" t="s">
        <v>291</v>
      </c>
      <c r="F110" s="1255">
        <v>3</v>
      </c>
      <c r="G110" s="1255" t="s">
        <v>3696</v>
      </c>
      <c r="H110" s="1256" t="s">
        <v>1918</v>
      </c>
      <c r="I110" s="1254" t="s">
        <v>8219</v>
      </c>
      <c r="J110" s="1254" t="s">
        <v>8206</v>
      </c>
      <c r="K110" s="1254" t="s">
        <v>8205</v>
      </c>
      <c r="L110" s="1254" t="s">
        <v>8204</v>
      </c>
      <c r="M110" s="1254" t="s">
        <v>8168</v>
      </c>
      <c r="N110" s="1254" t="s">
        <v>8551</v>
      </c>
      <c r="O110" s="1254" t="s">
        <v>8179</v>
      </c>
      <c r="P110" s="1254" t="s">
        <v>8565</v>
      </c>
      <c r="Q110" s="1254" t="s">
        <v>8566</v>
      </c>
      <c r="R110" s="1254" t="s">
        <v>8567</v>
      </c>
      <c r="S110" s="2316">
        <f>IF(COUNTIF(Psiquicos!$C$25:$E$36,E110)=0,0,1)</f>
        <v>0</v>
      </c>
      <c r="U110" s="1254" t="str">
        <f t="shared" si="16"/>
        <v>ABS</v>
      </c>
      <c r="V110" s="2784"/>
      <c r="W110" s="2784"/>
      <c r="X110" s="2784"/>
      <c r="Y110" s="2784"/>
      <c r="Z110" s="2784"/>
      <c r="AA110" s="2784"/>
      <c r="AB110" s="2784"/>
      <c r="AC110" s="2784"/>
      <c r="AD110" s="2784"/>
      <c r="AE110" s="2784"/>
      <c r="AF110" s="2784">
        <f>IF(ISNUMBER(SEARCH("&gt;",D110)),0,COUNTIF(Psiquicos!$AD$11:$AH$64,D110))</f>
        <v>0</v>
      </c>
      <c r="AG110" s="1254" t="str">
        <f>IF(AF110=0,"",VLOOKUP(D110,Psiquicos!$AD$11:$AK$64,8,FALSE))</f>
        <v/>
      </c>
      <c r="AH110" s="5163"/>
      <c r="AI110" s="2946" t="s">
        <v>398</v>
      </c>
    </row>
    <row r="111" spans="1:35" ht="12.75" customHeight="1" x14ac:dyDescent="0.2">
      <c r="A111" s="2322">
        <v>111</v>
      </c>
      <c r="B111" s="2314">
        <f>IF(OR(S111=0),0,SUM($S$6:S111))</f>
        <v>0</v>
      </c>
      <c r="C111" s="1262"/>
      <c r="D111" s="1263" t="s">
        <v>399</v>
      </c>
      <c r="E111" s="1283" t="s">
        <v>291</v>
      </c>
      <c r="F111" s="1255">
        <v>3</v>
      </c>
      <c r="G111" s="1255" t="s">
        <v>2234</v>
      </c>
      <c r="H111" s="1256" t="s">
        <v>1918</v>
      </c>
      <c r="I111" s="1254" t="s">
        <v>8220</v>
      </c>
      <c r="J111" s="1254" t="s">
        <v>8219</v>
      </c>
      <c r="K111" s="1254" t="s">
        <v>8206</v>
      </c>
      <c r="L111" s="1254" t="s">
        <v>8205</v>
      </c>
      <c r="M111" s="1254" t="s">
        <v>8204</v>
      </c>
      <c r="N111" s="1254" t="s">
        <v>8168</v>
      </c>
      <c r="O111" s="1254" t="s">
        <v>8568</v>
      </c>
      <c r="P111" s="1254" t="s">
        <v>8569</v>
      </c>
      <c r="Q111" s="1254" t="s">
        <v>8570</v>
      </c>
      <c r="R111" s="1282" t="s">
        <v>8571</v>
      </c>
      <c r="S111" s="2316">
        <f>IF(COUNTIF(Psiquicos!$C$25:$E$36,E111)=0,0,1)</f>
        <v>0</v>
      </c>
      <c r="U111" s="1254" t="str">
        <f t="shared" si="16"/>
        <v/>
      </c>
      <c r="V111" s="2784"/>
      <c r="W111" s="2784"/>
      <c r="X111" s="2784"/>
      <c r="Y111" s="2784"/>
      <c r="Z111" s="2784"/>
      <c r="AA111" s="2784"/>
      <c r="AB111" s="2784"/>
      <c r="AC111" s="2784"/>
      <c r="AD111" s="2784"/>
      <c r="AE111" s="2784"/>
      <c r="AF111" s="2784">
        <f>IF(ISNUMBER(SEARCH("&gt;",D111)),0,COUNTIF(Psiquicos!$AD$11:$AH$64,D111))</f>
        <v>0</v>
      </c>
      <c r="AG111" s="1254" t="str">
        <f>IF(AF111=0,"",VLOOKUP(D111,Psiquicos!$AD$11:$AK$64,8,FALSE))</f>
        <v/>
      </c>
      <c r="AH111" s="5163"/>
      <c r="AI111" s="2946" t="s">
        <v>399</v>
      </c>
    </row>
    <row r="112" spans="1:35" ht="12.75" customHeight="1" x14ac:dyDescent="0.2">
      <c r="A112" s="2322">
        <v>112</v>
      </c>
      <c r="B112" s="2314">
        <f>IF(OR(S112=0),0,SUM($S$6:S112))</f>
        <v>0</v>
      </c>
      <c r="C112" s="1262"/>
      <c r="D112" s="1263" t="s">
        <v>400</v>
      </c>
      <c r="E112" s="1254"/>
      <c r="F112" s="1255"/>
      <c r="G112" s="1255"/>
      <c r="H112" s="1256"/>
      <c r="I112" s="1254"/>
      <c r="J112" s="1254"/>
      <c r="K112" s="1254"/>
      <c r="L112" s="1254"/>
      <c r="M112" s="1254"/>
      <c r="N112" s="1254"/>
      <c r="O112" s="1254"/>
      <c r="P112" s="1254"/>
      <c r="Q112" s="1254"/>
      <c r="R112" s="1282"/>
      <c r="S112" s="2318">
        <f>S113</f>
        <v>0</v>
      </c>
      <c r="U112" s="1254" t="str">
        <f t="shared" si="16"/>
        <v/>
      </c>
      <c r="V112" s="2784"/>
      <c r="W112" s="2784"/>
      <c r="X112" s="2784"/>
      <c r="Y112" s="2784"/>
      <c r="Z112" s="2784"/>
      <c r="AA112" s="2784"/>
      <c r="AB112" s="2784"/>
      <c r="AC112" s="2784"/>
      <c r="AD112" s="2784"/>
      <c r="AE112" s="2784"/>
      <c r="AF112" s="2784">
        <f>IF(ISNUMBER(SEARCH("&gt;",D112)),0,COUNTIF(Psiquicos!$AD$11:$AH$64,D112))</f>
        <v>0</v>
      </c>
      <c r="AG112" s="1254" t="str">
        <f>IF(AF112=0,"",VLOOKUP(D112,Psiquicos!$AD$11:$AK$64,8,FALSE))</f>
        <v/>
      </c>
      <c r="AH112" s="5163"/>
      <c r="AI112" s="2946" t="s">
        <v>400</v>
      </c>
    </row>
    <row r="113" spans="1:35" ht="12.75" customHeight="1" x14ac:dyDescent="0.2">
      <c r="A113" s="2322">
        <v>113</v>
      </c>
      <c r="B113" s="2314">
        <f>IF(OR(S113=0),0,SUM($S$6:S113))</f>
        <v>0</v>
      </c>
      <c r="C113" s="1262"/>
      <c r="D113" s="1263" t="s">
        <v>401</v>
      </c>
      <c r="E113" s="1283" t="s">
        <v>292</v>
      </c>
      <c r="F113" s="1255">
        <v>1</v>
      </c>
      <c r="G113" s="1255" t="s">
        <v>2234</v>
      </c>
      <c r="H113" s="1256" t="s">
        <v>1918</v>
      </c>
      <c r="I113" s="1254" t="s">
        <v>8204</v>
      </c>
      <c r="J113" s="1254" t="s">
        <v>8168</v>
      </c>
      <c r="K113" s="1254" t="s">
        <v>8169</v>
      </c>
      <c r="L113" s="1254" t="s">
        <v>8353</v>
      </c>
      <c r="M113" s="1254" t="s">
        <v>8572</v>
      </c>
      <c r="N113" s="1254" t="s">
        <v>8354</v>
      </c>
      <c r="O113" s="1254" t="s">
        <v>8573</v>
      </c>
      <c r="P113" s="1254" t="s">
        <v>8574</v>
      </c>
      <c r="Q113" s="1254" t="s">
        <v>8575</v>
      </c>
      <c r="R113" s="1282" t="s">
        <v>8576</v>
      </c>
      <c r="S113" s="2316">
        <f>IF(COUNTIF(Psiquicos!$C$25:$E$36,E113)=0,0,1)</f>
        <v>0</v>
      </c>
      <c r="U113" s="1254" t="str">
        <f t="shared" si="16"/>
        <v/>
      </c>
      <c r="V113" s="2784"/>
      <c r="W113" s="2784"/>
      <c r="X113" s="2784"/>
      <c r="Y113" s="2784"/>
      <c r="Z113" s="2784"/>
      <c r="AA113" s="2784"/>
      <c r="AB113" s="2784"/>
      <c r="AC113" s="2784"/>
      <c r="AD113" s="2784"/>
      <c r="AE113" s="2784"/>
      <c r="AF113" s="2784">
        <f>IF(ISNUMBER(SEARCH("&gt;",D113)),0,COUNTIF(Psiquicos!$AD$11:$AH$64,D113))</f>
        <v>0</v>
      </c>
      <c r="AG113" s="1254" t="str">
        <f>IF(AF113=0,"",VLOOKUP(D113,Psiquicos!$AD$11:$AK$64,8,FALSE))</f>
        <v/>
      </c>
      <c r="AH113" s="5163"/>
      <c r="AI113" s="2946" t="s">
        <v>401</v>
      </c>
    </row>
    <row r="114" spans="1:35" ht="12.75" customHeight="1" x14ac:dyDescent="0.2">
      <c r="A114" s="2322">
        <v>114</v>
      </c>
      <c r="B114" s="2314">
        <f>IF(OR(S114=0),0,SUM($S$6:S114))</f>
        <v>0</v>
      </c>
      <c r="C114" s="1262"/>
      <c r="D114" s="1263" t="s">
        <v>402</v>
      </c>
      <c r="E114" s="1283" t="s">
        <v>292</v>
      </c>
      <c r="F114" s="1255">
        <v>1</v>
      </c>
      <c r="G114" s="1255" t="s">
        <v>3696</v>
      </c>
      <c r="H114" s="1256" t="s">
        <v>1918</v>
      </c>
      <c r="I114" s="1254" t="s">
        <v>8168</v>
      </c>
      <c r="J114" s="1254" t="s">
        <v>8169</v>
      </c>
      <c r="K114" s="1254" t="s">
        <v>5642</v>
      </c>
      <c r="L114" s="1254" t="s">
        <v>7090</v>
      </c>
      <c r="M114" s="1254" t="s">
        <v>5643</v>
      </c>
      <c r="N114" s="1254" t="s">
        <v>8302</v>
      </c>
      <c r="O114" s="1254" t="s">
        <v>5644</v>
      </c>
      <c r="P114" s="1254" t="s">
        <v>8303</v>
      </c>
      <c r="Q114" s="1254" t="s">
        <v>8304</v>
      </c>
      <c r="R114" s="1254" t="s">
        <v>5645</v>
      </c>
      <c r="S114" s="2316">
        <f>IF(COUNTIF(Psiquicos!$C$25:$E$36,E114)=0,0,1)</f>
        <v>0</v>
      </c>
      <c r="U114" s="1254" t="str">
        <f t="shared" si="16"/>
        <v>MED</v>
      </c>
      <c r="V114" s="2784"/>
      <c r="W114" s="2784"/>
      <c r="X114" s="2784"/>
      <c r="Y114" s="2784"/>
      <c r="Z114" s="2784"/>
      <c r="AA114" s="2784"/>
      <c r="AB114" s="2784"/>
      <c r="AC114" s="2784"/>
      <c r="AD114" s="2784"/>
      <c r="AE114" s="2784"/>
      <c r="AF114" s="2784">
        <f>IF(ISNUMBER(SEARCH("&gt;",D114)),0,COUNTIF(Psiquicos!$AD$11:$AH$64,D114))</f>
        <v>0</v>
      </c>
      <c r="AG114" s="1254" t="str">
        <f>IF(AF114=0,"",VLOOKUP(D114,Psiquicos!$AD$11:$AK$64,8,FALSE))</f>
        <v/>
      </c>
      <c r="AH114" s="5163"/>
      <c r="AI114" s="2946" t="s">
        <v>402</v>
      </c>
    </row>
    <row r="115" spans="1:35" ht="12.75" customHeight="1" x14ac:dyDescent="0.2">
      <c r="A115" s="2322">
        <v>115</v>
      </c>
      <c r="B115" s="2314">
        <f>IF(OR(S115=0),0,SUM($S$6:S115))</f>
        <v>0</v>
      </c>
      <c r="C115" s="1262"/>
      <c r="D115" s="1263" t="s">
        <v>403</v>
      </c>
      <c r="E115" s="1283" t="s">
        <v>292</v>
      </c>
      <c r="F115" s="1255">
        <v>1</v>
      </c>
      <c r="G115" s="1255" t="s">
        <v>3696</v>
      </c>
      <c r="H115" s="1256" t="s">
        <v>1918</v>
      </c>
      <c r="I115" s="1254" t="s">
        <v>8168</v>
      </c>
      <c r="J115" s="1254" t="s">
        <v>8169</v>
      </c>
      <c r="K115" s="1254" t="s">
        <v>8577</v>
      </c>
      <c r="L115" s="1254" t="s">
        <v>8578</v>
      </c>
      <c r="M115" s="1254" t="s">
        <v>8579</v>
      </c>
      <c r="N115" s="1254" t="s">
        <v>8580</v>
      </c>
      <c r="O115" s="1254" t="s">
        <v>8581</v>
      </c>
      <c r="P115" s="1254" t="s">
        <v>8582</v>
      </c>
      <c r="Q115" s="1254" t="s">
        <v>8583</v>
      </c>
      <c r="R115" s="1254" t="s">
        <v>8584</v>
      </c>
      <c r="S115" s="2316">
        <f>IF(COUNTIF(Psiquicos!$C$25:$E$36,E115)=0,0,1)</f>
        <v>0</v>
      </c>
      <c r="U115" s="1254" t="str">
        <f t="shared" si="16"/>
        <v>MED</v>
      </c>
      <c r="V115" s="2784"/>
      <c r="W115" s="2784"/>
      <c r="X115" s="2784"/>
      <c r="Y115" s="2784"/>
      <c r="Z115" s="2784"/>
      <c r="AA115" s="2784"/>
      <c r="AB115" s="2784"/>
      <c r="AC115" s="2784"/>
      <c r="AD115" s="2784"/>
      <c r="AE115" s="2784"/>
      <c r="AF115" s="2784">
        <f>IF(ISNUMBER(SEARCH("&gt;",D115)),0,COUNTIF(Psiquicos!$AD$11:$AH$64,D115))</f>
        <v>0</v>
      </c>
      <c r="AG115" s="1254" t="str">
        <f>IF(AF115=0,"",VLOOKUP(D115,Psiquicos!$AD$11:$AK$64,8,FALSE))</f>
        <v/>
      </c>
      <c r="AH115" s="5163"/>
      <c r="AI115" s="2946" t="s">
        <v>403</v>
      </c>
    </row>
    <row r="116" spans="1:35" ht="12.75" customHeight="1" x14ac:dyDescent="0.2">
      <c r="A116" s="2322">
        <v>116</v>
      </c>
      <c r="B116" s="2314">
        <f>IF(OR(S116=0),0,SUM($S$6:S116))</f>
        <v>0</v>
      </c>
      <c r="C116" s="1262"/>
      <c r="D116" s="1263" t="s">
        <v>404</v>
      </c>
      <c r="E116" s="1283" t="s">
        <v>292</v>
      </c>
      <c r="F116" s="1255">
        <v>1</v>
      </c>
      <c r="G116" s="1255" t="s">
        <v>3696</v>
      </c>
      <c r="H116" s="1256" t="s">
        <v>1918</v>
      </c>
      <c r="I116" s="1254" t="s">
        <v>8204</v>
      </c>
      <c r="J116" s="1254" t="s">
        <v>8168</v>
      </c>
      <c r="K116" s="1254" t="s">
        <v>8169</v>
      </c>
      <c r="L116" s="1254" t="s">
        <v>8585</v>
      </c>
      <c r="M116" s="1254" t="s">
        <v>8586</v>
      </c>
      <c r="N116" s="1254" t="s">
        <v>8587</v>
      </c>
      <c r="O116" s="1254" t="s">
        <v>8588</v>
      </c>
      <c r="P116" s="1254" t="s">
        <v>8589</v>
      </c>
      <c r="Q116" s="1254" t="s">
        <v>8590</v>
      </c>
      <c r="R116" s="1282" t="s">
        <v>8591</v>
      </c>
      <c r="S116" s="2318">
        <f>S117</f>
        <v>0</v>
      </c>
      <c r="U116" s="1254" t="str">
        <f t="shared" si="16"/>
        <v>DIF</v>
      </c>
      <c r="V116" s="2784"/>
      <c r="W116" s="2784"/>
      <c r="X116" s="2784"/>
      <c r="Y116" s="2784"/>
      <c r="Z116" s="2784"/>
      <c r="AA116" s="2784"/>
      <c r="AB116" s="2784"/>
      <c r="AC116" s="2784"/>
      <c r="AD116" s="2784"/>
      <c r="AE116" s="2784"/>
      <c r="AF116" s="2784">
        <f>IF(ISNUMBER(SEARCH("&gt;",D116)),0,COUNTIF(Psiquicos!$AD$11:$AH$64,D116))</f>
        <v>0</v>
      </c>
      <c r="AG116" s="1254" t="str">
        <f>IF(AF116=0,"",VLOOKUP(D116,Psiquicos!$AD$11:$AK$64,8,FALSE))</f>
        <v/>
      </c>
      <c r="AH116" s="5163"/>
      <c r="AI116" s="2946" t="s">
        <v>404</v>
      </c>
    </row>
    <row r="117" spans="1:35" ht="12.75" customHeight="1" x14ac:dyDescent="0.2">
      <c r="A117" s="2322">
        <v>117</v>
      </c>
      <c r="B117" s="2314">
        <f>IF(OR(S117=0),0,SUM($S$6:S117))</f>
        <v>0</v>
      </c>
      <c r="C117" s="1262"/>
      <c r="D117" s="1263" t="s">
        <v>405</v>
      </c>
      <c r="E117" s="1283" t="s">
        <v>292</v>
      </c>
      <c r="F117" s="1255">
        <v>2</v>
      </c>
      <c r="G117" s="1255" t="s">
        <v>3696</v>
      </c>
      <c r="H117" s="1256" t="s">
        <v>1919</v>
      </c>
      <c r="I117" s="1254" t="s">
        <v>8204</v>
      </c>
      <c r="J117" s="1254" t="s">
        <v>8168</v>
      </c>
      <c r="K117" s="1254" t="s">
        <v>8169</v>
      </c>
      <c r="L117" s="1254" t="s">
        <v>8366</v>
      </c>
      <c r="M117" s="1254" t="s">
        <v>8367</v>
      </c>
      <c r="N117" s="1254" t="s">
        <v>8368</v>
      </c>
      <c r="O117" s="1254" t="s">
        <v>8592</v>
      </c>
      <c r="P117" s="1254" t="s">
        <v>8593</v>
      </c>
      <c r="Q117" s="1254" t="s">
        <v>8594</v>
      </c>
      <c r="R117" s="1254" t="s">
        <v>8595</v>
      </c>
      <c r="S117" s="2316">
        <f>IF(COUNTIF(Psiquicos!$C$25:$E$36,E117)=0,0,1)</f>
        <v>0</v>
      </c>
      <c r="U117" s="1254" t="str">
        <f t="shared" si="16"/>
        <v>DIF</v>
      </c>
      <c r="V117" s="2784"/>
      <c r="W117" s="2784"/>
      <c r="X117" s="2784"/>
      <c r="Y117" s="2784"/>
      <c r="Z117" s="2784"/>
      <c r="AA117" s="2784"/>
      <c r="AB117" s="2784"/>
      <c r="AC117" s="2784"/>
      <c r="AD117" s="2784"/>
      <c r="AE117" s="2784"/>
      <c r="AF117" s="2784">
        <f>IF(ISNUMBER(SEARCH("&gt;",D117)),0,COUNTIF(Psiquicos!$AD$11:$AH$64,D117))</f>
        <v>0</v>
      </c>
      <c r="AG117" s="1254" t="str">
        <f>IF(AF117=0,"",VLOOKUP(D117,Psiquicos!$AD$11:$AK$64,8,FALSE))</f>
        <v/>
      </c>
      <c r="AH117" s="5163"/>
      <c r="AI117" s="2946" t="s">
        <v>405</v>
      </c>
    </row>
    <row r="118" spans="1:35" ht="12.75" customHeight="1" x14ac:dyDescent="0.2">
      <c r="A118" s="2322">
        <v>118</v>
      </c>
      <c r="B118" s="2314">
        <f>IF(OR(S118=0),0,SUM($S$6:S118))</f>
        <v>0</v>
      </c>
      <c r="C118" s="1262"/>
      <c r="D118" s="1263" t="s">
        <v>406</v>
      </c>
      <c r="E118" s="1283" t="s">
        <v>292</v>
      </c>
      <c r="F118" s="1255">
        <v>2</v>
      </c>
      <c r="G118" s="1255" t="s">
        <v>3696</v>
      </c>
      <c r="H118" s="1256" t="s">
        <v>1918</v>
      </c>
      <c r="I118" s="1254" t="s">
        <v>8204</v>
      </c>
      <c r="J118" s="1254" t="s">
        <v>8168</v>
      </c>
      <c r="K118" s="1254" t="s">
        <v>8169</v>
      </c>
      <c r="L118" s="1254" t="s">
        <v>8596</v>
      </c>
      <c r="M118" s="1254" t="s">
        <v>8597</v>
      </c>
      <c r="N118" s="1254" t="s">
        <v>8598</v>
      </c>
      <c r="O118" s="1254" t="s">
        <v>8599</v>
      </c>
      <c r="P118" s="1254" t="s">
        <v>8600</v>
      </c>
      <c r="Q118" s="1254" t="s">
        <v>8601</v>
      </c>
      <c r="R118" s="1254" t="s">
        <v>8602</v>
      </c>
      <c r="S118" s="2316">
        <f>IF(COUNTIF(Psiquicos!$C$25:$E$36,E118)=0,0,1)</f>
        <v>0</v>
      </c>
      <c r="U118" s="1254" t="str">
        <f t="shared" si="16"/>
        <v>DIF</v>
      </c>
      <c r="V118" s="2784"/>
      <c r="W118" s="2784"/>
      <c r="X118" s="2784"/>
      <c r="Y118" s="2784"/>
      <c r="Z118" s="2784"/>
      <c r="AA118" s="2784"/>
      <c r="AB118" s="2784"/>
      <c r="AC118" s="2784"/>
      <c r="AD118" s="2784"/>
      <c r="AE118" s="2784"/>
      <c r="AF118" s="2784">
        <f>IF(ISNUMBER(SEARCH("&gt;",D118)),0,COUNTIF(Psiquicos!$AD$11:$AH$64,D118))</f>
        <v>0</v>
      </c>
      <c r="AG118" s="1254" t="str">
        <f>IF(AF118=0,"",VLOOKUP(D118,Psiquicos!$AD$11:$AK$64,8,FALSE))</f>
        <v/>
      </c>
      <c r="AH118" s="5163"/>
      <c r="AI118" s="2946" t="s">
        <v>406</v>
      </c>
    </row>
    <row r="119" spans="1:35" ht="12.75" customHeight="1" x14ac:dyDescent="0.2">
      <c r="A119" s="2322">
        <v>119</v>
      </c>
      <c r="B119" s="2314">
        <f>IF(OR(S119=0),0,SUM($S$6:S119))</f>
        <v>0</v>
      </c>
      <c r="C119" s="1262"/>
      <c r="D119" s="1263" t="s">
        <v>407</v>
      </c>
      <c r="E119" s="1283" t="s">
        <v>292</v>
      </c>
      <c r="F119" s="1255">
        <v>2</v>
      </c>
      <c r="G119" s="1255" t="s">
        <v>2234</v>
      </c>
      <c r="H119" s="1256" t="s">
        <v>1918</v>
      </c>
      <c r="I119" s="1254" t="s">
        <v>8204</v>
      </c>
      <c r="J119" s="1254" t="s">
        <v>8168</v>
      </c>
      <c r="K119" s="1254" t="s">
        <v>8169</v>
      </c>
      <c r="L119" s="1254" t="s">
        <v>7236</v>
      </c>
      <c r="M119" s="1254" t="s">
        <v>6958</v>
      </c>
      <c r="N119" s="1254" t="s">
        <v>5510</v>
      </c>
      <c r="O119" s="1254" t="s">
        <v>6959</v>
      </c>
      <c r="P119" s="1254" t="s">
        <v>8603</v>
      </c>
      <c r="Q119" s="1254" t="s">
        <v>6960</v>
      </c>
      <c r="R119" s="1254" t="s">
        <v>5895</v>
      </c>
      <c r="S119" s="2316">
        <f>IF(COUNTIF(Psiquicos!$C$25:$E$36,E119)=0,0,1)</f>
        <v>0</v>
      </c>
      <c r="U119" s="1254" t="str">
        <f t="shared" si="16"/>
        <v/>
      </c>
      <c r="V119" s="2784"/>
      <c r="W119" s="2784"/>
      <c r="X119" s="2784"/>
      <c r="Y119" s="2784"/>
      <c r="Z119" s="2784"/>
      <c r="AA119" s="2784"/>
      <c r="AB119" s="2784"/>
      <c r="AC119" s="2784"/>
      <c r="AD119" s="2784"/>
      <c r="AE119" s="2784"/>
      <c r="AF119" s="2784">
        <f>IF(ISNUMBER(SEARCH("&gt;",D119)),0,COUNTIF(Psiquicos!$AD$11:$AH$64,D119))</f>
        <v>0</v>
      </c>
      <c r="AG119" s="1254" t="str">
        <f>IF(AF119=0,"",VLOOKUP(D119,Psiquicos!$AD$11:$AK$64,8,FALSE))</f>
        <v/>
      </c>
      <c r="AH119" s="5163"/>
      <c r="AI119" s="2946" t="s">
        <v>407</v>
      </c>
    </row>
    <row r="120" spans="1:35" ht="12.75" customHeight="1" x14ac:dyDescent="0.2">
      <c r="A120" s="2322">
        <v>120</v>
      </c>
      <c r="B120" s="2314">
        <f>IF(OR(S120=0),0,SUM($S$6:S120))</f>
        <v>0</v>
      </c>
      <c r="C120" s="1262"/>
      <c r="D120" s="1263" t="s">
        <v>408</v>
      </c>
      <c r="E120" s="1283" t="s">
        <v>292</v>
      </c>
      <c r="F120" s="1255">
        <v>3</v>
      </c>
      <c r="G120" s="1255" t="s">
        <v>2234</v>
      </c>
      <c r="H120" s="1256" t="s">
        <v>1918</v>
      </c>
      <c r="I120" s="1254" t="s">
        <v>8219</v>
      </c>
      <c r="J120" s="1254" t="s">
        <v>8604</v>
      </c>
      <c r="K120" s="1254" t="s">
        <v>8206</v>
      </c>
      <c r="L120" s="1254" t="s">
        <v>8205</v>
      </c>
      <c r="M120" s="1254" t="s">
        <v>8204</v>
      </c>
      <c r="N120" s="1254" t="s">
        <v>8168</v>
      </c>
      <c r="O120" s="1266" t="s">
        <v>8605</v>
      </c>
      <c r="P120" s="1266" t="s">
        <v>8606</v>
      </c>
      <c r="Q120" s="1266" t="s">
        <v>8607</v>
      </c>
      <c r="R120" s="1266" t="s">
        <v>8608</v>
      </c>
      <c r="S120" s="2316">
        <f>IF(COUNTIF(Psiquicos!$C$25:$E$36,E120)=0,0,1)</f>
        <v>0</v>
      </c>
      <c r="U120" s="1254" t="str">
        <f t="shared" si="16"/>
        <v/>
      </c>
      <c r="V120" s="2784"/>
      <c r="W120" s="2784"/>
      <c r="X120" s="2784"/>
      <c r="Y120" s="2784"/>
      <c r="Z120" s="2784"/>
      <c r="AA120" s="2784"/>
      <c r="AB120" s="2784"/>
      <c r="AC120" s="2784"/>
      <c r="AD120" s="2784"/>
      <c r="AE120" s="2784"/>
      <c r="AF120" s="2784">
        <f>IF(ISNUMBER(SEARCH("&gt;",D120)),0,COUNTIF(Psiquicos!$AD$11:$AH$64,D120))</f>
        <v>0</v>
      </c>
      <c r="AG120" s="1254" t="str">
        <f>IF(AF120=0,"",VLOOKUP(D120,Psiquicos!$AD$11:$AK$64,8,FALSE))</f>
        <v/>
      </c>
      <c r="AH120" s="5163"/>
      <c r="AI120" s="2946" t="s">
        <v>408</v>
      </c>
    </row>
    <row r="121" spans="1:35" ht="12.75" customHeight="1" x14ac:dyDescent="0.2">
      <c r="A121" s="2322">
        <v>121</v>
      </c>
      <c r="B121" s="2314">
        <f>IF(OR(S121=0),0,SUM($S$6:S121))</f>
        <v>0</v>
      </c>
      <c r="C121" s="1262"/>
      <c r="D121" s="1263" t="s">
        <v>409</v>
      </c>
      <c r="E121" s="1283" t="s">
        <v>292</v>
      </c>
      <c r="F121" s="1255">
        <v>3</v>
      </c>
      <c r="G121" s="1255" t="s">
        <v>2234</v>
      </c>
      <c r="H121" s="1256" t="s">
        <v>1918</v>
      </c>
      <c r="I121" s="1254" t="s">
        <v>8219</v>
      </c>
      <c r="J121" s="1254" t="s">
        <v>8604</v>
      </c>
      <c r="K121" s="1254" t="s">
        <v>8206</v>
      </c>
      <c r="L121" s="1254" t="s">
        <v>8205</v>
      </c>
      <c r="M121" s="1254" t="s">
        <v>8204</v>
      </c>
      <c r="N121" s="1254" t="s">
        <v>8168</v>
      </c>
      <c r="O121" s="1266" t="s">
        <v>8609</v>
      </c>
      <c r="P121" s="1266" t="s">
        <v>8610</v>
      </c>
      <c r="Q121" s="1254" t="s">
        <v>8611</v>
      </c>
      <c r="R121" s="1254" t="s">
        <v>8612</v>
      </c>
      <c r="S121" s="2316">
        <f>IF(COUNTIF(Psiquicos!$C$25:$E$36,E121)=0,0,1)</f>
        <v>0</v>
      </c>
      <c r="U121" s="1254" t="str">
        <f t="shared" si="16"/>
        <v/>
      </c>
      <c r="V121" s="2784"/>
      <c r="W121" s="2784"/>
      <c r="X121" s="2784"/>
      <c r="Y121" s="2784"/>
      <c r="Z121" s="2784"/>
      <c r="AA121" s="2784"/>
      <c r="AB121" s="2784"/>
      <c r="AC121" s="2784"/>
      <c r="AD121" s="2784"/>
      <c r="AE121" s="2784"/>
      <c r="AF121" s="2784">
        <f>IF(ISNUMBER(SEARCH("&gt;",D121)),0,COUNTIF(Psiquicos!$AD$11:$AH$64,D121))</f>
        <v>0</v>
      </c>
      <c r="AG121" s="1254" t="str">
        <f>IF(AF121=0,"",VLOOKUP(D121,Psiquicos!$AD$11:$AK$64,8,FALSE))</f>
        <v/>
      </c>
      <c r="AH121" s="5163"/>
      <c r="AI121" s="2946" t="s">
        <v>409</v>
      </c>
    </row>
    <row r="122" spans="1:35" ht="12.75" customHeight="1" x14ac:dyDescent="0.2">
      <c r="A122" s="2322">
        <v>122</v>
      </c>
      <c r="B122" s="2314">
        <f>IF(OR(S122=0),0,SUM($S$6:S122))</f>
        <v>0</v>
      </c>
      <c r="C122" s="1262"/>
      <c r="D122" s="1263" t="s">
        <v>410</v>
      </c>
      <c r="E122" s="1283"/>
      <c r="F122" s="1255"/>
      <c r="G122" s="1255"/>
      <c r="H122" s="1256"/>
      <c r="I122" s="1254"/>
      <c r="J122" s="1254"/>
      <c r="K122" s="1254"/>
      <c r="L122" s="1254"/>
      <c r="M122" s="1254"/>
      <c r="N122" s="1254"/>
      <c r="O122" s="1254"/>
      <c r="P122" s="1254"/>
      <c r="Q122" s="1254"/>
      <c r="R122" s="1282"/>
      <c r="S122" s="2318">
        <f>S123</f>
        <v>0</v>
      </c>
      <c r="U122" s="1254" t="str">
        <f t="shared" si="16"/>
        <v/>
      </c>
      <c r="V122" s="2784"/>
      <c r="W122" s="2784"/>
      <c r="X122" s="2784"/>
      <c r="Y122" s="2784"/>
      <c r="Z122" s="2784"/>
      <c r="AA122" s="2784"/>
      <c r="AB122" s="2784"/>
      <c r="AC122" s="2784"/>
      <c r="AD122" s="2784"/>
      <c r="AE122" s="2784"/>
      <c r="AF122" s="2784">
        <f>IF(ISNUMBER(SEARCH("&gt;",D122)),0,COUNTIF(Psiquicos!$AD$11:$AH$64,D122))</f>
        <v>0</v>
      </c>
      <c r="AG122" s="1254" t="str">
        <f>IF(AF122=0,"",VLOOKUP(D122,Psiquicos!$AD$11:$AK$64,8,FALSE))</f>
        <v/>
      </c>
      <c r="AH122" s="5163"/>
      <c r="AI122" s="2946" t="s">
        <v>410</v>
      </c>
    </row>
    <row r="123" spans="1:35" ht="12.75" customHeight="1" x14ac:dyDescent="0.2">
      <c r="A123" s="2322">
        <v>123</v>
      </c>
      <c r="B123" s="2314">
        <f>IF(OR(S123=0),0,SUM($S$6:S123))</f>
        <v>0</v>
      </c>
      <c r="C123" s="1262"/>
      <c r="D123" s="1263" t="s">
        <v>411</v>
      </c>
      <c r="E123" s="1283" t="s">
        <v>294</v>
      </c>
      <c r="F123" s="1255">
        <v>1</v>
      </c>
      <c r="G123" s="1255" t="s">
        <v>2234</v>
      </c>
      <c r="H123" s="1256" t="s">
        <v>1918</v>
      </c>
      <c r="I123" s="1254" t="s">
        <v>8168</v>
      </c>
      <c r="J123" s="1254" t="s">
        <v>8169</v>
      </c>
      <c r="K123" s="1254" t="s">
        <v>8613</v>
      </c>
      <c r="L123" s="1254" t="s">
        <v>8614</v>
      </c>
      <c r="M123" s="1254" t="s">
        <v>8615</v>
      </c>
      <c r="N123" s="1254" t="s">
        <v>8616</v>
      </c>
      <c r="O123" s="1254" t="s">
        <v>8617</v>
      </c>
      <c r="P123" s="1254" t="s">
        <v>8618</v>
      </c>
      <c r="Q123" s="1254" t="s">
        <v>8619</v>
      </c>
      <c r="R123" s="1254" t="s">
        <v>8620</v>
      </c>
      <c r="S123" s="2316">
        <f>IF(COUNTIF(Psiquicos!$C$25:$E$36,E123)=0,0,1)</f>
        <v>0</v>
      </c>
      <c r="U123" s="1254" t="str">
        <f t="shared" si="16"/>
        <v/>
      </c>
      <c r="V123" s="2784"/>
      <c r="W123" s="2784"/>
      <c r="X123" s="2784"/>
      <c r="Y123" s="2784"/>
      <c r="Z123" s="2784"/>
      <c r="AA123" s="2784"/>
      <c r="AB123" s="2784"/>
      <c r="AC123" s="2784"/>
      <c r="AD123" s="2784"/>
      <c r="AE123" s="2784"/>
      <c r="AF123" s="2784">
        <f>IF(ISNUMBER(SEARCH("&gt;",D123)),0,COUNTIF(Psiquicos!$AD$11:$AH$64,D123))</f>
        <v>0</v>
      </c>
      <c r="AG123" s="1254" t="str">
        <f>IF(AF123=0,"",VLOOKUP(D123,Psiquicos!$AD$11:$AK$64,8,FALSE))</f>
        <v/>
      </c>
      <c r="AH123" s="5163"/>
      <c r="AI123" s="2946" t="s">
        <v>411</v>
      </c>
    </row>
    <row r="124" spans="1:35" ht="12.75" customHeight="1" x14ac:dyDescent="0.2">
      <c r="A124" s="2322">
        <v>124</v>
      </c>
      <c r="B124" s="2314">
        <f>IF(OR(S124=0),0,SUM($S$6:S124))</f>
        <v>0</v>
      </c>
      <c r="C124" s="1262"/>
      <c r="D124" s="1263" t="s">
        <v>412</v>
      </c>
      <c r="E124" s="1283" t="s">
        <v>294</v>
      </c>
      <c r="F124" s="1255">
        <v>1</v>
      </c>
      <c r="G124" s="1255" t="s">
        <v>2234</v>
      </c>
      <c r="H124" s="1256" t="s">
        <v>1918</v>
      </c>
      <c r="I124" s="1254" t="s">
        <v>8205</v>
      </c>
      <c r="J124" s="1254" t="s">
        <v>8204</v>
      </c>
      <c r="K124" s="1254" t="s">
        <v>8168</v>
      </c>
      <c r="L124" s="1254" t="s">
        <v>8621</v>
      </c>
      <c r="M124" s="1254" t="s">
        <v>8622</v>
      </c>
      <c r="N124" s="1254" t="s">
        <v>8221</v>
      </c>
      <c r="O124" s="1254" t="s">
        <v>8623</v>
      </c>
      <c r="P124" s="1254" t="s">
        <v>8551</v>
      </c>
      <c r="Q124" s="1254" t="s">
        <v>8178</v>
      </c>
      <c r="R124" s="1254" t="s">
        <v>8624</v>
      </c>
      <c r="S124" s="2316">
        <f>IF(COUNTIF(Psiquicos!$C$25:$E$36,E124)=0,0,1)</f>
        <v>0</v>
      </c>
      <c r="U124" s="1254" t="str">
        <f t="shared" si="16"/>
        <v/>
      </c>
      <c r="V124" s="2784"/>
      <c r="W124" s="2784"/>
      <c r="X124" s="2784"/>
      <c r="Y124" s="2784"/>
      <c r="Z124" s="2784"/>
      <c r="AA124" s="2784"/>
      <c r="AB124" s="2784"/>
      <c r="AC124" s="2784"/>
      <c r="AD124" s="2784"/>
      <c r="AE124" s="2784"/>
      <c r="AF124" s="2784">
        <f>IF(ISNUMBER(SEARCH("&gt;",D124)),0,COUNTIF(Psiquicos!$AD$11:$AH$64,D124))</f>
        <v>0</v>
      </c>
      <c r="AG124" s="1254" t="str">
        <f>IF(AF124=0,"",VLOOKUP(D124,Psiquicos!$AD$11:$AK$64,8,FALSE))</f>
        <v/>
      </c>
      <c r="AH124" s="5163"/>
      <c r="AI124" s="2946" t="s">
        <v>412</v>
      </c>
    </row>
    <row r="125" spans="1:35" ht="12.75" customHeight="1" x14ac:dyDescent="0.2">
      <c r="A125" s="2322">
        <v>125</v>
      </c>
      <c r="B125" s="2314">
        <f>IF(OR(S125=0),0,SUM($S$6:S125))</f>
        <v>0</v>
      </c>
      <c r="C125" s="1262"/>
      <c r="D125" s="1263" t="s">
        <v>413</v>
      </c>
      <c r="E125" s="1283" t="s">
        <v>294</v>
      </c>
      <c r="F125" s="1255">
        <v>1</v>
      </c>
      <c r="G125" s="1255" t="s">
        <v>3696</v>
      </c>
      <c r="H125" s="1256" t="s">
        <v>1919</v>
      </c>
      <c r="I125" s="1254" t="s">
        <v>8205</v>
      </c>
      <c r="J125" s="1254" t="s">
        <v>8204</v>
      </c>
      <c r="K125" s="1254" t="s">
        <v>8168</v>
      </c>
      <c r="L125" s="1254" t="s">
        <v>8625</v>
      </c>
      <c r="M125" s="1254" t="s">
        <v>8626</v>
      </c>
      <c r="N125" s="1254" t="s">
        <v>8627</v>
      </c>
      <c r="O125" s="1254" t="s">
        <v>8628</v>
      </c>
      <c r="P125" s="1254" t="s">
        <v>8629</v>
      </c>
      <c r="Q125" s="1254" t="s">
        <v>8630</v>
      </c>
      <c r="R125" s="1254" t="s">
        <v>8631</v>
      </c>
      <c r="S125" s="2316">
        <f>IF(COUNTIF(Psiquicos!$C$25:$E$36,E125)=0,0,1)</f>
        <v>0</v>
      </c>
      <c r="U125" s="1254" t="str">
        <f t="shared" si="16"/>
        <v>DIF</v>
      </c>
      <c r="V125" s="2784"/>
      <c r="W125" s="2784"/>
      <c r="X125" s="2784"/>
      <c r="Y125" s="2784"/>
      <c r="Z125" s="2784"/>
      <c r="AA125" s="2784"/>
      <c r="AB125" s="2784"/>
      <c r="AC125" s="2784"/>
      <c r="AD125" s="2784"/>
      <c r="AE125" s="2784"/>
      <c r="AF125" s="2784">
        <f>IF(ISNUMBER(SEARCH("&gt;",D125)),0,COUNTIF(Psiquicos!$AD$11:$AH$64,D125))</f>
        <v>0</v>
      </c>
      <c r="AG125" s="1254" t="str">
        <f>IF(AF125=0,"",VLOOKUP(D125,Psiquicos!$AD$11:$AK$64,8,FALSE))</f>
        <v/>
      </c>
      <c r="AH125" s="5163"/>
      <c r="AI125" s="2946" t="s">
        <v>413</v>
      </c>
    </row>
    <row r="126" spans="1:35" ht="12.75" customHeight="1" x14ac:dyDescent="0.2">
      <c r="A126" s="2322">
        <v>126</v>
      </c>
      <c r="B126" s="2314">
        <f>IF(OR(S126=0),0,SUM($S$6:S126))</f>
        <v>0</v>
      </c>
      <c r="C126" s="1262"/>
      <c r="D126" s="1263" t="s">
        <v>414</v>
      </c>
      <c r="E126" s="1283" t="s">
        <v>294</v>
      </c>
      <c r="F126" s="1255">
        <v>2</v>
      </c>
      <c r="G126" s="1255" t="s">
        <v>2234</v>
      </c>
      <c r="H126" s="1256" t="s">
        <v>1918</v>
      </c>
      <c r="I126" s="1254" t="s">
        <v>8219</v>
      </c>
      <c r="J126" s="1254" t="s">
        <v>8206</v>
      </c>
      <c r="K126" s="1254" t="s">
        <v>8205</v>
      </c>
      <c r="L126" s="1254" t="s">
        <v>8204</v>
      </c>
      <c r="M126" s="1254" t="s">
        <v>8168</v>
      </c>
      <c r="N126" s="1254" t="s">
        <v>8536</v>
      </c>
      <c r="O126" s="1254" t="s">
        <v>8181</v>
      </c>
      <c r="P126" s="1254" t="s">
        <v>8182</v>
      </c>
      <c r="Q126" s="1254" t="s">
        <v>8183</v>
      </c>
      <c r="R126" s="1282" t="s">
        <v>8185</v>
      </c>
      <c r="S126" s="2316">
        <f>IF(COUNTIF(Psiquicos!$C$25:$E$36,E126)=0,0,1)</f>
        <v>0</v>
      </c>
      <c r="U126" s="1254" t="str">
        <f t="shared" si="16"/>
        <v/>
      </c>
      <c r="V126" s="2784"/>
      <c r="W126" s="2784"/>
      <c r="X126" s="2784"/>
      <c r="Y126" s="2784"/>
      <c r="Z126" s="2784"/>
      <c r="AA126" s="2784"/>
      <c r="AB126" s="2784"/>
      <c r="AC126" s="2784"/>
      <c r="AD126" s="2784"/>
      <c r="AE126" s="2784"/>
      <c r="AF126" s="2784">
        <f>IF(ISNUMBER(SEARCH("&gt;",D126)),0,COUNTIF(Psiquicos!$AD$11:$AH$64,D126))</f>
        <v>0</v>
      </c>
      <c r="AG126" s="1254" t="str">
        <f>IF(AF126=0,"",VLOOKUP(D126,Psiquicos!$AD$11:$AK$64,8,FALSE))</f>
        <v/>
      </c>
      <c r="AH126" s="5163"/>
      <c r="AI126" s="2946" t="s">
        <v>414</v>
      </c>
    </row>
    <row r="127" spans="1:35" ht="12.75" customHeight="1" x14ac:dyDescent="0.2">
      <c r="A127" s="2322">
        <v>127</v>
      </c>
      <c r="B127" s="2314">
        <f>IF(OR(S127=0),0,SUM($S$6:S127))</f>
        <v>0</v>
      </c>
      <c r="C127" s="1262"/>
      <c r="D127" s="1263" t="s">
        <v>415</v>
      </c>
      <c r="E127" s="1283" t="s">
        <v>294</v>
      </c>
      <c r="F127" s="1255">
        <v>3</v>
      </c>
      <c r="G127" s="1255" t="s">
        <v>3696</v>
      </c>
      <c r="H127" s="1256" t="s">
        <v>1918</v>
      </c>
      <c r="I127" s="1254" t="s">
        <v>8220</v>
      </c>
      <c r="J127" s="1254" t="s">
        <v>8219</v>
      </c>
      <c r="K127" s="1254" t="s">
        <v>8206</v>
      </c>
      <c r="L127" s="1254" t="s">
        <v>8205</v>
      </c>
      <c r="M127" s="1254" t="s">
        <v>8204</v>
      </c>
      <c r="N127" s="1254" t="s">
        <v>8632</v>
      </c>
      <c r="O127" s="1254" t="s">
        <v>8633</v>
      </c>
      <c r="P127" s="1254" t="s">
        <v>8634</v>
      </c>
      <c r="Q127" s="1254" t="s">
        <v>8635</v>
      </c>
      <c r="R127" s="1254" t="s">
        <v>8636</v>
      </c>
      <c r="S127" s="2316">
        <f>IF(COUNTIF(Psiquicos!$C$25:$E$36,E127)=0,0,1)</f>
        <v>0</v>
      </c>
      <c r="U127" s="1254" t="str">
        <f t="shared" si="16"/>
        <v>ABS</v>
      </c>
      <c r="V127" s="2784"/>
      <c r="W127" s="2784"/>
      <c r="X127" s="2784"/>
      <c r="Y127" s="2784"/>
      <c r="Z127" s="2784"/>
      <c r="AA127" s="2784"/>
      <c r="AB127" s="2784"/>
      <c r="AC127" s="2784"/>
      <c r="AD127" s="2784"/>
      <c r="AE127" s="2784"/>
      <c r="AF127" s="2784">
        <f>IF(ISNUMBER(SEARCH("&gt;",D127)),0,COUNTIF(Psiquicos!$AD$11:$AH$64,D127))</f>
        <v>0</v>
      </c>
      <c r="AG127" s="1254" t="str">
        <f>IF(AF127=0,"",VLOOKUP(D127,Psiquicos!$AD$11:$AK$64,8,FALSE))</f>
        <v/>
      </c>
      <c r="AH127" s="5163"/>
      <c r="AI127" s="2946" t="s">
        <v>415</v>
      </c>
    </row>
    <row r="128" spans="1:35" ht="12.75" customHeight="1" x14ac:dyDescent="0.2">
      <c r="A128" s="2322">
        <v>128</v>
      </c>
      <c r="B128" s="2314">
        <f>IF(OR(S128=0),0,SUM($S$6:S128))</f>
        <v>0</v>
      </c>
      <c r="C128" s="1262"/>
      <c r="D128" s="1263" t="s">
        <v>416</v>
      </c>
      <c r="E128" s="1283" t="s">
        <v>294</v>
      </c>
      <c r="F128" s="1255">
        <v>3</v>
      </c>
      <c r="G128" s="1255" t="s">
        <v>2234</v>
      </c>
      <c r="H128" s="1256" t="s">
        <v>1918</v>
      </c>
      <c r="I128" s="1254" t="s">
        <v>8293</v>
      </c>
      <c r="J128" s="1254" t="s">
        <v>8294</v>
      </c>
      <c r="K128" s="1254" t="s">
        <v>8220</v>
      </c>
      <c r="L128" s="1254" t="s">
        <v>8219</v>
      </c>
      <c r="M128" s="1254" t="s">
        <v>8206</v>
      </c>
      <c r="N128" s="1254" t="s">
        <v>8204</v>
      </c>
      <c r="O128" s="1254" t="s">
        <v>8637</v>
      </c>
      <c r="P128" s="1254" t="s">
        <v>8638</v>
      </c>
      <c r="Q128" s="1254" t="s">
        <v>8639</v>
      </c>
      <c r="R128" s="1254" t="s">
        <v>8640</v>
      </c>
      <c r="S128" s="2316">
        <f>IF(COUNTIF(Psiquicos!$C$25:$E$36,E128)=0,0,1)</f>
        <v>0</v>
      </c>
      <c r="U128" s="1254" t="str">
        <f t="shared" si="16"/>
        <v/>
      </c>
      <c r="V128" s="2784"/>
      <c r="W128" s="2784"/>
      <c r="X128" s="2784"/>
      <c r="Y128" s="2784"/>
      <c r="Z128" s="2784"/>
      <c r="AA128" s="2784"/>
      <c r="AB128" s="2784"/>
      <c r="AC128" s="2784"/>
      <c r="AD128" s="2784"/>
      <c r="AE128" s="2784"/>
      <c r="AF128" s="2784">
        <f>IF(ISNUMBER(SEARCH("&gt;",D128)),0,COUNTIF(Psiquicos!$AD$11:$AH$64,D128))</f>
        <v>0</v>
      </c>
      <c r="AG128" s="1254" t="str">
        <f>IF(AF128=0,"",VLOOKUP(D128,Psiquicos!$AD$11:$AK$64,8,FALSE))</f>
        <v/>
      </c>
      <c r="AH128" s="5163"/>
      <c r="AI128" s="2946" t="s">
        <v>416</v>
      </c>
    </row>
    <row r="129" spans="1:35" ht="12.75" customHeight="1" x14ac:dyDescent="0.2">
      <c r="A129" s="2322">
        <v>129</v>
      </c>
      <c r="B129" s="2314">
        <f>IF(OR(S129=0),0,SUM($S$6:S129))</f>
        <v>0</v>
      </c>
      <c r="C129" s="1262"/>
      <c r="D129" s="1263" t="s">
        <v>294</v>
      </c>
      <c r="E129" s="1283" t="s">
        <v>294</v>
      </c>
      <c r="F129" s="1255">
        <v>3</v>
      </c>
      <c r="G129" s="1255" t="s">
        <v>2234</v>
      </c>
      <c r="H129" s="1256" t="s">
        <v>1918</v>
      </c>
      <c r="I129" s="1254" t="s">
        <v>8219</v>
      </c>
      <c r="J129" s="1254" t="s">
        <v>8206</v>
      </c>
      <c r="K129" s="1254" t="s">
        <v>8205</v>
      </c>
      <c r="L129" s="1254" t="s">
        <v>8204</v>
      </c>
      <c r="M129" s="1254" t="s">
        <v>8168</v>
      </c>
      <c r="N129" s="1254" t="s">
        <v>8641</v>
      </c>
      <c r="O129" s="1254" t="s">
        <v>8642</v>
      </c>
      <c r="P129" s="1254" t="s">
        <v>8643</v>
      </c>
      <c r="Q129" s="1254" t="s">
        <v>8644</v>
      </c>
      <c r="R129" s="1254" t="s">
        <v>8645</v>
      </c>
      <c r="S129" s="2316">
        <f>IF(COUNTIF(Psiquicos!$C$25:$E$36,E129)=0,0,1)</f>
        <v>0</v>
      </c>
      <c r="U129" s="1254" t="str">
        <f t="shared" si="16"/>
        <v/>
      </c>
      <c r="V129" s="2784"/>
      <c r="W129" s="2784"/>
      <c r="X129" s="2784"/>
      <c r="Y129" s="2784"/>
      <c r="Z129" s="2784"/>
      <c r="AA129" s="2784"/>
      <c r="AB129" s="2784"/>
      <c r="AC129" s="2784"/>
      <c r="AD129" s="2784"/>
      <c r="AE129" s="2784"/>
      <c r="AF129" s="2784">
        <f>IF(ISNUMBER(SEARCH("&gt;",D129)),0,COUNTIF(Psiquicos!$AD$11:$AH$64,D129))</f>
        <v>0</v>
      </c>
      <c r="AG129" s="1254" t="str">
        <f>IF(AF129=0,"",VLOOKUP(D129,Psiquicos!$AD$11:$AK$64,8,FALSE))</f>
        <v/>
      </c>
      <c r="AH129" s="5163"/>
      <c r="AI129" s="2946" t="s">
        <v>294</v>
      </c>
    </row>
    <row r="130" spans="1:35" ht="12.75" customHeight="1" x14ac:dyDescent="0.2">
      <c r="A130" s="2322">
        <v>130</v>
      </c>
      <c r="B130" s="2314">
        <f>IF(OR(S130=0),0,SUM($S$6:S130))</f>
        <v>0</v>
      </c>
      <c r="C130" s="1262"/>
      <c r="D130" s="1263" t="s">
        <v>417</v>
      </c>
      <c r="E130" s="1283"/>
      <c r="F130" s="1255"/>
      <c r="G130" s="1255"/>
      <c r="H130" s="1256"/>
      <c r="I130" s="1254"/>
      <c r="J130" s="1254"/>
      <c r="K130" s="1254"/>
      <c r="L130" s="1254"/>
      <c r="M130" s="1254"/>
      <c r="N130" s="1254"/>
      <c r="O130" s="1254"/>
      <c r="P130" s="1254"/>
      <c r="Q130" s="1254"/>
      <c r="R130" s="1282"/>
      <c r="S130" s="2318">
        <f>S131</f>
        <v>0</v>
      </c>
      <c r="U130" s="1254" t="str">
        <f t="shared" si="16"/>
        <v/>
      </c>
      <c r="V130" s="2784"/>
      <c r="W130" s="2784"/>
      <c r="X130" s="2784"/>
      <c r="Y130" s="2784"/>
      <c r="Z130" s="2784"/>
      <c r="AA130" s="2784"/>
      <c r="AB130" s="2784"/>
      <c r="AC130" s="2784"/>
      <c r="AD130" s="2784"/>
      <c r="AE130" s="2784"/>
      <c r="AF130" s="2784">
        <f>IF(ISNUMBER(SEARCH("&gt;",D130)),0,COUNTIF(Psiquicos!$AD$11:$AH$64,D130))</f>
        <v>0</v>
      </c>
      <c r="AG130" s="1254" t="str">
        <f>IF(AF130=0,"",VLOOKUP(D130,Psiquicos!$AD$11:$AK$64,8,FALSE))</f>
        <v/>
      </c>
      <c r="AH130" s="5163"/>
      <c r="AI130" s="2946" t="s">
        <v>417</v>
      </c>
    </row>
    <row r="131" spans="1:35" ht="12.75" customHeight="1" x14ac:dyDescent="0.2">
      <c r="A131" s="2322">
        <v>131</v>
      </c>
      <c r="B131" s="2314">
        <f>IF(OR(S131=0),0,SUM($S$6:S131))</f>
        <v>0</v>
      </c>
      <c r="C131" s="1262"/>
      <c r="D131" s="1263" t="s">
        <v>418</v>
      </c>
      <c r="E131" s="1283" t="s">
        <v>2570</v>
      </c>
      <c r="F131" s="1255">
        <v>1</v>
      </c>
      <c r="G131" s="1255" t="s">
        <v>3696</v>
      </c>
      <c r="H131" s="1256" t="s">
        <v>1918</v>
      </c>
      <c r="I131" s="1254" t="s">
        <v>8204</v>
      </c>
      <c r="J131" s="1254" t="s">
        <v>8168</v>
      </c>
      <c r="K131" s="1254" t="s">
        <v>8169</v>
      </c>
      <c r="L131" s="1254" t="s">
        <v>8646</v>
      </c>
      <c r="M131" s="1254" t="s">
        <v>8647</v>
      </c>
      <c r="N131" s="1254" t="s">
        <v>8648</v>
      </c>
      <c r="O131" s="1254" t="s">
        <v>8649</v>
      </c>
      <c r="P131" s="1254" t="s">
        <v>8650</v>
      </c>
      <c r="Q131" s="1254" t="s">
        <v>8651</v>
      </c>
      <c r="R131" s="1254" t="s">
        <v>8652</v>
      </c>
      <c r="S131" s="2316">
        <f>IF(COUNTIF(Psiquicos!$C$25:$E$36,E131)=0,0,1)</f>
        <v>0</v>
      </c>
      <c r="U131" s="1254" t="str">
        <f t="shared" si="16"/>
        <v>DIF</v>
      </c>
      <c r="V131" s="2784"/>
      <c r="W131" s="2784"/>
      <c r="X131" s="2784"/>
      <c r="Y131" s="2784"/>
      <c r="Z131" s="2784"/>
      <c r="AA131" s="2784"/>
      <c r="AB131" s="2784"/>
      <c r="AC131" s="2784"/>
      <c r="AD131" s="2784"/>
      <c r="AE131" s="2784"/>
      <c r="AF131" s="2784">
        <f>IF(ISNUMBER(SEARCH("&gt;",D131)),0,COUNTIF(Psiquicos!$AD$11:$AH$64,D131))</f>
        <v>0</v>
      </c>
      <c r="AG131" s="1254" t="str">
        <f>IF(AF131=0,"",VLOOKUP(D131,Psiquicos!$AD$11:$AK$64,8,FALSE))</f>
        <v/>
      </c>
      <c r="AH131" s="5163"/>
      <c r="AI131" s="2946" t="s">
        <v>418</v>
      </c>
    </row>
    <row r="132" spans="1:35" ht="12.75" customHeight="1" x14ac:dyDescent="0.2">
      <c r="A132" s="2322">
        <v>132</v>
      </c>
      <c r="B132" s="2314">
        <f>IF(OR(S132=0),0,SUM($S$6:S132))</f>
        <v>0</v>
      </c>
      <c r="C132" s="1262"/>
      <c r="D132" s="1263" t="s">
        <v>419</v>
      </c>
      <c r="E132" s="1283" t="s">
        <v>2570</v>
      </c>
      <c r="F132" s="1255">
        <v>1</v>
      </c>
      <c r="G132" s="1255" t="s">
        <v>3696</v>
      </c>
      <c r="H132" s="1256" t="s">
        <v>1918</v>
      </c>
      <c r="I132" s="1254" t="s">
        <v>8168</v>
      </c>
      <c r="J132" s="1254" t="s">
        <v>8169</v>
      </c>
      <c r="K132" s="1254" t="s">
        <v>8653</v>
      </c>
      <c r="L132" s="1254" t="s">
        <v>8654</v>
      </c>
      <c r="M132" s="1254" t="s">
        <v>8353</v>
      </c>
      <c r="N132" s="1254" t="s">
        <v>8572</v>
      </c>
      <c r="O132" s="1254" t="s">
        <v>8354</v>
      </c>
      <c r="P132" s="1254" t="s">
        <v>8355</v>
      </c>
      <c r="Q132" s="1254" t="s">
        <v>8473</v>
      </c>
      <c r="R132" s="1254" t="s">
        <v>8356</v>
      </c>
      <c r="S132" s="2316">
        <f>IF(COUNTIF(Psiquicos!$C$25:$E$36,E132)=0,0,1)</f>
        <v>0</v>
      </c>
      <c r="U132" s="1254" t="str">
        <f t="shared" si="16"/>
        <v>MED</v>
      </c>
      <c r="V132" s="2784"/>
      <c r="W132" s="2784"/>
      <c r="X132" s="2784"/>
      <c r="Y132" s="2784"/>
      <c r="Z132" s="2784"/>
      <c r="AA132" s="2784"/>
      <c r="AB132" s="2784"/>
      <c r="AC132" s="2784"/>
      <c r="AD132" s="2784"/>
      <c r="AE132" s="2784"/>
      <c r="AF132" s="2784">
        <f>IF(ISNUMBER(SEARCH("&gt;",D132)),0,COUNTIF(Psiquicos!$AD$11:$AH$64,D132))</f>
        <v>0</v>
      </c>
      <c r="AG132" s="1254" t="str">
        <f>IF(AF132=0,"",VLOOKUP(D132,Psiquicos!$AD$11:$AK$64,8,FALSE))</f>
        <v/>
      </c>
      <c r="AH132" s="5163"/>
      <c r="AI132" s="2946" t="s">
        <v>419</v>
      </c>
    </row>
    <row r="133" spans="1:35" ht="12.75" customHeight="1" x14ac:dyDescent="0.2">
      <c r="A133" s="2322">
        <v>133</v>
      </c>
      <c r="B133" s="2314">
        <f>IF(OR(S133=0),0,SUM($S$6:S133))</f>
        <v>0</v>
      </c>
      <c r="C133" s="1262"/>
      <c r="D133" s="1263" t="s">
        <v>420</v>
      </c>
      <c r="E133" s="1283" t="s">
        <v>2570</v>
      </c>
      <c r="F133" s="1255">
        <v>1</v>
      </c>
      <c r="G133" s="1255" t="s">
        <v>2234</v>
      </c>
      <c r="H133" s="1256" t="s">
        <v>1918</v>
      </c>
      <c r="I133" s="1254" t="s">
        <v>8168</v>
      </c>
      <c r="J133" s="1254" t="s">
        <v>8169</v>
      </c>
      <c r="K133" s="1254" t="s">
        <v>8655</v>
      </c>
      <c r="L133" s="1254" t="s">
        <v>8656</v>
      </c>
      <c r="M133" s="1254" t="s">
        <v>8657</v>
      </c>
      <c r="N133" s="1254" t="s">
        <v>8658</v>
      </c>
      <c r="O133" s="1254" t="s">
        <v>8659</v>
      </c>
      <c r="P133" s="1254" t="s">
        <v>8660</v>
      </c>
      <c r="Q133" s="1254" t="s">
        <v>8661</v>
      </c>
      <c r="R133" s="1254" t="s">
        <v>8662</v>
      </c>
      <c r="S133" s="2316">
        <f>IF(COUNTIF(Psiquicos!$C$25:$E$36,E133)=0,0,1)</f>
        <v>0</v>
      </c>
      <c r="U133" s="1254" t="str">
        <f t="shared" si="16"/>
        <v/>
      </c>
      <c r="V133" s="2784"/>
      <c r="W133" s="2784"/>
      <c r="X133" s="2784"/>
      <c r="Y133" s="2784"/>
      <c r="Z133" s="2784"/>
      <c r="AA133" s="2784"/>
      <c r="AB133" s="2784"/>
      <c r="AC133" s="2784"/>
      <c r="AD133" s="2784"/>
      <c r="AE133" s="2784"/>
      <c r="AF133" s="2784">
        <f>IF(ISNUMBER(SEARCH("&gt;",D133)),0,COUNTIF(Psiquicos!$AD$11:$AH$64,D133))</f>
        <v>0</v>
      </c>
      <c r="AG133" s="1254" t="str">
        <f>IF(AF133=0,"",VLOOKUP(D133,Psiquicos!$AD$11:$AK$64,8,FALSE))</f>
        <v/>
      </c>
      <c r="AH133" s="5163"/>
      <c r="AI133" s="2946" t="s">
        <v>420</v>
      </c>
    </row>
    <row r="134" spans="1:35" ht="12.75" customHeight="1" x14ac:dyDescent="0.2">
      <c r="A134" s="2322">
        <v>134</v>
      </c>
      <c r="B134" s="2314">
        <f>IF(OR(S134=0),0,SUM($S$6:S134))</f>
        <v>0</v>
      </c>
      <c r="C134" s="1262"/>
      <c r="D134" s="1263" t="s">
        <v>421</v>
      </c>
      <c r="E134" s="1283" t="s">
        <v>2570</v>
      </c>
      <c r="F134" s="1255">
        <v>2</v>
      </c>
      <c r="G134" s="1255" t="s">
        <v>3696</v>
      </c>
      <c r="H134" s="1256" t="s">
        <v>1919</v>
      </c>
      <c r="I134" s="1254" t="s">
        <v>8205</v>
      </c>
      <c r="J134" s="1254" t="s">
        <v>8204</v>
      </c>
      <c r="K134" s="1254" t="s">
        <v>8168</v>
      </c>
      <c r="L134" s="1254" t="s">
        <v>8169</v>
      </c>
      <c r="M134" s="1254" t="s">
        <v>8241</v>
      </c>
      <c r="N134" s="1254" t="s">
        <v>8367</v>
      </c>
      <c r="O134" s="1254" t="s">
        <v>8243</v>
      </c>
      <c r="P134" s="1254" t="s">
        <v>8663</v>
      </c>
      <c r="Q134" s="1254" t="s">
        <v>8482</v>
      </c>
      <c r="R134" s="1282" t="s">
        <v>8483</v>
      </c>
      <c r="S134" s="2316">
        <f>IF(COUNTIF(Psiquicos!$C$25:$E$36,E134)=0,0,1)</f>
        <v>0</v>
      </c>
      <c r="U134" s="1254" t="str">
        <f t="shared" si="16"/>
        <v>MDF</v>
      </c>
      <c r="V134" s="2784"/>
      <c r="W134" s="2784"/>
      <c r="X134" s="2784"/>
      <c r="Y134" s="2784"/>
      <c r="Z134" s="2784"/>
      <c r="AA134" s="2784"/>
      <c r="AB134" s="2784"/>
      <c r="AC134" s="2784"/>
      <c r="AD134" s="2784"/>
      <c r="AE134" s="2784"/>
      <c r="AF134" s="2784">
        <f>IF(ISNUMBER(SEARCH("&gt;",D134)),0,COUNTIF(Psiquicos!$AD$11:$AH$64,D134))</f>
        <v>0</v>
      </c>
      <c r="AG134" s="1254" t="str">
        <f>IF(AF134=0,"",VLOOKUP(D134,Psiquicos!$AD$11:$AK$64,8,FALSE))</f>
        <v/>
      </c>
      <c r="AH134" s="5163"/>
      <c r="AI134" s="2946" t="s">
        <v>421</v>
      </c>
    </row>
    <row r="135" spans="1:35" ht="12.75" customHeight="1" x14ac:dyDescent="0.2">
      <c r="A135" s="2322">
        <v>135</v>
      </c>
      <c r="B135" s="2314">
        <f>IF(OR(S135=0),0,SUM($S$6:S135))</f>
        <v>0</v>
      </c>
      <c r="C135" s="1262"/>
      <c r="D135" s="1263" t="s">
        <v>422</v>
      </c>
      <c r="E135" s="1283" t="s">
        <v>2570</v>
      </c>
      <c r="F135" s="1255">
        <v>2</v>
      </c>
      <c r="G135" s="1255" t="s">
        <v>3696</v>
      </c>
      <c r="H135" s="1256" t="s">
        <v>1918</v>
      </c>
      <c r="I135" s="1254" t="s">
        <v>8206</v>
      </c>
      <c r="J135" s="1254" t="s">
        <v>8205</v>
      </c>
      <c r="K135" s="1254" t="s">
        <v>8204</v>
      </c>
      <c r="L135" s="1254" t="s">
        <v>8168</v>
      </c>
      <c r="M135" s="1254" t="s">
        <v>8169</v>
      </c>
      <c r="N135" s="1254" t="s">
        <v>8664</v>
      </c>
      <c r="O135" s="1254" t="s">
        <v>8665</v>
      </c>
      <c r="P135" s="1254" t="s">
        <v>8666</v>
      </c>
      <c r="Q135" s="1254" t="s">
        <v>8667</v>
      </c>
      <c r="R135" s="1282" t="s">
        <v>8668</v>
      </c>
      <c r="S135" s="2316">
        <f>IF(COUNTIF(Psiquicos!$C$25:$E$36,E135)=0,0,1)</f>
        <v>0</v>
      </c>
      <c r="U135" s="1254" t="str">
        <f t="shared" ref="U135:U145" si="17">IF(OR(G135="No",ISNUMBER(SEARCH("&gt;",D135))),"",INDEX($I$6:$R$6,SUMPRODUCT(--(ISNUMBER(SEARCH("Fatiga",$I135:$R135))))+1))</f>
        <v>ABS</v>
      </c>
      <c r="V135" s="2784"/>
      <c r="W135" s="2784"/>
      <c r="X135" s="2784"/>
      <c r="Y135" s="2784"/>
      <c r="Z135" s="2784"/>
      <c r="AA135" s="2784"/>
      <c r="AB135" s="2784"/>
      <c r="AC135" s="2784"/>
      <c r="AD135" s="2784"/>
      <c r="AE135" s="2784"/>
      <c r="AF135" s="2784">
        <f>IF(ISNUMBER(SEARCH("&gt;",D135)),0,COUNTIF(Psiquicos!$AD$11:$AH$64,D135))</f>
        <v>0</v>
      </c>
      <c r="AG135" s="1254" t="str">
        <f>IF(AF135=0,"",VLOOKUP(D135,Psiquicos!$AD$11:$AK$64,8,FALSE))</f>
        <v/>
      </c>
      <c r="AH135" s="5163"/>
      <c r="AI135" s="2946" t="s">
        <v>422</v>
      </c>
    </row>
    <row r="136" spans="1:35" ht="12.75" customHeight="1" x14ac:dyDescent="0.2">
      <c r="A136" s="2322">
        <v>136</v>
      </c>
      <c r="B136" s="2314">
        <f>IF(OR(S136=0),0,SUM($S$6:S136))</f>
        <v>0</v>
      </c>
      <c r="C136" s="1262"/>
      <c r="D136" s="1263" t="s">
        <v>423</v>
      </c>
      <c r="E136" s="1283" t="s">
        <v>2570</v>
      </c>
      <c r="F136" s="1255">
        <v>3</v>
      </c>
      <c r="G136" s="1255" t="s">
        <v>2234</v>
      </c>
      <c r="H136" s="1256" t="s">
        <v>1918</v>
      </c>
      <c r="I136" s="1254" t="s">
        <v>8220</v>
      </c>
      <c r="J136" s="1254" t="s">
        <v>8219</v>
      </c>
      <c r="K136" s="1254" t="s">
        <v>8206</v>
      </c>
      <c r="L136" s="1254" t="s">
        <v>8205</v>
      </c>
      <c r="M136" s="1254" t="s">
        <v>8204</v>
      </c>
      <c r="N136" s="1254" t="s">
        <v>8669</v>
      </c>
      <c r="O136" s="1254" t="s">
        <v>8670</v>
      </c>
      <c r="P136" s="1254" t="s">
        <v>8671</v>
      </c>
      <c r="Q136" s="1254" t="s">
        <v>8672</v>
      </c>
      <c r="R136" s="1254" t="s">
        <v>8673</v>
      </c>
      <c r="S136" s="2316">
        <f>IF(COUNTIF(Psiquicos!$C$25:$E$36,E136)=0,0,1)</f>
        <v>0</v>
      </c>
      <c r="U136" s="1254" t="str">
        <f t="shared" si="17"/>
        <v/>
      </c>
      <c r="V136" s="2784"/>
      <c r="W136" s="2784"/>
      <c r="X136" s="2785"/>
      <c r="Y136" s="2785"/>
      <c r="Z136" s="2785"/>
      <c r="AA136" s="2785"/>
      <c r="AB136" s="2784"/>
      <c r="AC136" s="2784"/>
      <c r="AD136" s="2784"/>
      <c r="AE136" s="2785"/>
      <c r="AF136" s="2784">
        <f>IF(ISNUMBER(SEARCH("&gt;",D136)),0,COUNTIF(Psiquicos!$AD$11:$AH$64,D136))</f>
        <v>0</v>
      </c>
      <c r="AG136" s="1254" t="str">
        <f>IF(AF136=0,"",VLOOKUP(D136,Psiquicos!$AD$11:$AK$64,8,FALSE))</f>
        <v/>
      </c>
      <c r="AH136" s="5163"/>
      <c r="AI136" s="2946" t="s">
        <v>423</v>
      </c>
    </row>
    <row r="137" spans="1:35" ht="12.75" customHeight="1" x14ac:dyDescent="0.2">
      <c r="A137" s="2322">
        <v>137</v>
      </c>
      <c r="B137" s="2314">
        <f>IF(OR(S137=0),0,SUM($S$6:S137))</f>
        <v>0</v>
      </c>
      <c r="C137" s="1262"/>
      <c r="D137" s="1263" t="s">
        <v>424</v>
      </c>
      <c r="E137" s="1283"/>
      <c r="F137" s="1255"/>
      <c r="G137" s="1255"/>
      <c r="H137" s="1256"/>
      <c r="I137" s="1254"/>
      <c r="J137" s="1254"/>
      <c r="K137" s="1254"/>
      <c r="L137" s="1254"/>
      <c r="M137" s="1254"/>
      <c r="N137" s="1254"/>
      <c r="O137" s="1254"/>
      <c r="P137" s="1254"/>
      <c r="Q137" s="1254"/>
      <c r="R137" s="1282"/>
      <c r="S137" s="2318">
        <f>S138</f>
        <v>0</v>
      </c>
      <c r="U137" s="1254" t="str">
        <f t="shared" si="17"/>
        <v/>
      </c>
      <c r="V137" s="2784"/>
      <c r="W137" s="2784"/>
      <c r="X137" s="2784"/>
      <c r="Y137" s="2784"/>
      <c r="Z137" s="2784"/>
      <c r="AA137" s="2784"/>
      <c r="AB137" s="2784"/>
      <c r="AC137" s="2784"/>
      <c r="AD137" s="2784"/>
      <c r="AE137" s="2784"/>
      <c r="AF137" s="2784">
        <f>IF(ISNUMBER(SEARCH("&gt;",D137)),0,COUNTIF(Psiquicos!$AD$11:$AH$64,D137))</f>
        <v>0</v>
      </c>
      <c r="AG137" s="1254" t="str">
        <f>IF(AF137=0,"",VLOOKUP(D137,Psiquicos!$AD$11:$AK$64,8,FALSE))</f>
        <v/>
      </c>
      <c r="AH137" s="5163"/>
      <c r="AI137" s="2946" t="s">
        <v>424</v>
      </c>
    </row>
    <row r="138" spans="1:35" ht="12.75" customHeight="1" x14ac:dyDescent="0.2">
      <c r="A138" s="2322">
        <v>138</v>
      </c>
      <c r="B138" s="2314">
        <f>IF(OR(S138=0),0,SUM($S$6:S138))</f>
        <v>0</v>
      </c>
      <c r="C138" s="1262"/>
      <c r="D138" s="1263" t="s">
        <v>425</v>
      </c>
      <c r="E138" s="1283" t="s">
        <v>295</v>
      </c>
      <c r="F138" s="1255">
        <v>1</v>
      </c>
      <c r="G138" s="1255" t="s">
        <v>3696</v>
      </c>
      <c r="H138" s="1256" t="s">
        <v>1919</v>
      </c>
      <c r="I138" s="1254" t="s">
        <v>8169</v>
      </c>
      <c r="J138" s="1254" t="s">
        <v>8674</v>
      </c>
      <c r="K138" s="1254" t="s">
        <v>8675</v>
      </c>
      <c r="L138" s="1254" t="s">
        <v>8676</v>
      </c>
      <c r="M138" s="1254" t="s">
        <v>8677</v>
      </c>
      <c r="N138" s="1254" t="s">
        <v>8678</v>
      </c>
      <c r="O138" s="1254" t="s">
        <v>8679</v>
      </c>
      <c r="P138" s="1254" t="s">
        <v>8680</v>
      </c>
      <c r="Q138" s="1254" t="s">
        <v>8681</v>
      </c>
      <c r="R138" s="1254" t="s">
        <v>8682</v>
      </c>
      <c r="S138" s="2316">
        <f>IF(COUNTIF(Psiquicos!$C$25:$E$36,E138)=0,0,1)</f>
        <v>0</v>
      </c>
      <c r="U138" s="1254" t="str">
        <f t="shared" si="17"/>
        <v>FAC</v>
      </c>
      <c r="V138" s="2784"/>
      <c r="W138" s="2784"/>
      <c r="X138" s="2784"/>
      <c r="Y138" s="2784"/>
      <c r="Z138" s="2784"/>
      <c r="AA138" s="2784"/>
      <c r="AB138" s="2784"/>
      <c r="AC138" s="2784"/>
      <c r="AD138" s="2784"/>
      <c r="AE138" s="2784"/>
      <c r="AF138" s="2784">
        <f>IF(ISNUMBER(SEARCH("&gt;",D138)),0,COUNTIF(Psiquicos!$AD$11:$AH$64,D138))</f>
        <v>0</v>
      </c>
      <c r="AG138" s="1254" t="str">
        <f>IF(AF138=0,"",VLOOKUP(D138,Psiquicos!$AD$11:$AK$64,8,FALSE))</f>
        <v/>
      </c>
      <c r="AH138" s="5163"/>
      <c r="AI138" s="2946" t="s">
        <v>425</v>
      </c>
    </row>
    <row r="139" spans="1:35" ht="12.75" customHeight="1" x14ac:dyDescent="0.2">
      <c r="A139" s="2322">
        <v>139</v>
      </c>
      <c r="B139" s="2314">
        <f>IF(OR(S139=0),0,SUM($S$6:S139))</f>
        <v>0</v>
      </c>
      <c r="C139" s="1262"/>
      <c r="D139" s="1263" t="s">
        <v>426</v>
      </c>
      <c r="E139" s="1283" t="s">
        <v>295</v>
      </c>
      <c r="F139" s="1255">
        <v>2</v>
      </c>
      <c r="G139" s="1255" t="s">
        <v>3696</v>
      </c>
      <c r="H139" s="1256" t="s">
        <v>1918</v>
      </c>
      <c r="I139" s="1254" t="s">
        <v>8204</v>
      </c>
      <c r="J139" s="1254" t="s">
        <v>8168</v>
      </c>
      <c r="K139" s="1254" t="s">
        <v>8621</v>
      </c>
      <c r="L139" s="1254" t="s">
        <v>8622</v>
      </c>
      <c r="M139" s="1254" t="s">
        <v>8221</v>
      </c>
      <c r="N139" s="1254" t="s">
        <v>8623</v>
      </c>
      <c r="O139" s="1254" t="s">
        <v>8551</v>
      </c>
      <c r="P139" s="1254" t="s">
        <v>8178</v>
      </c>
      <c r="Q139" s="1254" t="s">
        <v>8624</v>
      </c>
      <c r="R139" s="1282" t="s">
        <v>8179</v>
      </c>
      <c r="S139" s="2316">
        <f>IF(COUNTIF(Psiquicos!$C$25:$E$36,E139)=0,0,1)</f>
        <v>0</v>
      </c>
      <c r="U139" s="1254" t="str">
        <f t="shared" si="17"/>
        <v>MED</v>
      </c>
      <c r="V139" s="2784"/>
      <c r="W139" s="2784"/>
      <c r="X139" s="2784"/>
      <c r="Y139" s="2784"/>
      <c r="Z139" s="2784"/>
      <c r="AA139" s="2784"/>
      <c r="AB139" s="2784"/>
      <c r="AC139" s="2784"/>
      <c r="AD139" s="2784"/>
      <c r="AE139" s="2784"/>
      <c r="AF139" s="2784">
        <f>IF(ISNUMBER(SEARCH("&gt;",D139)),0,COUNTIF(Psiquicos!$AD$11:$AH$64,D139))</f>
        <v>0</v>
      </c>
      <c r="AG139" s="1254" t="str">
        <f>IF(AF139=0,"",VLOOKUP(D139,Psiquicos!$AD$11:$AK$64,8,FALSE))</f>
        <v/>
      </c>
      <c r="AH139" s="5163"/>
      <c r="AI139" s="2946" t="s">
        <v>426</v>
      </c>
    </row>
    <row r="140" spans="1:35" ht="12.75" customHeight="1" x14ac:dyDescent="0.2">
      <c r="A140" s="2322">
        <v>140</v>
      </c>
      <c r="B140" s="2314">
        <f>IF(OR(S140=0),0,SUM($S$6:S140))</f>
        <v>0</v>
      </c>
      <c r="C140" s="1262"/>
      <c r="D140" s="1263" t="s">
        <v>427</v>
      </c>
      <c r="E140" s="1283" t="s">
        <v>295</v>
      </c>
      <c r="F140" s="1255">
        <v>3</v>
      </c>
      <c r="G140" s="1255" t="s">
        <v>3696</v>
      </c>
      <c r="H140" s="1256" t="s">
        <v>1918</v>
      </c>
      <c r="I140" s="1254" t="s">
        <v>8219</v>
      </c>
      <c r="J140" s="1254" t="s">
        <v>8604</v>
      </c>
      <c r="K140" s="1254" t="s">
        <v>8206</v>
      </c>
      <c r="L140" s="1254" t="s">
        <v>8205</v>
      </c>
      <c r="M140" s="1254" t="s">
        <v>8204</v>
      </c>
      <c r="N140" s="1254" t="s">
        <v>8683</v>
      </c>
      <c r="O140" s="1254" t="s">
        <v>430</v>
      </c>
      <c r="P140" s="1254" t="s">
        <v>8684</v>
      </c>
      <c r="Q140" s="1254" t="s">
        <v>8685</v>
      </c>
      <c r="R140" s="1282" t="s">
        <v>8686</v>
      </c>
      <c r="S140" s="2316">
        <f>IF(COUNTIF(Psiquicos!$C$25:$E$36,E140)=0,0,1)</f>
        <v>0</v>
      </c>
      <c r="U140" s="1254" t="str">
        <f t="shared" si="17"/>
        <v>ABS</v>
      </c>
      <c r="V140" s="2784"/>
      <c r="W140" s="2784"/>
      <c r="X140" s="2784"/>
      <c r="Y140" s="2784"/>
      <c r="Z140" s="2784"/>
      <c r="AA140" s="2784"/>
      <c r="AB140" s="2784"/>
      <c r="AC140" s="2784"/>
      <c r="AD140" s="2784"/>
      <c r="AE140" s="2784"/>
      <c r="AF140" s="2784">
        <f>IF(ISNUMBER(SEARCH("&gt;",D140)),0,COUNTIF(Psiquicos!$AD$11:$AH$64,D140))</f>
        <v>0</v>
      </c>
      <c r="AG140" s="1254" t="str">
        <f>IF(AF140=0,"",VLOOKUP(D140,Psiquicos!$AD$11:$AK$64,8,FALSE))</f>
        <v/>
      </c>
      <c r="AH140" s="5163"/>
      <c r="AI140" s="2946" t="s">
        <v>427</v>
      </c>
    </row>
    <row r="141" spans="1:35" ht="12.75" customHeight="1" x14ac:dyDescent="0.2">
      <c r="A141" s="2322">
        <v>141</v>
      </c>
      <c r="B141" s="2314">
        <f>IF(OR(S141=0),0,SUM($S$6:S141))</f>
        <v>30</v>
      </c>
      <c r="C141" s="1262"/>
      <c r="D141" s="1263" t="s">
        <v>428</v>
      </c>
      <c r="E141" s="1254"/>
      <c r="F141" s="1255"/>
      <c r="G141" s="1255"/>
      <c r="H141" s="1256"/>
      <c r="I141" s="1254"/>
      <c r="J141" s="1254"/>
      <c r="K141" s="1254"/>
      <c r="L141" s="1254"/>
      <c r="M141" s="1254"/>
      <c r="N141" s="1254"/>
      <c r="O141" s="1254"/>
      <c r="P141" s="1254"/>
      <c r="Q141" s="1254"/>
      <c r="R141" s="1282"/>
      <c r="S141" s="2318">
        <f>S142</f>
        <v>1</v>
      </c>
      <c r="U141" s="1254" t="str">
        <f t="shared" si="17"/>
        <v/>
      </c>
      <c r="V141" s="2784"/>
      <c r="W141" s="2784"/>
      <c r="X141" s="2784"/>
      <c r="Y141" s="2784"/>
      <c r="Z141" s="2784"/>
      <c r="AA141" s="2784"/>
      <c r="AB141" s="2784"/>
      <c r="AC141" s="2784"/>
      <c r="AD141" s="2784"/>
      <c r="AE141" s="2784"/>
      <c r="AF141" s="2784">
        <f>IF(ISNUMBER(SEARCH("&gt;",D141)),0,COUNTIF(Psiquicos!$AD$11:$AH$64,D141))</f>
        <v>0</v>
      </c>
      <c r="AG141" s="1254" t="str">
        <f>IF(AF141=0,"",VLOOKUP(D141,Psiquicos!$AD$11:$AK$64,8,FALSE))</f>
        <v/>
      </c>
      <c r="AH141" s="5163"/>
      <c r="AI141" s="2946" t="s">
        <v>428</v>
      </c>
    </row>
    <row r="142" spans="1:35" ht="12.75" customHeight="1" x14ac:dyDescent="0.2">
      <c r="A142" s="2322">
        <v>142</v>
      </c>
      <c r="B142" s="2314">
        <f>IF(OR(S142=0),0,SUM($S$6:S142))</f>
        <v>31</v>
      </c>
      <c r="C142" s="1262"/>
      <c r="D142" s="1263" t="s">
        <v>429</v>
      </c>
      <c r="E142" s="1254" t="s">
        <v>8687</v>
      </c>
      <c r="F142" s="1255" t="s">
        <v>2310</v>
      </c>
      <c r="G142" s="1255" t="s">
        <v>3696</v>
      </c>
      <c r="H142" s="1256" t="s">
        <v>1918</v>
      </c>
      <c r="I142" s="1254" t="s">
        <v>8205</v>
      </c>
      <c r="J142" s="1254" t="s">
        <v>8204</v>
      </c>
      <c r="K142" s="1254" t="s">
        <v>8168</v>
      </c>
      <c r="L142" s="1254" t="s">
        <v>8688</v>
      </c>
      <c r="M142" s="1254" t="s">
        <v>8689</v>
      </c>
      <c r="N142" s="1254" t="s">
        <v>8468</v>
      </c>
      <c r="O142" s="1254" t="s">
        <v>8469</v>
      </c>
      <c r="P142" s="1254" t="s">
        <v>8470</v>
      </c>
      <c r="Q142" s="1254" t="s">
        <v>8471</v>
      </c>
      <c r="R142" s="1282" t="s">
        <v>8472</v>
      </c>
      <c r="S142" s="2316">
        <v>1</v>
      </c>
      <c r="U142" s="1254" t="str">
        <f t="shared" si="17"/>
        <v>DIF</v>
      </c>
      <c r="V142" s="2784"/>
      <c r="W142" s="2784"/>
      <c r="X142" s="2784"/>
      <c r="Y142" s="2784"/>
      <c r="Z142" s="2784"/>
      <c r="AA142" s="2784"/>
      <c r="AB142" s="2784"/>
      <c r="AC142" s="2784"/>
      <c r="AD142" s="2784"/>
      <c r="AE142" s="2784"/>
      <c r="AF142" s="2784">
        <f>IF(ISNUMBER(SEARCH("&gt;",D142)),0,COUNTIF(Psiquicos!$AD$11:$AH$64,D142))</f>
        <v>0</v>
      </c>
      <c r="AG142" s="1254" t="str">
        <f>IF(AF142=0,"",VLOOKUP(D142,Psiquicos!$AD$11:$AK$64,8,FALSE))</f>
        <v/>
      </c>
      <c r="AH142" s="5163"/>
      <c r="AI142" s="2946" t="s">
        <v>429</v>
      </c>
    </row>
    <row r="143" spans="1:35" ht="12.75" customHeight="1" x14ac:dyDescent="0.2">
      <c r="A143" s="2322">
        <v>143</v>
      </c>
      <c r="B143" s="2314">
        <f>IF(OR(S143=0),0,SUM($S$6:S143))</f>
        <v>32</v>
      </c>
      <c r="C143" s="1262"/>
      <c r="D143" s="1263" t="s">
        <v>430</v>
      </c>
      <c r="E143" s="1254" t="s">
        <v>8687</v>
      </c>
      <c r="F143" s="1255" t="s">
        <v>2310</v>
      </c>
      <c r="G143" s="1255" t="s">
        <v>3696</v>
      </c>
      <c r="H143" s="1256" t="s">
        <v>1918</v>
      </c>
      <c r="I143" s="1254" t="s">
        <v>8169</v>
      </c>
      <c r="J143" s="1254" t="s">
        <v>8690</v>
      </c>
      <c r="K143" s="1254" t="s">
        <v>8691</v>
      </c>
      <c r="L143" s="1254" t="s">
        <v>8692</v>
      </c>
      <c r="M143" s="1254" t="s">
        <v>8178</v>
      </c>
      <c r="N143" s="1254" t="s">
        <v>8693</v>
      </c>
      <c r="O143" s="1254" t="s">
        <v>8694</v>
      </c>
      <c r="P143" s="1254" t="s">
        <v>8695</v>
      </c>
      <c r="Q143" s="1254" t="s">
        <v>8696</v>
      </c>
      <c r="R143" s="1282" t="s">
        <v>8697</v>
      </c>
      <c r="S143" s="2316">
        <v>1</v>
      </c>
      <c r="U143" s="1254" t="str">
        <f t="shared" si="17"/>
        <v>FAC</v>
      </c>
      <c r="V143" s="2784"/>
      <c r="W143" s="2784"/>
      <c r="X143" s="2784"/>
      <c r="Y143" s="2784"/>
      <c r="Z143" s="2784"/>
      <c r="AA143" s="2784"/>
      <c r="AB143" s="2784"/>
      <c r="AC143" s="2784"/>
      <c r="AD143" s="2784"/>
      <c r="AE143" s="2784"/>
      <c r="AF143" s="2784">
        <f>IF(ISNUMBER(SEARCH("&gt;",D143)),0,COUNTIF(Psiquicos!$AD$11:$AH$64,D143))</f>
        <v>0</v>
      </c>
      <c r="AG143" s="1254" t="str">
        <f>IF(AF143=0,"",VLOOKUP(D143,Psiquicos!$AD$11:$AK$64,8,FALSE))</f>
        <v/>
      </c>
      <c r="AH143" s="5163"/>
      <c r="AI143" s="2946" t="s">
        <v>430</v>
      </c>
    </row>
    <row r="144" spans="1:35" ht="12.75" customHeight="1" x14ac:dyDescent="0.2">
      <c r="A144" s="2322">
        <v>144</v>
      </c>
      <c r="B144" s="2314">
        <f>IF(OR(S144=0),0,SUM($S$6:S144))</f>
        <v>33</v>
      </c>
      <c r="C144" s="1262"/>
      <c r="D144" s="1263" t="s">
        <v>431</v>
      </c>
      <c r="E144" s="1254" t="s">
        <v>8687</v>
      </c>
      <c r="F144" s="1255" t="s">
        <v>2310</v>
      </c>
      <c r="G144" s="1255" t="s">
        <v>3696</v>
      </c>
      <c r="H144" s="1256" t="s">
        <v>1919</v>
      </c>
      <c r="I144" s="1254" t="s">
        <v>8168</v>
      </c>
      <c r="J144" s="1254" t="s">
        <v>8169</v>
      </c>
      <c r="K144" s="1254" t="s">
        <v>8698</v>
      </c>
      <c r="L144" s="1254" t="s">
        <v>8699</v>
      </c>
      <c r="M144" s="1254" t="s">
        <v>8700</v>
      </c>
      <c r="N144" s="1254" t="s">
        <v>8701</v>
      </c>
      <c r="O144" s="1254" t="s">
        <v>8702</v>
      </c>
      <c r="P144" s="1254" t="s">
        <v>8703</v>
      </c>
      <c r="Q144" s="1254" t="s">
        <v>8704</v>
      </c>
      <c r="R144" s="1282" t="s">
        <v>8705</v>
      </c>
      <c r="S144" s="2316">
        <v>1</v>
      </c>
      <c r="U144" s="1254" t="str">
        <f t="shared" si="17"/>
        <v>MED</v>
      </c>
      <c r="V144" s="2784"/>
      <c r="W144" s="2784"/>
      <c r="X144" s="2784"/>
      <c r="Y144" s="2784"/>
      <c r="Z144" s="2784"/>
      <c r="AA144" s="2784"/>
      <c r="AB144" s="2784"/>
      <c r="AC144" s="2784"/>
      <c r="AD144" s="2784"/>
      <c r="AE144" s="2784"/>
      <c r="AF144" s="2784">
        <f>IF(ISNUMBER(SEARCH("&gt;",D144)),0,COUNTIF(Psiquicos!$AD$11:$AH$64,D144))</f>
        <v>0</v>
      </c>
      <c r="AG144" s="1254" t="str">
        <f>IF(AF144=0,"",VLOOKUP(D144,Psiquicos!$AD$11:$AK$64,8,FALSE))</f>
        <v/>
      </c>
      <c r="AH144" s="5163"/>
      <c r="AI144" s="2946" t="s">
        <v>431</v>
      </c>
    </row>
    <row r="145" spans="1:35" ht="12.75" customHeight="1" thickBot="1" x14ac:dyDescent="0.25">
      <c r="A145" s="2322">
        <v>145</v>
      </c>
      <c r="B145" s="2315">
        <f>IF(OR(S145=0),0,SUM($S$6:S145))</f>
        <v>34</v>
      </c>
      <c r="C145" s="1273"/>
      <c r="D145" s="1284" t="s">
        <v>432</v>
      </c>
      <c r="E145" s="1285" t="s">
        <v>8687</v>
      </c>
      <c r="F145" s="1286" t="s">
        <v>2310</v>
      </c>
      <c r="G145" s="1286" t="s">
        <v>3696</v>
      </c>
      <c r="H145" s="1287" t="s">
        <v>1918</v>
      </c>
      <c r="I145" s="1285" t="s">
        <v>8205</v>
      </c>
      <c r="J145" s="1285" t="s">
        <v>8204</v>
      </c>
      <c r="K145" s="1285" t="s">
        <v>8168</v>
      </c>
      <c r="L145" s="1285" t="s">
        <v>8706</v>
      </c>
      <c r="M145" s="1285" t="s">
        <v>8707</v>
      </c>
      <c r="N145" s="1285" t="s">
        <v>8708</v>
      </c>
      <c r="O145" s="1285" t="s">
        <v>8709</v>
      </c>
      <c r="P145" s="1285" t="s">
        <v>8710</v>
      </c>
      <c r="Q145" s="1285" t="s">
        <v>8711</v>
      </c>
      <c r="R145" s="1288" t="s">
        <v>8712</v>
      </c>
      <c r="S145" s="2317">
        <v>1</v>
      </c>
      <c r="U145" s="1254" t="str">
        <f t="shared" si="17"/>
        <v>DIF</v>
      </c>
      <c r="V145" s="2784"/>
      <c r="W145" s="2784"/>
      <c r="X145" s="2784"/>
      <c r="Y145" s="2784"/>
      <c r="Z145" s="2784"/>
      <c r="AA145" s="2784"/>
      <c r="AB145" s="2784"/>
      <c r="AC145" s="2784"/>
      <c r="AD145" s="2784"/>
      <c r="AE145" s="2784"/>
      <c r="AF145" s="2784">
        <f>IF(ISNUMBER(SEARCH("&gt;",D145)),0,COUNTIF(Psiquicos!$AD$11:$AH$64,D145))</f>
        <v>0</v>
      </c>
      <c r="AG145" s="1254" t="str">
        <f>IF(AF145=0,"",VLOOKUP(D145,Psiquicos!$AD$11:$AK$64,8,FALSE))</f>
        <v/>
      </c>
      <c r="AH145" s="5164"/>
      <c r="AI145" s="2947" t="s">
        <v>432</v>
      </c>
    </row>
    <row r="146" spans="1:35" ht="12.75" customHeight="1" x14ac:dyDescent="0.2">
      <c r="A146" s="2322">
        <v>146</v>
      </c>
      <c r="AH146" s="2943"/>
    </row>
    <row r="147" spans="1:35" ht="12.75" customHeight="1" x14ac:dyDescent="0.2">
      <c r="A147" s="2322">
        <v>147</v>
      </c>
      <c r="AH147" s="2943"/>
    </row>
    <row r="148" spans="1:35" ht="12.75" customHeight="1" x14ac:dyDescent="0.2">
      <c r="C148" s="4997" t="s">
        <v>9878</v>
      </c>
      <c r="D148" s="4998"/>
      <c r="G148" s="4997" t="s">
        <v>9878</v>
      </c>
      <c r="H148" s="4998"/>
    </row>
    <row r="149" spans="1:35" ht="12.75" customHeight="1" thickBot="1" x14ac:dyDescent="0.25">
      <c r="C149" s="4999" t="e">
        <f>Poderes_Psi_Disponibles</f>
        <v>#VALUE!</v>
      </c>
      <c r="D149" s="4999"/>
      <c r="G149" s="4999" t="e">
        <f>Pod_Psi_Innatos_Disponibles</f>
        <v>#VALUE!</v>
      </c>
      <c r="H149" s="4999"/>
    </row>
    <row r="150" spans="1:35" ht="12.75" customHeight="1" thickBot="1" x14ac:dyDescent="0.25">
      <c r="C150" s="4071" t="s">
        <v>9576</v>
      </c>
      <c r="D150" s="4073"/>
      <c r="G150" s="4071" t="s">
        <v>9876</v>
      </c>
      <c r="H150" s="4073"/>
    </row>
    <row r="151" spans="1:35" ht="12.75" customHeight="1" x14ac:dyDescent="0.2">
      <c r="C151" s="4074"/>
      <c r="D151" s="4076"/>
      <c r="F151" s="4995" t="s">
        <v>9877</v>
      </c>
      <c r="G151" s="4074"/>
      <c r="H151" s="4076"/>
    </row>
    <row r="152" spans="1:35" ht="12.75" customHeight="1" thickBot="1" x14ac:dyDescent="0.25">
      <c r="C152" s="4074"/>
      <c r="D152" s="4076"/>
      <c r="F152" s="4996"/>
      <c r="G152" s="4074"/>
      <c r="H152" s="4076"/>
    </row>
    <row r="153" spans="1:35" ht="12.75" customHeight="1" x14ac:dyDescent="0.2">
      <c r="C153" s="1262"/>
      <c r="D153" s="2319" t="str">
        <f t="shared" ref="D153:D184" si="18">IF(ISNA(VLOOKUP(A1,B7:D145,3,FALSE)),"",VLOOKUP(A1,B7:D145,3,FALSE))</f>
        <v>&gt; TELEQUINESIS</v>
      </c>
      <c r="F153" s="2314">
        <f>IF(OR(AND(ISNUMBER(SEARCH("&gt;",D7)),S7&gt;0),ISNUMBER(SEARCH(D7,Psiquicos!$AC$10))),IF(OR(G7="",G7="Sí"),1+MAX($F$152:F152),0),0)</f>
        <v>0</v>
      </c>
      <c r="G153" s="1262"/>
      <c r="H153" s="2319" t="str">
        <f t="shared" ref="H153:H184" si="19">IF(A1&gt;MAX($F$153:$F$291,0),"",IF(OR(INDEX($G$7:$G$145,MATCH(A1,$F$153:$F$291,0),0)="Sí",INDEX($G$7:$G$145,MATCH(A1,$F$153:$F$291,0),0)=""),INDEX($D$7:$D$145,MATCH(A1,$F$153:$F$291,0),0),""))</f>
        <v>&gt; TELEQUINESIS</v>
      </c>
    </row>
    <row r="154" spans="1:35" ht="12.75" customHeight="1" x14ac:dyDescent="0.2">
      <c r="C154" s="1262"/>
      <c r="D154" s="2319" t="str">
        <f t="shared" si="18"/>
        <v>Telequinesis menor</v>
      </c>
      <c r="F154" s="2314">
        <f>IF(OR(AND(ISNUMBER(SEARCH("&gt;",D8)),S8&gt;0),ISNUMBER(SEARCH(D8,Psiquicos!$AC$10))),IF(OR(G8="",G8="Sí"),1+MAX($F$152:F153),0),0)</f>
        <v>0</v>
      </c>
      <c r="G154" s="1262"/>
      <c r="H154" s="2319" t="str">
        <f t="shared" si="19"/>
        <v>Armadura  telequinética</v>
      </c>
    </row>
    <row r="155" spans="1:35" ht="12.75" customHeight="1" x14ac:dyDescent="0.2">
      <c r="C155" s="1262"/>
      <c r="D155" s="2319" t="str">
        <f t="shared" si="18"/>
        <v>Impacto telequinético</v>
      </c>
      <c r="F155" s="2314">
        <f>IF(OR(AND(ISNUMBER(SEARCH("&gt;",D9)),S9&gt;0),ISNUMBER(SEARCH(D9,Psiquicos!$AC$10))),IF(OR(G9="",G9="Sí"),1+MAX($F$152:F154),0),0)</f>
        <v>0</v>
      </c>
      <c r="G155" s="1262"/>
      <c r="H155" s="2319" t="str">
        <f t="shared" si="19"/>
        <v>&gt; INCREMENTO FISICO</v>
      </c>
    </row>
    <row r="156" spans="1:35" ht="12.75" customHeight="1" x14ac:dyDescent="0.2">
      <c r="C156" s="1262"/>
      <c r="D156" s="2319" t="str">
        <f t="shared" si="18"/>
        <v>Escudo telequinético</v>
      </c>
      <c r="F156" s="2314">
        <f>IF(OR(AND(ISNUMBER(SEARCH("&gt;",D10)),S10&gt;0),ISNUMBER(SEARCH(D10,Psiquicos!$AC$10))),IF(OR(G10="",G10="Sí"),1+MAX($F$152:F155),0),0)</f>
        <v>0</v>
      </c>
      <c r="G156" s="1262"/>
      <c r="H156" s="2319" t="str">
        <f t="shared" si="19"/>
        <v>Incrementar fuerza</v>
      </c>
    </row>
    <row r="157" spans="1:35" ht="12.75" customHeight="1" x14ac:dyDescent="0.2">
      <c r="C157" s="1262"/>
      <c r="D157" s="2319" t="str">
        <f t="shared" si="18"/>
        <v>Armadura  telequinética</v>
      </c>
      <c r="F157" s="2314">
        <f>IF(OR(AND(ISNUMBER(SEARCH("&gt;",D11)),S11&gt;0),ISNUMBER(SEARCH(D11,Psiquicos!$AC$10))),IF(OR(G11="",G11="Sí"),1+MAX($F$152:F156),0),0)</f>
        <v>0</v>
      </c>
      <c r="G157" s="1262"/>
      <c r="H157" s="2319" t="str">
        <f t="shared" si="19"/>
        <v>Incrementar desplazamiento</v>
      </c>
    </row>
    <row r="158" spans="1:35" ht="12.75" customHeight="1" x14ac:dyDescent="0.2">
      <c r="C158" s="1262"/>
      <c r="D158" s="2319" t="str">
        <f t="shared" si="18"/>
        <v>Presa telequinética</v>
      </c>
      <c r="F158" s="2314">
        <f>IF(OR(AND(ISNUMBER(SEARCH("&gt;",D12)),S12&gt;0),ISNUMBER(SEARCH(D12,Psiquicos!$AC$10))),IF(OR(G12="",G12="Sí"),1+MAX($F$152:F157),0),0)</f>
        <v>0</v>
      </c>
      <c r="G158" s="1262"/>
      <c r="H158" s="2319" t="str">
        <f t="shared" si="19"/>
        <v>Incrementar habilidad</v>
      </c>
    </row>
    <row r="159" spans="1:35" ht="12.75" customHeight="1" x14ac:dyDescent="0.2">
      <c r="C159" s="1262"/>
      <c r="D159" s="2319" t="str">
        <f t="shared" si="18"/>
        <v>Balística</v>
      </c>
      <c r="F159" s="2314">
        <f>IF(OR(AND(ISNUMBER(SEARCH("&gt;",D13)),S13&gt;0),ISNUMBER(SEARCH(D13,Psiquicos!$AC$10))),IF(OR(G13="",G13="Sí"),1+MAX($F$152:F158),0),0)</f>
        <v>0</v>
      </c>
      <c r="G159" s="1262"/>
      <c r="H159" s="2319" t="str">
        <f t="shared" si="19"/>
        <v>Incremento de reacción</v>
      </c>
    </row>
    <row r="160" spans="1:35" ht="12.75" customHeight="1" x14ac:dyDescent="0.2">
      <c r="C160" s="1262"/>
      <c r="D160" s="2319" t="str">
        <f t="shared" si="18"/>
        <v>Detección de movimiento</v>
      </c>
      <c r="F160" s="2314">
        <f>IF(OR(AND(ISNUMBER(SEARCH("&gt;",D14)),S14&gt;0),ISNUMBER(SEARCH(D14,Psiquicos!$AC$10))),IF(OR(G14="",G14="Sí"),1+MAX($F$152:F159),0),0)</f>
        <v>0</v>
      </c>
      <c r="G160" s="1262"/>
      <c r="H160" s="2319" t="str">
        <f t="shared" si="19"/>
        <v>Incremento total</v>
      </c>
    </row>
    <row r="161" spans="3:8" ht="12.75" customHeight="1" x14ac:dyDescent="0.2">
      <c r="C161" s="1262"/>
      <c r="D161" s="2319" t="str">
        <f t="shared" si="18"/>
        <v>Repulsión</v>
      </c>
      <c r="F161" s="2314">
        <f>IF(OR(AND(ISNUMBER(SEARCH("&gt;",D15)),S15&gt;0),ISNUMBER(SEARCH(D15,Psiquicos!$AC$10))),IF(OR(G15="",G15="Sí"),1+MAX($F$152:F160),0),0)</f>
        <v>0</v>
      </c>
      <c r="G161" s="1262"/>
      <c r="H161" s="2319" t="str">
        <f t="shared" si="19"/>
        <v>&gt; PODERES MATRICIALES</v>
      </c>
    </row>
    <row r="162" spans="3:8" ht="12.75" customHeight="1" x14ac:dyDescent="0.2">
      <c r="C162" s="1262"/>
      <c r="D162" s="2319" t="str">
        <f t="shared" si="18"/>
        <v>Destrozar</v>
      </c>
      <c r="F162" s="2314">
        <f>IF(OR(AND(ISNUMBER(SEARCH("&gt;",D16)),S16&gt;0),ISNUMBER(SEARCH(D16,Psiquicos!$AC$10))),IF(OR(G16="",G16="Sí"),1+MAX($F$152:F161),0),0)</f>
        <v>0</v>
      </c>
      <c r="G162" s="1262"/>
      <c r="H162" s="2319" t="str">
        <f t="shared" si="19"/>
        <v>Destruir matrices</v>
      </c>
    </row>
    <row r="163" spans="3:8" ht="12.75" customHeight="1" x14ac:dyDescent="0.2">
      <c r="C163" s="1262"/>
      <c r="D163" s="2319" t="str">
        <f t="shared" si="18"/>
        <v>Vuelo telequinético</v>
      </c>
      <c r="F163" s="2314">
        <f>IF(OR(AND(ISNUMBER(SEARCH("&gt;",D17)),S17&gt;0),ISNUMBER(SEARCH(D17,Psiquicos!$AC$10))),IF(OR(G17="",G17="Sí"),1+MAX($F$152:F162),0),0)</f>
        <v>0</v>
      </c>
      <c r="G163" s="1262"/>
      <c r="H163" s="2319" t="str">
        <f t="shared" si="19"/>
        <v>Sentir matrices</v>
      </c>
    </row>
    <row r="164" spans="3:8" ht="12.75" customHeight="1" x14ac:dyDescent="0.2">
      <c r="C164" s="1262"/>
      <c r="D164" s="2319" t="str">
        <f t="shared" si="18"/>
        <v>Telequinesis orgánica</v>
      </c>
      <c r="F164" s="2314">
        <f>IF(OR(AND(ISNUMBER(SEARCH("&gt;",D18)),S18&gt;0),ISNUMBER(SEARCH(D18,Psiquicos!$AC$10))),IF(OR(G18="",G18="Sí"),1+MAX($F$152:F163),0),0)</f>
        <v>0</v>
      </c>
      <c r="G164" s="1262"/>
      <c r="H164" s="2319" t="str">
        <f t="shared" si="19"/>
        <v>Ocultar matrices</v>
      </c>
    </row>
    <row r="165" spans="3:8" ht="12.75" customHeight="1" x14ac:dyDescent="0.2">
      <c r="C165" s="1262"/>
      <c r="D165" s="2319" t="str">
        <f t="shared" si="18"/>
        <v>Control del terreno</v>
      </c>
      <c r="F165" s="2314">
        <f>IF(OR(AND(ISNUMBER(SEARCH("&gt;",D19)),S19&gt;0),ISNUMBER(SEARCH(D19,Psiquicos!$AC$10))),IF(OR(G19="",G19="Sí"),1+MAX($F$152:F164),0),0)</f>
        <v>0</v>
      </c>
      <c r="G165" s="1262"/>
      <c r="H165" s="2319" t="str">
        <f t="shared" si="19"/>
        <v>Conectar matrices</v>
      </c>
    </row>
    <row r="166" spans="3:8" ht="12.75" customHeight="1" x14ac:dyDescent="0.2">
      <c r="C166" s="1262"/>
      <c r="D166" s="2319" t="str">
        <f t="shared" si="18"/>
        <v>Telequinesis mayor</v>
      </c>
      <c r="F166" s="2314">
        <f>IF(OR(AND(ISNUMBER(SEARCH("&gt;",D20)),S20&gt;0),ISNUMBER(SEARCH(D20,Psiquicos!$AC$10))),IF(OR(G20="",G20="Sí"),1+MAX($F$152:F165),0),0)</f>
        <v>0</v>
      </c>
      <c r="G166" s="1262"/>
      <c r="H166" s="2319" t="str">
        <f t="shared" si="19"/>
        <v/>
      </c>
    </row>
    <row r="167" spans="3:8" ht="12.75" customHeight="1" x14ac:dyDescent="0.2">
      <c r="C167" s="1262"/>
      <c r="D167" s="2319" t="str">
        <f t="shared" si="18"/>
        <v>Reestructuracción atómica</v>
      </c>
      <c r="F167" s="2314">
        <f>IF(OR(AND(ISNUMBER(SEARCH("&gt;",D21)),S21&gt;0),ISNUMBER(SEARCH(D21,Psiquicos!$AC$10))),IF(OR(G21="",G21="Sí"),1+MAX($F$152:F166),0),0)</f>
        <v>0</v>
      </c>
      <c r="G167" s="1262"/>
      <c r="H167" s="2319" t="str">
        <f t="shared" si="19"/>
        <v/>
      </c>
    </row>
    <row r="168" spans="3:8" ht="12.75" customHeight="1" x14ac:dyDescent="0.2">
      <c r="C168" s="1262"/>
      <c r="D168" s="2319" t="str">
        <f t="shared" si="18"/>
        <v>&gt; INCREMENTO FISICO</v>
      </c>
      <c r="F168" s="2314">
        <f>IF(OR(AND(ISNUMBER(SEARCH("&gt;",D22)),S22&gt;0),ISNUMBER(SEARCH(D22,Psiquicos!$AC$10))),IF(OR(G22="",G22="Sí"),1+MAX($F$152:F167),0),0)</f>
        <v>0</v>
      </c>
      <c r="G168" s="1262"/>
      <c r="H168" s="2319" t="str">
        <f t="shared" si="19"/>
        <v/>
      </c>
    </row>
    <row r="169" spans="3:8" ht="12.75" customHeight="1" x14ac:dyDescent="0.2">
      <c r="C169" s="1262"/>
      <c r="D169" s="2319" t="str">
        <f t="shared" si="18"/>
        <v>Incrementar capacidad de salto</v>
      </c>
      <c r="F169" s="2314">
        <f>IF(OR(AND(ISNUMBER(SEARCH("&gt;",D23)),S23&gt;0),ISNUMBER(SEARCH(D23,Psiquicos!$AC$10))),IF(OR(G23="",G23="Sí"),1+MAX($F$152:F168),0),0)</f>
        <v>1</v>
      </c>
      <c r="G169" s="1262"/>
      <c r="H169" s="2319" t="str">
        <f t="shared" si="19"/>
        <v/>
      </c>
    </row>
    <row r="170" spans="3:8" ht="12.75" customHeight="1" x14ac:dyDescent="0.2">
      <c r="C170" s="1262"/>
      <c r="D170" s="2319" t="str">
        <f t="shared" si="18"/>
        <v>Incrementar sentido acrobático</v>
      </c>
      <c r="F170" s="2314">
        <f>IF(OR(AND(ISNUMBER(SEARCH("&gt;",D24)),S24&gt;0),ISNUMBER(SEARCH(D24,Psiquicos!$AC$10))),IF(OR(G24="",G24="Sí"),1+MAX($F$152:F169),0),0)</f>
        <v>0</v>
      </c>
      <c r="G170" s="1262"/>
      <c r="H170" s="2319" t="str">
        <f t="shared" si="19"/>
        <v/>
      </c>
    </row>
    <row r="171" spans="3:8" ht="12.75" customHeight="1" x14ac:dyDescent="0.2">
      <c r="C171" s="1262"/>
      <c r="D171" s="2319" t="str">
        <f t="shared" si="18"/>
        <v>Incrementar fuerza</v>
      </c>
      <c r="F171" s="2314">
        <f>IF(OR(AND(ISNUMBER(SEARCH("&gt;",D25)),S25&gt;0),ISNUMBER(SEARCH(D25,Psiquicos!$AC$10))),IF(OR(G25="",G25="Sí"),1+MAX($F$152:F170),0),0)</f>
        <v>0</v>
      </c>
      <c r="G171" s="1262"/>
      <c r="H171" s="2319" t="str">
        <f t="shared" si="19"/>
        <v/>
      </c>
    </row>
    <row r="172" spans="3:8" ht="12.75" customHeight="1" x14ac:dyDescent="0.2">
      <c r="C172" s="1262"/>
      <c r="D172" s="2319" t="str">
        <f t="shared" si="18"/>
        <v>Inhumanidad</v>
      </c>
      <c r="F172" s="2314">
        <f>IF(OR(AND(ISNUMBER(SEARCH("&gt;",D26)),S26&gt;0),ISNUMBER(SEARCH(D26,Psiquicos!$AC$10))),IF(OR(G26="",G26="Sí"),1+MAX($F$152:F171),0),0)</f>
        <v>0</v>
      </c>
      <c r="G172" s="1262"/>
      <c r="H172" s="2319" t="str">
        <f t="shared" si="19"/>
        <v/>
      </c>
    </row>
    <row r="173" spans="3:8" ht="12.75" customHeight="1" x14ac:dyDescent="0.2">
      <c r="C173" s="1262"/>
      <c r="D173" s="2319" t="str">
        <f t="shared" si="18"/>
        <v>Incrementar desplazamiento</v>
      </c>
      <c r="F173" s="2314">
        <f>IF(OR(AND(ISNUMBER(SEARCH("&gt;",D27)),S27&gt;0),ISNUMBER(SEARCH(D27,Psiquicos!$AC$10))),IF(OR(G27="",G27="Sí"),1+MAX($F$152:F172),0),0)</f>
        <v>2</v>
      </c>
      <c r="G173" s="1262"/>
      <c r="H173" s="2319" t="str">
        <f t="shared" si="19"/>
        <v/>
      </c>
    </row>
    <row r="174" spans="3:8" ht="12.75" customHeight="1" x14ac:dyDescent="0.2">
      <c r="C174" s="1262"/>
      <c r="D174" s="2319" t="str">
        <f t="shared" si="18"/>
        <v>Incrementar habilidad</v>
      </c>
      <c r="F174" s="2314">
        <f>IF(OR(AND(ISNUMBER(SEARCH("&gt;",D28)),S28&gt;0),ISNUMBER(SEARCH(D28,Psiquicos!$AC$10))),IF(OR(G28="",G28="Sí"),1+MAX($F$152:F173),0),0)</f>
        <v>0</v>
      </c>
      <c r="G174" s="1262"/>
      <c r="H174" s="2319" t="str">
        <f t="shared" si="19"/>
        <v/>
      </c>
    </row>
    <row r="175" spans="3:8" ht="12.75" customHeight="1" x14ac:dyDescent="0.2">
      <c r="C175" s="1262"/>
      <c r="D175" s="2319" t="str">
        <f t="shared" si="18"/>
        <v>Incremento de reacción</v>
      </c>
      <c r="F175" s="2314">
        <f>IF(OR(AND(ISNUMBER(SEARCH("&gt;",D29)),S29&gt;0),ISNUMBER(SEARCH(D29,Psiquicos!$AC$10))),IF(OR(G29="",G29="Sí"),1+MAX($F$152:F174),0),0)</f>
        <v>0</v>
      </c>
      <c r="G175" s="1262"/>
      <c r="H175" s="2319" t="str">
        <f t="shared" si="19"/>
        <v/>
      </c>
    </row>
    <row r="176" spans="3:8" ht="12.75" customHeight="1" x14ac:dyDescent="0.2">
      <c r="C176" s="1262"/>
      <c r="D176" s="2319" t="str">
        <f t="shared" si="18"/>
        <v>Incremento de percepción</v>
      </c>
      <c r="F176" s="2314">
        <f>IF(OR(AND(ISNUMBER(SEARCH("&gt;",D30)),S30&gt;0),ISNUMBER(SEARCH(D30,Psiquicos!$AC$10))),IF(OR(G30="",G30="Sí"),1+MAX($F$152:F175),0),0)</f>
        <v>0</v>
      </c>
      <c r="G176" s="1262"/>
      <c r="H176" s="2319" t="str">
        <f t="shared" si="19"/>
        <v/>
      </c>
    </row>
    <row r="177" spans="3:8" ht="12.75" customHeight="1" x14ac:dyDescent="0.2">
      <c r="C177" s="1262"/>
      <c r="D177" s="2319" t="str">
        <f t="shared" si="18"/>
        <v>Incrementar aguante</v>
      </c>
      <c r="F177" s="2314">
        <f>IF(OR(AND(ISNUMBER(SEARCH("&gt;",D31)),S31&gt;0),ISNUMBER(SEARCH(D31,Psiquicos!$AC$10))),IF(OR(G31="",G31="Sí"),1+MAX($F$152:F176),0),0)</f>
        <v>0</v>
      </c>
      <c r="G177" s="1262"/>
      <c r="H177" s="2319" t="str">
        <f t="shared" si="19"/>
        <v/>
      </c>
    </row>
    <row r="178" spans="3:8" ht="12.75" customHeight="1" x14ac:dyDescent="0.2">
      <c r="C178" s="1262"/>
      <c r="D178" s="2319" t="str">
        <f t="shared" si="18"/>
        <v>Regeneración</v>
      </c>
      <c r="F178" s="2314">
        <f>IF(OR(AND(ISNUMBER(SEARCH("&gt;",D32)),S32&gt;0),ISNUMBER(SEARCH(D32,Psiquicos!$AC$10))),IF(OR(G32="",G32="Sí"),1+MAX($F$152:F177),0),0)</f>
        <v>0</v>
      </c>
      <c r="G178" s="1262"/>
      <c r="H178" s="2319" t="str">
        <f t="shared" si="19"/>
        <v/>
      </c>
    </row>
    <row r="179" spans="3:8" ht="12.75" customHeight="1" x14ac:dyDescent="0.2">
      <c r="C179" s="1262"/>
      <c r="D179" s="2319" t="str">
        <f t="shared" si="18"/>
        <v>Eliminación de cansancio</v>
      </c>
      <c r="F179" s="2314">
        <f>IF(OR(AND(ISNUMBER(SEARCH("&gt;",D33)),S33&gt;0),ISNUMBER(SEARCH(D33,Psiquicos!$AC$10))),IF(OR(G33="",G33="Sí"),1+MAX($F$152:F178),0),0)</f>
        <v>0</v>
      </c>
      <c r="G179" s="1262"/>
      <c r="H179" s="2319" t="str">
        <f t="shared" si="19"/>
        <v/>
      </c>
    </row>
    <row r="180" spans="3:8" ht="12.75" customHeight="1" x14ac:dyDescent="0.2">
      <c r="C180" s="1262"/>
      <c r="D180" s="2319" t="str">
        <f t="shared" si="18"/>
        <v>Incremento total</v>
      </c>
      <c r="F180" s="2314">
        <f>IF(OR(AND(ISNUMBER(SEARCH("&gt;",D34)),S34&gt;0),ISNUMBER(SEARCH(D34,Psiquicos!$AC$10))),IF(OR(G34="",G34="Sí"),1+MAX($F$152:F179),0),0)</f>
        <v>0</v>
      </c>
      <c r="G180" s="1262"/>
      <c r="H180" s="2319" t="str">
        <f t="shared" si="19"/>
        <v/>
      </c>
    </row>
    <row r="181" spans="3:8" ht="12.75" customHeight="1" x14ac:dyDescent="0.2">
      <c r="C181" s="1262"/>
      <c r="D181" s="2319" t="str">
        <f t="shared" si="18"/>
        <v>Imbuir</v>
      </c>
      <c r="F181" s="2314">
        <f>IF(OR(AND(ISNUMBER(SEARCH("&gt;",D35)),S35&gt;0),ISNUMBER(SEARCH(D35,Psiquicos!$AC$10))),IF(OR(G35="",G35="Sí"),1+MAX($F$152:F180),0),0)</f>
        <v>0</v>
      </c>
      <c r="G181" s="1262"/>
      <c r="H181" s="2319" t="str">
        <f t="shared" si="19"/>
        <v/>
      </c>
    </row>
    <row r="182" spans="3:8" ht="12.75" customHeight="1" x14ac:dyDescent="0.2">
      <c r="C182" s="1262"/>
      <c r="D182" s="2319" t="str">
        <f t="shared" si="18"/>
        <v>&gt; PODERES MATRICIALES</v>
      </c>
      <c r="F182" s="2314">
        <f>IF(OR(AND(ISNUMBER(SEARCH("&gt;",D36)),S36&gt;0),ISNUMBER(SEARCH(D36,Psiquicos!$AC$10))),IF(OR(G36="",G36="Sí"),1+MAX($F$152:F181),0),0)</f>
        <v>0</v>
      </c>
      <c r="G182" s="1262"/>
      <c r="H182" s="2319" t="str">
        <f t="shared" si="19"/>
        <v/>
      </c>
    </row>
    <row r="183" spans="3:8" ht="12.75" customHeight="1" x14ac:dyDescent="0.2">
      <c r="C183" s="1262"/>
      <c r="D183" s="2319" t="str">
        <f t="shared" si="18"/>
        <v>Destruir matrices</v>
      </c>
      <c r="F183" s="2314">
        <f>IF(OR(AND(ISNUMBER(SEARCH("&gt;",D37)),S37&gt;0),ISNUMBER(SEARCH(D37,Psiquicos!$AC$10))),IF(OR(G37="",G37="Sí"),1+MAX($F$152:F182),0),0)</f>
        <v>0</v>
      </c>
      <c r="G183" s="1262"/>
      <c r="H183" s="2319" t="str">
        <f t="shared" si="19"/>
        <v/>
      </c>
    </row>
    <row r="184" spans="3:8" ht="12.75" customHeight="1" x14ac:dyDescent="0.2">
      <c r="C184" s="1262"/>
      <c r="D184" s="2319" t="str">
        <f t="shared" si="18"/>
        <v>Sentir matrices</v>
      </c>
      <c r="F184" s="2314">
        <f>IF(OR(AND(ISNUMBER(SEARCH("&gt;",D38)),S38&gt;0),ISNUMBER(SEARCH(D38,Psiquicos!$AC$10))),IF(OR(G38="",G38="Sí"),1+MAX($F$152:F183),0),0)</f>
        <v>0</v>
      </c>
      <c r="G184" s="1262"/>
      <c r="H184" s="2319" t="str">
        <f t="shared" si="19"/>
        <v/>
      </c>
    </row>
    <row r="185" spans="3:8" ht="12.75" customHeight="1" x14ac:dyDescent="0.2">
      <c r="C185" s="1262"/>
      <c r="D185" s="2319" t="str">
        <f t="shared" ref="D185:D216" si="20">IF(ISNA(VLOOKUP(A33,B39:D177,3,FALSE)),"",VLOOKUP(A33,B39:D177,3,FALSE))</f>
        <v>Ocultar matrices</v>
      </c>
      <c r="F185" s="2314">
        <f>IF(OR(AND(ISNUMBER(SEARCH("&gt;",D39)),S39&gt;0),ISNUMBER(SEARCH(D39,Psiquicos!$AC$10))),IF(OR(G39="",G39="Sí"),1+MAX($F$152:F184),0),0)</f>
        <v>0</v>
      </c>
      <c r="G185" s="1262"/>
      <c r="H185" s="2319" t="str">
        <f t="shared" ref="H185:H216" si="21">IF(A33&gt;MAX($F$153:$F$291,0),"",IF(OR(INDEX($G$7:$G$145,MATCH(A33,$F$153:$F$291,0),0)="Sí",INDEX($G$7:$G$145,MATCH(A33,$F$153:$F$291,0),0)=""),INDEX($D$7:$D$145,MATCH(A33,$F$153:$F$291,0),0),""))</f>
        <v/>
      </c>
    </row>
    <row r="186" spans="3:8" ht="12.75" customHeight="1" x14ac:dyDescent="0.2">
      <c r="C186" s="1262"/>
      <c r="D186" s="2319" t="str">
        <f t="shared" si="20"/>
        <v>Conectar matrices</v>
      </c>
      <c r="F186" s="2314">
        <f>IF(OR(AND(ISNUMBER(SEARCH("&gt;",D40)),S40&gt;0),ISNUMBER(SEARCH(D40,Psiquicos!$AC$10))),IF(OR(G40="",G40="Sí"),1+MAX($F$152:F185),0),0)</f>
        <v>0</v>
      </c>
      <c r="G186" s="1262"/>
      <c r="H186" s="2319" t="str">
        <f t="shared" si="21"/>
        <v/>
      </c>
    </row>
    <row r="187" spans="3:8" x14ac:dyDescent="0.2">
      <c r="C187" s="1262"/>
      <c r="D187" s="2319" t="str">
        <f t="shared" si="20"/>
        <v/>
      </c>
      <c r="F187" s="2314">
        <f>IF(OR(AND(ISNUMBER(SEARCH("&gt;",D41)),S41&gt;0),ISNUMBER(SEARCH(D41,Psiquicos!$AC$10))),IF(OR(G41="",G41="Sí"),1+MAX($F$152:F186),0),0)</f>
        <v>0</v>
      </c>
      <c r="G187" s="1262"/>
      <c r="H187" s="2319" t="str">
        <f t="shared" si="21"/>
        <v/>
      </c>
    </row>
    <row r="188" spans="3:8" x14ac:dyDescent="0.2">
      <c r="C188" s="1262"/>
      <c r="D188" s="2319" t="str">
        <f t="shared" si="20"/>
        <v/>
      </c>
      <c r="F188" s="2314">
        <f>IF(OR(AND(ISNUMBER(SEARCH("&gt;",D42)),S42&gt;0),ISNUMBER(SEARCH(D42,Psiquicos!$AC$10))),IF(OR(G42="",G42="Sí"),1+MAX($F$152:F187),0),0)</f>
        <v>0</v>
      </c>
      <c r="G188" s="1262"/>
      <c r="H188" s="2319" t="str">
        <f t="shared" si="21"/>
        <v/>
      </c>
    </row>
    <row r="189" spans="3:8" x14ac:dyDescent="0.2">
      <c r="C189" s="1262"/>
      <c r="D189" s="2319" t="str">
        <f t="shared" si="20"/>
        <v/>
      </c>
      <c r="F189" s="2314">
        <f>IF(OR(AND(ISNUMBER(SEARCH("&gt;",D43)),S43&gt;0),ISNUMBER(SEARCH(D43,Psiquicos!$AC$10))),IF(OR(G43="",G43="Sí"),1+MAX($F$152:F188),0),0)</f>
        <v>0</v>
      </c>
      <c r="G189" s="1262"/>
      <c r="H189" s="2319" t="str">
        <f t="shared" si="21"/>
        <v/>
      </c>
    </row>
    <row r="190" spans="3:8" x14ac:dyDescent="0.2">
      <c r="C190" s="1262"/>
      <c r="D190" s="2319" t="str">
        <f t="shared" si="20"/>
        <v/>
      </c>
      <c r="F190" s="2314">
        <f>IF(OR(AND(ISNUMBER(SEARCH("&gt;",D44)),S44&gt;0),ISNUMBER(SEARCH(D44,Psiquicos!$AC$10))),IF(OR(G44="",G44="Sí"),1+MAX($F$152:F189),0),0)</f>
        <v>0</v>
      </c>
      <c r="G190" s="1262"/>
      <c r="H190" s="2319" t="str">
        <f t="shared" si="21"/>
        <v/>
      </c>
    </row>
    <row r="191" spans="3:8" x14ac:dyDescent="0.2">
      <c r="C191" s="1262"/>
      <c r="D191" s="2319" t="str">
        <f t="shared" si="20"/>
        <v/>
      </c>
      <c r="F191" s="2314">
        <f>IF(OR(AND(ISNUMBER(SEARCH("&gt;",D45)),S45&gt;0),ISNUMBER(SEARCH(D45,Psiquicos!$AC$10))),IF(OR(G45="",G45="Sí"),1+MAX($F$152:F190),0),0)</f>
        <v>0</v>
      </c>
      <c r="G191" s="1262"/>
      <c r="H191" s="2319" t="str">
        <f t="shared" si="21"/>
        <v/>
      </c>
    </row>
    <row r="192" spans="3:8" x14ac:dyDescent="0.2">
      <c r="C192" s="1262"/>
      <c r="D192" s="2319" t="str">
        <f t="shared" si="20"/>
        <v/>
      </c>
      <c r="F192" s="2314">
        <f>IF(OR(AND(ISNUMBER(SEARCH("&gt;",D46)),S46&gt;0),ISNUMBER(SEARCH(D46,Psiquicos!$AC$10))),IF(OR(G46="",G46="Sí"),1+MAX($F$152:F191),0),0)</f>
        <v>0</v>
      </c>
      <c r="G192" s="1262"/>
      <c r="H192" s="2319" t="str">
        <f t="shared" si="21"/>
        <v/>
      </c>
    </row>
    <row r="193" spans="3:8" x14ac:dyDescent="0.2">
      <c r="C193" s="1262"/>
      <c r="D193" s="2319" t="str">
        <f t="shared" si="20"/>
        <v/>
      </c>
      <c r="F193" s="2314">
        <f>IF(OR(AND(ISNUMBER(SEARCH("&gt;",D47)),S47&gt;0),ISNUMBER(SEARCH(D47,Psiquicos!$AC$10))),IF(OR(G47="",G47="Sí"),1+MAX($F$152:F192),0),0)</f>
        <v>0</v>
      </c>
      <c r="G193" s="1262"/>
      <c r="H193" s="2319" t="str">
        <f t="shared" si="21"/>
        <v/>
      </c>
    </row>
    <row r="194" spans="3:8" x14ac:dyDescent="0.2">
      <c r="C194" s="1262"/>
      <c r="D194" s="2319" t="str">
        <f t="shared" si="20"/>
        <v/>
      </c>
      <c r="F194" s="2314">
        <f>IF(OR(AND(ISNUMBER(SEARCH("&gt;",D48)),S48&gt;0),ISNUMBER(SEARCH(D48,Psiquicos!$AC$10))),IF(OR(G48="",G48="Sí"),1+MAX($F$152:F193),0),0)</f>
        <v>0</v>
      </c>
      <c r="G194" s="1262"/>
      <c r="H194" s="2319" t="str">
        <f t="shared" si="21"/>
        <v/>
      </c>
    </row>
    <row r="195" spans="3:8" x14ac:dyDescent="0.2">
      <c r="C195" s="1262"/>
      <c r="D195" s="2319" t="str">
        <f t="shared" si="20"/>
        <v/>
      </c>
      <c r="F195" s="2314">
        <f>IF(OR(AND(ISNUMBER(SEARCH("&gt;",D49)),S49&gt;0),ISNUMBER(SEARCH(D49,Psiquicos!$AC$10))),IF(OR(G49="",G49="Sí"),1+MAX($F$152:F194),0),0)</f>
        <v>0</v>
      </c>
      <c r="G195" s="1262"/>
      <c r="H195" s="2319" t="str">
        <f t="shared" si="21"/>
        <v/>
      </c>
    </row>
    <row r="196" spans="3:8" x14ac:dyDescent="0.2">
      <c r="C196" s="1262"/>
      <c r="D196" s="2319" t="str">
        <f t="shared" si="20"/>
        <v/>
      </c>
      <c r="F196" s="2314">
        <f>IF(OR(AND(ISNUMBER(SEARCH("&gt;",D50)),S50&gt;0),ISNUMBER(SEARCH(D50,Psiquicos!$AC$10))),IF(OR(G50="",G50="Sí"),1+MAX($F$152:F195),0),0)</f>
        <v>0</v>
      </c>
      <c r="G196" s="1262"/>
      <c r="H196" s="2319" t="str">
        <f t="shared" si="21"/>
        <v/>
      </c>
    </row>
    <row r="197" spans="3:8" x14ac:dyDescent="0.2">
      <c r="C197" s="1262"/>
      <c r="D197" s="2319" t="str">
        <f t="shared" si="20"/>
        <v/>
      </c>
      <c r="F197" s="2314">
        <f>IF(OR(AND(ISNUMBER(SEARCH("&gt;",D51)),S51&gt;0),ISNUMBER(SEARCH(D51,Psiquicos!$AC$10))),IF(OR(G51="",G51="Sí"),1+MAX($F$152:F196),0),0)</f>
        <v>0</v>
      </c>
      <c r="G197" s="1262"/>
      <c r="H197" s="2319" t="str">
        <f t="shared" si="21"/>
        <v/>
      </c>
    </row>
    <row r="198" spans="3:8" x14ac:dyDescent="0.2">
      <c r="C198" s="1262"/>
      <c r="D198" s="2319" t="str">
        <f t="shared" si="20"/>
        <v/>
      </c>
      <c r="F198" s="2314">
        <f>IF(OR(AND(ISNUMBER(SEARCH("&gt;",D52)),S52&gt;0),ISNUMBER(SEARCH(D52,Psiquicos!$AC$10))),IF(OR(G52="",G52="Sí"),1+MAX($F$152:F197),0),0)</f>
        <v>0</v>
      </c>
      <c r="G198" s="1262"/>
      <c r="H198" s="2319" t="str">
        <f t="shared" si="21"/>
        <v/>
      </c>
    </row>
    <row r="199" spans="3:8" x14ac:dyDescent="0.2">
      <c r="C199" s="1262"/>
      <c r="D199" s="2319" t="str">
        <f t="shared" si="20"/>
        <v/>
      </c>
      <c r="F199" s="2314">
        <f>IF(OR(AND(ISNUMBER(SEARCH("&gt;",D53)),S53&gt;0),ISNUMBER(SEARCH(D53,Psiquicos!$AC$10))),IF(OR(G53="",G53="Sí"),1+MAX($F$152:F198),0),0)</f>
        <v>0</v>
      </c>
      <c r="G199" s="1262"/>
      <c r="H199" s="2319" t="str">
        <f t="shared" si="21"/>
        <v/>
      </c>
    </row>
    <row r="200" spans="3:8" x14ac:dyDescent="0.2">
      <c r="C200" s="1262"/>
      <c r="D200" s="2319" t="str">
        <f t="shared" si="20"/>
        <v/>
      </c>
      <c r="F200" s="2314">
        <f>IF(OR(AND(ISNUMBER(SEARCH("&gt;",D54)),S54&gt;0),ISNUMBER(SEARCH(D54,Psiquicos!$AC$10))),IF(OR(G54="",G54="Sí"),1+MAX($F$152:F199),0),0)</f>
        <v>0</v>
      </c>
      <c r="G200" s="1262"/>
      <c r="H200" s="2319" t="str">
        <f t="shared" si="21"/>
        <v/>
      </c>
    </row>
    <row r="201" spans="3:8" x14ac:dyDescent="0.2">
      <c r="C201" s="1262"/>
      <c r="D201" s="2319" t="str">
        <f t="shared" si="20"/>
        <v/>
      </c>
      <c r="F201" s="2314">
        <f>IF(OR(AND(ISNUMBER(SEARCH("&gt;",D55)),S55&gt;0),ISNUMBER(SEARCH(D55,Psiquicos!$AC$10))),IF(OR(G55="",G55="Sí"),1+MAX($F$152:F200),0),0)</f>
        <v>0</v>
      </c>
      <c r="G201" s="1262"/>
      <c r="H201" s="2319" t="str">
        <f t="shared" si="21"/>
        <v/>
      </c>
    </row>
    <row r="202" spans="3:8" x14ac:dyDescent="0.2">
      <c r="C202" s="1262"/>
      <c r="D202" s="2319" t="str">
        <f t="shared" si="20"/>
        <v/>
      </c>
      <c r="F202" s="2314">
        <f>IF(OR(AND(ISNUMBER(SEARCH("&gt;",D56)),S56&gt;0),ISNUMBER(SEARCH(D56,Psiquicos!$AC$10))),IF(OR(G56="",G56="Sí"),1+MAX($F$152:F201),0),0)</f>
        <v>0</v>
      </c>
      <c r="G202" s="1262"/>
      <c r="H202" s="2319" t="str">
        <f t="shared" si="21"/>
        <v/>
      </c>
    </row>
    <row r="203" spans="3:8" x14ac:dyDescent="0.2">
      <c r="C203" s="1262"/>
      <c r="D203" s="2319" t="str">
        <f t="shared" si="20"/>
        <v/>
      </c>
      <c r="F203" s="2314">
        <f>IF(OR(AND(ISNUMBER(SEARCH("&gt;",D57)),S57&gt;0),ISNUMBER(SEARCH(D57,Psiquicos!$AC$10))),IF(OR(G57="",G57="Sí"),1+MAX($F$152:F202),0),0)</f>
        <v>0</v>
      </c>
      <c r="G203" s="1262"/>
      <c r="H203" s="2319" t="str">
        <f t="shared" si="21"/>
        <v/>
      </c>
    </row>
    <row r="204" spans="3:8" x14ac:dyDescent="0.2">
      <c r="C204" s="1262"/>
      <c r="D204" s="2319" t="str">
        <f t="shared" si="20"/>
        <v/>
      </c>
      <c r="F204" s="2314">
        <f>IF(OR(AND(ISNUMBER(SEARCH("&gt;",D58)),S58&gt;0),ISNUMBER(SEARCH(D58,Psiquicos!$AC$10))),IF(OR(G58="",G58="Sí"),1+MAX($F$152:F203),0),0)</f>
        <v>0</v>
      </c>
      <c r="G204" s="1262"/>
      <c r="H204" s="2319" t="str">
        <f t="shared" si="21"/>
        <v/>
      </c>
    </row>
    <row r="205" spans="3:8" x14ac:dyDescent="0.2">
      <c r="C205" s="1262"/>
      <c r="D205" s="2319" t="str">
        <f t="shared" si="20"/>
        <v/>
      </c>
      <c r="F205" s="2314">
        <f>IF(OR(AND(ISNUMBER(SEARCH("&gt;",D59)),S59&gt;0),ISNUMBER(SEARCH(D59,Psiquicos!$AC$10))),IF(OR(G59="",G59="Sí"),1+MAX($F$152:F204),0),0)</f>
        <v>0</v>
      </c>
      <c r="G205" s="1262"/>
      <c r="H205" s="2319" t="str">
        <f t="shared" si="21"/>
        <v/>
      </c>
    </row>
    <row r="206" spans="3:8" x14ac:dyDescent="0.2">
      <c r="C206" s="1262"/>
      <c r="D206" s="2319" t="str">
        <f t="shared" si="20"/>
        <v/>
      </c>
      <c r="F206" s="2314">
        <f>IF(OR(AND(ISNUMBER(SEARCH("&gt;",D60)),S60&gt;0),ISNUMBER(SEARCH(D60,Psiquicos!$AC$10))),IF(OR(G60="",G60="Sí"),1+MAX($F$152:F205),0),0)</f>
        <v>0</v>
      </c>
      <c r="G206" s="1262"/>
      <c r="H206" s="2319" t="str">
        <f t="shared" si="21"/>
        <v/>
      </c>
    </row>
    <row r="207" spans="3:8" x14ac:dyDescent="0.2">
      <c r="C207" s="1262"/>
      <c r="D207" s="2319" t="str">
        <f t="shared" si="20"/>
        <v/>
      </c>
      <c r="F207" s="2314">
        <f>IF(OR(AND(ISNUMBER(SEARCH("&gt;",D61)),S61&gt;0),ISNUMBER(SEARCH(D61,Psiquicos!$AC$10))),IF(OR(G61="",G61="Sí"),1+MAX($F$152:F206),0),0)</f>
        <v>0</v>
      </c>
      <c r="G207" s="1262"/>
      <c r="H207" s="2319" t="str">
        <f t="shared" si="21"/>
        <v/>
      </c>
    </row>
    <row r="208" spans="3:8" x14ac:dyDescent="0.2">
      <c r="C208" s="1262"/>
      <c r="D208" s="2319" t="str">
        <f t="shared" si="20"/>
        <v/>
      </c>
      <c r="F208" s="2314">
        <f>IF(OR(AND(ISNUMBER(SEARCH("&gt;",D62)),S62&gt;0),ISNUMBER(SEARCH(D62,Psiquicos!$AC$10))),IF(OR(G62="",G62="Sí"),1+MAX($F$152:F207),0),0)</f>
        <v>0</v>
      </c>
      <c r="G208" s="1262"/>
      <c r="H208" s="2319" t="str">
        <f t="shared" si="21"/>
        <v/>
      </c>
    </row>
    <row r="209" spans="3:8" x14ac:dyDescent="0.2">
      <c r="C209" s="1262"/>
      <c r="D209" s="2319" t="str">
        <f t="shared" si="20"/>
        <v/>
      </c>
      <c r="F209" s="2314">
        <f>IF(OR(AND(ISNUMBER(SEARCH("&gt;",D63)),S63&gt;0),ISNUMBER(SEARCH(D63,Psiquicos!$AC$10))),IF(OR(G63="",G63="Sí"),1+MAX($F$152:F208),0),0)</f>
        <v>0</v>
      </c>
      <c r="G209" s="1262"/>
      <c r="H209" s="2319" t="str">
        <f t="shared" si="21"/>
        <v/>
      </c>
    </row>
    <row r="210" spans="3:8" x14ac:dyDescent="0.2">
      <c r="C210" s="1262"/>
      <c r="D210" s="2319" t="str">
        <f t="shared" si="20"/>
        <v/>
      </c>
      <c r="F210" s="2314">
        <f>IF(OR(AND(ISNUMBER(SEARCH("&gt;",D64)),S64&gt;0),ISNUMBER(SEARCH(D64,Psiquicos!$AC$10))),IF(OR(G64="",G64="Sí"),1+MAX($F$152:F209),0),0)</f>
        <v>3</v>
      </c>
      <c r="G210" s="1262"/>
      <c r="H210" s="2319" t="str">
        <f t="shared" si="21"/>
        <v/>
      </c>
    </row>
    <row r="211" spans="3:8" x14ac:dyDescent="0.2">
      <c r="C211" s="1262"/>
      <c r="D211" s="2319" t="str">
        <f t="shared" si="20"/>
        <v/>
      </c>
      <c r="F211" s="2314">
        <f>IF(OR(AND(ISNUMBER(SEARCH("&gt;",D65)),S65&gt;0),ISNUMBER(SEARCH(D65,Psiquicos!$AC$10))),IF(OR(G65="",G65="Sí"),1+MAX($F$152:F210),0),0)</f>
        <v>0</v>
      </c>
      <c r="G211" s="1262"/>
      <c r="H211" s="2319" t="str">
        <f t="shared" si="21"/>
        <v/>
      </c>
    </row>
    <row r="212" spans="3:8" x14ac:dyDescent="0.2">
      <c r="C212" s="1262"/>
      <c r="D212" s="2319" t="str">
        <f t="shared" si="20"/>
        <v/>
      </c>
      <c r="F212" s="2314">
        <f>IF(OR(AND(ISNUMBER(SEARCH("&gt;",D66)),S66&gt;0),ISNUMBER(SEARCH(D66,Psiquicos!$AC$10))),IF(OR(G66="",G66="Sí"),1+MAX($F$152:F211),0),0)</f>
        <v>0</v>
      </c>
      <c r="G212" s="1262"/>
      <c r="H212" s="2319" t="str">
        <f t="shared" si="21"/>
        <v/>
      </c>
    </row>
    <row r="213" spans="3:8" x14ac:dyDescent="0.2">
      <c r="C213" s="1262"/>
      <c r="D213" s="2319" t="str">
        <f t="shared" si="20"/>
        <v/>
      </c>
      <c r="F213" s="2314">
        <f>IF(OR(AND(ISNUMBER(SEARCH("&gt;",D67)),S67&gt;0),ISNUMBER(SEARCH(D67,Psiquicos!$AC$10))),IF(OR(G67="",G67="Sí"),1+MAX($F$152:F212),0),0)</f>
        <v>4</v>
      </c>
      <c r="G213" s="1262"/>
      <c r="H213" s="2319" t="str">
        <f t="shared" si="21"/>
        <v/>
      </c>
    </row>
    <row r="214" spans="3:8" x14ac:dyDescent="0.2">
      <c r="C214" s="1262"/>
      <c r="D214" s="2319" t="str">
        <f t="shared" si="20"/>
        <v/>
      </c>
      <c r="F214" s="2314">
        <f>IF(OR(AND(ISNUMBER(SEARCH("&gt;",D68)),S68&gt;0),ISNUMBER(SEARCH(D68,Psiquicos!$AC$10))),IF(OR(G68="",G68="Sí"),1+MAX($F$152:F213),0),0)</f>
        <v>0</v>
      </c>
      <c r="G214" s="1262"/>
      <c r="H214" s="2319" t="str">
        <f t="shared" si="21"/>
        <v/>
      </c>
    </row>
    <row r="215" spans="3:8" x14ac:dyDescent="0.2">
      <c r="C215" s="1262"/>
      <c r="D215" s="2319" t="str">
        <f t="shared" si="20"/>
        <v/>
      </c>
      <c r="F215" s="2314">
        <f>IF(OR(AND(ISNUMBER(SEARCH("&gt;",D69)),S69&gt;0),ISNUMBER(SEARCH(D69,Psiquicos!$AC$10))),IF(OR(G69="",G69="Sí"),1+MAX($F$152:F214),0),0)</f>
        <v>5</v>
      </c>
      <c r="G215" s="1262"/>
      <c r="H215" s="2319" t="str">
        <f t="shared" si="21"/>
        <v/>
      </c>
    </row>
    <row r="216" spans="3:8" x14ac:dyDescent="0.2">
      <c r="C216" s="1262"/>
      <c r="D216" s="2319" t="str">
        <f t="shared" si="20"/>
        <v/>
      </c>
      <c r="F216" s="2314">
        <f>IF(OR(AND(ISNUMBER(SEARCH("&gt;",D70)),S70&gt;0),ISNUMBER(SEARCH(D70,Psiquicos!$AC$10))),IF(OR(G70="",G70="Sí"),1+MAX($F$152:F215),0),0)</f>
        <v>6</v>
      </c>
      <c r="G216" s="1262"/>
      <c r="H216" s="2319" t="str">
        <f t="shared" si="21"/>
        <v/>
      </c>
    </row>
    <row r="217" spans="3:8" x14ac:dyDescent="0.2">
      <c r="C217" s="1262"/>
      <c r="D217" s="2319" t="str">
        <f t="shared" ref="D217:D248" si="22">IF(ISNA(VLOOKUP(A65,B71:D209,3,FALSE)),"",VLOOKUP(A65,B71:D209,3,FALSE))</f>
        <v/>
      </c>
      <c r="F217" s="2314">
        <f>IF(OR(AND(ISNUMBER(SEARCH("&gt;",D71)),S71&gt;0),ISNUMBER(SEARCH(D71,Psiquicos!$AC$10))),IF(OR(G71="",G71="Sí"),1+MAX($F$152:F216),0),0)</f>
        <v>7</v>
      </c>
      <c r="G217" s="1262"/>
      <c r="H217" s="2319" t="str">
        <f t="shared" ref="H217:H248" si="23">IF(A65&gt;MAX($F$153:$F$291,0),"",IF(OR(INDEX($G$7:$G$145,MATCH(A65,$F$153:$F$291,0),0)="Sí",INDEX($G$7:$G$145,MATCH(A65,$F$153:$F$291,0),0)=""),INDEX($D$7:$D$145,MATCH(A65,$F$153:$F$291,0),0),""))</f>
        <v/>
      </c>
    </row>
    <row r="218" spans="3:8" x14ac:dyDescent="0.2">
      <c r="C218" s="1262"/>
      <c r="D218" s="2319" t="str">
        <f t="shared" si="22"/>
        <v/>
      </c>
      <c r="F218" s="2314">
        <f>IF(OR(AND(ISNUMBER(SEARCH("&gt;",D72)),S72&gt;0),ISNUMBER(SEARCH(D72,Psiquicos!$AC$10))),IF(OR(G72="",G72="Sí"),1+MAX($F$152:F217),0),0)</f>
        <v>0</v>
      </c>
      <c r="G218" s="1262"/>
      <c r="H218" s="2319" t="str">
        <f t="shared" si="23"/>
        <v/>
      </c>
    </row>
    <row r="219" spans="3:8" x14ac:dyDescent="0.2">
      <c r="C219" s="1262"/>
      <c r="D219" s="2319" t="str">
        <f t="shared" si="22"/>
        <v/>
      </c>
      <c r="F219" s="2314">
        <f>IF(OR(AND(ISNUMBER(SEARCH("&gt;",D73)),S73&gt;0),ISNUMBER(SEARCH(D73,Psiquicos!$AC$10))),IF(OR(G73="",G73="Sí"),1+MAX($F$152:F218),0),0)</f>
        <v>0</v>
      </c>
      <c r="G219" s="1262"/>
      <c r="H219" s="2319" t="str">
        <f t="shared" si="23"/>
        <v/>
      </c>
    </row>
    <row r="220" spans="3:8" x14ac:dyDescent="0.2">
      <c r="C220" s="1262"/>
      <c r="D220" s="2319" t="str">
        <f t="shared" si="22"/>
        <v/>
      </c>
      <c r="F220" s="2314">
        <f>IF(OR(AND(ISNUMBER(SEARCH("&gt;",D74)),S74&gt;0),ISNUMBER(SEARCH(D74,Psiquicos!$AC$10))),IF(OR(G74="",G74="Sí"),1+MAX($F$152:F219),0),0)</f>
        <v>0</v>
      </c>
      <c r="G220" s="1262"/>
      <c r="H220" s="2319" t="str">
        <f t="shared" si="23"/>
        <v/>
      </c>
    </row>
    <row r="221" spans="3:8" x14ac:dyDescent="0.2">
      <c r="C221" s="1262"/>
      <c r="D221" s="2319" t="str">
        <f t="shared" si="22"/>
        <v/>
      </c>
      <c r="F221" s="2314">
        <f>IF(OR(AND(ISNUMBER(SEARCH("&gt;",D75)),S75&gt;0),ISNUMBER(SEARCH(D75,Psiquicos!$AC$10))),IF(OR(G75="",G75="Sí"),1+MAX($F$152:F220),0),0)</f>
        <v>0</v>
      </c>
      <c r="G221" s="1262"/>
      <c r="H221" s="2319" t="str">
        <f t="shared" si="23"/>
        <v/>
      </c>
    </row>
    <row r="222" spans="3:8" x14ac:dyDescent="0.2">
      <c r="C222" s="1262"/>
      <c r="D222" s="2319" t="str">
        <f t="shared" si="22"/>
        <v/>
      </c>
      <c r="F222" s="2314">
        <f>IF(OR(AND(ISNUMBER(SEARCH("&gt;",D76)),S76&gt;0),ISNUMBER(SEARCH(D76,Psiquicos!$AC$10))),IF(OR(G76="",G76="Sí"),1+MAX($F$152:F221),0),0)</f>
        <v>8</v>
      </c>
      <c r="G222" s="1262"/>
      <c r="H222" s="2319" t="str">
        <f t="shared" si="23"/>
        <v/>
      </c>
    </row>
    <row r="223" spans="3:8" x14ac:dyDescent="0.2">
      <c r="C223" s="1262"/>
      <c r="D223" s="2319" t="str">
        <f t="shared" si="22"/>
        <v/>
      </c>
      <c r="F223" s="2314">
        <f>IF(OR(AND(ISNUMBER(SEARCH("&gt;",D77)),S77&gt;0),ISNUMBER(SEARCH(D77,Psiquicos!$AC$10))),IF(OR(G77="",G77="Sí"),1+MAX($F$152:F222),0),0)</f>
        <v>0</v>
      </c>
      <c r="G223" s="1262"/>
      <c r="H223" s="2319" t="str">
        <f t="shared" si="23"/>
        <v/>
      </c>
    </row>
    <row r="224" spans="3:8" x14ac:dyDescent="0.2">
      <c r="C224" s="1262"/>
      <c r="D224" s="2319" t="str">
        <f t="shared" si="22"/>
        <v/>
      </c>
      <c r="F224" s="2314">
        <f>IF(OR(AND(ISNUMBER(SEARCH("&gt;",D78)),S78&gt;0),ISNUMBER(SEARCH(D78,Psiquicos!$AC$10))),IF(OR(G78="",G78="Sí"),1+MAX($F$152:F223),0),0)</f>
        <v>0</v>
      </c>
      <c r="G224" s="1262"/>
      <c r="H224" s="2319" t="str">
        <f t="shared" si="23"/>
        <v/>
      </c>
    </row>
    <row r="225" spans="3:8" x14ac:dyDescent="0.2">
      <c r="C225" s="1262"/>
      <c r="D225" s="2319" t="str">
        <f t="shared" si="22"/>
        <v/>
      </c>
      <c r="F225" s="2314">
        <f>IF(OR(AND(ISNUMBER(SEARCH("&gt;",D79)),S79&gt;0),ISNUMBER(SEARCH(D79,Psiquicos!$AC$10))),IF(OR(G79="",G79="Sí"),1+MAX($F$152:F224),0),0)</f>
        <v>0</v>
      </c>
      <c r="G225" s="1262"/>
      <c r="H225" s="2319" t="str">
        <f t="shared" si="23"/>
        <v/>
      </c>
    </row>
    <row r="226" spans="3:8" x14ac:dyDescent="0.2">
      <c r="C226" s="1262"/>
      <c r="D226" s="2319" t="str">
        <f t="shared" si="22"/>
        <v/>
      </c>
      <c r="F226" s="2314">
        <f>IF(OR(AND(ISNUMBER(SEARCH("&gt;",D80)),S80&gt;0),ISNUMBER(SEARCH(D80,Psiquicos!$AC$10))),IF(OR(G80="",G80="Sí"),1+MAX($F$152:F225),0),0)</f>
        <v>0</v>
      </c>
      <c r="G226" s="1262"/>
      <c r="H226" s="2319" t="str">
        <f t="shared" si="23"/>
        <v/>
      </c>
    </row>
    <row r="227" spans="3:8" x14ac:dyDescent="0.2">
      <c r="C227" s="1262"/>
      <c r="D227" s="2319" t="str">
        <f t="shared" si="22"/>
        <v/>
      </c>
      <c r="F227" s="2314">
        <f>IF(OR(AND(ISNUMBER(SEARCH("&gt;",D81)),S81&gt;0),ISNUMBER(SEARCH(D81,Psiquicos!$AC$10))),IF(OR(G81="",G81="Sí"),1+MAX($F$152:F226),0),0)</f>
        <v>0</v>
      </c>
      <c r="G227" s="1262"/>
      <c r="H227" s="2319" t="str">
        <f t="shared" si="23"/>
        <v/>
      </c>
    </row>
    <row r="228" spans="3:8" x14ac:dyDescent="0.2">
      <c r="C228" s="1262"/>
      <c r="D228" s="2319" t="str">
        <f t="shared" si="22"/>
        <v/>
      </c>
      <c r="F228" s="2314">
        <f>IF(OR(AND(ISNUMBER(SEARCH("&gt;",D82)),S82&gt;0),ISNUMBER(SEARCH(D82,Psiquicos!$AC$10))),IF(OR(G82="",G82="Sí"),1+MAX($F$152:F227),0),0)</f>
        <v>0</v>
      </c>
      <c r="G228" s="1262"/>
      <c r="H228" s="2319" t="str">
        <f t="shared" si="23"/>
        <v/>
      </c>
    </row>
    <row r="229" spans="3:8" x14ac:dyDescent="0.2">
      <c r="C229" s="1262"/>
      <c r="D229" s="2319" t="str">
        <f t="shared" si="22"/>
        <v/>
      </c>
      <c r="F229" s="2314">
        <f>IF(OR(AND(ISNUMBER(SEARCH("&gt;",D83)),S83&gt;0),ISNUMBER(SEARCH(D83,Psiquicos!$AC$10))),IF(OR(G83="",G83="Sí"),1+MAX($F$152:F228),0),0)</f>
        <v>0</v>
      </c>
      <c r="G229" s="1262"/>
      <c r="H229" s="2319" t="str">
        <f t="shared" si="23"/>
        <v/>
      </c>
    </row>
    <row r="230" spans="3:8" x14ac:dyDescent="0.2">
      <c r="C230" s="1262"/>
      <c r="D230" s="2319" t="str">
        <f t="shared" si="22"/>
        <v/>
      </c>
      <c r="F230" s="2314">
        <f>IF(OR(AND(ISNUMBER(SEARCH("&gt;",D84)),S84&gt;0),ISNUMBER(SEARCH(D84,Psiquicos!$AC$10))),IF(OR(G84="",G84="Sí"),1+MAX($F$152:F229),0),0)</f>
        <v>0</v>
      </c>
      <c r="G230" s="1262"/>
      <c r="H230" s="2319" t="str">
        <f t="shared" si="23"/>
        <v/>
      </c>
    </row>
    <row r="231" spans="3:8" x14ac:dyDescent="0.2">
      <c r="C231" s="1262"/>
      <c r="D231" s="2319" t="str">
        <f t="shared" si="22"/>
        <v/>
      </c>
      <c r="F231" s="2314">
        <f>IF(OR(AND(ISNUMBER(SEARCH("&gt;",D85)),S85&gt;0),ISNUMBER(SEARCH(D85,Psiquicos!$AC$10))),IF(OR(G85="",G85="Sí"),1+MAX($F$152:F230),0),0)</f>
        <v>0</v>
      </c>
      <c r="G231" s="1262"/>
      <c r="H231" s="2319" t="str">
        <f t="shared" si="23"/>
        <v/>
      </c>
    </row>
    <row r="232" spans="3:8" x14ac:dyDescent="0.2">
      <c r="C232" s="1262"/>
      <c r="D232" s="2319" t="str">
        <f t="shared" si="22"/>
        <v/>
      </c>
      <c r="F232" s="2314">
        <f>IF(OR(AND(ISNUMBER(SEARCH("&gt;",D86)),S86&gt;0),ISNUMBER(SEARCH(D86,Psiquicos!$AC$10))),IF(OR(G86="",G86="Sí"),1+MAX($F$152:F231),0),0)</f>
        <v>0</v>
      </c>
      <c r="G232" s="1262"/>
      <c r="H232" s="2319" t="str">
        <f t="shared" si="23"/>
        <v/>
      </c>
    </row>
    <row r="233" spans="3:8" x14ac:dyDescent="0.2">
      <c r="C233" s="1262"/>
      <c r="D233" s="2319" t="str">
        <f t="shared" si="22"/>
        <v/>
      </c>
      <c r="F233" s="2314">
        <f>IF(OR(AND(ISNUMBER(SEARCH("&gt;",D87)),S87&gt;0),ISNUMBER(SEARCH(D87,Psiquicos!$AC$10))),IF(OR(G87="",G87="Sí"),1+MAX($F$152:F232),0),0)</f>
        <v>0</v>
      </c>
      <c r="G233" s="1262"/>
      <c r="H233" s="2319" t="str">
        <f t="shared" si="23"/>
        <v/>
      </c>
    </row>
    <row r="234" spans="3:8" x14ac:dyDescent="0.2">
      <c r="C234" s="1262"/>
      <c r="D234" s="2319" t="str">
        <f t="shared" si="22"/>
        <v/>
      </c>
      <c r="F234" s="2314">
        <f>IF(OR(AND(ISNUMBER(SEARCH("&gt;",D88)),S88&gt;0),ISNUMBER(SEARCH(D88,Psiquicos!$AC$10))),IF(OR(G88="",G88="Sí"),1+MAX($F$152:F233),0),0)</f>
        <v>0</v>
      </c>
      <c r="G234" s="1262"/>
      <c r="H234" s="2319" t="str">
        <f t="shared" si="23"/>
        <v/>
      </c>
    </row>
    <row r="235" spans="3:8" x14ac:dyDescent="0.2">
      <c r="C235" s="1262"/>
      <c r="D235" s="2319" t="str">
        <f t="shared" si="22"/>
        <v/>
      </c>
      <c r="F235" s="2314">
        <f>IF(OR(AND(ISNUMBER(SEARCH("&gt;",D89)),S89&gt;0),ISNUMBER(SEARCH(D89,Psiquicos!$AC$10))),IF(OR(G89="",G89="Sí"),1+MAX($F$152:F234),0),0)</f>
        <v>0</v>
      </c>
      <c r="G235" s="1262"/>
      <c r="H235" s="2319" t="str">
        <f t="shared" si="23"/>
        <v/>
      </c>
    </row>
    <row r="236" spans="3:8" x14ac:dyDescent="0.2">
      <c r="C236" s="1262"/>
      <c r="D236" s="2319" t="str">
        <f t="shared" si="22"/>
        <v/>
      </c>
      <c r="F236" s="2314">
        <f>IF(OR(AND(ISNUMBER(SEARCH("&gt;",D90)),S90&gt;0),ISNUMBER(SEARCH(D90,Psiquicos!$AC$10))),IF(OR(G90="",G90="Sí"),1+MAX($F$152:F235),0),0)</f>
        <v>0</v>
      </c>
      <c r="G236" s="1262"/>
      <c r="H236" s="2319" t="str">
        <f t="shared" si="23"/>
        <v/>
      </c>
    </row>
    <row r="237" spans="3:8" x14ac:dyDescent="0.2">
      <c r="C237" s="1262"/>
      <c r="D237" s="2319" t="str">
        <f t="shared" si="22"/>
        <v/>
      </c>
      <c r="F237" s="2314">
        <f>IF(OR(AND(ISNUMBER(SEARCH("&gt;",D91)),S91&gt;0),ISNUMBER(SEARCH(D91,Psiquicos!$AC$10))),IF(OR(G91="",G91="Sí"),1+MAX($F$152:F236),0),0)</f>
        <v>0</v>
      </c>
      <c r="G237" s="1262"/>
      <c r="H237" s="2319" t="str">
        <f t="shared" si="23"/>
        <v/>
      </c>
    </row>
    <row r="238" spans="3:8" x14ac:dyDescent="0.2">
      <c r="C238" s="1262"/>
      <c r="D238" s="2319" t="str">
        <f t="shared" si="22"/>
        <v/>
      </c>
      <c r="F238" s="2314">
        <f>IF(OR(AND(ISNUMBER(SEARCH("&gt;",D92)),S92&gt;0),ISNUMBER(SEARCH(D92,Psiquicos!$AC$10))),IF(OR(G92="",G92="Sí"),1+MAX($F$152:F237),0),0)</f>
        <v>0</v>
      </c>
      <c r="G238" s="1262"/>
      <c r="H238" s="2319" t="str">
        <f t="shared" si="23"/>
        <v/>
      </c>
    </row>
    <row r="239" spans="3:8" x14ac:dyDescent="0.2">
      <c r="C239" s="1262"/>
      <c r="D239" s="2319" t="str">
        <f t="shared" si="22"/>
        <v/>
      </c>
      <c r="F239" s="2314">
        <f>IF(OR(AND(ISNUMBER(SEARCH("&gt;",D93)),S93&gt;0),ISNUMBER(SEARCH(D93,Psiquicos!$AC$10))),IF(OR(G93="",G93="Sí"),1+MAX($F$152:F238),0),0)</f>
        <v>0</v>
      </c>
      <c r="G239" s="1262"/>
      <c r="H239" s="2319" t="str">
        <f t="shared" si="23"/>
        <v/>
      </c>
    </row>
    <row r="240" spans="3:8" x14ac:dyDescent="0.2">
      <c r="C240" s="1262"/>
      <c r="D240" s="2319" t="str">
        <f t="shared" si="22"/>
        <v/>
      </c>
      <c r="F240" s="2314">
        <f>IF(OR(AND(ISNUMBER(SEARCH("&gt;",D94)),S94&gt;0),ISNUMBER(SEARCH(D94,Psiquicos!$AC$10))),IF(OR(G94="",G94="Sí"),1+MAX($F$152:F239),0),0)</f>
        <v>0</v>
      </c>
      <c r="G240" s="1262"/>
      <c r="H240" s="2319" t="str">
        <f t="shared" si="23"/>
        <v/>
      </c>
    </row>
    <row r="241" spans="3:8" x14ac:dyDescent="0.2">
      <c r="C241" s="1262"/>
      <c r="D241" s="2319" t="str">
        <f t="shared" si="22"/>
        <v/>
      </c>
      <c r="F241" s="2314">
        <f>IF(OR(AND(ISNUMBER(SEARCH("&gt;",D95)),S95&gt;0),ISNUMBER(SEARCH(D95,Psiquicos!$AC$10))),IF(OR(G95="",G95="Sí"),1+MAX($F$152:F240),0),0)</f>
        <v>0</v>
      </c>
      <c r="G241" s="1262"/>
      <c r="H241" s="2319" t="str">
        <f t="shared" si="23"/>
        <v/>
      </c>
    </row>
    <row r="242" spans="3:8" x14ac:dyDescent="0.2">
      <c r="C242" s="1262"/>
      <c r="D242" s="2319" t="str">
        <f t="shared" si="22"/>
        <v/>
      </c>
      <c r="F242" s="2314">
        <f>IF(OR(AND(ISNUMBER(SEARCH("&gt;",D96)),S96&gt;0),ISNUMBER(SEARCH(D96,Psiquicos!$AC$10))),IF(OR(G96="",G96="Sí"),1+MAX($F$152:F241),0),0)</f>
        <v>0</v>
      </c>
      <c r="G242" s="1262"/>
      <c r="H242" s="2319" t="str">
        <f t="shared" si="23"/>
        <v/>
      </c>
    </row>
    <row r="243" spans="3:8" x14ac:dyDescent="0.2">
      <c r="C243" s="1262"/>
      <c r="D243" s="2319" t="str">
        <f t="shared" si="22"/>
        <v/>
      </c>
      <c r="F243" s="2314">
        <f>IF(OR(AND(ISNUMBER(SEARCH("&gt;",D97)),S97&gt;0),ISNUMBER(SEARCH(D97,Psiquicos!$AC$10))),IF(OR(G97="",G97="Sí"),1+MAX($F$152:F242),0),0)</f>
        <v>0</v>
      </c>
      <c r="G243" s="1262"/>
      <c r="H243" s="2319" t="str">
        <f t="shared" si="23"/>
        <v/>
      </c>
    </row>
    <row r="244" spans="3:8" x14ac:dyDescent="0.2">
      <c r="C244" s="1262"/>
      <c r="D244" s="2319" t="str">
        <f t="shared" si="22"/>
        <v/>
      </c>
      <c r="F244" s="2314">
        <f>IF(OR(AND(ISNUMBER(SEARCH("&gt;",D98)),S98&gt;0),ISNUMBER(SEARCH(D98,Psiquicos!$AC$10))),IF(OR(G98="",G98="Sí"),1+MAX($F$152:F243),0),0)</f>
        <v>0</v>
      </c>
      <c r="G244" s="1262"/>
      <c r="H244" s="2319" t="str">
        <f t="shared" si="23"/>
        <v/>
      </c>
    </row>
    <row r="245" spans="3:8" x14ac:dyDescent="0.2">
      <c r="C245" s="1262"/>
      <c r="D245" s="2319" t="str">
        <f t="shared" si="22"/>
        <v/>
      </c>
      <c r="F245" s="2314">
        <f>IF(OR(AND(ISNUMBER(SEARCH("&gt;",D99)),S99&gt;0),ISNUMBER(SEARCH(D99,Psiquicos!$AC$10))),IF(OR(G99="",G99="Sí"),1+MAX($F$152:F244),0),0)</f>
        <v>0</v>
      </c>
      <c r="G245" s="1262"/>
      <c r="H245" s="2319" t="str">
        <f t="shared" si="23"/>
        <v/>
      </c>
    </row>
    <row r="246" spans="3:8" x14ac:dyDescent="0.2">
      <c r="C246" s="1262"/>
      <c r="D246" s="2319" t="str">
        <f t="shared" si="22"/>
        <v/>
      </c>
      <c r="F246" s="2314">
        <f>IF(OR(AND(ISNUMBER(SEARCH("&gt;",D100)),S100&gt;0),ISNUMBER(SEARCH(D100,Psiquicos!$AC$10))),IF(OR(G100="",G100="Sí"),1+MAX($F$152:F245),0),0)</f>
        <v>0</v>
      </c>
      <c r="G246" s="1262"/>
      <c r="H246" s="2319" t="str">
        <f t="shared" si="23"/>
        <v/>
      </c>
    </row>
    <row r="247" spans="3:8" x14ac:dyDescent="0.2">
      <c r="C247" s="1262"/>
      <c r="D247" s="2319" t="str">
        <f t="shared" si="22"/>
        <v/>
      </c>
      <c r="F247" s="2314">
        <f>IF(OR(AND(ISNUMBER(SEARCH("&gt;",D101)),S101&gt;0),ISNUMBER(SEARCH(D101,Psiquicos!$AC$10))),IF(OR(G101="",G101="Sí"),1+MAX($F$152:F246),0),0)</f>
        <v>0</v>
      </c>
      <c r="G247" s="1262"/>
      <c r="H247" s="2319" t="str">
        <f t="shared" si="23"/>
        <v/>
      </c>
    </row>
    <row r="248" spans="3:8" x14ac:dyDescent="0.2">
      <c r="C248" s="1262"/>
      <c r="D248" s="2319" t="str">
        <f t="shared" si="22"/>
        <v/>
      </c>
      <c r="F248" s="2314">
        <f>IF(OR(AND(ISNUMBER(SEARCH("&gt;",D102)),S102&gt;0),ISNUMBER(SEARCH(D102,Psiquicos!$AC$10))),IF(OR(G102="",G102="Sí"),1+MAX($F$152:F247),0),0)</f>
        <v>0</v>
      </c>
      <c r="G248" s="1262"/>
      <c r="H248" s="2319" t="str">
        <f t="shared" si="23"/>
        <v/>
      </c>
    </row>
    <row r="249" spans="3:8" x14ac:dyDescent="0.2">
      <c r="C249" s="1262"/>
      <c r="D249" s="2319" t="str">
        <f t="shared" ref="D249:D280" si="24">IF(ISNA(VLOOKUP(A97,B103:D241,3,FALSE)),"",VLOOKUP(A97,B103:D241,3,FALSE))</f>
        <v/>
      </c>
      <c r="F249" s="2314">
        <f>IF(OR(AND(ISNUMBER(SEARCH("&gt;",D103)),S103&gt;0),ISNUMBER(SEARCH(D103,Psiquicos!$AC$10))),IF(OR(G103="",G103="Sí"),1+MAX($F$152:F248),0),0)</f>
        <v>0</v>
      </c>
      <c r="G249" s="1262"/>
      <c r="H249" s="2319" t="str">
        <f t="shared" ref="H249:H280" si="25">IF(A97&gt;MAX($F$153:$F$291,0),"",IF(OR(INDEX($G$7:$G$145,MATCH(A97,$F$153:$F$291,0),0)="Sí",INDEX($G$7:$G$145,MATCH(A97,$F$153:$F$291,0),0)=""),INDEX($D$7:$D$145,MATCH(A97,$F$153:$F$291,0),0),""))</f>
        <v/>
      </c>
    </row>
    <row r="250" spans="3:8" x14ac:dyDescent="0.2">
      <c r="C250" s="1262"/>
      <c r="D250" s="2319" t="str">
        <f t="shared" si="24"/>
        <v/>
      </c>
      <c r="F250" s="2314">
        <f>IF(OR(AND(ISNUMBER(SEARCH("&gt;",D104)),S104&gt;0),ISNUMBER(SEARCH(D104,Psiquicos!$AC$10))),IF(OR(G104="",G104="Sí"),1+MAX($F$152:F249),0),0)</f>
        <v>0</v>
      </c>
      <c r="G250" s="1262"/>
      <c r="H250" s="2319" t="str">
        <f t="shared" si="25"/>
        <v/>
      </c>
    </row>
    <row r="251" spans="3:8" x14ac:dyDescent="0.2">
      <c r="C251" s="1262"/>
      <c r="D251" s="2319" t="str">
        <f t="shared" si="24"/>
        <v/>
      </c>
      <c r="F251" s="2314">
        <f>IF(OR(AND(ISNUMBER(SEARCH("&gt;",D105)),S105&gt;0),ISNUMBER(SEARCH(D105,Psiquicos!$AC$10))),IF(OR(G105="",G105="Sí"),1+MAX($F$152:F250),0),0)</f>
        <v>0</v>
      </c>
      <c r="G251" s="1262"/>
      <c r="H251" s="2319" t="str">
        <f t="shared" si="25"/>
        <v/>
      </c>
    </row>
    <row r="252" spans="3:8" x14ac:dyDescent="0.2">
      <c r="C252" s="1262"/>
      <c r="D252" s="2319" t="str">
        <f t="shared" si="24"/>
        <v/>
      </c>
      <c r="F252" s="2314">
        <f>IF(OR(AND(ISNUMBER(SEARCH("&gt;",D106)),S106&gt;0),ISNUMBER(SEARCH(D106,Psiquicos!$AC$10))),IF(OR(G106="",G106="Sí"),1+MAX($F$152:F251),0),0)</f>
        <v>0</v>
      </c>
      <c r="G252" s="1262"/>
      <c r="H252" s="2319" t="str">
        <f t="shared" si="25"/>
        <v/>
      </c>
    </row>
    <row r="253" spans="3:8" x14ac:dyDescent="0.2">
      <c r="C253" s="1262"/>
      <c r="D253" s="2319" t="str">
        <f t="shared" si="24"/>
        <v/>
      </c>
      <c r="F253" s="2314">
        <f>IF(OR(AND(ISNUMBER(SEARCH("&gt;",D107)),S107&gt;0),ISNUMBER(SEARCH(D107,Psiquicos!$AC$10))),IF(OR(G107="",G107="Sí"),1+MAX($F$152:F252),0),0)</f>
        <v>0</v>
      </c>
      <c r="G253" s="1262"/>
      <c r="H253" s="2319" t="str">
        <f t="shared" si="25"/>
        <v/>
      </c>
    </row>
    <row r="254" spans="3:8" x14ac:dyDescent="0.2">
      <c r="C254" s="1262"/>
      <c r="D254" s="2319" t="str">
        <f t="shared" si="24"/>
        <v/>
      </c>
      <c r="F254" s="2314">
        <f>IF(OR(AND(ISNUMBER(SEARCH("&gt;",D108)),S108&gt;0),ISNUMBER(SEARCH(D108,Psiquicos!$AC$10))),IF(OR(G108="",G108="Sí"),1+MAX($F$152:F253),0),0)</f>
        <v>0</v>
      </c>
      <c r="G254" s="1262"/>
      <c r="H254" s="2319" t="str">
        <f t="shared" si="25"/>
        <v/>
      </c>
    </row>
    <row r="255" spans="3:8" x14ac:dyDescent="0.2">
      <c r="C255" s="1262"/>
      <c r="D255" s="2319" t="str">
        <f t="shared" si="24"/>
        <v/>
      </c>
      <c r="F255" s="2314">
        <f>IF(OR(AND(ISNUMBER(SEARCH("&gt;",D109)),S109&gt;0),ISNUMBER(SEARCH(D109,Psiquicos!$AC$10))),IF(OR(G109="",G109="Sí"),1+MAX($F$152:F254),0),0)</f>
        <v>0</v>
      </c>
      <c r="G255" s="1262"/>
      <c r="H255" s="2319" t="str">
        <f t="shared" si="25"/>
        <v/>
      </c>
    </row>
    <row r="256" spans="3:8" x14ac:dyDescent="0.2">
      <c r="C256" s="1262"/>
      <c r="D256" s="2319" t="str">
        <f t="shared" si="24"/>
        <v/>
      </c>
      <c r="F256" s="2314">
        <f>IF(OR(AND(ISNUMBER(SEARCH("&gt;",D110)),S110&gt;0),ISNUMBER(SEARCH(D110,Psiquicos!$AC$10))),IF(OR(G110="",G110="Sí"),1+MAX($F$152:F255),0),0)</f>
        <v>0</v>
      </c>
      <c r="G256" s="1262"/>
      <c r="H256" s="2319" t="str">
        <f t="shared" si="25"/>
        <v/>
      </c>
    </row>
    <row r="257" spans="3:8" x14ac:dyDescent="0.2">
      <c r="C257" s="1262"/>
      <c r="D257" s="2319" t="str">
        <f t="shared" si="24"/>
        <v/>
      </c>
      <c r="F257" s="2314">
        <f>IF(OR(AND(ISNUMBER(SEARCH("&gt;",D111)),S111&gt;0),ISNUMBER(SEARCH(D111,Psiquicos!$AC$10))),IF(OR(G111="",G111="Sí"),1+MAX($F$152:F256),0),0)</f>
        <v>0</v>
      </c>
      <c r="G257" s="1262"/>
      <c r="H257" s="2319" t="str">
        <f t="shared" si="25"/>
        <v/>
      </c>
    </row>
    <row r="258" spans="3:8" x14ac:dyDescent="0.2">
      <c r="C258" s="1262"/>
      <c r="D258" s="2319" t="str">
        <f t="shared" si="24"/>
        <v/>
      </c>
      <c r="F258" s="2314">
        <f>IF(OR(AND(ISNUMBER(SEARCH("&gt;",D112)),S112&gt;0),ISNUMBER(SEARCH(D112,Psiquicos!$AC$10))),IF(OR(G112="",G112="Sí"),1+MAX($F$152:F257),0),0)</f>
        <v>0</v>
      </c>
      <c r="G258" s="1262"/>
      <c r="H258" s="2319" t="str">
        <f t="shared" si="25"/>
        <v/>
      </c>
    </row>
    <row r="259" spans="3:8" x14ac:dyDescent="0.2">
      <c r="C259" s="1262"/>
      <c r="D259" s="2319" t="str">
        <f t="shared" si="24"/>
        <v/>
      </c>
      <c r="F259" s="2314">
        <f>IF(OR(AND(ISNUMBER(SEARCH("&gt;",D113)),S113&gt;0),ISNUMBER(SEARCH(D113,Psiquicos!$AC$10))),IF(OR(G113="",G113="Sí"),1+MAX($F$152:F258),0),0)</f>
        <v>0</v>
      </c>
      <c r="G259" s="1262"/>
      <c r="H259" s="2319" t="str">
        <f t="shared" si="25"/>
        <v/>
      </c>
    </row>
    <row r="260" spans="3:8" x14ac:dyDescent="0.2">
      <c r="C260" s="1262"/>
      <c r="D260" s="2319" t="str">
        <f t="shared" si="24"/>
        <v/>
      </c>
      <c r="F260" s="2314">
        <f>IF(OR(AND(ISNUMBER(SEARCH("&gt;",D114)),S114&gt;0),ISNUMBER(SEARCH(D114,Psiquicos!$AC$10))),IF(OR(G114="",G114="Sí"),1+MAX($F$152:F259),0),0)</f>
        <v>0</v>
      </c>
      <c r="G260" s="1262"/>
      <c r="H260" s="2319" t="str">
        <f t="shared" si="25"/>
        <v/>
      </c>
    </row>
    <row r="261" spans="3:8" x14ac:dyDescent="0.2">
      <c r="C261" s="1262"/>
      <c r="D261" s="2319" t="str">
        <f t="shared" si="24"/>
        <v/>
      </c>
      <c r="F261" s="2314">
        <f>IF(OR(AND(ISNUMBER(SEARCH("&gt;",D115)),S115&gt;0),ISNUMBER(SEARCH(D115,Psiquicos!$AC$10))),IF(OR(G115="",G115="Sí"),1+MAX($F$152:F260),0),0)</f>
        <v>0</v>
      </c>
      <c r="G261" s="1262"/>
      <c r="H261" s="2319" t="str">
        <f t="shared" si="25"/>
        <v/>
      </c>
    </row>
    <row r="262" spans="3:8" x14ac:dyDescent="0.2">
      <c r="C262" s="1262"/>
      <c r="D262" s="2319" t="str">
        <f t="shared" si="24"/>
        <v/>
      </c>
      <c r="F262" s="2314">
        <f>IF(OR(AND(ISNUMBER(SEARCH("&gt;",D116)),S116&gt;0),ISNUMBER(SEARCH(D116,Psiquicos!$AC$10))),IF(OR(G116="",G116="Sí"),1+MAX($F$152:F261),0),0)</f>
        <v>0</v>
      </c>
      <c r="G262" s="1262"/>
      <c r="H262" s="2319" t="str">
        <f t="shared" si="25"/>
        <v/>
      </c>
    </row>
    <row r="263" spans="3:8" x14ac:dyDescent="0.2">
      <c r="C263" s="1262"/>
      <c r="D263" s="2319" t="str">
        <f t="shared" si="24"/>
        <v/>
      </c>
      <c r="F263" s="2314">
        <f>IF(OR(AND(ISNUMBER(SEARCH("&gt;",D117)),S117&gt;0),ISNUMBER(SEARCH(D117,Psiquicos!$AC$10))),IF(OR(G117="",G117="Sí"),1+MAX($F$152:F262),0),0)</f>
        <v>0</v>
      </c>
      <c r="G263" s="1262"/>
      <c r="H263" s="2319" t="str">
        <f t="shared" si="25"/>
        <v/>
      </c>
    </row>
    <row r="264" spans="3:8" x14ac:dyDescent="0.2">
      <c r="C264" s="1262"/>
      <c r="D264" s="2319" t="str">
        <f t="shared" si="24"/>
        <v/>
      </c>
      <c r="F264" s="2314">
        <f>IF(OR(AND(ISNUMBER(SEARCH("&gt;",D118)),S118&gt;0),ISNUMBER(SEARCH(D118,Psiquicos!$AC$10))),IF(OR(G118="",G118="Sí"),1+MAX($F$152:F263),0),0)</f>
        <v>0</v>
      </c>
      <c r="G264" s="1262"/>
      <c r="H264" s="2319" t="str">
        <f t="shared" si="25"/>
        <v/>
      </c>
    </row>
    <row r="265" spans="3:8" x14ac:dyDescent="0.2">
      <c r="C265" s="1262"/>
      <c r="D265" s="2319" t="str">
        <f t="shared" si="24"/>
        <v/>
      </c>
      <c r="F265" s="2314">
        <f>IF(OR(AND(ISNUMBER(SEARCH("&gt;",D119)),S119&gt;0),ISNUMBER(SEARCH(D119,Psiquicos!$AC$10))),IF(OR(G119="",G119="Sí"),1+MAX($F$152:F264),0),0)</f>
        <v>0</v>
      </c>
      <c r="G265" s="1262"/>
      <c r="H265" s="2319" t="str">
        <f t="shared" si="25"/>
        <v/>
      </c>
    </row>
    <row r="266" spans="3:8" x14ac:dyDescent="0.2">
      <c r="C266" s="1262"/>
      <c r="D266" s="2319" t="str">
        <f t="shared" si="24"/>
        <v/>
      </c>
      <c r="F266" s="2314">
        <f>IF(OR(AND(ISNUMBER(SEARCH("&gt;",D120)),S120&gt;0),ISNUMBER(SEARCH(D120,Psiquicos!$AC$10))),IF(OR(G120="",G120="Sí"),1+MAX($F$152:F265),0),0)</f>
        <v>0</v>
      </c>
      <c r="G266" s="1262"/>
      <c r="H266" s="2319" t="str">
        <f t="shared" si="25"/>
        <v/>
      </c>
    </row>
    <row r="267" spans="3:8" x14ac:dyDescent="0.2">
      <c r="C267" s="1262"/>
      <c r="D267" s="2319" t="str">
        <f t="shared" si="24"/>
        <v/>
      </c>
      <c r="F267" s="2314">
        <f>IF(OR(AND(ISNUMBER(SEARCH("&gt;",D121)),S121&gt;0),ISNUMBER(SEARCH(D121,Psiquicos!$AC$10))),IF(OR(G121="",G121="Sí"),1+MAX($F$152:F266),0),0)</f>
        <v>0</v>
      </c>
      <c r="G267" s="1262"/>
      <c r="H267" s="2319" t="str">
        <f t="shared" si="25"/>
        <v/>
      </c>
    </row>
    <row r="268" spans="3:8" x14ac:dyDescent="0.2">
      <c r="C268" s="1262"/>
      <c r="D268" s="2319" t="str">
        <f t="shared" si="24"/>
        <v/>
      </c>
      <c r="F268" s="2314">
        <f>IF(OR(AND(ISNUMBER(SEARCH("&gt;",D122)),S122&gt;0),ISNUMBER(SEARCH(D122,Psiquicos!$AC$10))),IF(OR(G122="",G122="Sí"),1+MAX($F$152:F267),0),0)</f>
        <v>0</v>
      </c>
      <c r="G268" s="1262"/>
      <c r="H268" s="2319" t="str">
        <f t="shared" si="25"/>
        <v/>
      </c>
    </row>
    <row r="269" spans="3:8" x14ac:dyDescent="0.2">
      <c r="C269" s="1262"/>
      <c r="D269" s="2319" t="str">
        <f t="shared" si="24"/>
        <v/>
      </c>
      <c r="F269" s="2314">
        <f>IF(OR(AND(ISNUMBER(SEARCH("&gt;",D123)),S123&gt;0),ISNUMBER(SEARCH(D123,Psiquicos!$AC$10))),IF(OR(G123="",G123="Sí"),1+MAX($F$152:F268),0),0)</f>
        <v>0</v>
      </c>
      <c r="G269" s="1262"/>
      <c r="H269" s="2319" t="str">
        <f t="shared" si="25"/>
        <v/>
      </c>
    </row>
    <row r="270" spans="3:8" x14ac:dyDescent="0.2">
      <c r="C270" s="1262"/>
      <c r="D270" s="2319" t="str">
        <f t="shared" si="24"/>
        <v/>
      </c>
      <c r="F270" s="2314">
        <f>IF(OR(AND(ISNUMBER(SEARCH("&gt;",D124)),S124&gt;0),ISNUMBER(SEARCH(D124,Psiquicos!$AC$10))),IF(OR(G124="",G124="Sí"),1+MAX($F$152:F269),0),0)</f>
        <v>0</v>
      </c>
      <c r="G270" s="1262"/>
      <c r="H270" s="2319" t="str">
        <f t="shared" si="25"/>
        <v/>
      </c>
    </row>
    <row r="271" spans="3:8" x14ac:dyDescent="0.2">
      <c r="C271" s="1262"/>
      <c r="D271" s="2319" t="str">
        <f t="shared" si="24"/>
        <v/>
      </c>
      <c r="F271" s="2314">
        <f>IF(OR(AND(ISNUMBER(SEARCH("&gt;",D125)),S125&gt;0),ISNUMBER(SEARCH(D125,Psiquicos!$AC$10))),IF(OR(G125="",G125="Sí"),1+MAX($F$152:F270),0),0)</f>
        <v>0</v>
      </c>
      <c r="G271" s="1262"/>
      <c r="H271" s="2319" t="str">
        <f t="shared" si="25"/>
        <v/>
      </c>
    </row>
    <row r="272" spans="3:8" x14ac:dyDescent="0.2">
      <c r="C272" s="1262"/>
      <c r="D272" s="2319" t="str">
        <f t="shared" si="24"/>
        <v/>
      </c>
      <c r="F272" s="2314">
        <f>IF(OR(AND(ISNUMBER(SEARCH("&gt;",D126)),S126&gt;0),ISNUMBER(SEARCH(D126,Psiquicos!$AC$10))),IF(OR(G126="",G126="Sí"),1+MAX($F$152:F271),0),0)</f>
        <v>0</v>
      </c>
      <c r="G272" s="1262"/>
      <c r="H272" s="2319" t="str">
        <f t="shared" si="25"/>
        <v/>
      </c>
    </row>
    <row r="273" spans="3:8" x14ac:dyDescent="0.2">
      <c r="C273" s="1262"/>
      <c r="D273" s="2319" t="str">
        <f t="shared" si="24"/>
        <v/>
      </c>
      <c r="F273" s="2314">
        <f>IF(OR(AND(ISNUMBER(SEARCH("&gt;",D127)),S127&gt;0),ISNUMBER(SEARCH(D127,Psiquicos!$AC$10))),IF(OR(G127="",G127="Sí"),1+MAX($F$152:F272),0),0)</f>
        <v>0</v>
      </c>
      <c r="G273" s="1262"/>
      <c r="H273" s="2319" t="str">
        <f t="shared" si="25"/>
        <v/>
      </c>
    </row>
    <row r="274" spans="3:8" x14ac:dyDescent="0.2">
      <c r="C274" s="1262"/>
      <c r="D274" s="2319" t="str">
        <f t="shared" si="24"/>
        <v/>
      </c>
      <c r="F274" s="2314">
        <f>IF(OR(AND(ISNUMBER(SEARCH("&gt;",D128)),S128&gt;0),ISNUMBER(SEARCH(D128,Psiquicos!$AC$10))),IF(OR(G128="",G128="Sí"),1+MAX($F$152:F273),0),0)</f>
        <v>0</v>
      </c>
      <c r="G274" s="1262"/>
      <c r="H274" s="2319" t="str">
        <f t="shared" si="25"/>
        <v/>
      </c>
    </row>
    <row r="275" spans="3:8" x14ac:dyDescent="0.2">
      <c r="C275" s="1262"/>
      <c r="D275" s="2319" t="str">
        <f t="shared" si="24"/>
        <v/>
      </c>
      <c r="F275" s="2314">
        <f>IF(OR(AND(ISNUMBER(SEARCH("&gt;",D129)),S129&gt;0),ISNUMBER(SEARCH(D129,Psiquicos!$AC$10))),IF(OR(G129="",G129="Sí"),1+MAX($F$152:F274),0),0)</f>
        <v>0</v>
      </c>
      <c r="G275" s="1262"/>
      <c r="H275" s="2319" t="str">
        <f t="shared" si="25"/>
        <v/>
      </c>
    </row>
    <row r="276" spans="3:8" x14ac:dyDescent="0.2">
      <c r="C276" s="1262"/>
      <c r="D276" s="2319" t="str">
        <f t="shared" si="24"/>
        <v/>
      </c>
      <c r="F276" s="2314">
        <f>IF(OR(AND(ISNUMBER(SEARCH("&gt;",D130)),S130&gt;0),ISNUMBER(SEARCH(D130,Psiquicos!$AC$10))),IF(OR(G130="",G130="Sí"),1+MAX($F$152:F275),0),0)</f>
        <v>0</v>
      </c>
      <c r="G276" s="1262"/>
      <c r="H276" s="2319" t="str">
        <f t="shared" si="25"/>
        <v/>
      </c>
    </row>
    <row r="277" spans="3:8" x14ac:dyDescent="0.2">
      <c r="C277" s="1262"/>
      <c r="D277" s="2319" t="str">
        <f t="shared" si="24"/>
        <v/>
      </c>
      <c r="F277" s="2314">
        <f>IF(OR(AND(ISNUMBER(SEARCH("&gt;",D131)),S131&gt;0),ISNUMBER(SEARCH(D131,Psiquicos!$AC$10))),IF(OR(G131="",G131="Sí"),1+MAX($F$152:F276),0),0)</f>
        <v>0</v>
      </c>
      <c r="G277" s="1262"/>
      <c r="H277" s="2319" t="str">
        <f t="shared" si="25"/>
        <v/>
      </c>
    </row>
    <row r="278" spans="3:8" x14ac:dyDescent="0.2">
      <c r="C278" s="1262"/>
      <c r="D278" s="2319" t="str">
        <f t="shared" si="24"/>
        <v/>
      </c>
      <c r="F278" s="2314">
        <f>IF(OR(AND(ISNUMBER(SEARCH("&gt;",D132)),S132&gt;0),ISNUMBER(SEARCH(D132,Psiquicos!$AC$10))),IF(OR(G132="",G132="Sí"),1+MAX($F$152:F277),0),0)</f>
        <v>0</v>
      </c>
      <c r="G278" s="1262"/>
      <c r="H278" s="2319" t="str">
        <f t="shared" si="25"/>
        <v/>
      </c>
    </row>
    <row r="279" spans="3:8" x14ac:dyDescent="0.2">
      <c r="C279" s="1262"/>
      <c r="D279" s="2319" t="str">
        <f t="shared" si="24"/>
        <v/>
      </c>
      <c r="F279" s="2314">
        <f>IF(OR(AND(ISNUMBER(SEARCH("&gt;",D133)),S133&gt;0),ISNUMBER(SEARCH(D133,Psiquicos!$AC$10))),IF(OR(G133="",G133="Sí"),1+MAX($F$152:F278),0),0)</f>
        <v>0</v>
      </c>
      <c r="G279" s="1262"/>
      <c r="H279" s="2319" t="str">
        <f t="shared" si="25"/>
        <v/>
      </c>
    </row>
    <row r="280" spans="3:8" x14ac:dyDescent="0.2">
      <c r="C280" s="1262"/>
      <c r="D280" s="2319" t="str">
        <f t="shared" si="24"/>
        <v/>
      </c>
      <c r="F280" s="2314">
        <f>IF(OR(AND(ISNUMBER(SEARCH("&gt;",D134)),S134&gt;0),ISNUMBER(SEARCH(D134,Psiquicos!$AC$10))),IF(OR(G134="",G134="Sí"),1+MAX($F$152:F279),0),0)</f>
        <v>0</v>
      </c>
      <c r="G280" s="1262"/>
      <c r="H280" s="2319" t="str">
        <f t="shared" si="25"/>
        <v/>
      </c>
    </row>
    <row r="281" spans="3:8" x14ac:dyDescent="0.2">
      <c r="C281" s="1262"/>
      <c r="D281" s="2319" t="str">
        <f t="shared" ref="D281:D291" si="26">IF(ISNA(VLOOKUP(A129,B135:D273,3,FALSE)),"",VLOOKUP(A129,B135:D273,3,FALSE))</f>
        <v/>
      </c>
      <c r="F281" s="2314">
        <f>IF(OR(AND(ISNUMBER(SEARCH("&gt;",D135)),S135&gt;0),ISNUMBER(SEARCH(D135,Psiquicos!$AC$10))),IF(OR(G135="",G135="Sí"),1+MAX($F$152:F280),0),0)</f>
        <v>0</v>
      </c>
      <c r="G281" s="1262"/>
      <c r="H281" s="2319" t="str">
        <f t="shared" ref="H281:H291" si="27">IF(A129&gt;MAX($F$153:$F$291,0),"",IF(OR(INDEX($G$7:$G$145,MATCH(A129,$F$153:$F$291,0),0)="Sí",INDEX($G$7:$G$145,MATCH(A129,$F$153:$F$291,0),0)=""),INDEX($D$7:$D$145,MATCH(A129,$F$153:$F$291,0),0),""))</f>
        <v/>
      </c>
    </row>
    <row r="282" spans="3:8" x14ac:dyDescent="0.2">
      <c r="C282" s="1262"/>
      <c r="D282" s="2319" t="str">
        <f t="shared" si="26"/>
        <v/>
      </c>
      <c r="F282" s="2314">
        <f>IF(OR(AND(ISNUMBER(SEARCH("&gt;",D136)),S136&gt;0),ISNUMBER(SEARCH(D136,Psiquicos!$AC$10))),IF(OR(G136="",G136="Sí"),1+MAX($F$152:F281),0),0)</f>
        <v>0</v>
      </c>
      <c r="G282" s="1262"/>
      <c r="H282" s="2319" t="str">
        <f t="shared" si="27"/>
        <v/>
      </c>
    </row>
    <row r="283" spans="3:8" x14ac:dyDescent="0.2">
      <c r="C283" s="1262"/>
      <c r="D283" s="2319" t="str">
        <f t="shared" si="26"/>
        <v/>
      </c>
      <c r="F283" s="2314">
        <f>IF(OR(AND(ISNUMBER(SEARCH("&gt;",D137)),S137&gt;0),ISNUMBER(SEARCH(D137,Psiquicos!$AC$10))),IF(OR(G137="",G137="Sí"),1+MAX($F$152:F282),0),0)</f>
        <v>0</v>
      </c>
      <c r="G283" s="1262"/>
      <c r="H283" s="2319" t="str">
        <f t="shared" si="27"/>
        <v/>
      </c>
    </row>
    <row r="284" spans="3:8" x14ac:dyDescent="0.2">
      <c r="C284" s="1262"/>
      <c r="D284" s="2319" t="str">
        <f t="shared" si="26"/>
        <v/>
      </c>
      <c r="F284" s="2314">
        <f>IF(OR(AND(ISNUMBER(SEARCH("&gt;",D138)),S138&gt;0),ISNUMBER(SEARCH(D138,Psiquicos!$AC$10))),IF(OR(G138="",G138="Sí"),1+MAX($F$152:F283),0),0)</f>
        <v>0</v>
      </c>
      <c r="G284" s="1262"/>
      <c r="H284" s="2319" t="str">
        <f t="shared" si="27"/>
        <v/>
      </c>
    </row>
    <row r="285" spans="3:8" x14ac:dyDescent="0.2">
      <c r="C285" s="1262"/>
      <c r="D285" s="2319" t="str">
        <f t="shared" si="26"/>
        <v/>
      </c>
      <c r="F285" s="2314">
        <f>IF(OR(AND(ISNUMBER(SEARCH("&gt;",D139)),S139&gt;0),ISNUMBER(SEARCH(D139,Psiquicos!$AC$10))),IF(OR(G139="",G139="Sí"),1+MAX($F$152:F284),0),0)</f>
        <v>0</v>
      </c>
      <c r="G285" s="1262"/>
      <c r="H285" s="2319" t="str">
        <f t="shared" si="27"/>
        <v/>
      </c>
    </row>
    <row r="286" spans="3:8" x14ac:dyDescent="0.2">
      <c r="C286" s="1262"/>
      <c r="D286" s="2319" t="str">
        <f t="shared" si="26"/>
        <v/>
      </c>
      <c r="F286" s="2314">
        <f>IF(OR(AND(ISNUMBER(SEARCH("&gt;",D140)),S140&gt;0),ISNUMBER(SEARCH(D140,Psiquicos!$AC$10))),IF(OR(G140="",G140="Sí"),1+MAX($F$152:F285),0),0)</f>
        <v>0</v>
      </c>
      <c r="G286" s="1262"/>
      <c r="H286" s="2319" t="str">
        <f t="shared" si="27"/>
        <v/>
      </c>
    </row>
    <row r="287" spans="3:8" x14ac:dyDescent="0.2">
      <c r="C287" s="1262"/>
      <c r="D287" s="2319" t="str">
        <f t="shared" si="26"/>
        <v/>
      </c>
      <c r="F287" s="2314">
        <f>IF(OR(AND(ISNUMBER(SEARCH("&gt;",D141)),S141&gt;0),ISNUMBER(SEARCH(D141,Psiquicos!$AC$10))),IF(OR(G141="",G141="Sí"),1+MAX($F$152:F286),0),0)</f>
        <v>9</v>
      </c>
      <c r="G287" s="1262"/>
      <c r="H287" s="2319" t="str">
        <f t="shared" si="27"/>
        <v/>
      </c>
    </row>
    <row r="288" spans="3:8" x14ac:dyDescent="0.2">
      <c r="C288" s="1262"/>
      <c r="D288" s="2319" t="str">
        <f t="shared" si="26"/>
        <v/>
      </c>
      <c r="F288" s="2314">
        <f>IF(OR(AND(ISNUMBER(SEARCH("&gt;",D142)),S142&gt;0),ISNUMBER(SEARCH(D142,Psiquicos!$AC$10))),IF(OR(G142="",G142="Sí"),1+MAX($F$152:F287),0),0)</f>
        <v>10</v>
      </c>
      <c r="G288" s="1262"/>
      <c r="H288" s="2319" t="str">
        <f t="shared" si="27"/>
        <v/>
      </c>
    </row>
    <row r="289" spans="3:8" x14ac:dyDescent="0.2">
      <c r="C289" s="1262"/>
      <c r="D289" s="2319" t="str">
        <f t="shared" si="26"/>
        <v/>
      </c>
      <c r="F289" s="2314">
        <f>IF(OR(AND(ISNUMBER(SEARCH("&gt;",D143)),S143&gt;0),ISNUMBER(SEARCH(D143,Psiquicos!$AC$10))),IF(OR(G143="",G143="Sí"),1+MAX($F$152:F288),0),0)</f>
        <v>11</v>
      </c>
      <c r="G289" s="1262"/>
      <c r="H289" s="2319" t="str">
        <f t="shared" si="27"/>
        <v/>
      </c>
    </row>
    <row r="290" spans="3:8" x14ac:dyDescent="0.2">
      <c r="C290" s="1262"/>
      <c r="D290" s="2319" t="str">
        <f t="shared" si="26"/>
        <v/>
      </c>
      <c r="F290" s="2314">
        <f>IF(OR(AND(ISNUMBER(SEARCH("&gt;",D144)),S144&gt;0),ISNUMBER(SEARCH(D144,Psiquicos!$AC$10))),IF(OR(G144="",G144="Sí"),1+MAX($F$152:F289),0),0)</f>
        <v>12</v>
      </c>
      <c r="G290" s="1262"/>
      <c r="H290" s="2319" t="str">
        <f t="shared" si="27"/>
        <v/>
      </c>
    </row>
    <row r="291" spans="3:8" ht="13.5" thickBot="1" x14ac:dyDescent="0.25">
      <c r="C291" s="1273"/>
      <c r="D291" s="2320" t="str">
        <f t="shared" si="26"/>
        <v/>
      </c>
      <c r="F291" s="2315">
        <f>IF(OR(AND(ISNUMBER(SEARCH("&gt;",D145)),S145&gt;0),ISNUMBER(SEARCH(D145,Psiquicos!$AC$10))),IF(OR(G145="",G145="Sí"),1+MAX($F$152:F290),0),0)</f>
        <v>13</v>
      </c>
      <c r="G291" s="1273"/>
      <c r="H291" s="2320" t="str">
        <f t="shared" si="27"/>
        <v/>
      </c>
    </row>
    <row r="292" spans="3:8" x14ac:dyDescent="0.2">
      <c r="D292" s="2324" t="s">
        <v>9577</v>
      </c>
    </row>
    <row r="293" spans="3:8" x14ac:dyDescent="0.2">
      <c r="D293" s="2323"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38" customWidth="1"/>
    <col min="2" max="2" width="3.140625" style="839" bestFit="1" customWidth="1"/>
    <col min="3" max="3" width="5.5703125" style="839" bestFit="1" customWidth="1"/>
    <col min="4" max="4" width="4.140625" style="839" bestFit="1" customWidth="1"/>
    <col min="5" max="5" width="5.85546875" style="839" bestFit="1" customWidth="1"/>
    <col min="6" max="6" width="4.7109375" style="839" bestFit="1" customWidth="1"/>
    <col min="7" max="7" width="4.5703125" style="839" bestFit="1" customWidth="1"/>
    <col min="8" max="8" width="4.85546875" style="839" bestFit="1" customWidth="1"/>
    <col min="9" max="9" width="6.28515625" style="839" bestFit="1" customWidth="1"/>
    <col min="10" max="10" width="9.7109375" style="839" bestFit="1" customWidth="1"/>
    <col min="11" max="11" width="7.7109375" style="839" bestFit="1" customWidth="1"/>
    <col min="12" max="12" width="4.42578125" style="840" bestFit="1" customWidth="1"/>
    <col min="13" max="13" width="3" style="839" bestFit="1" customWidth="1"/>
    <col min="14" max="14" width="4.5703125" style="839" bestFit="1" customWidth="1"/>
    <col min="15" max="15" width="3" style="839" bestFit="1" customWidth="1"/>
    <col min="16" max="16" width="4.5703125" style="839" bestFit="1" customWidth="1"/>
    <col min="17" max="17" width="4" style="839" bestFit="1" customWidth="1"/>
    <col min="18" max="18" width="4.5703125" style="839" bestFit="1" customWidth="1"/>
    <col min="19" max="19" width="3" style="839" bestFit="1" customWidth="1"/>
    <col min="20" max="20" width="7.7109375" style="839" bestFit="1" customWidth="1"/>
    <col min="21" max="22" width="9.28515625" style="839" bestFit="1" customWidth="1"/>
    <col min="23" max="23" width="1.85546875" style="839" bestFit="1" customWidth="1"/>
    <col min="24" max="24" width="35" style="839" customWidth="1"/>
    <col min="25" max="25" width="6.28515625" style="839" customWidth="1"/>
    <col min="26" max="26" width="20" style="839" customWidth="1"/>
    <col min="27" max="27" width="3.28515625" customWidth="1"/>
    <col min="28" max="28" width="3.7109375" style="843" customWidth="1"/>
    <col min="29" max="29" width="11.42578125" style="840"/>
    <col min="30" max="30" width="8.85546875" style="1028" customWidth="1"/>
    <col min="31" max="31" width="3.5703125" style="839" customWidth="1"/>
    <col min="32" max="32" width="12.85546875" style="839" customWidth="1"/>
    <col min="33" max="33" width="20.28515625" style="303" customWidth="1"/>
    <col min="34" max="34" width="29.140625" style="1025" customWidth="1"/>
    <col min="35" max="35" width="18.28515625" style="1029" customWidth="1"/>
    <col min="36" max="36" width="8.7109375" customWidth="1"/>
    <col min="37" max="37" width="14.140625" customWidth="1"/>
    <col min="38" max="38" width="31" style="839" customWidth="1"/>
    <col min="41" max="42" width="11.42578125" style="1471"/>
    <col min="49" max="16384" width="11.42578125" style="839"/>
  </cols>
  <sheetData>
    <row r="1" spans="1:48" ht="13.5" customHeight="1" thickBot="1" x14ac:dyDescent="0.25">
      <c r="X1" s="841" t="s">
        <v>3978</v>
      </c>
      <c r="Z1" s="842" t="s">
        <v>3979</v>
      </c>
      <c r="AB1" s="5000" t="s">
        <v>3980</v>
      </c>
      <c r="AC1" s="5000"/>
      <c r="AD1" s="5000"/>
      <c r="AE1" s="5000"/>
      <c r="AF1" s="5000"/>
      <c r="AG1" s="5000"/>
      <c r="AH1" s="5000"/>
      <c r="AI1" s="5000"/>
      <c r="AJ1" s="5000"/>
      <c r="AK1" s="5000"/>
      <c r="AM1" s="894"/>
      <c r="AN1" s="894"/>
      <c r="AO1" s="1470"/>
      <c r="AP1" s="1470"/>
      <c r="AQ1" s="894"/>
      <c r="AR1" s="894"/>
      <c r="AS1" s="894"/>
      <c r="AT1" s="894"/>
      <c r="AU1" s="894"/>
      <c r="AV1" s="894"/>
    </row>
    <row r="2" spans="1:48" ht="12.75" customHeight="1" x14ac:dyDescent="0.2">
      <c r="A2" s="844" t="s">
        <v>3982</v>
      </c>
      <c r="B2" s="845"/>
      <c r="C2" s="846" t="s">
        <v>3983</v>
      </c>
      <c r="E2" s="5004" t="s">
        <v>3984</v>
      </c>
      <c r="F2" s="5005"/>
      <c r="G2" s="847"/>
      <c r="H2" s="5004" t="s">
        <v>819</v>
      </c>
      <c r="I2" s="5006"/>
      <c r="J2" s="5005"/>
      <c r="L2" s="5004" t="s">
        <v>3985</v>
      </c>
      <c r="M2" s="5006"/>
      <c r="N2" s="5005"/>
      <c r="P2" s="5007" t="s">
        <v>3986</v>
      </c>
      <c r="Q2" s="5008"/>
      <c r="R2" s="5008"/>
      <c r="S2" s="5009"/>
      <c r="U2" s="5010" t="s">
        <v>3987</v>
      </c>
      <c r="V2" s="5011"/>
      <c r="X2" s="848" t="s">
        <v>3988</v>
      </c>
      <c r="Z2" s="849" t="s">
        <v>3989</v>
      </c>
      <c r="AB2" s="1445"/>
      <c r="AC2" s="1445"/>
      <c r="AD2" s="1447">
        <v>1</v>
      </c>
      <c r="AE2" s="1447">
        <v>2</v>
      </c>
      <c r="AF2" s="1447">
        <v>3</v>
      </c>
      <c r="AG2" s="1447">
        <v>4</v>
      </c>
      <c r="AH2" s="1447">
        <v>5</v>
      </c>
      <c r="AI2" s="1447">
        <v>6</v>
      </c>
      <c r="AJ2" s="1447">
        <v>7</v>
      </c>
      <c r="AK2" s="1447">
        <v>8</v>
      </c>
      <c r="AM2" s="894"/>
      <c r="AN2" s="894"/>
      <c r="AO2" s="1470"/>
      <c r="AP2" s="1470"/>
      <c r="AQ2" s="894"/>
      <c r="AR2" s="894"/>
      <c r="AS2" s="894"/>
      <c r="AT2" s="894"/>
      <c r="AU2" s="894"/>
      <c r="AV2" s="894"/>
    </row>
    <row r="3" spans="1:48" ht="12.75" customHeight="1" thickBot="1" x14ac:dyDescent="0.25">
      <c r="A3" s="853" t="s">
        <v>2226</v>
      </c>
      <c r="C3" s="854" t="s">
        <v>3090</v>
      </c>
      <c r="E3" s="855" t="s">
        <v>3990</v>
      </c>
      <c r="F3" s="856" t="s">
        <v>2356</v>
      </c>
      <c r="G3" s="847"/>
      <c r="H3" s="855" t="s">
        <v>2252</v>
      </c>
      <c r="I3" s="857" t="s">
        <v>3990</v>
      </c>
      <c r="J3" s="856" t="s">
        <v>2356</v>
      </c>
      <c r="L3" s="855" t="s">
        <v>3990</v>
      </c>
      <c r="M3" s="857" t="s">
        <v>3991</v>
      </c>
      <c r="N3" s="856" t="s">
        <v>2356</v>
      </c>
      <c r="P3" s="858"/>
      <c r="Q3" s="5012" t="s">
        <v>2356</v>
      </c>
      <c r="R3" s="5012"/>
      <c r="S3" s="859"/>
      <c r="U3" s="860" t="s">
        <v>3990</v>
      </c>
      <c r="V3" s="861" t="s">
        <v>3992</v>
      </c>
      <c r="X3" s="848" t="s">
        <v>3993</v>
      </c>
      <c r="Z3" s="862" t="s">
        <v>3994</v>
      </c>
      <c r="AB3" s="1446">
        <v>1</v>
      </c>
      <c r="AC3" s="1446">
        <v>2</v>
      </c>
      <c r="AD3" s="1446">
        <v>3</v>
      </c>
      <c r="AE3" s="1446">
        <v>4</v>
      </c>
      <c r="AF3" s="1446">
        <v>5</v>
      </c>
      <c r="AG3" s="1446">
        <v>6</v>
      </c>
      <c r="AH3" s="1446">
        <v>7</v>
      </c>
      <c r="AI3" s="1446">
        <v>8</v>
      </c>
      <c r="AJ3" s="1446">
        <v>9</v>
      </c>
      <c r="AK3" s="1446">
        <v>10</v>
      </c>
      <c r="AM3" s="894"/>
      <c r="AN3" s="894"/>
      <c r="AO3" s="1470"/>
      <c r="AP3" s="1470"/>
      <c r="AQ3" s="894"/>
      <c r="AR3" s="894"/>
      <c r="AS3" s="894"/>
      <c r="AT3" s="894"/>
      <c r="AU3" s="894"/>
      <c r="AV3" s="894"/>
    </row>
    <row r="4" spans="1:48" ht="12" customHeight="1" thickBot="1" x14ac:dyDescent="0.25">
      <c r="A4" s="853" t="s">
        <v>2354</v>
      </c>
      <c r="C4" s="868" t="s">
        <v>2234</v>
      </c>
      <c r="E4" s="869">
        <v>1</v>
      </c>
      <c r="F4" s="870">
        <v>10</v>
      </c>
      <c r="H4" s="871" t="s">
        <v>3995</v>
      </c>
      <c r="I4" s="872">
        <v>1</v>
      </c>
      <c r="J4" s="870">
        <v>0</v>
      </c>
      <c r="L4" s="869">
        <v>0</v>
      </c>
      <c r="M4" s="872">
        <v>0</v>
      </c>
      <c r="N4" s="870">
        <v>0</v>
      </c>
      <c r="P4" s="873" t="s">
        <v>3990</v>
      </c>
      <c r="Q4" s="874" t="s">
        <v>3996</v>
      </c>
      <c r="R4" s="874" t="s">
        <v>3997</v>
      </c>
      <c r="S4" s="875"/>
      <c r="U4" s="876">
        <v>1</v>
      </c>
      <c r="V4" s="877">
        <v>1</v>
      </c>
      <c r="X4" s="848" t="s">
        <v>3998</v>
      </c>
      <c r="Z4" s="862" t="s">
        <v>3999</v>
      </c>
      <c r="AB4" s="864" t="s">
        <v>8725</v>
      </c>
      <c r="AC4" s="1523"/>
      <c r="AD4" s="1524" t="s">
        <v>8730</v>
      </c>
      <c r="AE4" s="1525" t="s">
        <v>2256</v>
      </c>
      <c r="AF4" s="1525" t="s">
        <v>4000</v>
      </c>
      <c r="AG4" s="1526" t="s">
        <v>2345</v>
      </c>
      <c r="AH4" s="1527" t="s">
        <v>4001</v>
      </c>
      <c r="AI4" s="1528" t="s">
        <v>3987</v>
      </c>
      <c r="AJ4" s="5013" t="s">
        <v>4025</v>
      </c>
      <c r="AK4" s="5001" t="s">
        <v>3981</v>
      </c>
      <c r="AM4" s="894"/>
      <c r="AN4" s="894"/>
      <c r="AO4" s="1470"/>
      <c r="AP4" s="1470"/>
      <c r="AQ4" s="894"/>
      <c r="AR4" s="894"/>
      <c r="AS4" s="894"/>
      <c r="AT4" s="894"/>
      <c r="AU4" s="894"/>
      <c r="AV4" s="894"/>
    </row>
    <row r="5" spans="1:48" ht="13.5" customHeight="1" thickBot="1" x14ac:dyDescent="0.25">
      <c r="A5" s="853" t="s">
        <v>2231</v>
      </c>
      <c r="E5" s="869">
        <v>2</v>
      </c>
      <c r="F5" s="870">
        <v>20</v>
      </c>
      <c r="H5" s="871" t="s">
        <v>3995</v>
      </c>
      <c r="I5" s="872">
        <v>2</v>
      </c>
      <c r="J5" s="870">
        <v>40</v>
      </c>
      <c r="L5" s="869">
        <v>1</v>
      </c>
      <c r="M5" s="872">
        <v>3</v>
      </c>
      <c r="N5" s="870">
        <v>10</v>
      </c>
      <c r="P5" s="869">
        <f>0</f>
        <v>0</v>
      </c>
      <c r="Q5" s="872">
        <v>0</v>
      </c>
      <c r="R5" s="872">
        <v>0</v>
      </c>
      <c r="S5" s="870"/>
      <c r="U5" s="876">
        <v>2</v>
      </c>
      <c r="V5" s="877">
        <v>2</v>
      </c>
      <c r="X5" s="848" t="s">
        <v>4002</v>
      </c>
      <c r="Z5" s="862" t="s">
        <v>4003</v>
      </c>
      <c r="AB5" s="864"/>
      <c r="AC5" s="884"/>
      <c r="AD5" s="885" t="s">
        <v>4004</v>
      </c>
      <c r="AE5" s="886"/>
      <c r="AF5" s="887"/>
      <c r="AG5" s="888"/>
      <c r="AH5" s="889"/>
      <c r="AI5" s="890"/>
      <c r="AJ5" s="5014"/>
      <c r="AK5" s="5002"/>
      <c r="AL5" s="1503"/>
      <c r="AM5" s="894"/>
      <c r="AN5" s="894"/>
      <c r="AO5" s="1470"/>
      <c r="AP5" s="1470"/>
      <c r="AQ5" s="894"/>
      <c r="AR5" s="894"/>
      <c r="AS5" s="894"/>
      <c r="AT5" s="894"/>
      <c r="AU5" s="894"/>
      <c r="AV5" s="894"/>
    </row>
    <row r="6" spans="1:48" s="894" customFormat="1" ht="18" customHeight="1" thickBot="1" x14ac:dyDescent="0.25">
      <c r="A6" s="853" t="s">
        <v>2236</v>
      </c>
      <c r="E6" s="895">
        <v>3</v>
      </c>
      <c r="F6" s="896">
        <v>30</v>
      </c>
      <c r="H6" s="897" t="s">
        <v>3995</v>
      </c>
      <c r="I6" s="898">
        <v>3</v>
      </c>
      <c r="J6" s="899">
        <v>60</v>
      </c>
      <c r="L6" s="900">
        <v>2</v>
      </c>
      <c r="M6" s="898">
        <v>6</v>
      </c>
      <c r="N6" s="899">
        <v>20</v>
      </c>
      <c r="P6" s="900">
        <f>1</f>
        <v>1</v>
      </c>
      <c r="Q6" s="898">
        <v>20</v>
      </c>
      <c r="R6" s="898">
        <v>50</v>
      </c>
      <c r="S6" s="899"/>
      <c r="U6" s="901">
        <v>3</v>
      </c>
      <c r="V6" s="902">
        <v>3</v>
      </c>
      <c r="X6" s="903" t="s">
        <v>4006</v>
      </c>
      <c r="Z6" s="904" t="s">
        <v>4007</v>
      </c>
      <c r="AB6" s="1519">
        <v>1</v>
      </c>
      <c r="AC6" s="906"/>
      <c r="AD6" s="1468" t="str">
        <f>'Creacion de Tecnicas'!E8</f>
        <v>Nombre de la técnica</v>
      </c>
      <c r="AE6" s="1504">
        <f>'Creacion de Tecnicas'!D8</f>
        <v>1</v>
      </c>
      <c r="AF6" s="907">
        <f>'Creacion de Tecnicas'!BT11</f>
        <v>0</v>
      </c>
      <c r="AG6" s="908" t="str">
        <f>'Creacion de Tecnicas'!DU34</f>
        <v/>
      </c>
      <c r="AH6" s="1560" t="str">
        <f>'Creacion de Tecnicas'!DV34</f>
        <v/>
      </c>
      <c r="AI6" s="1560" t="str">
        <f>'Creacion de Tecnicas'!DW34</f>
        <v/>
      </c>
      <c r="AJ6" s="1561" t="str">
        <f>'Creacion de Tecnicas'!DX34</f>
        <v/>
      </c>
      <c r="AK6" s="1425">
        <v>8</v>
      </c>
      <c r="AO6" s="1470"/>
      <c r="AP6" s="1470"/>
    </row>
    <row r="7" spans="1:48" s="894" customFormat="1" ht="18" customHeight="1" thickBot="1" x14ac:dyDescent="0.25">
      <c r="A7" s="853" t="s">
        <v>2244</v>
      </c>
      <c r="H7" s="897" t="s">
        <v>4008</v>
      </c>
      <c r="I7" s="898">
        <v>1</v>
      </c>
      <c r="J7" s="899">
        <v>0</v>
      </c>
      <c r="L7" s="895">
        <v>3</v>
      </c>
      <c r="M7" s="910">
        <v>9</v>
      </c>
      <c r="N7" s="896">
        <v>30</v>
      </c>
      <c r="P7" s="900">
        <f>2</f>
        <v>2</v>
      </c>
      <c r="Q7" s="898">
        <v>40</v>
      </c>
      <c r="R7" s="898">
        <v>100</v>
      </c>
      <c r="S7" s="899"/>
      <c r="U7" s="911" t="s">
        <v>4009</v>
      </c>
      <c r="X7" s="903" t="s">
        <v>4010</v>
      </c>
      <c r="Z7" s="904" t="s">
        <v>4011</v>
      </c>
      <c r="AB7" s="1520">
        <v>2</v>
      </c>
      <c r="AC7" s="906"/>
      <c r="AD7" s="1469" t="str">
        <f>'Creacion de Tecnicas'!E45</f>
        <v>Nombre de la técnica</v>
      </c>
      <c r="AE7" s="1472">
        <f>'Creacion de Tecnicas'!D45</f>
        <v>1</v>
      </c>
      <c r="AF7" s="907">
        <f>'Creacion de Tecnicas'!BT48</f>
        <v>0</v>
      </c>
      <c r="AG7" s="908" t="str">
        <f>'Creacion de Tecnicas'!DU71</f>
        <v/>
      </c>
      <c r="AH7" s="1560" t="str">
        <f>'Creacion de Tecnicas'!DV71</f>
        <v/>
      </c>
      <c r="AI7" s="1560" t="str">
        <f>'Creacion de Tecnicas'!DW71</f>
        <v/>
      </c>
      <c r="AJ7" s="1561" t="str">
        <f>'Creacion de Tecnicas'!DX71</f>
        <v/>
      </c>
      <c r="AK7" s="1425">
        <f t="shared" ref="AK7:AK15" si="0">AK6+37</f>
        <v>45</v>
      </c>
      <c r="AO7" s="1470"/>
      <c r="AP7" s="1470"/>
    </row>
    <row r="8" spans="1:48" s="894" customFormat="1" ht="18" customHeight="1" thickBot="1" x14ac:dyDescent="0.25">
      <c r="A8" s="914" t="s">
        <v>2245</v>
      </c>
      <c r="H8" s="897" t="s">
        <v>4008</v>
      </c>
      <c r="I8" s="898">
        <v>2</v>
      </c>
      <c r="J8" s="899">
        <v>60</v>
      </c>
      <c r="L8" s="915"/>
      <c r="P8" s="895">
        <f>3</f>
        <v>3</v>
      </c>
      <c r="Q8" s="910">
        <v>60</v>
      </c>
      <c r="R8" s="910">
        <v>200</v>
      </c>
      <c r="S8" s="896"/>
      <c r="X8" s="903" t="s">
        <v>4013</v>
      </c>
      <c r="Z8" s="904" t="s">
        <v>4014</v>
      </c>
      <c r="AB8" s="1520">
        <v>3</v>
      </c>
      <c r="AC8" s="906"/>
      <c r="AD8" s="1469" t="str">
        <f>'Creacion de Tecnicas'!E82</f>
        <v>Nombre de la técnica</v>
      </c>
      <c r="AE8" s="1472">
        <f>'Creacion de Tecnicas'!D82</f>
        <v>1</v>
      </c>
      <c r="AF8" s="907">
        <f>'Creacion de Tecnicas'!BT85</f>
        <v>0</v>
      </c>
      <c r="AG8" s="908" t="str">
        <f>'Creacion de Tecnicas'!DU108</f>
        <v/>
      </c>
      <c r="AH8" s="1560" t="str">
        <f>'Creacion de Tecnicas'!DV108</f>
        <v/>
      </c>
      <c r="AI8" s="1560" t="str">
        <f>'Creacion de Tecnicas'!DW108</f>
        <v/>
      </c>
      <c r="AJ8" s="1561" t="str">
        <f>'Creacion de Tecnicas'!DX108</f>
        <v/>
      </c>
      <c r="AK8" s="1425">
        <f t="shared" si="0"/>
        <v>82</v>
      </c>
      <c r="AO8" s="1470"/>
      <c r="AP8" s="1470"/>
    </row>
    <row r="9" spans="1:48" s="894" customFormat="1" ht="18" customHeight="1" thickBot="1" x14ac:dyDescent="0.25">
      <c r="A9" s="918"/>
      <c r="H9" s="919" t="s">
        <v>4008</v>
      </c>
      <c r="I9" s="910">
        <v>3</v>
      </c>
      <c r="J9" s="896">
        <v>90</v>
      </c>
      <c r="L9" s="915"/>
      <c r="X9" s="903" t="s">
        <v>4015</v>
      </c>
      <c r="Z9" s="904" t="s">
        <v>4016</v>
      </c>
      <c r="AB9" s="1520">
        <v>4</v>
      </c>
      <c r="AC9" s="906"/>
      <c r="AD9" s="1468" t="str">
        <f>'Creacion de Tecnicas'!E119</f>
        <v>Nombre de la técnica</v>
      </c>
      <c r="AE9" s="1472">
        <f>'Creacion de Tecnicas'!D119</f>
        <v>1</v>
      </c>
      <c r="AF9" s="907">
        <f>'Creacion de Tecnicas'!BT122</f>
        <v>0</v>
      </c>
      <c r="AG9" s="908" t="str">
        <f>'Creacion de Tecnicas'!DU145</f>
        <v/>
      </c>
      <c r="AH9" s="1560" t="str">
        <f>'Creacion de Tecnicas'!DV145</f>
        <v/>
      </c>
      <c r="AI9" s="1560" t="str">
        <f>'Creacion de Tecnicas'!DW145</f>
        <v/>
      </c>
      <c r="AJ9" s="1561" t="str">
        <f>'Creacion de Tecnicas'!DX145</f>
        <v/>
      </c>
      <c r="AK9" s="1425">
        <f t="shared" si="0"/>
        <v>119</v>
      </c>
      <c r="AO9" s="1470"/>
      <c r="AP9" s="1470"/>
    </row>
    <row r="10" spans="1:48" s="894" customFormat="1" ht="18" customHeight="1" x14ac:dyDescent="0.2">
      <c r="A10" s="918"/>
      <c r="L10" s="915"/>
      <c r="X10" s="927" t="s">
        <v>4017</v>
      </c>
      <c r="Z10" s="904" t="s">
        <v>4018</v>
      </c>
      <c r="AB10" s="1520">
        <v>5</v>
      </c>
      <c r="AC10" s="906"/>
      <c r="AD10" s="1468" t="str">
        <f>'Creacion de Tecnicas'!E156</f>
        <v>Nombre de la técnica</v>
      </c>
      <c r="AE10" s="1472">
        <f>'Creacion de Tecnicas'!D156</f>
        <v>1</v>
      </c>
      <c r="AF10" s="907">
        <f>'Creacion de Tecnicas'!BT159</f>
        <v>0</v>
      </c>
      <c r="AG10" s="908" t="str">
        <f>'Creacion de Tecnicas'!DU182</f>
        <v/>
      </c>
      <c r="AH10" s="1560" t="str">
        <f>'Creacion de Tecnicas'!DV182</f>
        <v/>
      </c>
      <c r="AI10" s="1560" t="str">
        <f>'Creacion de Tecnicas'!DW182</f>
        <v/>
      </c>
      <c r="AJ10" s="1561" t="str">
        <f>'Creacion de Tecnicas'!DX182</f>
        <v/>
      </c>
      <c r="AK10" s="1425">
        <f t="shared" si="0"/>
        <v>156</v>
      </c>
      <c r="AO10" s="1470"/>
      <c r="AP10" s="1470"/>
    </row>
    <row r="11" spans="1:48" s="894" customFormat="1" ht="18" customHeight="1" x14ac:dyDescent="0.2">
      <c r="A11" s="931" t="s">
        <v>4019</v>
      </c>
      <c r="B11" s="932" t="s">
        <v>2333</v>
      </c>
      <c r="C11" s="932" t="s">
        <v>2334</v>
      </c>
      <c r="D11" s="932" t="s">
        <v>2356</v>
      </c>
      <c r="E11" s="932" t="s">
        <v>4020</v>
      </c>
      <c r="F11" s="932" t="s">
        <v>4021</v>
      </c>
      <c r="G11" s="932" t="s">
        <v>4022</v>
      </c>
      <c r="H11" s="932" t="s">
        <v>3990</v>
      </c>
      <c r="I11" s="2556" t="s">
        <v>2252</v>
      </c>
      <c r="J11" s="2556" t="s">
        <v>2223</v>
      </c>
      <c r="K11" s="2556" t="s">
        <v>4023</v>
      </c>
      <c r="L11" s="5003" t="s">
        <v>4024</v>
      </c>
      <c r="M11" s="5003"/>
      <c r="N11" s="5003"/>
      <c r="O11" s="5003"/>
      <c r="P11" s="5003"/>
      <c r="Q11" s="5003"/>
      <c r="R11" s="5003"/>
      <c r="S11" s="5003"/>
      <c r="T11" s="5003" t="s">
        <v>4025</v>
      </c>
      <c r="U11" s="5003"/>
      <c r="V11" s="5003"/>
      <c r="X11" s="903" t="s">
        <v>4026</v>
      </c>
      <c r="Z11" s="904" t="s">
        <v>4027</v>
      </c>
      <c r="AB11" s="1520">
        <v>6</v>
      </c>
      <c r="AC11" s="906"/>
      <c r="AD11" s="1468" t="str">
        <f>'Creacion de Tecnicas'!E193</f>
        <v>Nombre de la técnica</v>
      </c>
      <c r="AE11" s="1472">
        <f>'Creacion de Tecnicas'!D193</f>
        <v>1</v>
      </c>
      <c r="AF11" s="907">
        <f>'Creacion de Tecnicas'!BT196</f>
        <v>0</v>
      </c>
      <c r="AG11" s="908" t="str">
        <f>'Creacion de Tecnicas'!DU219</f>
        <v/>
      </c>
      <c r="AH11" s="1560" t="str">
        <f>'Creacion de Tecnicas'!DV219</f>
        <v/>
      </c>
      <c r="AI11" s="1560" t="str">
        <f>'Creacion de Tecnicas'!DW219</f>
        <v/>
      </c>
      <c r="AJ11" s="1561" t="str">
        <f>'Creacion de Tecnicas'!DX219</f>
        <v/>
      </c>
      <c r="AK11" s="1425">
        <f t="shared" si="0"/>
        <v>193</v>
      </c>
      <c r="AO11" s="1470"/>
      <c r="AP11" s="1470"/>
    </row>
    <row r="12" spans="1:48" s="894" customFormat="1" ht="18" customHeight="1" x14ac:dyDescent="0.2">
      <c r="A12" s="934" t="s">
        <v>4028</v>
      </c>
      <c r="B12" s="935"/>
      <c r="C12" s="935"/>
      <c r="D12" s="935"/>
      <c r="E12" s="935"/>
      <c r="F12" s="935"/>
      <c r="G12" s="935"/>
      <c r="H12" s="935"/>
      <c r="I12" s="935"/>
      <c r="J12" s="935"/>
      <c r="K12" s="935"/>
      <c r="L12" s="936"/>
      <c r="M12" s="935"/>
      <c r="N12" s="935"/>
      <c r="O12" s="935"/>
      <c r="P12" s="935"/>
      <c r="Q12" s="935"/>
      <c r="R12" s="935"/>
      <c r="S12" s="935"/>
      <c r="T12" s="935"/>
      <c r="U12" s="935"/>
      <c r="V12" s="935"/>
      <c r="X12" s="903" t="s">
        <v>4029</v>
      </c>
      <c r="Z12" s="904" t="s">
        <v>4030</v>
      </c>
      <c r="AB12" s="1520">
        <v>7</v>
      </c>
      <c r="AC12" s="906"/>
      <c r="AD12" s="1468" t="str">
        <f>'Creacion de Tecnicas'!E230</f>
        <v>Nombre de la técnica</v>
      </c>
      <c r="AE12" s="1472">
        <f>'Creacion de Tecnicas'!D230</f>
        <v>1</v>
      </c>
      <c r="AF12" s="907">
        <f>'Creacion de Tecnicas'!BT233</f>
        <v>0</v>
      </c>
      <c r="AG12" s="908" t="str">
        <f>'Creacion de Tecnicas'!DU256</f>
        <v/>
      </c>
      <c r="AH12" s="1560" t="str">
        <f>'Creacion de Tecnicas'!DV256</f>
        <v/>
      </c>
      <c r="AI12" s="1560" t="str">
        <f>'Creacion de Tecnicas'!DW256</f>
        <v/>
      </c>
      <c r="AJ12" s="1561" t="str">
        <f>'Creacion de Tecnicas'!DX256</f>
        <v/>
      </c>
      <c r="AK12" s="1425">
        <f t="shared" si="0"/>
        <v>230</v>
      </c>
      <c r="AO12" s="1470"/>
      <c r="AP12" s="1470"/>
    </row>
    <row r="13" spans="1:48" s="941" customFormat="1" ht="18" customHeight="1" x14ac:dyDescent="0.2">
      <c r="A13" s="927" t="s">
        <v>3978</v>
      </c>
      <c r="B13" s="939"/>
      <c r="C13" s="939"/>
      <c r="D13" s="939"/>
      <c r="E13" s="939"/>
      <c r="F13" s="939"/>
      <c r="G13" s="939"/>
      <c r="H13" s="939"/>
      <c r="I13" s="939"/>
      <c r="J13" s="939"/>
      <c r="K13" s="939"/>
      <c r="L13" s="940"/>
      <c r="M13" s="939"/>
      <c r="N13" s="939"/>
      <c r="O13" s="939"/>
      <c r="P13" s="939"/>
      <c r="Q13" s="939"/>
      <c r="R13" s="939"/>
      <c r="S13" s="939"/>
      <c r="T13" s="939"/>
      <c r="U13" s="939"/>
      <c r="V13" s="939"/>
      <c r="X13" s="903" t="s">
        <v>4031</v>
      </c>
      <c r="Z13" s="942" t="s">
        <v>4032</v>
      </c>
      <c r="AB13" s="1520">
        <v>8</v>
      </c>
      <c r="AC13" s="906"/>
      <c r="AD13" s="1468" t="str">
        <f>'Creacion de Tecnicas'!E267</f>
        <v>Nombre de la técnica</v>
      </c>
      <c r="AE13" s="1472">
        <f>'Creacion de Tecnicas'!D267</f>
        <v>1</v>
      </c>
      <c r="AF13" s="907">
        <f>'Creacion de Tecnicas'!BT270</f>
        <v>0</v>
      </c>
      <c r="AG13" s="908" t="str">
        <f>'Creacion de Tecnicas'!DU293</f>
        <v/>
      </c>
      <c r="AH13" s="1560" t="str">
        <f>'Creacion de Tecnicas'!DV293</f>
        <v/>
      </c>
      <c r="AI13" s="1560" t="str">
        <f>'Creacion de Tecnicas'!DW293</f>
        <v/>
      </c>
      <c r="AJ13" s="1561" t="str">
        <f>'Creacion de Tecnicas'!DX293</f>
        <v/>
      </c>
      <c r="AK13" s="1425">
        <f t="shared" si="0"/>
        <v>267</v>
      </c>
      <c r="AL13" s="894"/>
      <c r="AM13" s="894"/>
      <c r="AN13" s="894"/>
      <c r="AO13" s="1470"/>
      <c r="AP13" s="1470"/>
      <c r="AQ13" s="894"/>
      <c r="AR13" s="894"/>
      <c r="AS13" s="894"/>
      <c r="AT13" s="894"/>
      <c r="AU13" s="894"/>
      <c r="AV13" s="894"/>
    </row>
    <row r="14" spans="1:48" s="941" customFormat="1" ht="18" customHeight="1" x14ac:dyDescent="0.2">
      <c r="A14" s="903" t="s">
        <v>3988</v>
      </c>
      <c r="B14" s="946"/>
      <c r="C14" s="946"/>
      <c r="D14" s="946"/>
      <c r="E14" s="946"/>
      <c r="F14" s="946"/>
      <c r="G14" s="946"/>
      <c r="H14" s="946"/>
      <c r="I14" s="946"/>
      <c r="J14" s="946"/>
      <c r="K14" s="946"/>
      <c r="L14" s="947"/>
      <c r="M14" s="946"/>
      <c r="N14" s="946"/>
      <c r="O14" s="946"/>
      <c r="P14" s="946"/>
      <c r="Q14" s="946"/>
      <c r="R14" s="946"/>
      <c r="S14" s="946"/>
      <c r="T14" s="946"/>
      <c r="U14" s="946"/>
      <c r="V14" s="946"/>
      <c r="X14" s="903" t="s">
        <v>4034</v>
      </c>
      <c r="Z14" s="948" t="s">
        <v>4035</v>
      </c>
      <c r="AB14" s="1520">
        <v>9</v>
      </c>
      <c r="AC14" s="906"/>
      <c r="AD14" s="1468" t="str">
        <f>'Creacion de Tecnicas'!E304</f>
        <v>Nombre de la técnica</v>
      </c>
      <c r="AE14" s="1472">
        <f>'Creacion de Tecnicas'!D304</f>
        <v>1</v>
      </c>
      <c r="AF14" s="907">
        <f>'Creacion de Tecnicas'!BT307</f>
        <v>0</v>
      </c>
      <c r="AG14" s="908" t="str">
        <f>'Creacion de Tecnicas'!DU330</f>
        <v/>
      </c>
      <c r="AH14" s="1560" t="str">
        <f>'Creacion de Tecnicas'!DV330</f>
        <v/>
      </c>
      <c r="AI14" s="1560" t="str">
        <f>'Creacion de Tecnicas'!DW330</f>
        <v/>
      </c>
      <c r="AJ14" s="1561" t="str">
        <f>'Creacion de Tecnicas'!DX330</f>
        <v/>
      </c>
      <c r="AK14" s="1425">
        <f t="shared" si="0"/>
        <v>304</v>
      </c>
      <c r="AL14" s="894"/>
      <c r="AM14" s="894"/>
      <c r="AN14" s="894"/>
      <c r="AO14" s="1470"/>
      <c r="AP14" s="1470"/>
      <c r="AQ14" s="894"/>
      <c r="AR14" s="894"/>
      <c r="AS14" s="894"/>
      <c r="AT14" s="894"/>
      <c r="AU14" s="894"/>
      <c r="AV14" s="894"/>
    </row>
    <row r="15" spans="1:48" s="894" customFormat="1" ht="18" customHeight="1" thickBot="1" x14ac:dyDescent="0.25">
      <c r="A15" s="951" t="s">
        <v>4036</v>
      </c>
      <c r="B15" s="952">
        <v>2</v>
      </c>
      <c r="C15" s="952">
        <v>4</v>
      </c>
      <c r="D15" s="952">
        <v>5</v>
      </c>
      <c r="E15" s="952">
        <v>1</v>
      </c>
      <c r="F15" s="952">
        <v>2</v>
      </c>
      <c r="G15" s="952">
        <v>4</v>
      </c>
      <c r="H15" s="952">
        <v>1</v>
      </c>
      <c r="I15" s="953" t="s">
        <v>3989</v>
      </c>
      <c r="J15" s="953" t="s">
        <v>1761</v>
      </c>
      <c r="K15" s="952" t="s">
        <v>2231</v>
      </c>
      <c r="L15" s="954" t="s">
        <v>2226</v>
      </c>
      <c r="M15" s="951" t="s">
        <v>4037</v>
      </c>
      <c r="N15" s="954" t="s">
        <v>2236</v>
      </c>
      <c r="O15" s="951" t="s">
        <v>4037</v>
      </c>
      <c r="P15" s="954" t="s">
        <v>2244</v>
      </c>
      <c r="Q15" s="951" t="s">
        <v>4037</v>
      </c>
      <c r="R15" s="954" t="s">
        <v>2245</v>
      </c>
      <c r="S15" s="951" t="s">
        <v>4038</v>
      </c>
      <c r="T15" s="955" t="s">
        <v>2472</v>
      </c>
      <c r="U15" s="955" t="s">
        <v>2479</v>
      </c>
      <c r="V15" s="955" t="s">
        <v>2571</v>
      </c>
      <c r="W15" s="952"/>
      <c r="X15" s="903" t="s">
        <v>4039</v>
      </c>
      <c r="AB15" s="1521">
        <v>10</v>
      </c>
      <c r="AC15" s="956"/>
      <c r="AD15" s="1522" t="str">
        <f>'Creacion de Tecnicas'!E341</f>
        <v>Nombre de la técnica</v>
      </c>
      <c r="AE15" s="1505">
        <f>'Creacion de Tecnicas'!D341</f>
        <v>1</v>
      </c>
      <c r="AF15" s="957">
        <f>'Creacion de Tecnicas'!BT344</f>
        <v>0</v>
      </c>
      <c r="AG15" s="958" t="str">
        <f>'Creacion de Tecnicas'!DU367</f>
        <v/>
      </c>
      <c r="AH15" s="1562" t="str">
        <f>'Creacion de Tecnicas'!DV367</f>
        <v/>
      </c>
      <c r="AI15" s="1562" t="str">
        <f>'Creacion de Tecnicas'!DW367</f>
        <v/>
      </c>
      <c r="AJ15" s="1563" t="str">
        <f>'Creacion de Tecnicas'!DX367</f>
        <v/>
      </c>
      <c r="AK15" s="1426">
        <f t="shared" si="0"/>
        <v>341</v>
      </c>
      <c r="AO15" s="1470"/>
      <c r="AP15" s="1470"/>
    </row>
    <row r="16" spans="1:48" s="894" customFormat="1" ht="18" customHeight="1" thickBot="1" x14ac:dyDescent="0.25">
      <c r="A16" s="951" t="s">
        <v>4040</v>
      </c>
      <c r="B16" s="952">
        <v>3</v>
      </c>
      <c r="C16" s="952">
        <v>5</v>
      </c>
      <c r="D16" s="952">
        <v>5</v>
      </c>
      <c r="E16" s="952">
        <v>2</v>
      </c>
      <c r="F16" s="952">
        <v>4</v>
      </c>
      <c r="G16" s="952">
        <v>7</v>
      </c>
      <c r="H16" s="952">
        <v>1</v>
      </c>
      <c r="I16" s="953" t="s">
        <v>3989</v>
      </c>
      <c r="J16" s="953" t="s">
        <v>1761</v>
      </c>
      <c r="K16" s="952" t="s">
        <v>2231</v>
      </c>
      <c r="L16" s="954" t="s">
        <v>2226</v>
      </c>
      <c r="M16" s="951" t="s">
        <v>4037</v>
      </c>
      <c r="N16" s="954" t="s">
        <v>2236</v>
      </c>
      <c r="O16" s="951" t="s">
        <v>4037</v>
      </c>
      <c r="P16" s="954" t="s">
        <v>2244</v>
      </c>
      <c r="Q16" s="951" t="s">
        <v>4037</v>
      </c>
      <c r="R16" s="954" t="s">
        <v>2245</v>
      </c>
      <c r="S16" s="951" t="s">
        <v>4038</v>
      </c>
      <c r="T16" s="955" t="s">
        <v>2472</v>
      </c>
      <c r="U16" s="955" t="s">
        <v>2479</v>
      </c>
      <c r="V16" s="955" t="s">
        <v>2571</v>
      </c>
      <c r="W16" s="952"/>
      <c r="X16" s="903" t="s">
        <v>4041</v>
      </c>
      <c r="Z16" s="1427" t="s">
        <v>8731</v>
      </c>
      <c r="AB16" s="905"/>
      <c r="AC16" s="960"/>
      <c r="AD16" s="961" t="s">
        <v>4042</v>
      </c>
      <c r="AE16" s="962"/>
      <c r="AF16" s="962"/>
      <c r="AG16" s="963"/>
      <c r="AH16" s="964"/>
      <c r="AI16" s="965"/>
      <c r="AJ16" s="966"/>
      <c r="AK16" s="905"/>
      <c r="AO16" s="1470"/>
      <c r="AP16" s="1470"/>
    </row>
    <row r="17" spans="1:42" s="894" customFormat="1" ht="18" customHeight="1" x14ac:dyDescent="0.2">
      <c r="A17" s="951" t="s">
        <v>4043</v>
      </c>
      <c r="B17" s="952">
        <v>4</v>
      </c>
      <c r="C17" s="952">
        <v>6</v>
      </c>
      <c r="D17" s="952">
        <v>10</v>
      </c>
      <c r="E17" s="952">
        <v>3</v>
      </c>
      <c r="F17" s="952">
        <v>6</v>
      </c>
      <c r="G17" s="952">
        <v>11</v>
      </c>
      <c r="H17" s="952">
        <v>1</v>
      </c>
      <c r="I17" s="953" t="s">
        <v>3989</v>
      </c>
      <c r="J17" s="953" t="s">
        <v>1761</v>
      </c>
      <c r="K17" s="952" t="s">
        <v>2231</v>
      </c>
      <c r="L17" s="954" t="s">
        <v>2226</v>
      </c>
      <c r="M17" s="951" t="s">
        <v>4037</v>
      </c>
      <c r="N17" s="954" t="s">
        <v>2236</v>
      </c>
      <c r="O17" s="951" t="s">
        <v>4037</v>
      </c>
      <c r="P17" s="954" t="s">
        <v>2244</v>
      </c>
      <c r="Q17" s="951" t="s">
        <v>4037</v>
      </c>
      <c r="R17" s="954" t="s">
        <v>2245</v>
      </c>
      <c r="S17" s="951" t="s">
        <v>4038</v>
      </c>
      <c r="T17" s="955" t="s">
        <v>2472</v>
      </c>
      <c r="U17" s="955" t="s">
        <v>2479</v>
      </c>
      <c r="V17" s="955" t="s">
        <v>2571</v>
      </c>
      <c r="W17" s="952"/>
      <c r="X17" s="903" t="s">
        <v>4044</v>
      </c>
      <c r="Z17" s="967" t="s">
        <v>2472</v>
      </c>
      <c r="AB17" s="905"/>
      <c r="AC17" s="906"/>
      <c r="AD17" s="968" t="s">
        <v>4045</v>
      </c>
      <c r="AE17" s="907">
        <v>1</v>
      </c>
      <c r="AF17" s="907">
        <v>25</v>
      </c>
      <c r="AG17" s="969" t="s">
        <v>4046</v>
      </c>
      <c r="AH17" s="970" t="s">
        <v>4047</v>
      </c>
      <c r="AI17" s="971"/>
      <c r="AJ17" s="966"/>
      <c r="AO17" s="1470"/>
      <c r="AP17" s="1470"/>
    </row>
    <row r="18" spans="1:42" s="894" customFormat="1" ht="18" customHeight="1" x14ac:dyDescent="0.2">
      <c r="A18" s="951" t="s">
        <v>4048</v>
      </c>
      <c r="B18" s="952">
        <v>5</v>
      </c>
      <c r="C18" s="952">
        <v>8</v>
      </c>
      <c r="D18" s="952">
        <v>15</v>
      </c>
      <c r="E18" s="952">
        <v>4</v>
      </c>
      <c r="F18" s="952">
        <v>8</v>
      </c>
      <c r="G18" s="952">
        <v>14</v>
      </c>
      <c r="H18" s="952">
        <v>1</v>
      </c>
      <c r="I18" s="953" t="s">
        <v>3989</v>
      </c>
      <c r="J18" s="953" t="s">
        <v>1761</v>
      </c>
      <c r="K18" s="952" t="s">
        <v>2231</v>
      </c>
      <c r="L18" s="954" t="s">
        <v>2226</v>
      </c>
      <c r="M18" s="951" t="s">
        <v>4037</v>
      </c>
      <c r="N18" s="954" t="s">
        <v>2236</v>
      </c>
      <c r="O18" s="951" t="s">
        <v>4037</v>
      </c>
      <c r="P18" s="954" t="s">
        <v>2244</v>
      </c>
      <c r="Q18" s="951" t="s">
        <v>4037</v>
      </c>
      <c r="R18" s="954" t="s">
        <v>2245</v>
      </c>
      <c r="S18" s="951" t="s">
        <v>4038</v>
      </c>
      <c r="T18" s="955" t="s">
        <v>2472</v>
      </c>
      <c r="U18" s="955" t="s">
        <v>2479</v>
      </c>
      <c r="V18" s="955" t="s">
        <v>2571</v>
      </c>
      <c r="W18" s="952"/>
      <c r="X18" s="903" t="s">
        <v>4049</v>
      </c>
      <c r="Z18" s="967" t="s">
        <v>2475</v>
      </c>
      <c r="AB18" s="905"/>
      <c r="AC18" s="906"/>
      <c r="AD18" s="968" t="s">
        <v>4050</v>
      </c>
      <c r="AE18" s="907">
        <v>1</v>
      </c>
      <c r="AF18" s="907">
        <v>25</v>
      </c>
      <c r="AG18" s="969" t="s">
        <v>4051</v>
      </c>
      <c r="AH18" s="970" t="s">
        <v>4052</v>
      </c>
      <c r="AI18" s="971"/>
      <c r="AJ18" s="966"/>
      <c r="AO18" s="1470"/>
      <c r="AP18" s="1470"/>
    </row>
    <row r="19" spans="1:42" s="894" customFormat="1" ht="18" customHeight="1" x14ac:dyDescent="0.2">
      <c r="A19" s="951" t="s">
        <v>4054</v>
      </c>
      <c r="B19" s="952">
        <v>9</v>
      </c>
      <c r="C19" s="952">
        <v>12</v>
      </c>
      <c r="D19" s="952">
        <v>20</v>
      </c>
      <c r="E19" s="952">
        <v>6</v>
      </c>
      <c r="F19" s="952">
        <v>12</v>
      </c>
      <c r="G19" s="952">
        <v>21</v>
      </c>
      <c r="H19" s="952">
        <v>1</v>
      </c>
      <c r="I19" s="953" t="s">
        <v>3989</v>
      </c>
      <c r="J19" s="953" t="s">
        <v>1761</v>
      </c>
      <c r="K19" s="952" t="s">
        <v>2231</v>
      </c>
      <c r="L19" s="954" t="s">
        <v>2226</v>
      </c>
      <c r="M19" s="951" t="s">
        <v>4037</v>
      </c>
      <c r="N19" s="954" t="s">
        <v>2236</v>
      </c>
      <c r="O19" s="951" t="s">
        <v>4037</v>
      </c>
      <c r="P19" s="954" t="s">
        <v>2244</v>
      </c>
      <c r="Q19" s="951" t="s">
        <v>4037</v>
      </c>
      <c r="R19" s="954" t="s">
        <v>2245</v>
      </c>
      <c r="S19" s="951" t="s">
        <v>4038</v>
      </c>
      <c r="T19" s="955" t="s">
        <v>2472</v>
      </c>
      <c r="U19" s="955" t="s">
        <v>2479</v>
      </c>
      <c r="V19" s="955" t="s">
        <v>2571</v>
      </c>
      <c r="W19" s="952"/>
      <c r="X19" s="903" t="s">
        <v>4055</v>
      </c>
      <c r="Z19" s="967" t="s">
        <v>2479</v>
      </c>
      <c r="AB19" s="905"/>
      <c r="AC19" s="906"/>
      <c r="AD19" s="968" t="s">
        <v>4056</v>
      </c>
      <c r="AE19" s="907">
        <v>2</v>
      </c>
      <c r="AF19" s="907">
        <v>45</v>
      </c>
      <c r="AG19" s="969" t="s">
        <v>4057</v>
      </c>
      <c r="AH19" s="970" t="s">
        <v>4058</v>
      </c>
      <c r="AI19" s="971"/>
      <c r="AJ19" s="966"/>
      <c r="AO19" s="1470"/>
      <c r="AP19" s="1470"/>
    </row>
    <row r="20" spans="1:42" s="894" customFormat="1" ht="18" customHeight="1" x14ac:dyDescent="0.2">
      <c r="A20" s="951" t="s">
        <v>4059</v>
      </c>
      <c r="B20" s="952">
        <v>12</v>
      </c>
      <c r="C20" s="952">
        <v>15</v>
      </c>
      <c r="D20" s="952">
        <v>25</v>
      </c>
      <c r="E20" s="952">
        <v>8</v>
      </c>
      <c r="F20" s="952">
        <v>16</v>
      </c>
      <c r="G20" s="952">
        <v>28</v>
      </c>
      <c r="H20" s="952">
        <v>1</v>
      </c>
      <c r="I20" s="953" t="s">
        <v>3989</v>
      </c>
      <c r="J20" s="953" t="s">
        <v>1761</v>
      </c>
      <c r="K20" s="952" t="s">
        <v>2231</v>
      </c>
      <c r="L20" s="954" t="s">
        <v>2226</v>
      </c>
      <c r="M20" s="951" t="s">
        <v>4037</v>
      </c>
      <c r="N20" s="954" t="s">
        <v>2236</v>
      </c>
      <c r="O20" s="951" t="s">
        <v>4037</v>
      </c>
      <c r="P20" s="954" t="s">
        <v>2244</v>
      </c>
      <c r="Q20" s="951" t="s">
        <v>4037</v>
      </c>
      <c r="R20" s="954" t="s">
        <v>2245</v>
      </c>
      <c r="S20" s="951" t="s">
        <v>4038</v>
      </c>
      <c r="T20" s="955" t="s">
        <v>2472</v>
      </c>
      <c r="U20" s="955" t="s">
        <v>2479</v>
      </c>
      <c r="V20" s="955" t="s">
        <v>2571</v>
      </c>
      <c r="W20" s="952"/>
      <c r="X20" s="903" t="s">
        <v>4060</v>
      </c>
      <c r="Z20" s="967" t="s">
        <v>2575</v>
      </c>
      <c r="AB20" s="905"/>
      <c r="AC20" s="906"/>
      <c r="AD20" s="968" t="s">
        <v>4061</v>
      </c>
      <c r="AE20" s="907">
        <v>2</v>
      </c>
      <c r="AF20" s="907">
        <v>45</v>
      </c>
      <c r="AG20" s="969" t="s">
        <v>4062</v>
      </c>
      <c r="AH20" s="970" t="s">
        <v>4063</v>
      </c>
      <c r="AI20" s="971"/>
      <c r="AJ20" s="966"/>
      <c r="AO20" s="1470"/>
      <c r="AP20" s="1470"/>
    </row>
    <row r="21" spans="1:42" s="894" customFormat="1" ht="18" customHeight="1" x14ac:dyDescent="0.2">
      <c r="A21" s="951" t="s">
        <v>4064</v>
      </c>
      <c r="B21" s="952">
        <v>14</v>
      </c>
      <c r="C21" s="952">
        <v>18</v>
      </c>
      <c r="D21" s="952">
        <v>30</v>
      </c>
      <c r="E21" s="952">
        <v>10</v>
      </c>
      <c r="F21" s="952">
        <v>20</v>
      </c>
      <c r="G21" s="952">
        <v>35</v>
      </c>
      <c r="H21" s="952">
        <v>1</v>
      </c>
      <c r="I21" s="953" t="s">
        <v>3989</v>
      </c>
      <c r="J21" s="953" t="s">
        <v>1761</v>
      </c>
      <c r="K21" s="952" t="s">
        <v>2231</v>
      </c>
      <c r="L21" s="954" t="s">
        <v>2226</v>
      </c>
      <c r="M21" s="951" t="s">
        <v>4037</v>
      </c>
      <c r="N21" s="954" t="s">
        <v>2236</v>
      </c>
      <c r="O21" s="951" t="s">
        <v>4037</v>
      </c>
      <c r="P21" s="954" t="s">
        <v>2244</v>
      </c>
      <c r="Q21" s="951" t="s">
        <v>4037</v>
      </c>
      <c r="R21" s="954" t="s">
        <v>2245</v>
      </c>
      <c r="S21" s="951" t="s">
        <v>4038</v>
      </c>
      <c r="T21" s="955" t="s">
        <v>2472</v>
      </c>
      <c r="U21" s="955" t="s">
        <v>2479</v>
      </c>
      <c r="V21" s="955" t="s">
        <v>2571</v>
      </c>
      <c r="W21" s="952"/>
      <c r="X21" s="903" t="s">
        <v>4065</v>
      </c>
      <c r="Z21" s="967" t="s">
        <v>2570</v>
      </c>
      <c r="AB21" s="905"/>
      <c r="AC21" s="906"/>
      <c r="AD21" s="968" t="s">
        <v>4066</v>
      </c>
      <c r="AE21" s="907">
        <v>3</v>
      </c>
      <c r="AF21" s="907">
        <v>85</v>
      </c>
      <c r="AG21" s="969" t="s">
        <v>4067</v>
      </c>
      <c r="AH21" s="970" t="s">
        <v>4068</v>
      </c>
      <c r="AI21" s="971"/>
      <c r="AJ21" s="966"/>
      <c r="AO21" s="1470"/>
      <c r="AP21" s="1470"/>
    </row>
    <row r="22" spans="1:42" s="894" customFormat="1" ht="18" customHeight="1" thickBot="1" x14ac:dyDescent="0.25">
      <c r="A22" s="951" t="s">
        <v>4069</v>
      </c>
      <c r="B22" s="952">
        <v>18</v>
      </c>
      <c r="C22" s="952">
        <v>22</v>
      </c>
      <c r="D22" s="952">
        <v>35</v>
      </c>
      <c r="E22" s="952">
        <v>12</v>
      </c>
      <c r="F22" s="952">
        <v>24</v>
      </c>
      <c r="G22" s="952">
        <v>42</v>
      </c>
      <c r="H22" s="952">
        <v>2</v>
      </c>
      <c r="I22" s="953" t="s">
        <v>3989</v>
      </c>
      <c r="J22" s="953" t="s">
        <v>1761</v>
      </c>
      <c r="K22" s="952" t="s">
        <v>2231</v>
      </c>
      <c r="L22" s="954" t="s">
        <v>2226</v>
      </c>
      <c r="M22" s="951" t="s">
        <v>4037</v>
      </c>
      <c r="N22" s="954" t="s">
        <v>2236</v>
      </c>
      <c r="O22" s="951" t="s">
        <v>4037</v>
      </c>
      <c r="P22" s="954" t="s">
        <v>2244</v>
      </c>
      <c r="Q22" s="951" t="s">
        <v>4037</v>
      </c>
      <c r="R22" s="954" t="s">
        <v>2245</v>
      </c>
      <c r="S22" s="951" t="s">
        <v>4038</v>
      </c>
      <c r="T22" s="955" t="s">
        <v>2472</v>
      </c>
      <c r="U22" s="955" t="s">
        <v>2479</v>
      </c>
      <c r="V22" s="955" t="s">
        <v>2571</v>
      </c>
      <c r="W22" s="952"/>
      <c r="X22" s="903" t="s">
        <v>4070</v>
      </c>
      <c r="Z22" s="972" t="s">
        <v>2571</v>
      </c>
      <c r="AB22" s="905"/>
      <c r="AC22" s="906"/>
      <c r="AD22" s="968" t="s">
        <v>4071</v>
      </c>
      <c r="AE22" s="907"/>
      <c r="AF22" s="907"/>
      <c r="AG22" s="969"/>
      <c r="AH22" s="970"/>
      <c r="AI22" s="971"/>
      <c r="AJ22" s="966"/>
      <c r="AO22" s="1470"/>
      <c r="AP22" s="1470"/>
    </row>
    <row r="23" spans="1:42" s="894" customFormat="1" ht="18" customHeight="1" x14ac:dyDescent="0.2">
      <c r="A23" s="951" t="s">
        <v>4072</v>
      </c>
      <c r="B23" s="952">
        <v>22</v>
      </c>
      <c r="C23" s="952">
        <v>26</v>
      </c>
      <c r="D23" s="952">
        <v>40</v>
      </c>
      <c r="E23" s="952">
        <v>14</v>
      </c>
      <c r="F23" s="952">
        <v>28</v>
      </c>
      <c r="G23" s="952">
        <v>49</v>
      </c>
      <c r="H23" s="952">
        <v>2</v>
      </c>
      <c r="I23" s="953" t="s">
        <v>3989</v>
      </c>
      <c r="J23" s="953" t="s">
        <v>1761</v>
      </c>
      <c r="K23" s="952" t="s">
        <v>2231</v>
      </c>
      <c r="L23" s="954" t="s">
        <v>2226</v>
      </c>
      <c r="M23" s="951" t="s">
        <v>4037</v>
      </c>
      <c r="N23" s="954" t="s">
        <v>2236</v>
      </c>
      <c r="O23" s="951" t="s">
        <v>4037</v>
      </c>
      <c r="P23" s="954" t="s">
        <v>2244</v>
      </c>
      <c r="Q23" s="951" t="s">
        <v>4037</v>
      </c>
      <c r="R23" s="954" t="s">
        <v>2245</v>
      </c>
      <c r="S23" s="951" t="s">
        <v>4038</v>
      </c>
      <c r="T23" s="955" t="s">
        <v>2472</v>
      </c>
      <c r="U23" s="955" t="s">
        <v>2479</v>
      </c>
      <c r="V23" s="955" t="s">
        <v>2571</v>
      </c>
      <c r="W23" s="952"/>
      <c r="X23" s="903" t="s">
        <v>4073</v>
      </c>
      <c r="AB23" s="905"/>
      <c r="AC23" s="906"/>
      <c r="AD23" s="968" t="s">
        <v>4074</v>
      </c>
      <c r="AE23" s="907">
        <v>1</v>
      </c>
      <c r="AF23" s="907">
        <v>20</v>
      </c>
      <c r="AG23" s="969" t="s">
        <v>4075</v>
      </c>
      <c r="AH23" s="974" t="s">
        <v>4076</v>
      </c>
      <c r="AI23" s="975"/>
      <c r="AJ23" s="966"/>
      <c r="AO23" s="1470"/>
      <c r="AP23" s="1470"/>
    </row>
    <row r="24" spans="1:42" s="894" customFormat="1" ht="18" customHeight="1" x14ac:dyDescent="0.2">
      <c r="A24" s="951" t="s">
        <v>4077</v>
      </c>
      <c r="B24" s="952">
        <v>26</v>
      </c>
      <c r="C24" s="952">
        <v>32</v>
      </c>
      <c r="D24" s="952">
        <v>45</v>
      </c>
      <c r="E24" s="952">
        <v>16</v>
      </c>
      <c r="F24" s="952">
        <v>32</v>
      </c>
      <c r="G24" s="952">
        <v>56</v>
      </c>
      <c r="H24" s="952">
        <v>3</v>
      </c>
      <c r="I24" s="953" t="s">
        <v>3989</v>
      </c>
      <c r="J24" s="953" t="s">
        <v>1761</v>
      </c>
      <c r="K24" s="952" t="s">
        <v>2231</v>
      </c>
      <c r="L24" s="954" t="s">
        <v>2226</v>
      </c>
      <c r="M24" s="951" t="s">
        <v>4037</v>
      </c>
      <c r="N24" s="954" t="s">
        <v>2236</v>
      </c>
      <c r="O24" s="951" t="s">
        <v>4037</v>
      </c>
      <c r="P24" s="954" t="s">
        <v>2244</v>
      </c>
      <c r="Q24" s="951" t="s">
        <v>4037</v>
      </c>
      <c r="R24" s="954" t="s">
        <v>2245</v>
      </c>
      <c r="S24" s="951" t="s">
        <v>4038</v>
      </c>
      <c r="T24" s="955" t="s">
        <v>2472</v>
      </c>
      <c r="U24" s="955" t="s">
        <v>2479</v>
      </c>
      <c r="V24" s="955" t="s">
        <v>2571</v>
      </c>
      <c r="W24" s="952"/>
      <c r="X24" s="927" t="s">
        <v>4078</v>
      </c>
      <c r="AB24" s="905"/>
      <c r="AC24" s="906"/>
      <c r="AD24" s="968" t="s">
        <v>4079</v>
      </c>
      <c r="AE24" s="907">
        <v>1</v>
      </c>
      <c r="AF24" s="907">
        <v>20</v>
      </c>
      <c r="AG24" s="969" t="s">
        <v>4080</v>
      </c>
      <c r="AH24" s="974" t="s">
        <v>4081</v>
      </c>
      <c r="AI24" s="975"/>
      <c r="AJ24" s="966"/>
      <c r="AO24" s="1470"/>
      <c r="AP24" s="1470"/>
    </row>
    <row r="25" spans="1:42" s="894" customFormat="1" ht="18" customHeight="1" x14ac:dyDescent="0.2">
      <c r="A25" s="951" t="s">
        <v>4082</v>
      </c>
      <c r="B25" s="952">
        <v>30</v>
      </c>
      <c r="C25" s="952">
        <v>36</v>
      </c>
      <c r="D25" s="952">
        <v>50</v>
      </c>
      <c r="E25" s="952">
        <v>18</v>
      </c>
      <c r="F25" s="952">
        <v>36</v>
      </c>
      <c r="G25" s="952">
        <v>63</v>
      </c>
      <c r="H25" s="952">
        <v>3</v>
      </c>
      <c r="I25" s="953" t="s">
        <v>3989</v>
      </c>
      <c r="J25" s="953" t="s">
        <v>1761</v>
      </c>
      <c r="K25" s="952" t="s">
        <v>2231</v>
      </c>
      <c r="L25" s="954" t="s">
        <v>2226</v>
      </c>
      <c r="M25" s="951" t="s">
        <v>4037</v>
      </c>
      <c r="N25" s="954" t="s">
        <v>2236</v>
      </c>
      <c r="O25" s="951" t="s">
        <v>4037</v>
      </c>
      <c r="P25" s="954" t="s">
        <v>2244</v>
      </c>
      <c r="Q25" s="951" t="s">
        <v>4037</v>
      </c>
      <c r="R25" s="954" t="s">
        <v>2245</v>
      </c>
      <c r="S25" s="951" t="s">
        <v>4038</v>
      </c>
      <c r="T25" s="955" t="s">
        <v>2472</v>
      </c>
      <c r="U25" s="955" t="s">
        <v>2479</v>
      </c>
      <c r="V25" s="955" t="s">
        <v>2571</v>
      </c>
      <c r="W25" s="952"/>
      <c r="X25" s="903" t="s">
        <v>4083</v>
      </c>
      <c r="AB25" s="905"/>
      <c r="AC25" s="906"/>
      <c r="AD25" s="968" t="s">
        <v>4084</v>
      </c>
      <c r="AE25" s="907">
        <v>2</v>
      </c>
      <c r="AF25" s="907">
        <v>40</v>
      </c>
      <c r="AG25" s="969" t="s">
        <v>4085</v>
      </c>
      <c r="AH25" s="970" t="s">
        <v>4086</v>
      </c>
      <c r="AI25" s="971" t="s">
        <v>4087</v>
      </c>
      <c r="AJ25" s="966"/>
      <c r="AO25" s="1470"/>
      <c r="AP25" s="1470"/>
    </row>
    <row r="26" spans="1:42" s="894" customFormat="1" ht="18" customHeight="1" x14ac:dyDescent="0.2">
      <c r="A26" s="903" t="s">
        <v>3993</v>
      </c>
      <c r="B26" s="946"/>
      <c r="C26" s="946"/>
      <c r="D26" s="946"/>
      <c r="E26" s="946"/>
      <c r="F26" s="946"/>
      <c r="G26" s="946"/>
      <c r="H26" s="946"/>
      <c r="I26" s="946"/>
      <c r="J26" s="946"/>
      <c r="K26" s="946"/>
      <c r="L26" s="947"/>
      <c r="M26" s="946"/>
      <c r="N26" s="946"/>
      <c r="O26" s="946"/>
      <c r="P26" s="946"/>
      <c r="Q26" s="946"/>
      <c r="R26" s="946"/>
      <c r="S26" s="946"/>
      <c r="T26" s="946"/>
      <c r="U26" s="946"/>
      <c r="V26" s="946"/>
      <c r="W26" s="952"/>
      <c r="X26" s="903" t="s">
        <v>4088</v>
      </c>
      <c r="AB26" s="905"/>
      <c r="AC26" s="906"/>
      <c r="AD26" s="968" t="s">
        <v>4089</v>
      </c>
      <c r="AE26" s="907">
        <v>2</v>
      </c>
      <c r="AF26" s="907">
        <v>40</v>
      </c>
      <c r="AG26" s="969" t="s">
        <v>4090</v>
      </c>
      <c r="AH26" s="970" t="s">
        <v>4091</v>
      </c>
      <c r="AI26" s="971" t="s">
        <v>4087</v>
      </c>
      <c r="AJ26" s="966"/>
      <c r="AO26" s="1470"/>
      <c r="AP26" s="1470"/>
    </row>
    <row r="27" spans="1:42" s="894" customFormat="1" ht="18" customHeight="1" x14ac:dyDescent="0.2">
      <c r="A27" s="951" t="s">
        <v>4092</v>
      </c>
      <c r="B27" s="952">
        <v>4</v>
      </c>
      <c r="C27" s="952">
        <v>6</v>
      </c>
      <c r="D27" s="952">
        <v>10</v>
      </c>
      <c r="E27" s="952">
        <v>2</v>
      </c>
      <c r="F27" s="952">
        <v>4</v>
      </c>
      <c r="G27" s="952">
        <v>7</v>
      </c>
      <c r="H27" s="952">
        <v>1</v>
      </c>
      <c r="I27" s="953" t="s">
        <v>3994</v>
      </c>
      <c r="J27" s="953" t="s">
        <v>1761</v>
      </c>
      <c r="K27" s="952" t="s">
        <v>2231</v>
      </c>
      <c r="L27" s="954" t="s">
        <v>2226</v>
      </c>
      <c r="M27" s="951" t="s">
        <v>4037</v>
      </c>
      <c r="N27" s="955" t="s">
        <v>2236</v>
      </c>
      <c r="O27" s="951" t="s">
        <v>4037</v>
      </c>
      <c r="P27" s="955" t="s">
        <v>2244</v>
      </c>
      <c r="Q27" s="951" t="s">
        <v>4037</v>
      </c>
      <c r="R27" s="955" t="s">
        <v>2245</v>
      </c>
      <c r="S27" s="951" t="s">
        <v>4038</v>
      </c>
      <c r="T27" s="955" t="s">
        <v>2472</v>
      </c>
      <c r="U27" s="955" t="s">
        <v>2479</v>
      </c>
      <c r="V27" s="955" t="s">
        <v>2571</v>
      </c>
      <c r="W27" s="952"/>
      <c r="X27" s="903" t="s">
        <v>4093</v>
      </c>
      <c r="AB27" s="905"/>
      <c r="AC27" s="906"/>
      <c r="AD27" s="968" t="s">
        <v>4094</v>
      </c>
      <c r="AE27" s="907">
        <v>3</v>
      </c>
      <c r="AF27" s="907">
        <v>60</v>
      </c>
      <c r="AG27" s="969" t="s">
        <v>4095</v>
      </c>
      <c r="AH27" s="970" t="s">
        <v>4096</v>
      </c>
      <c r="AI27" s="971" t="s">
        <v>4087</v>
      </c>
      <c r="AJ27" s="966"/>
      <c r="AO27" s="1470"/>
      <c r="AP27" s="1470"/>
    </row>
    <row r="28" spans="1:42" s="894" customFormat="1" ht="18" customHeight="1" x14ac:dyDescent="0.2">
      <c r="A28" s="951" t="s">
        <v>4097</v>
      </c>
      <c r="B28" s="952">
        <v>8</v>
      </c>
      <c r="C28" s="952">
        <v>11</v>
      </c>
      <c r="D28" s="952">
        <v>15</v>
      </c>
      <c r="E28" s="952">
        <v>5</v>
      </c>
      <c r="F28" s="952">
        <v>10</v>
      </c>
      <c r="G28" s="952">
        <v>18</v>
      </c>
      <c r="H28" s="952">
        <v>1</v>
      </c>
      <c r="I28" s="953" t="s">
        <v>3994</v>
      </c>
      <c r="J28" s="953" t="s">
        <v>1761</v>
      </c>
      <c r="K28" s="952" t="s">
        <v>2231</v>
      </c>
      <c r="L28" s="954" t="s">
        <v>2226</v>
      </c>
      <c r="M28" s="951" t="s">
        <v>4037</v>
      </c>
      <c r="N28" s="955" t="s">
        <v>2236</v>
      </c>
      <c r="O28" s="951" t="s">
        <v>4037</v>
      </c>
      <c r="P28" s="955" t="s">
        <v>2244</v>
      </c>
      <c r="Q28" s="951" t="s">
        <v>4037</v>
      </c>
      <c r="R28" s="955" t="s">
        <v>2245</v>
      </c>
      <c r="S28" s="951" t="s">
        <v>4038</v>
      </c>
      <c r="T28" s="955" t="s">
        <v>2472</v>
      </c>
      <c r="U28" s="955" t="s">
        <v>2479</v>
      </c>
      <c r="V28" s="955" t="s">
        <v>2571</v>
      </c>
      <c r="W28" s="952"/>
      <c r="X28" s="903" t="s">
        <v>4098</v>
      </c>
      <c r="AB28" s="905"/>
      <c r="AC28" s="960"/>
      <c r="AD28" s="961" t="s">
        <v>4099</v>
      </c>
      <c r="AE28" s="962"/>
      <c r="AF28" s="962"/>
      <c r="AG28" s="963"/>
      <c r="AH28" s="964"/>
      <c r="AI28" s="965"/>
      <c r="AJ28" s="966"/>
      <c r="AO28" s="1470"/>
      <c r="AP28" s="1470"/>
    </row>
    <row r="29" spans="1:42" s="894" customFormat="1" ht="18" customHeight="1" x14ac:dyDescent="0.2">
      <c r="A29" s="951" t="s">
        <v>4100</v>
      </c>
      <c r="B29" s="952">
        <v>10</v>
      </c>
      <c r="C29" s="952">
        <v>13</v>
      </c>
      <c r="D29" s="952">
        <v>20</v>
      </c>
      <c r="E29" s="952">
        <v>8</v>
      </c>
      <c r="F29" s="952">
        <v>16</v>
      </c>
      <c r="G29" s="952">
        <v>28</v>
      </c>
      <c r="H29" s="952">
        <v>1</v>
      </c>
      <c r="I29" s="953" t="s">
        <v>3994</v>
      </c>
      <c r="J29" s="953" t="s">
        <v>1761</v>
      </c>
      <c r="K29" s="952" t="s">
        <v>2231</v>
      </c>
      <c r="L29" s="954" t="s">
        <v>2226</v>
      </c>
      <c r="M29" s="951" t="s">
        <v>4037</v>
      </c>
      <c r="N29" s="955" t="s">
        <v>2236</v>
      </c>
      <c r="O29" s="951" t="s">
        <v>4037</v>
      </c>
      <c r="P29" s="955" t="s">
        <v>2244</v>
      </c>
      <c r="Q29" s="951" t="s">
        <v>4037</v>
      </c>
      <c r="R29" s="955" t="s">
        <v>2245</v>
      </c>
      <c r="S29" s="951" t="s">
        <v>4038</v>
      </c>
      <c r="T29" s="955" t="s">
        <v>2472</v>
      </c>
      <c r="U29" s="955" t="s">
        <v>2479</v>
      </c>
      <c r="V29" s="955" t="s">
        <v>2571</v>
      </c>
      <c r="W29" s="952"/>
      <c r="X29" s="927" t="s">
        <v>4101</v>
      </c>
      <c r="AB29" s="905"/>
      <c r="AC29" s="906"/>
      <c r="AD29" s="968" t="s">
        <v>4102</v>
      </c>
      <c r="AE29" s="907">
        <v>1</v>
      </c>
      <c r="AF29" s="907">
        <v>20</v>
      </c>
      <c r="AG29" s="969" t="s">
        <v>4103</v>
      </c>
      <c r="AH29" s="970" t="s">
        <v>4104</v>
      </c>
      <c r="AI29" s="971"/>
      <c r="AJ29" s="966"/>
      <c r="AO29" s="1470"/>
      <c r="AP29" s="1470"/>
    </row>
    <row r="30" spans="1:42" s="894" customFormat="1" ht="18" customHeight="1" x14ac:dyDescent="0.2">
      <c r="A30" s="951" t="s">
        <v>4105</v>
      </c>
      <c r="B30" s="952">
        <v>12</v>
      </c>
      <c r="C30" s="952">
        <v>15</v>
      </c>
      <c r="D30" s="952">
        <v>30</v>
      </c>
      <c r="E30" s="952">
        <v>10</v>
      </c>
      <c r="F30" s="952">
        <v>20</v>
      </c>
      <c r="G30" s="952">
        <v>35</v>
      </c>
      <c r="H30" s="952">
        <v>2</v>
      </c>
      <c r="I30" s="953" t="s">
        <v>3994</v>
      </c>
      <c r="J30" s="953" t="s">
        <v>1761</v>
      </c>
      <c r="K30" s="952" t="s">
        <v>2231</v>
      </c>
      <c r="L30" s="954" t="s">
        <v>2226</v>
      </c>
      <c r="M30" s="951" t="s">
        <v>4037</v>
      </c>
      <c r="N30" s="955" t="s">
        <v>2236</v>
      </c>
      <c r="O30" s="951" t="s">
        <v>4037</v>
      </c>
      <c r="P30" s="955" t="s">
        <v>2244</v>
      </c>
      <c r="Q30" s="951" t="s">
        <v>4037</v>
      </c>
      <c r="R30" s="955" t="s">
        <v>2245</v>
      </c>
      <c r="S30" s="951" t="s">
        <v>4038</v>
      </c>
      <c r="T30" s="955" t="s">
        <v>2472</v>
      </c>
      <c r="U30" s="955" t="s">
        <v>2479</v>
      </c>
      <c r="V30" s="955" t="s">
        <v>2571</v>
      </c>
      <c r="W30" s="952"/>
      <c r="X30" s="903" t="s">
        <v>4106</v>
      </c>
      <c r="AB30" s="905"/>
      <c r="AC30" s="906"/>
      <c r="AD30" s="968" t="s">
        <v>4107</v>
      </c>
      <c r="AE30" s="907">
        <v>1</v>
      </c>
      <c r="AF30" s="907">
        <v>30</v>
      </c>
      <c r="AG30" s="969" t="s">
        <v>4108</v>
      </c>
      <c r="AH30" s="970" t="s">
        <v>4109</v>
      </c>
      <c r="AI30" s="971"/>
      <c r="AJ30" s="966"/>
      <c r="AO30" s="1470"/>
      <c r="AP30" s="1470"/>
    </row>
    <row r="31" spans="1:42" s="894" customFormat="1" ht="18" customHeight="1" x14ac:dyDescent="0.2">
      <c r="A31" s="951" t="s">
        <v>4110</v>
      </c>
      <c r="B31" s="952">
        <v>18</v>
      </c>
      <c r="C31" s="952">
        <v>22</v>
      </c>
      <c r="D31" s="952">
        <v>50</v>
      </c>
      <c r="E31" s="952">
        <v>14</v>
      </c>
      <c r="F31" s="952">
        <v>28</v>
      </c>
      <c r="G31" s="952">
        <v>49</v>
      </c>
      <c r="H31" s="952">
        <v>2</v>
      </c>
      <c r="I31" s="953" t="s">
        <v>3994</v>
      </c>
      <c r="J31" s="953" t="s">
        <v>1761</v>
      </c>
      <c r="K31" s="952" t="s">
        <v>2231</v>
      </c>
      <c r="L31" s="954" t="s">
        <v>2226</v>
      </c>
      <c r="M31" s="951" t="s">
        <v>4037</v>
      </c>
      <c r="N31" s="955" t="s">
        <v>2236</v>
      </c>
      <c r="O31" s="951" t="s">
        <v>4037</v>
      </c>
      <c r="P31" s="955" t="s">
        <v>2244</v>
      </c>
      <c r="Q31" s="951" t="s">
        <v>4037</v>
      </c>
      <c r="R31" s="955" t="s">
        <v>2245</v>
      </c>
      <c r="S31" s="951" t="s">
        <v>4038</v>
      </c>
      <c r="T31" s="955" t="s">
        <v>2472</v>
      </c>
      <c r="U31" s="955" t="s">
        <v>2479</v>
      </c>
      <c r="V31" s="955" t="s">
        <v>2571</v>
      </c>
      <c r="W31" s="952"/>
      <c r="X31" s="903" t="s">
        <v>4111</v>
      </c>
      <c r="AB31" s="905"/>
      <c r="AC31" s="906"/>
      <c r="AD31" s="968" t="s">
        <v>4112</v>
      </c>
      <c r="AE31" s="907">
        <v>2</v>
      </c>
      <c r="AF31" s="907">
        <v>45</v>
      </c>
      <c r="AG31" s="969" t="s">
        <v>4113</v>
      </c>
      <c r="AH31" s="976" t="s">
        <v>4114</v>
      </c>
      <c r="AI31" s="971"/>
      <c r="AJ31" s="966"/>
      <c r="AO31" s="1470"/>
      <c r="AP31" s="1470"/>
    </row>
    <row r="32" spans="1:42" s="894" customFormat="1" ht="18" customHeight="1" x14ac:dyDescent="0.2">
      <c r="A32" s="951" t="s">
        <v>4115</v>
      </c>
      <c r="B32" s="952">
        <v>24</v>
      </c>
      <c r="C32" s="952">
        <v>29</v>
      </c>
      <c r="D32" s="952">
        <v>60</v>
      </c>
      <c r="E32" s="952">
        <v>18</v>
      </c>
      <c r="F32" s="952">
        <v>36</v>
      </c>
      <c r="G32" s="952">
        <v>63</v>
      </c>
      <c r="H32" s="952">
        <v>3</v>
      </c>
      <c r="I32" s="953" t="s">
        <v>3994</v>
      </c>
      <c r="J32" s="953" t="s">
        <v>1761</v>
      </c>
      <c r="K32" s="952" t="s">
        <v>2231</v>
      </c>
      <c r="L32" s="954" t="s">
        <v>2226</v>
      </c>
      <c r="M32" s="951" t="s">
        <v>4037</v>
      </c>
      <c r="N32" s="955" t="s">
        <v>2236</v>
      </c>
      <c r="O32" s="951" t="s">
        <v>4037</v>
      </c>
      <c r="P32" s="955" t="s">
        <v>2244</v>
      </c>
      <c r="Q32" s="951" t="s">
        <v>4037</v>
      </c>
      <c r="R32" s="955" t="s">
        <v>2245</v>
      </c>
      <c r="S32" s="951" t="s">
        <v>4038</v>
      </c>
      <c r="T32" s="955" t="s">
        <v>2472</v>
      </c>
      <c r="U32" s="955" t="s">
        <v>2479</v>
      </c>
      <c r="V32" s="955" t="s">
        <v>2571</v>
      </c>
      <c r="W32" s="952"/>
      <c r="X32" s="903" t="s">
        <v>4116</v>
      </c>
      <c r="AB32" s="905"/>
      <c r="AC32" s="906"/>
      <c r="AD32" s="968" t="s">
        <v>4117</v>
      </c>
      <c r="AE32" s="907">
        <v>2</v>
      </c>
      <c r="AF32" s="907">
        <v>55</v>
      </c>
      <c r="AG32" s="969" t="s">
        <v>4118</v>
      </c>
      <c r="AH32" s="976" t="s">
        <v>4119</v>
      </c>
      <c r="AI32" s="971"/>
      <c r="AJ32" s="966"/>
      <c r="AO32" s="1470"/>
      <c r="AP32" s="1470"/>
    </row>
    <row r="33" spans="1:42" s="894" customFormat="1" ht="18" customHeight="1" x14ac:dyDescent="0.2">
      <c r="A33" s="951" t="s">
        <v>4120</v>
      </c>
      <c r="B33" s="952">
        <v>28</v>
      </c>
      <c r="C33" s="952">
        <v>32</v>
      </c>
      <c r="D33" s="952">
        <v>70</v>
      </c>
      <c r="E33" s="952">
        <v>20</v>
      </c>
      <c r="F33" s="952">
        <v>40</v>
      </c>
      <c r="G33" s="952">
        <v>70</v>
      </c>
      <c r="H33" s="952">
        <v>3</v>
      </c>
      <c r="I33" s="953" t="s">
        <v>3994</v>
      </c>
      <c r="J33" s="953" t="s">
        <v>1761</v>
      </c>
      <c r="K33" s="952" t="s">
        <v>2231</v>
      </c>
      <c r="L33" s="954" t="s">
        <v>2226</v>
      </c>
      <c r="M33" s="951" t="s">
        <v>4037</v>
      </c>
      <c r="N33" s="955" t="s">
        <v>2236</v>
      </c>
      <c r="O33" s="951" t="s">
        <v>4037</v>
      </c>
      <c r="P33" s="955" t="s">
        <v>2244</v>
      </c>
      <c r="Q33" s="951" t="s">
        <v>4037</v>
      </c>
      <c r="R33" s="955" t="s">
        <v>2245</v>
      </c>
      <c r="S33" s="951" t="s">
        <v>4038</v>
      </c>
      <c r="T33" s="955" t="s">
        <v>2472</v>
      </c>
      <c r="U33" s="955" t="s">
        <v>2479</v>
      </c>
      <c r="V33" s="955" t="s">
        <v>2571</v>
      </c>
      <c r="W33" s="952"/>
      <c r="X33" s="927" t="s">
        <v>4121</v>
      </c>
      <c r="AB33" s="905"/>
      <c r="AC33" s="906"/>
      <c r="AD33" s="968" t="s">
        <v>4122</v>
      </c>
      <c r="AE33" s="907">
        <v>3</v>
      </c>
      <c r="AF33" s="907">
        <v>80</v>
      </c>
      <c r="AG33" s="969" t="s">
        <v>4123</v>
      </c>
      <c r="AH33" s="970" t="s">
        <v>4124</v>
      </c>
      <c r="AI33" s="971" t="s">
        <v>4125</v>
      </c>
      <c r="AJ33" s="966"/>
      <c r="AO33" s="1470"/>
      <c r="AP33" s="1470"/>
    </row>
    <row r="34" spans="1:42" s="894" customFormat="1" ht="18" customHeight="1" x14ac:dyDescent="0.2">
      <c r="A34" s="903" t="s">
        <v>3998</v>
      </c>
      <c r="B34" s="946"/>
      <c r="C34" s="946"/>
      <c r="D34" s="946"/>
      <c r="E34" s="946"/>
      <c r="F34" s="946"/>
      <c r="G34" s="946"/>
      <c r="H34" s="946"/>
      <c r="I34" s="946"/>
      <c r="J34" s="946"/>
      <c r="K34" s="946"/>
      <c r="L34" s="947"/>
      <c r="M34" s="946"/>
      <c r="N34" s="946"/>
      <c r="O34" s="946"/>
      <c r="P34" s="946"/>
      <c r="Q34" s="946"/>
      <c r="R34" s="946"/>
      <c r="S34" s="946"/>
      <c r="T34" s="946"/>
      <c r="U34" s="946"/>
      <c r="V34" s="946"/>
      <c r="W34" s="952"/>
      <c r="X34" s="903" t="s">
        <v>4126</v>
      </c>
      <c r="AB34" s="905"/>
      <c r="AC34" s="960"/>
      <c r="AD34" s="961" t="s">
        <v>8734</v>
      </c>
      <c r="AE34" s="962"/>
      <c r="AF34" s="962"/>
      <c r="AG34" s="963"/>
      <c r="AH34" s="964"/>
      <c r="AI34" s="965"/>
      <c r="AJ34" s="966"/>
      <c r="AO34" s="1470"/>
      <c r="AP34" s="1470"/>
    </row>
    <row r="35" spans="1:42" s="894" customFormat="1" ht="18" customHeight="1" x14ac:dyDescent="0.2">
      <c r="A35" s="951" t="s">
        <v>4127</v>
      </c>
      <c r="B35" s="952">
        <v>2</v>
      </c>
      <c r="C35" s="952">
        <v>4</v>
      </c>
      <c r="D35" s="952">
        <v>5</v>
      </c>
      <c r="E35" s="952">
        <v>1</v>
      </c>
      <c r="F35" s="952">
        <v>2</v>
      </c>
      <c r="G35" s="952">
        <v>4</v>
      </c>
      <c r="H35" s="952">
        <v>1</v>
      </c>
      <c r="I35" s="953" t="s">
        <v>3989</v>
      </c>
      <c r="J35" s="953" t="s">
        <v>1761</v>
      </c>
      <c r="K35" s="952" t="s">
        <v>2244</v>
      </c>
      <c r="L35" s="954" t="s">
        <v>2226</v>
      </c>
      <c r="M35" s="951" t="s">
        <v>4037</v>
      </c>
      <c r="N35" s="955" t="s">
        <v>2231</v>
      </c>
      <c r="O35" s="951" t="s">
        <v>4037</v>
      </c>
      <c r="P35" s="955" t="s">
        <v>2236</v>
      </c>
      <c r="Q35" s="951" t="s">
        <v>4038</v>
      </c>
      <c r="R35" s="955" t="s">
        <v>2245</v>
      </c>
      <c r="S35" s="951" t="s">
        <v>4128</v>
      </c>
      <c r="T35" s="955" t="s">
        <v>2570</v>
      </c>
      <c r="U35" s="955" t="s">
        <v>2571</v>
      </c>
      <c r="V35" s="955" t="s">
        <v>2575</v>
      </c>
      <c r="W35" s="952"/>
      <c r="X35" s="903" t="s">
        <v>4129</v>
      </c>
      <c r="AB35" s="905"/>
      <c r="AC35" s="906"/>
      <c r="AD35" s="968" t="s">
        <v>8735</v>
      </c>
      <c r="AE35" s="907">
        <v>1</v>
      </c>
      <c r="AF35" s="907">
        <v>35</v>
      </c>
      <c r="AG35" s="969" t="s">
        <v>8740</v>
      </c>
      <c r="AH35" s="976" t="s">
        <v>8741</v>
      </c>
      <c r="AI35" s="971"/>
      <c r="AJ35" s="966"/>
      <c r="AO35" s="1470"/>
      <c r="AP35" s="1470"/>
    </row>
    <row r="36" spans="1:42" s="894" customFormat="1" ht="18" customHeight="1" x14ac:dyDescent="0.2">
      <c r="A36" s="951" t="s">
        <v>4133</v>
      </c>
      <c r="B36" s="952">
        <v>4</v>
      </c>
      <c r="C36" s="952">
        <v>6</v>
      </c>
      <c r="D36" s="952">
        <v>5</v>
      </c>
      <c r="E36" s="952">
        <v>2</v>
      </c>
      <c r="F36" s="952">
        <v>4</v>
      </c>
      <c r="G36" s="952">
        <v>7</v>
      </c>
      <c r="H36" s="952">
        <v>1</v>
      </c>
      <c r="I36" s="953" t="s">
        <v>3989</v>
      </c>
      <c r="J36" s="953" t="s">
        <v>1761</v>
      </c>
      <c r="K36" s="952" t="s">
        <v>2244</v>
      </c>
      <c r="L36" s="954" t="s">
        <v>2226</v>
      </c>
      <c r="M36" s="951" t="s">
        <v>4037</v>
      </c>
      <c r="N36" s="955" t="s">
        <v>2231</v>
      </c>
      <c r="O36" s="951" t="s">
        <v>4037</v>
      </c>
      <c r="P36" s="955" t="s">
        <v>2236</v>
      </c>
      <c r="Q36" s="951" t="s">
        <v>4038</v>
      </c>
      <c r="R36" s="955" t="s">
        <v>2245</v>
      </c>
      <c r="S36" s="951" t="s">
        <v>4128</v>
      </c>
      <c r="T36" s="955" t="s">
        <v>2570</v>
      </c>
      <c r="U36" s="955" t="s">
        <v>2571</v>
      </c>
      <c r="V36" s="955" t="s">
        <v>2575</v>
      </c>
      <c r="W36" s="952"/>
      <c r="X36" s="903" t="s">
        <v>4134</v>
      </c>
      <c r="AB36" s="905"/>
      <c r="AC36" s="906"/>
      <c r="AD36" s="968" t="s">
        <v>8736</v>
      </c>
      <c r="AE36" s="907">
        <v>1</v>
      </c>
      <c r="AF36" s="907">
        <v>50</v>
      </c>
      <c r="AG36" s="969" t="s">
        <v>8742</v>
      </c>
      <c r="AH36" s="976" t="s">
        <v>8746</v>
      </c>
      <c r="AI36" s="971"/>
      <c r="AJ36" s="966"/>
      <c r="AO36" s="1470"/>
      <c r="AP36" s="1470"/>
    </row>
    <row r="37" spans="1:42" s="894" customFormat="1" ht="18" customHeight="1" x14ac:dyDescent="0.2">
      <c r="A37" s="951" t="s">
        <v>4138</v>
      </c>
      <c r="B37" s="952">
        <v>6</v>
      </c>
      <c r="C37" s="952">
        <v>9</v>
      </c>
      <c r="D37" s="952">
        <v>5</v>
      </c>
      <c r="E37" s="952">
        <v>3</v>
      </c>
      <c r="F37" s="952">
        <v>6</v>
      </c>
      <c r="G37" s="952">
        <v>11</v>
      </c>
      <c r="H37" s="952">
        <v>1</v>
      </c>
      <c r="I37" s="953" t="s">
        <v>3989</v>
      </c>
      <c r="J37" s="953" t="s">
        <v>1761</v>
      </c>
      <c r="K37" s="952" t="s">
        <v>2244</v>
      </c>
      <c r="L37" s="954" t="s">
        <v>2226</v>
      </c>
      <c r="M37" s="951" t="s">
        <v>4037</v>
      </c>
      <c r="N37" s="955" t="s">
        <v>2231</v>
      </c>
      <c r="O37" s="951" t="s">
        <v>4037</v>
      </c>
      <c r="P37" s="955" t="s">
        <v>2236</v>
      </c>
      <c r="Q37" s="951" t="s">
        <v>4038</v>
      </c>
      <c r="R37" s="955" t="s">
        <v>2245</v>
      </c>
      <c r="S37" s="951" t="s">
        <v>4128</v>
      </c>
      <c r="T37" s="955" t="s">
        <v>2570</v>
      </c>
      <c r="U37" s="955" t="s">
        <v>2571</v>
      </c>
      <c r="V37" s="955" t="s">
        <v>2575</v>
      </c>
      <c r="W37" s="952"/>
      <c r="X37" s="903" t="s">
        <v>4139</v>
      </c>
      <c r="AB37" s="905"/>
      <c r="AC37" s="906"/>
      <c r="AD37" s="968" t="s">
        <v>8737</v>
      </c>
      <c r="AE37" s="907">
        <v>2</v>
      </c>
      <c r="AF37" s="907">
        <v>60</v>
      </c>
      <c r="AG37" s="969" t="s">
        <v>8743</v>
      </c>
      <c r="AH37" s="976" t="s">
        <v>8747</v>
      </c>
      <c r="AI37" s="971"/>
      <c r="AJ37" s="966"/>
      <c r="AO37" s="1470"/>
      <c r="AP37" s="1470"/>
    </row>
    <row r="38" spans="1:42" s="894" customFormat="1" ht="18" customHeight="1" x14ac:dyDescent="0.2">
      <c r="A38" s="951" t="s">
        <v>4143</v>
      </c>
      <c r="B38" s="952">
        <v>8</v>
      </c>
      <c r="C38" s="952">
        <v>11</v>
      </c>
      <c r="D38" s="952">
        <v>10</v>
      </c>
      <c r="E38" s="952">
        <v>4</v>
      </c>
      <c r="F38" s="952">
        <v>8</v>
      </c>
      <c r="G38" s="952">
        <v>14</v>
      </c>
      <c r="H38" s="952">
        <v>1</v>
      </c>
      <c r="I38" s="953" t="s">
        <v>3989</v>
      </c>
      <c r="J38" s="953" t="s">
        <v>1761</v>
      </c>
      <c r="K38" s="952" t="s">
        <v>2244</v>
      </c>
      <c r="L38" s="954" t="s">
        <v>2226</v>
      </c>
      <c r="M38" s="951" t="s">
        <v>4037</v>
      </c>
      <c r="N38" s="955" t="s">
        <v>2231</v>
      </c>
      <c r="O38" s="951" t="s">
        <v>4037</v>
      </c>
      <c r="P38" s="955" t="s">
        <v>2236</v>
      </c>
      <c r="Q38" s="951" t="s">
        <v>4038</v>
      </c>
      <c r="R38" s="955" t="s">
        <v>2245</v>
      </c>
      <c r="S38" s="951" t="s">
        <v>4128</v>
      </c>
      <c r="T38" s="955" t="s">
        <v>2570</v>
      </c>
      <c r="U38" s="955" t="s">
        <v>2571</v>
      </c>
      <c r="V38" s="955" t="s">
        <v>2575</v>
      </c>
      <c r="W38" s="952"/>
      <c r="X38" s="903" t="s">
        <v>4144</v>
      </c>
      <c r="AB38" s="905"/>
      <c r="AC38" s="906"/>
      <c r="AD38" s="968" t="s">
        <v>8738</v>
      </c>
      <c r="AE38" s="907">
        <v>2</v>
      </c>
      <c r="AF38" s="907">
        <v>70</v>
      </c>
      <c r="AG38" s="969" t="s">
        <v>8744</v>
      </c>
      <c r="AH38" s="976" t="s">
        <v>8748</v>
      </c>
      <c r="AI38" s="971"/>
      <c r="AJ38" s="966"/>
      <c r="AO38" s="1470"/>
      <c r="AP38" s="1470"/>
    </row>
    <row r="39" spans="1:42" s="894" customFormat="1" ht="18" customHeight="1" x14ac:dyDescent="0.2">
      <c r="A39" s="951" t="s">
        <v>4148</v>
      </c>
      <c r="B39" s="952">
        <v>12</v>
      </c>
      <c r="C39" s="952">
        <v>15</v>
      </c>
      <c r="D39" s="952">
        <v>15</v>
      </c>
      <c r="E39" s="952">
        <v>6</v>
      </c>
      <c r="F39" s="952">
        <v>12</v>
      </c>
      <c r="G39" s="952">
        <v>21</v>
      </c>
      <c r="H39" s="952">
        <v>1</v>
      </c>
      <c r="I39" s="953" t="s">
        <v>3989</v>
      </c>
      <c r="J39" s="953" t="s">
        <v>1761</v>
      </c>
      <c r="K39" s="952" t="s">
        <v>2244</v>
      </c>
      <c r="L39" s="954" t="s">
        <v>2226</v>
      </c>
      <c r="M39" s="951" t="s">
        <v>4037</v>
      </c>
      <c r="N39" s="955" t="s">
        <v>2231</v>
      </c>
      <c r="O39" s="951" t="s">
        <v>4037</v>
      </c>
      <c r="P39" s="955" t="s">
        <v>2236</v>
      </c>
      <c r="Q39" s="951" t="s">
        <v>4038</v>
      </c>
      <c r="R39" s="955" t="s">
        <v>2245</v>
      </c>
      <c r="S39" s="951" t="s">
        <v>4128</v>
      </c>
      <c r="T39" s="955" t="s">
        <v>2570</v>
      </c>
      <c r="U39" s="955" t="s">
        <v>2571</v>
      </c>
      <c r="V39" s="955" t="s">
        <v>2575</v>
      </c>
      <c r="W39" s="952"/>
      <c r="X39" s="903" t="s">
        <v>4149</v>
      </c>
      <c r="AB39" s="905"/>
      <c r="AC39" s="906"/>
      <c r="AD39" s="968" t="s">
        <v>8739</v>
      </c>
      <c r="AE39" s="907">
        <v>3</v>
      </c>
      <c r="AF39" s="907">
        <v>90</v>
      </c>
      <c r="AG39" s="969" t="s">
        <v>8745</v>
      </c>
      <c r="AH39" s="976" t="s">
        <v>8749</v>
      </c>
      <c r="AI39" s="971"/>
      <c r="AJ39" s="966"/>
      <c r="AO39" s="1470"/>
      <c r="AP39" s="1470"/>
    </row>
    <row r="40" spans="1:42" s="894" customFormat="1" ht="18" customHeight="1" x14ac:dyDescent="0.2">
      <c r="A40" s="951" t="s">
        <v>4153</v>
      </c>
      <c r="B40" s="952">
        <v>16</v>
      </c>
      <c r="C40" s="952">
        <v>20</v>
      </c>
      <c r="D40" s="952">
        <v>25</v>
      </c>
      <c r="E40" s="952">
        <v>8</v>
      </c>
      <c r="F40" s="952">
        <v>16</v>
      </c>
      <c r="G40" s="952">
        <v>28</v>
      </c>
      <c r="H40" s="952">
        <v>2</v>
      </c>
      <c r="I40" s="953" t="s">
        <v>3989</v>
      </c>
      <c r="J40" s="953" t="s">
        <v>1761</v>
      </c>
      <c r="K40" s="952" t="s">
        <v>2244</v>
      </c>
      <c r="L40" s="954" t="s">
        <v>2226</v>
      </c>
      <c r="M40" s="951" t="s">
        <v>4037</v>
      </c>
      <c r="N40" s="955" t="s">
        <v>2231</v>
      </c>
      <c r="O40" s="951" t="s">
        <v>4037</v>
      </c>
      <c r="P40" s="955" t="s">
        <v>2236</v>
      </c>
      <c r="Q40" s="951" t="s">
        <v>4038</v>
      </c>
      <c r="R40" s="955" t="s">
        <v>2245</v>
      </c>
      <c r="S40" s="951" t="s">
        <v>4128</v>
      </c>
      <c r="T40" s="955" t="s">
        <v>2570</v>
      </c>
      <c r="U40" s="955" t="s">
        <v>2571</v>
      </c>
      <c r="V40" s="955" t="s">
        <v>2575</v>
      </c>
      <c r="W40" s="952"/>
      <c r="X40" s="927" t="s">
        <v>4154</v>
      </c>
      <c r="AB40" s="905"/>
      <c r="AC40" s="960"/>
      <c r="AD40" s="961" t="s">
        <v>8750</v>
      </c>
      <c r="AE40" s="962"/>
      <c r="AF40" s="962"/>
      <c r="AG40" s="963"/>
      <c r="AH40" s="964"/>
      <c r="AI40" s="965"/>
      <c r="AJ40" s="966"/>
      <c r="AO40" s="1470"/>
      <c r="AP40" s="1470"/>
    </row>
    <row r="41" spans="1:42" s="894" customFormat="1" ht="18" customHeight="1" x14ac:dyDescent="0.2">
      <c r="A41" s="951" t="s">
        <v>4156</v>
      </c>
      <c r="B41" s="952">
        <v>20</v>
      </c>
      <c r="C41" s="952">
        <v>24</v>
      </c>
      <c r="D41" s="952">
        <v>35</v>
      </c>
      <c r="E41" s="952">
        <v>10</v>
      </c>
      <c r="F41" s="952">
        <v>20</v>
      </c>
      <c r="G41" s="952">
        <v>35</v>
      </c>
      <c r="H41" s="952">
        <v>2</v>
      </c>
      <c r="I41" s="953" t="s">
        <v>3989</v>
      </c>
      <c r="J41" s="953" t="s">
        <v>1761</v>
      </c>
      <c r="K41" s="952" t="s">
        <v>2244</v>
      </c>
      <c r="L41" s="954" t="s">
        <v>2226</v>
      </c>
      <c r="M41" s="951" t="s">
        <v>4037</v>
      </c>
      <c r="N41" s="955" t="s">
        <v>2231</v>
      </c>
      <c r="O41" s="951" t="s">
        <v>4037</v>
      </c>
      <c r="P41" s="955" t="s">
        <v>2236</v>
      </c>
      <c r="Q41" s="951" t="s">
        <v>4038</v>
      </c>
      <c r="R41" s="955" t="s">
        <v>2245</v>
      </c>
      <c r="S41" s="951" t="s">
        <v>4128</v>
      </c>
      <c r="T41" s="955" t="s">
        <v>2570</v>
      </c>
      <c r="U41" s="955" t="s">
        <v>2571</v>
      </c>
      <c r="V41" s="955" t="s">
        <v>2575</v>
      </c>
      <c r="W41" s="952"/>
      <c r="X41" s="903" t="s">
        <v>4157</v>
      </c>
      <c r="AB41" s="905"/>
      <c r="AC41" s="906"/>
      <c r="AD41" s="968" t="s">
        <v>8752</v>
      </c>
      <c r="AE41" s="907">
        <v>1</v>
      </c>
      <c r="AF41" s="907">
        <v>30</v>
      </c>
      <c r="AG41" s="969" t="s">
        <v>8757</v>
      </c>
      <c r="AH41" s="976" t="s">
        <v>8763</v>
      </c>
      <c r="AI41" s="971" t="s">
        <v>8762</v>
      </c>
      <c r="AJ41" s="966"/>
      <c r="AO41" s="1470"/>
      <c r="AP41" s="1470"/>
    </row>
    <row r="42" spans="1:42" s="894" customFormat="1" ht="18" customHeight="1" x14ac:dyDescent="0.2">
      <c r="A42" s="951" t="s">
        <v>4161</v>
      </c>
      <c r="B42" s="952">
        <v>26</v>
      </c>
      <c r="C42" s="952">
        <v>32</v>
      </c>
      <c r="D42" s="952">
        <v>45</v>
      </c>
      <c r="E42" s="952">
        <v>12</v>
      </c>
      <c r="F42" s="952">
        <v>24</v>
      </c>
      <c r="G42" s="952">
        <v>42</v>
      </c>
      <c r="H42" s="952">
        <v>3</v>
      </c>
      <c r="I42" s="953" t="s">
        <v>3989</v>
      </c>
      <c r="J42" s="953" t="s">
        <v>1761</v>
      </c>
      <c r="K42" s="952" t="s">
        <v>2244</v>
      </c>
      <c r="L42" s="954" t="s">
        <v>2226</v>
      </c>
      <c r="M42" s="951" t="s">
        <v>4037</v>
      </c>
      <c r="N42" s="955" t="s">
        <v>2231</v>
      </c>
      <c r="O42" s="951" t="s">
        <v>4037</v>
      </c>
      <c r="P42" s="955" t="s">
        <v>2236</v>
      </c>
      <c r="Q42" s="951" t="s">
        <v>4038</v>
      </c>
      <c r="R42" s="955" t="s">
        <v>2245</v>
      </c>
      <c r="S42" s="951" t="s">
        <v>4128</v>
      </c>
      <c r="T42" s="955" t="s">
        <v>2570</v>
      </c>
      <c r="U42" s="955" t="s">
        <v>2571</v>
      </c>
      <c r="V42" s="955" t="s">
        <v>2575</v>
      </c>
      <c r="W42" s="952"/>
      <c r="X42" s="903" t="s">
        <v>4162</v>
      </c>
      <c r="AB42" s="905"/>
      <c r="AC42" s="906"/>
      <c r="AD42" s="968" t="s">
        <v>8753</v>
      </c>
      <c r="AE42" s="907">
        <v>1</v>
      </c>
      <c r="AF42" s="907">
        <v>30</v>
      </c>
      <c r="AG42" s="969" t="s">
        <v>8758</v>
      </c>
      <c r="AH42" s="976" t="s">
        <v>8764</v>
      </c>
      <c r="AI42" s="971"/>
      <c r="AJ42" s="966"/>
      <c r="AO42" s="1470"/>
      <c r="AP42" s="1470"/>
    </row>
    <row r="43" spans="1:42" s="894" customFormat="1" ht="18" customHeight="1" x14ac:dyDescent="0.2">
      <c r="A43" s="903" t="s">
        <v>4002</v>
      </c>
      <c r="B43" s="946"/>
      <c r="C43" s="946"/>
      <c r="D43" s="946"/>
      <c r="E43" s="946"/>
      <c r="F43" s="946"/>
      <c r="G43" s="946"/>
      <c r="H43" s="946"/>
      <c r="I43" s="946"/>
      <c r="J43" s="946"/>
      <c r="K43" s="946"/>
      <c r="L43" s="947"/>
      <c r="M43" s="946"/>
      <c r="N43" s="946"/>
      <c r="O43" s="946"/>
      <c r="P43" s="946"/>
      <c r="Q43" s="946"/>
      <c r="R43" s="946"/>
      <c r="S43" s="946"/>
      <c r="T43" s="946"/>
      <c r="U43" s="946"/>
      <c r="V43" s="946"/>
      <c r="W43" s="952"/>
      <c r="X43" s="903" t="s">
        <v>4166</v>
      </c>
      <c r="AB43" s="905"/>
      <c r="AC43" s="906"/>
      <c r="AD43" s="968" t="s">
        <v>8754</v>
      </c>
      <c r="AE43" s="907">
        <v>2</v>
      </c>
      <c r="AF43" s="907">
        <v>40</v>
      </c>
      <c r="AG43" s="969" t="s">
        <v>8759</v>
      </c>
      <c r="AH43" s="976" t="s">
        <v>8765</v>
      </c>
      <c r="AI43" s="971" t="s">
        <v>8762</v>
      </c>
      <c r="AJ43" s="966"/>
      <c r="AO43" s="1470"/>
      <c r="AP43" s="1470"/>
    </row>
    <row r="44" spans="1:42" s="894" customFormat="1" ht="18" customHeight="1" x14ac:dyDescent="0.2">
      <c r="A44" s="951" t="s">
        <v>4170</v>
      </c>
      <c r="B44" s="952">
        <v>1</v>
      </c>
      <c r="C44" s="952">
        <v>2</v>
      </c>
      <c r="D44" s="952">
        <v>5</v>
      </c>
      <c r="E44" s="952">
        <v>1</v>
      </c>
      <c r="F44" s="952">
        <v>2</v>
      </c>
      <c r="G44" s="952">
        <v>4</v>
      </c>
      <c r="H44" s="952">
        <v>1</v>
      </c>
      <c r="I44" s="953" t="s">
        <v>3989</v>
      </c>
      <c r="J44" s="953" t="s">
        <v>4171</v>
      </c>
      <c r="K44" s="952" t="s">
        <v>2231</v>
      </c>
      <c r="L44" s="954" t="s">
        <v>2226</v>
      </c>
      <c r="M44" s="951" t="s">
        <v>4037</v>
      </c>
      <c r="N44" s="955" t="s">
        <v>2236</v>
      </c>
      <c r="O44" s="951" t="s">
        <v>4037</v>
      </c>
      <c r="P44" s="955" t="s">
        <v>2244</v>
      </c>
      <c r="Q44" s="951" t="s">
        <v>4037</v>
      </c>
      <c r="R44" s="955" t="s">
        <v>2245</v>
      </c>
      <c r="S44" s="951" t="s">
        <v>4038</v>
      </c>
      <c r="T44" s="955" t="s">
        <v>2475</v>
      </c>
      <c r="U44" s="955" t="s">
        <v>2472</v>
      </c>
      <c r="V44" s="955" t="s">
        <v>2575</v>
      </c>
      <c r="W44" s="952"/>
      <c r="X44" s="903" t="s">
        <v>2405</v>
      </c>
      <c r="AB44" s="905"/>
      <c r="AC44" s="906"/>
      <c r="AD44" s="968" t="s">
        <v>8755</v>
      </c>
      <c r="AE44" s="907">
        <v>2</v>
      </c>
      <c r="AF44" s="907">
        <v>40</v>
      </c>
      <c r="AG44" s="969" t="s">
        <v>8760</v>
      </c>
      <c r="AH44" s="976" t="s">
        <v>8766</v>
      </c>
      <c r="AI44" s="971" t="s">
        <v>8762</v>
      </c>
      <c r="AJ44" s="966"/>
      <c r="AO44" s="1470"/>
      <c r="AP44" s="1470"/>
    </row>
    <row r="45" spans="1:42" s="894" customFormat="1" ht="18" customHeight="1" x14ac:dyDescent="0.2">
      <c r="A45" s="951" t="s">
        <v>4175</v>
      </c>
      <c r="B45" s="952">
        <v>2</v>
      </c>
      <c r="C45" s="952">
        <v>4</v>
      </c>
      <c r="D45" s="952">
        <v>5</v>
      </c>
      <c r="E45" s="952">
        <v>2</v>
      </c>
      <c r="F45" s="952">
        <v>4</v>
      </c>
      <c r="G45" s="952">
        <v>7</v>
      </c>
      <c r="H45" s="952">
        <v>1</v>
      </c>
      <c r="I45" s="953" t="s">
        <v>3989</v>
      </c>
      <c r="J45" s="953" t="s">
        <v>4171</v>
      </c>
      <c r="K45" s="952" t="s">
        <v>2231</v>
      </c>
      <c r="L45" s="954" t="s">
        <v>2226</v>
      </c>
      <c r="M45" s="951" t="s">
        <v>4037</v>
      </c>
      <c r="N45" s="955" t="s">
        <v>2236</v>
      </c>
      <c r="O45" s="951" t="s">
        <v>4037</v>
      </c>
      <c r="P45" s="955" t="s">
        <v>2244</v>
      </c>
      <c r="Q45" s="951" t="s">
        <v>4037</v>
      </c>
      <c r="R45" s="955" t="s">
        <v>2245</v>
      </c>
      <c r="S45" s="951" t="s">
        <v>4038</v>
      </c>
      <c r="T45" s="955" t="s">
        <v>2475</v>
      </c>
      <c r="U45" s="955" t="s">
        <v>2472</v>
      </c>
      <c r="V45" s="955" t="s">
        <v>2575</v>
      </c>
      <c r="W45" s="952"/>
      <c r="X45" s="927" t="s">
        <v>4176</v>
      </c>
      <c r="AB45" s="905"/>
      <c r="AC45" s="906"/>
      <c r="AD45" s="968" t="s">
        <v>8756</v>
      </c>
      <c r="AE45" s="907">
        <v>3</v>
      </c>
      <c r="AF45" s="907">
        <v>70</v>
      </c>
      <c r="AG45" s="969" t="s">
        <v>8761</v>
      </c>
      <c r="AH45" s="976" t="s">
        <v>8767</v>
      </c>
      <c r="AI45" s="971" t="s">
        <v>8762</v>
      </c>
      <c r="AJ45" s="966"/>
      <c r="AO45" s="1470"/>
      <c r="AP45" s="1470"/>
    </row>
    <row r="46" spans="1:42" s="894" customFormat="1" ht="18" customHeight="1" x14ac:dyDescent="0.2">
      <c r="A46" s="951" t="s">
        <v>4180</v>
      </c>
      <c r="B46" s="952">
        <v>3</v>
      </c>
      <c r="C46" s="952">
        <v>5</v>
      </c>
      <c r="D46" s="952">
        <v>10</v>
      </c>
      <c r="E46" s="952">
        <v>3</v>
      </c>
      <c r="F46" s="952">
        <v>6</v>
      </c>
      <c r="G46" s="952">
        <v>11</v>
      </c>
      <c r="H46" s="952">
        <v>1</v>
      </c>
      <c r="I46" s="953" t="s">
        <v>3989</v>
      </c>
      <c r="J46" s="953" t="s">
        <v>4171</v>
      </c>
      <c r="K46" s="952" t="s">
        <v>2231</v>
      </c>
      <c r="L46" s="954" t="s">
        <v>2226</v>
      </c>
      <c r="M46" s="951" t="s">
        <v>4037</v>
      </c>
      <c r="N46" s="955" t="s">
        <v>2236</v>
      </c>
      <c r="O46" s="951" t="s">
        <v>4037</v>
      </c>
      <c r="P46" s="955" t="s">
        <v>2244</v>
      </c>
      <c r="Q46" s="951" t="s">
        <v>4037</v>
      </c>
      <c r="R46" s="955" t="s">
        <v>2245</v>
      </c>
      <c r="S46" s="951" t="s">
        <v>4038</v>
      </c>
      <c r="T46" s="955" t="s">
        <v>2475</v>
      </c>
      <c r="U46" s="955" t="s">
        <v>2472</v>
      </c>
      <c r="V46" s="955" t="s">
        <v>2575</v>
      </c>
      <c r="W46" s="952"/>
      <c r="X46" s="903" t="s">
        <v>4181</v>
      </c>
      <c r="AB46" s="905"/>
      <c r="AC46" s="960"/>
      <c r="AD46" s="961" t="s">
        <v>8751</v>
      </c>
      <c r="AE46" s="962"/>
      <c r="AF46" s="962"/>
      <c r="AG46" s="963"/>
      <c r="AH46" s="964"/>
      <c r="AI46" s="965"/>
      <c r="AJ46" s="966"/>
      <c r="AO46" s="1470"/>
      <c r="AP46" s="1470"/>
    </row>
    <row r="47" spans="1:42" s="894" customFormat="1" ht="18" customHeight="1" x14ac:dyDescent="0.2">
      <c r="A47" s="951" t="s">
        <v>4183</v>
      </c>
      <c r="B47" s="952">
        <v>4</v>
      </c>
      <c r="C47" s="952">
        <v>6</v>
      </c>
      <c r="D47" s="952">
        <v>10</v>
      </c>
      <c r="E47" s="952">
        <v>4</v>
      </c>
      <c r="F47" s="952">
        <v>8</v>
      </c>
      <c r="G47" s="952">
        <v>14</v>
      </c>
      <c r="H47" s="952">
        <v>1</v>
      </c>
      <c r="I47" s="953" t="s">
        <v>3989</v>
      </c>
      <c r="J47" s="953" t="s">
        <v>4171</v>
      </c>
      <c r="K47" s="952" t="s">
        <v>2231</v>
      </c>
      <c r="L47" s="954" t="s">
        <v>2226</v>
      </c>
      <c r="M47" s="951" t="s">
        <v>4037</v>
      </c>
      <c r="N47" s="955" t="s">
        <v>2236</v>
      </c>
      <c r="O47" s="951" t="s">
        <v>4037</v>
      </c>
      <c r="P47" s="955" t="s">
        <v>2244</v>
      </c>
      <c r="Q47" s="951" t="s">
        <v>4037</v>
      </c>
      <c r="R47" s="955" t="s">
        <v>2245</v>
      </c>
      <c r="S47" s="951" t="s">
        <v>4038</v>
      </c>
      <c r="T47" s="955" t="s">
        <v>2475</v>
      </c>
      <c r="U47" s="955" t="s">
        <v>2472</v>
      </c>
      <c r="V47" s="955" t="s">
        <v>2575</v>
      </c>
      <c r="W47" s="952"/>
      <c r="X47" s="903" t="s">
        <v>4184</v>
      </c>
      <c r="AB47" s="905"/>
      <c r="AC47" s="906"/>
      <c r="AD47" s="968" t="s">
        <v>8768</v>
      </c>
      <c r="AE47" s="907">
        <v>1</v>
      </c>
      <c r="AF47" s="907">
        <v>25</v>
      </c>
      <c r="AG47" s="969" t="s">
        <v>8770</v>
      </c>
      <c r="AH47" s="976" t="s">
        <v>8772</v>
      </c>
      <c r="AI47" s="971"/>
      <c r="AJ47" s="966"/>
      <c r="AO47" s="1470"/>
      <c r="AP47" s="1470"/>
    </row>
    <row r="48" spans="1:42" s="894" customFormat="1" ht="18" customHeight="1" x14ac:dyDescent="0.2">
      <c r="A48" s="951" t="s">
        <v>4188</v>
      </c>
      <c r="B48" s="952">
        <v>6</v>
      </c>
      <c r="C48" s="952">
        <v>9</v>
      </c>
      <c r="D48" s="952">
        <v>15</v>
      </c>
      <c r="E48" s="952">
        <v>6</v>
      </c>
      <c r="F48" s="952">
        <v>12</v>
      </c>
      <c r="G48" s="952">
        <v>21</v>
      </c>
      <c r="H48" s="952">
        <v>1</v>
      </c>
      <c r="I48" s="953" t="s">
        <v>3989</v>
      </c>
      <c r="J48" s="953" t="s">
        <v>4171</v>
      </c>
      <c r="K48" s="952" t="s">
        <v>2231</v>
      </c>
      <c r="L48" s="954" t="s">
        <v>2226</v>
      </c>
      <c r="M48" s="951" t="s">
        <v>4037</v>
      </c>
      <c r="N48" s="955" t="s">
        <v>2236</v>
      </c>
      <c r="O48" s="951" t="s">
        <v>4037</v>
      </c>
      <c r="P48" s="955" t="s">
        <v>2244</v>
      </c>
      <c r="Q48" s="951" t="s">
        <v>4037</v>
      </c>
      <c r="R48" s="955" t="s">
        <v>2245</v>
      </c>
      <c r="S48" s="951" t="s">
        <v>4038</v>
      </c>
      <c r="T48" s="955" t="s">
        <v>2475</v>
      </c>
      <c r="U48" s="955" t="s">
        <v>2472</v>
      </c>
      <c r="V48" s="955" t="s">
        <v>2575</v>
      </c>
      <c r="W48" s="952"/>
      <c r="X48" s="903" t="s">
        <v>4189</v>
      </c>
      <c r="AB48" s="905"/>
      <c r="AC48" s="906"/>
      <c r="AD48" s="968" t="s">
        <v>8769</v>
      </c>
      <c r="AE48" s="907">
        <v>1</v>
      </c>
      <c r="AF48" s="907">
        <v>20</v>
      </c>
      <c r="AG48" s="969" t="s">
        <v>8771</v>
      </c>
      <c r="AH48" s="976" t="s">
        <v>8773</v>
      </c>
      <c r="AI48" s="971"/>
      <c r="AJ48" s="966"/>
      <c r="AO48" s="1470"/>
      <c r="AP48" s="1470"/>
    </row>
    <row r="49" spans="1:42" s="894" customFormat="1" ht="18" customHeight="1" x14ac:dyDescent="0.2">
      <c r="A49" s="951" t="s">
        <v>4193</v>
      </c>
      <c r="B49" s="952">
        <v>9</v>
      </c>
      <c r="C49" s="952">
        <v>12</v>
      </c>
      <c r="D49" s="952">
        <v>20</v>
      </c>
      <c r="E49" s="952">
        <v>8</v>
      </c>
      <c r="F49" s="952">
        <v>16</v>
      </c>
      <c r="G49" s="952">
        <v>28</v>
      </c>
      <c r="H49" s="952">
        <v>1</v>
      </c>
      <c r="I49" s="953" t="s">
        <v>3989</v>
      </c>
      <c r="J49" s="953" t="s">
        <v>4171</v>
      </c>
      <c r="K49" s="952" t="s">
        <v>2231</v>
      </c>
      <c r="L49" s="954" t="s">
        <v>2226</v>
      </c>
      <c r="M49" s="951" t="s">
        <v>4037</v>
      </c>
      <c r="N49" s="955" t="s">
        <v>2236</v>
      </c>
      <c r="O49" s="951" t="s">
        <v>4037</v>
      </c>
      <c r="P49" s="955" t="s">
        <v>2244</v>
      </c>
      <c r="Q49" s="951" t="s">
        <v>4037</v>
      </c>
      <c r="R49" s="955" t="s">
        <v>2245</v>
      </c>
      <c r="S49" s="951" t="s">
        <v>4038</v>
      </c>
      <c r="T49" s="955" t="s">
        <v>2475</v>
      </c>
      <c r="U49" s="955" t="s">
        <v>2472</v>
      </c>
      <c r="V49" s="955" t="s">
        <v>2575</v>
      </c>
      <c r="W49" s="952"/>
      <c r="X49" s="903" t="s">
        <v>4194</v>
      </c>
      <c r="AB49" s="905"/>
      <c r="AC49" s="906"/>
      <c r="AD49" s="968" t="s">
        <v>8774</v>
      </c>
      <c r="AE49" s="907">
        <v>2</v>
      </c>
      <c r="AF49" s="907">
        <v>50</v>
      </c>
      <c r="AG49" s="969" t="s">
        <v>8776</v>
      </c>
      <c r="AH49" s="976" t="s">
        <v>8779</v>
      </c>
      <c r="AI49" s="971"/>
      <c r="AJ49" s="966"/>
      <c r="AO49" s="1470"/>
      <c r="AP49" s="1470"/>
    </row>
    <row r="50" spans="1:42" s="894" customFormat="1" ht="18" customHeight="1" x14ac:dyDescent="0.2">
      <c r="A50" s="951" t="s">
        <v>4198</v>
      </c>
      <c r="B50" s="952">
        <v>12</v>
      </c>
      <c r="C50" s="952">
        <v>15</v>
      </c>
      <c r="D50" s="952">
        <v>25</v>
      </c>
      <c r="E50" s="952">
        <v>10</v>
      </c>
      <c r="F50" s="952">
        <v>20</v>
      </c>
      <c r="G50" s="952">
        <v>35</v>
      </c>
      <c r="H50" s="952">
        <v>1</v>
      </c>
      <c r="I50" s="953" t="s">
        <v>3989</v>
      </c>
      <c r="J50" s="953" t="s">
        <v>4171</v>
      </c>
      <c r="K50" s="952" t="s">
        <v>2231</v>
      </c>
      <c r="L50" s="954" t="s">
        <v>2226</v>
      </c>
      <c r="M50" s="951" t="s">
        <v>4037</v>
      </c>
      <c r="N50" s="955" t="s">
        <v>2236</v>
      </c>
      <c r="O50" s="951" t="s">
        <v>4037</v>
      </c>
      <c r="P50" s="955" t="s">
        <v>2244</v>
      </c>
      <c r="Q50" s="951" t="s">
        <v>4037</v>
      </c>
      <c r="R50" s="955" t="s">
        <v>2245</v>
      </c>
      <c r="S50" s="951" t="s">
        <v>4038</v>
      </c>
      <c r="T50" s="955" t="s">
        <v>2475</v>
      </c>
      <c r="U50" s="955" t="s">
        <v>2472</v>
      </c>
      <c r="V50" s="955" t="s">
        <v>2575</v>
      </c>
      <c r="W50" s="952"/>
      <c r="X50" s="903" t="s">
        <v>4199</v>
      </c>
      <c r="AB50" s="905"/>
      <c r="AC50" s="906"/>
      <c r="AD50" s="968" t="s">
        <v>1089</v>
      </c>
      <c r="AE50" s="907">
        <v>2</v>
      </c>
      <c r="AF50" s="907">
        <v>50</v>
      </c>
      <c r="AG50" s="969" t="s">
        <v>8777</v>
      </c>
      <c r="AH50" s="976" t="s">
        <v>8780</v>
      </c>
      <c r="AI50" s="971"/>
      <c r="AJ50" s="966"/>
      <c r="AO50" s="1470"/>
      <c r="AP50" s="1470"/>
    </row>
    <row r="51" spans="1:42" s="894" customFormat="1" ht="18" customHeight="1" x14ac:dyDescent="0.2">
      <c r="A51" s="951" t="s">
        <v>4203</v>
      </c>
      <c r="B51" s="952">
        <v>14</v>
      </c>
      <c r="C51" s="952">
        <v>18</v>
      </c>
      <c r="D51" s="952">
        <v>30</v>
      </c>
      <c r="E51" s="952">
        <v>12</v>
      </c>
      <c r="F51" s="952">
        <v>24</v>
      </c>
      <c r="G51" s="952">
        <v>42</v>
      </c>
      <c r="H51" s="952">
        <v>2</v>
      </c>
      <c r="I51" s="953" t="s">
        <v>3989</v>
      </c>
      <c r="J51" s="953" t="s">
        <v>4171</v>
      </c>
      <c r="K51" s="952" t="s">
        <v>2231</v>
      </c>
      <c r="L51" s="954" t="s">
        <v>2226</v>
      </c>
      <c r="M51" s="951" t="s">
        <v>4037</v>
      </c>
      <c r="N51" s="955" t="s">
        <v>2236</v>
      </c>
      <c r="O51" s="951" t="s">
        <v>4037</v>
      </c>
      <c r="P51" s="955" t="s">
        <v>2244</v>
      </c>
      <c r="Q51" s="951" t="s">
        <v>4037</v>
      </c>
      <c r="R51" s="955" t="s">
        <v>2245</v>
      </c>
      <c r="S51" s="951" t="s">
        <v>4038</v>
      </c>
      <c r="T51" s="955" t="s">
        <v>2475</v>
      </c>
      <c r="U51" s="955" t="s">
        <v>2472</v>
      </c>
      <c r="V51" s="955" t="s">
        <v>2575</v>
      </c>
      <c r="W51" s="952"/>
      <c r="X51" s="903" t="s">
        <v>4204</v>
      </c>
      <c r="AB51" s="905"/>
      <c r="AC51" s="906"/>
      <c r="AD51" s="968" t="s">
        <v>8775</v>
      </c>
      <c r="AE51" s="907">
        <v>3</v>
      </c>
      <c r="AF51" s="907">
        <v>60</v>
      </c>
      <c r="AG51" s="969" t="s">
        <v>8778</v>
      </c>
      <c r="AH51" s="976" t="s">
        <v>8781</v>
      </c>
      <c r="AI51" s="971"/>
      <c r="AJ51" s="966"/>
      <c r="AO51" s="1470"/>
      <c r="AP51" s="1470"/>
    </row>
    <row r="52" spans="1:42" s="894" customFormat="1" ht="18" customHeight="1" x14ac:dyDescent="0.2">
      <c r="A52" s="951" t="s">
        <v>4209</v>
      </c>
      <c r="B52" s="952">
        <v>18</v>
      </c>
      <c r="C52" s="952">
        <v>22</v>
      </c>
      <c r="D52" s="952">
        <v>35</v>
      </c>
      <c r="E52" s="952">
        <v>14</v>
      </c>
      <c r="F52" s="952">
        <v>28</v>
      </c>
      <c r="G52" s="952">
        <v>49</v>
      </c>
      <c r="H52" s="952">
        <v>2</v>
      </c>
      <c r="I52" s="953" t="s">
        <v>3989</v>
      </c>
      <c r="J52" s="953" t="s">
        <v>4171</v>
      </c>
      <c r="K52" s="952" t="s">
        <v>2231</v>
      </c>
      <c r="L52" s="954" t="s">
        <v>2226</v>
      </c>
      <c r="M52" s="951" t="s">
        <v>4037</v>
      </c>
      <c r="N52" s="955" t="s">
        <v>2236</v>
      </c>
      <c r="O52" s="951" t="s">
        <v>4037</v>
      </c>
      <c r="P52" s="955" t="s">
        <v>2244</v>
      </c>
      <c r="Q52" s="951" t="s">
        <v>4037</v>
      </c>
      <c r="R52" s="955" t="s">
        <v>2245</v>
      </c>
      <c r="S52" s="951" t="s">
        <v>4038</v>
      </c>
      <c r="T52" s="955" t="s">
        <v>2475</v>
      </c>
      <c r="U52" s="955" t="s">
        <v>2472</v>
      </c>
      <c r="V52" s="955" t="s">
        <v>2575</v>
      </c>
      <c r="W52" s="952"/>
      <c r="X52" s="903" t="s">
        <v>4210</v>
      </c>
      <c r="AB52" s="905"/>
      <c r="AC52" s="906"/>
      <c r="AD52" s="961" t="s">
        <v>9522</v>
      </c>
      <c r="AE52" s="962"/>
      <c r="AF52" s="962"/>
      <c r="AG52" s="963"/>
      <c r="AH52" s="964"/>
      <c r="AI52" s="965"/>
      <c r="AJ52" s="966"/>
      <c r="AO52" s="1470"/>
      <c r="AP52" s="1470"/>
    </row>
    <row r="53" spans="1:42" s="894" customFormat="1" ht="18" customHeight="1" x14ac:dyDescent="0.2">
      <c r="A53" s="951" t="s">
        <v>4215</v>
      </c>
      <c r="B53" s="952">
        <v>22</v>
      </c>
      <c r="C53" s="952">
        <v>26</v>
      </c>
      <c r="D53" s="952">
        <v>40</v>
      </c>
      <c r="E53" s="952">
        <v>16</v>
      </c>
      <c r="F53" s="952">
        <v>32</v>
      </c>
      <c r="G53" s="952">
        <v>56</v>
      </c>
      <c r="H53" s="952">
        <v>3</v>
      </c>
      <c r="I53" s="953" t="s">
        <v>3989</v>
      </c>
      <c r="J53" s="953" t="s">
        <v>4171</v>
      </c>
      <c r="K53" s="952" t="s">
        <v>2231</v>
      </c>
      <c r="L53" s="954" t="s">
        <v>2226</v>
      </c>
      <c r="M53" s="951" t="s">
        <v>4037</v>
      </c>
      <c r="N53" s="955" t="s">
        <v>2236</v>
      </c>
      <c r="O53" s="951" t="s">
        <v>4037</v>
      </c>
      <c r="P53" s="955" t="s">
        <v>2244</v>
      </c>
      <c r="Q53" s="951" t="s">
        <v>4037</v>
      </c>
      <c r="R53" s="955" t="s">
        <v>2245</v>
      </c>
      <c r="S53" s="951" t="s">
        <v>4038</v>
      </c>
      <c r="T53" s="955" t="s">
        <v>2475</v>
      </c>
      <c r="U53" s="955" t="s">
        <v>2472</v>
      </c>
      <c r="V53" s="955" t="s">
        <v>2575</v>
      </c>
      <c r="W53" s="952"/>
      <c r="X53" s="903" t="s">
        <v>4216</v>
      </c>
      <c r="AB53" s="905"/>
      <c r="AC53" s="906"/>
      <c r="AD53" s="968" t="s">
        <v>4130</v>
      </c>
      <c r="AE53" s="907">
        <v>1</v>
      </c>
      <c r="AF53" s="907">
        <v>45</v>
      </c>
      <c r="AG53" s="969" t="s">
        <v>4131</v>
      </c>
      <c r="AH53" s="970" t="s">
        <v>4132</v>
      </c>
      <c r="AI53" s="971"/>
      <c r="AJ53" s="966"/>
      <c r="AO53" s="1470"/>
      <c r="AP53" s="1470"/>
    </row>
    <row r="54" spans="1:42" s="894" customFormat="1" ht="18" customHeight="1" x14ac:dyDescent="0.2">
      <c r="A54" s="951" t="s">
        <v>4218</v>
      </c>
      <c r="B54" s="952">
        <v>26</v>
      </c>
      <c r="C54" s="952">
        <v>32</v>
      </c>
      <c r="D54" s="952">
        <v>45</v>
      </c>
      <c r="E54" s="952">
        <v>18</v>
      </c>
      <c r="F54" s="952">
        <v>36</v>
      </c>
      <c r="G54" s="952">
        <v>63</v>
      </c>
      <c r="H54" s="952">
        <v>3</v>
      </c>
      <c r="I54" s="953" t="s">
        <v>3989</v>
      </c>
      <c r="J54" s="953" t="s">
        <v>4171</v>
      </c>
      <c r="K54" s="952" t="s">
        <v>2231</v>
      </c>
      <c r="L54" s="954" t="s">
        <v>2226</v>
      </c>
      <c r="M54" s="951" t="s">
        <v>4037</v>
      </c>
      <c r="N54" s="955" t="s">
        <v>2236</v>
      </c>
      <c r="O54" s="951" t="s">
        <v>4037</v>
      </c>
      <c r="P54" s="955" t="s">
        <v>2244</v>
      </c>
      <c r="Q54" s="951" t="s">
        <v>4037</v>
      </c>
      <c r="R54" s="955" t="s">
        <v>2245</v>
      </c>
      <c r="S54" s="951" t="s">
        <v>4038</v>
      </c>
      <c r="T54" s="955" t="s">
        <v>2475</v>
      </c>
      <c r="U54" s="955" t="s">
        <v>2472</v>
      </c>
      <c r="V54" s="955" t="s">
        <v>2575</v>
      </c>
      <c r="W54" s="952"/>
      <c r="X54" s="903" t="s">
        <v>4219</v>
      </c>
      <c r="AB54" s="905"/>
      <c r="AC54" s="906"/>
      <c r="AD54" s="968" t="s">
        <v>4135</v>
      </c>
      <c r="AE54" s="907">
        <v>1</v>
      </c>
      <c r="AF54" s="907">
        <v>30</v>
      </c>
      <c r="AG54" s="969" t="s">
        <v>4136</v>
      </c>
      <c r="AH54" s="970" t="s">
        <v>4137</v>
      </c>
      <c r="AI54" s="971"/>
      <c r="AJ54" s="966"/>
      <c r="AO54" s="1470"/>
      <c r="AP54" s="1470"/>
    </row>
    <row r="55" spans="1:42" s="894" customFormat="1" ht="18" customHeight="1" x14ac:dyDescent="0.2">
      <c r="A55" s="903" t="s">
        <v>4006</v>
      </c>
      <c r="B55" s="946"/>
      <c r="C55" s="946"/>
      <c r="D55" s="946"/>
      <c r="E55" s="946"/>
      <c r="F55" s="946"/>
      <c r="G55" s="946"/>
      <c r="H55" s="946"/>
      <c r="I55" s="946"/>
      <c r="J55" s="946"/>
      <c r="K55" s="946"/>
      <c r="L55" s="947"/>
      <c r="M55" s="946"/>
      <c r="N55" s="946"/>
      <c r="O55" s="946"/>
      <c r="P55" s="946"/>
      <c r="Q55" s="946"/>
      <c r="R55" s="946"/>
      <c r="S55" s="946"/>
      <c r="T55" s="946"/>
      <c r="U55" s="946"/>
      <c r="V55" s="946"/>
      <c r="W55" s="952"/>
      <c r="X55" s="927" t="s">
        <v>4223</v>
      </c>
      <c r="AB55" s="905"/>
      <c r="AC55" s="906"/>
      <c r="AD55" s="968" t="s">
        <v>4140</v>
      </c>
      <c r="AE55" s="907">
        <v>2</v>
      </c>
      <c r="AF55" s="907">
        <v>75</v>
      </c>
      <c r="AG55" s="969" t="s">
        <v>4141</v>
      </c>
      <c r="AH55" s="970" t="s">
        <v>4142</v>
      </c>
      <c r="AI55" s="971"/>
      <c r="AJ55" s="966"/>
      <c r="AO55" s="1470"/>
      <c r="AP55" s="1470"/>
    </row>
    <row r="56" spans="1:42" s="894" customFormat="1" ht="18" customHeight="1" x14ac:dyDescent="0.2">
      <c r="A56" s="951" t="s">
        <v>4227</v>
      </c>
      <c r="B56" s="952">
        <v>1</v>
      </c>
      <c r="C56" s="952">
        <v>2</v>
      </c>
      <c r="D56" s="952">
        <v>5</v>
      </c>
      <c r="E56" s="952">
        <v>1</v>
      </c>
      <c r="F56" s="952">
        <v>2</v>
      </c>
      <c r="G56" s="952">
        <v>4</v>
      </c>
      <c r="H56" s="952">
        <v>1</v>
      </c>
      <c r="I56" s="953" t="s">
        <v>3989</v>
      </c>
      <c r="J56" s="953" t="s">
        <v>1761</v>
      </c>
      <c r="K56" s="952" t="s">
        <v>2231</v>
      </c>
      <c r="L56" s="954" t="s">
        <v>2226</v>
      </c>
      <c r="M56" s="951" t="s">
        <v>4128</v>
      </c>
      <c r="N56" s="955" t="s">
        <v>2354</v>
      </c>
      <c r="O56" s="951" t="s">
        <v>4037</v>
      </c>
      <c r="P56" s="955" t="s">
        <v>2244</v>
      </c>
      <c r="Q56" s="951" t="s">
        <v>4037</v>
      </c>
      <c r="R56" s="955" t="s">
        <v>2245</v>
      </c>
      <c r="S56" s="951" t="s">
        <v>4037</v>
      </c>
      <c r="T56" s="955" t="s">
        <v>2472</v>
      </c>
      <c r="U56" s="952" t="s">
        <v>3914</v>
      </c>
      <c r="V56" s="952" t="s">
        <v>3914</v>
      </c>
      <c r="W56" s="952"/>
      <c r="X56" s="903" t="s">
        <v>4228</v>
      </c>
      <c r="AB56" s="905"/>
      <c r="AC56" s="906"/>
      <c r="AD56" s="968" t="s">
        <v>4145</v>
      </c>
      <c r="AE56" s="907">
        <v>2</v>
      </c>
      <c r="AF56" s="907">
        <v>55</v>
      </c>
      <c r="AG56" s="969" t="s">
        <v>4146</v>
      </c>
      <c r="AH56" s="970" t="s">
        <v>4147</v>
      </c>
      <c r="AI56" s="971"/>
      <c r="AJ56" s="966"/>
      <c r="AO56" s="1470"/>
      <c r="AP56" s="1470"/>
    </row>
    <row r="57" spans="1:42" s="894" customFormat="1" ht="18" customHeight="1" x14ac:dyDescent="0.2">
      <c r="A57" s="951" t="s">
        <v>4233</v>
      </c>
      <c r="B57" s="952">
        <v>2</v>
      </c>
      <c r="C57" s="952">
        <v>4</v>
      </c>
      <c r="D57" s="952">
        <v>5</v>
      </c>
      <c r="E57" s="952">
        <v>1</v>
      </c>
      <c r="F57" s="952">
        <v>2</v>
      </c>
      <c r="G57" s="952">
        <v>4</v>
      </c>
      <c r="H57" s="952">
        <v>1</v>
      </c>
      <c r="I57" s="953" t="s">
        <v>3989</v>
      </c>
      <c r="J57" s="953" t="s">
        <v>1761</v>
      </c>
      <c r="K57" s="952" t="s">
        <v>2231</v>
      </c>
      <c r="L57" s="954" t="s">
        <v>2226</v>
      </c>
      <c r="M57" s="951" t="s">
        <v>4128</v>
      </c>
      <c r="N57" s="955" t="s">
        <v>2354</v>
      </c>
      <c r="O57" s="951" t="s">
        <v>4037</v>
      </c>
      <c r="P57" s="955" t="s">
        <v>2244</v>
      </c>
      <c r="Q57" s="951" t="s">
        <v>4037</v>
      </c>
      <c r="R57" s="955" t="s">
        <v>2245</v>
      </c>
      <c r="S57" s="951" t="s">
        <v>4037</v>
      </c>
      <c r="T57" s="955" t="s">
        <v>2472</v>
      </c>
      <c r="U57" s="952" t="s">
        <v>3914</v>
      </c>
      <c r="V57" s="952" t="s">
        <v>3914</v>
      </c>
      <c r="W57" s="952"/>
      <c r="X57" s="903" t="s">
        <v>4234</v>
      </c>
      <c r="AB57" s="905"/>
      <c r="AC57" s="906"/>
      <c r="AD57" s="968" t="s">
        <v>4150</v>
      </c>
      <c r="AE57" s="907">
        <v>3</v>
      </c>
      <c r="AF57" s="907">
        <v>110</v>
      </c>
      <c r="AG57" s="969" t="s">
        <v>4151</v>
      </c>
      <c r="AH57" s="970" t="s">
        <v>4152</v>
      </c>
      <c r="AI57" s="971"/>
      <c r="AJ57" s="966"/>
      <c r="AO57" s="1470"/>
      <c r="AP57" s="1470"/>
    </row>
    <row r="58" spans="1:42" s="894" customFormat="1" ht="18" customHeight="1" x14ac:dyDescent="0.2">
      <c r="A58" s="951" t="s">
        <v>4239</v>
      </c>
      <c r="B58" s="952">
        <v>3</v>
      </c>
      <c r="C58" s="952">
        <v>5</v>
      </c>
      <c r="D58" s="952">
        <v>10</v>
      </c>
      <c r="E58" s="952">
        <v>2</v>
      </c>
      <c r="F58" s="952">
        <v>4</v>
      </c>
      <c r="G58" s="952">
        <v>7</v>
      </c>
      <c r="H58" s="952">
        <v>1</v>
      </c>
      <c r="I58" s="953" t="s">
        <v>3989</v>
      </c>
      <c r="J58" s="953" t="s">
        <v>1761</v>
      </c>
      <c r="K58" s="952" t="s">
        <v>2231</v>
      </c>
      <c r="L58" s="954" t="s">
        <v>2226</v>
      </c>
      <c r="M58" s="951" t="s">
        <v>4128</v>
      </c>
      <c r="N58" s="955" t="s">
        <v>2354</v>
      </c>
      <c r="O58" s="951" t="s">
        <v>4037</v>
      </c>
      <c r="P58" s="955" t="s">
        <v>2244</v>
      </c>
      <c r="Q58" s="951" t="s">
        <v>4037</v>
      </c>
      <c r="R58" s="955" t="s">
        <v>2245</v>
      </c>
      <c r="S58" s="951" t="s">
        <v>4037</v>
      </c>
      <c r="T58" s="955" t="s">
        <v>2472</v>
      </c>
      <c r="U58" s="952" t="s">
        <v>3914</v>
      </c>
      <c r="V58" s="952" t="s">
        <v>3914</v>
      </c>
      <c r="W58" s="952"/>
      <c r="X58" s="903" t="s">
        <v>4240</v>
      </c>
      <c r="AB58" s="905"/>
      <c r="AC58" s="906"/>
      <c r="AD58" s="961" t="s">
        <v>4155</v>
      </c>
      <c r="AE58" s="962"/>
      <c r="AF58" s="962"/>
      <c r="AG58" s="963"/>
      <c r="AH58" s="964"/>
      <c r="AI58" s="965"/>
      <c r="AJ58" s="966"/>
      <c r="AO58" s="1470"/>
      <c r="AP58" s="1470"/>
    </row>
    <row r="59" spans="1:42" s="894" customFormat="1" ht="18" customHeight="1" x14ac:dyDescent="0.2">
      <c r="A59" s="951" t="s">
        <v>4245</v>
      </c>
      <c r="B59" s="952">
        <v>4</v>
      </c>
      <c r="C59" s="952">
        <v>6</v>
      </c>
      <c r="D59" s="952">
        <v>10</v>
      </c>
      <c r="E59" s="952">
        <v>2</v>
      </c>
      <c r="F59" s="952">
        <v>4</v>
      </c>
      <c r="G59" s="952">
        <v>7</v>
      </c>
      <c r="H59" s="952">
        <v>2</v>
      </c>
      <c r="I59" s="953" t="s">
        <v>3989</v>
      </c>
      <c r="J59" s="953" t="s">
        <v>1761</v>
      </c>
      <c r="K59" s="952" t="s">
        <v>2231</v>
      </c>
      <c r="L59" s="954" t="s">
        <v>2226</v>
      </c>
      <c r="M59" s="951" t="s">
        <v>4128</v>
      </c>
      <c r="N59" s="955" t="s">
        <v>2354</v>
      </c>
      <c r="O59" s="951" t="s">
        <v>4037</v>
      </c>
      <c r="P59" s="955" t="s">
        <v>2244</v>
      </c>
      <c r="Q59" s="951" t="s">
        <v>4037</v>
      </c>
      <c r="R59" s="955" t="s">
        <v>2245</v>
      </c>
      <c r="S59" s="951" t="s">
        <v>4037</v>
      </c>
      <c r="T59" s="955" t="s">
        <v>2472</v>
      </c>
      <c r="U59" s="952" t="s">
        <v>3914</v>
      </c>
      <c r="V59" s="952" t="s">
        <v>3914</v>
      </c>
      <c r="W59" s="952"/>
      <c r="X59" s="903" t="s">
        <v>4246</v>
      </c>
      <c r="AB59" s="905"/>
      <c r="AC59" s="906"/>
      <c r="AD59" s="968" t="s">
        <v>4158</v>
      </c>
      <c r="AE59" s="907">
        <v>1</v>
      </c>
      <c r="AF59" s="907">
        <v>30</v>
      </c>
      <c r="AG59" s="969" t="s">
        <v>4159</v>
      </c>
      <c r="AH59" s="970" t="s">
        <v>4160</v>
      </c>
      <c r="AI59" s="971"/>
      <c r="AJ59" s="966"/>
      <c r="AO59" s="1470"/>
      <c r="AP59" s="1470"/>
    </row>
    <row r="60" spans="1:42" s="894" customFormat="1" ht="18" customHeight="1" x14ac:dyDescent="0.2">
      <c r="A60" s="951" t="s">
        <v>4248</v>
      </c>
      <c r="B60" s="952">
        <v>6</v>
      </c>
      <c r="C60" s="952">
        <v>9</v>
      </c>
      <c r="D60" s="952">
        <v>15</v>
      </c>
      <c r="E60" s="952">
        <v>3</v>
      </c>
      <c r="F60" s="952">
        <v>6</v>
      </c>
      <c r="G60" s="952">
        <v>11</v>
      </c>
      <c r="H60" s="952">
        <v>2</v>
      </c>
      <c r="I60" s="953" t="s">
        <v>3989</v>
      </c>
      <c r="J60" s="953" t="s">
        <v>1761</v>
      </c>
      <c r="K60" s="952" t="s">
        <v>2231</v>
      </c>
      <c r="L60" s="954" t="s">
        <v>2226</v>
      </c>
      <c r="M60" s="951" t="s">
        <v>4128</v>
      </c>
      <c r="N60" s="955" t="s">
        <v>2354</v>
      </c>
      <c r="O60" s="951" t="s">
        <v>4037</v>
      </c>
      <c r="P60" s="955" t="s">
        <v>2244</v>
      </c>
      <c r="Q60" s="951" t="s">
        <v>4037</v>
      </c>
      <c r="R60" s="955" t="s">
        <v>2245</v>
      </c>
      <c r="S60" s="951" t="s">
        <v>4037</v>
      </c>
      <c r="T60" s="955" t="s">
        <v>2472</v>
      </c>
      <c r="U60" s="952" t="s">
        <v>3914</v>
      </c>
      <c r="V60" s="952" t="s">
        <v>3914</v>
      </c>
      <c r="W60" s="952"/>
      <c r="X60" s="903" t="s">
        <v>4249</v>
      </c>
      <c r="AB60" s="905"/>
      <c r="AC60" s="906"/>
      <c r="AD60" s="968" t="s">
        <v>4163</v>
      </c>
      <c r="AE60" s="907">
        <v>1</v>
      </c>
      <c r="AF60" s="907">
        <v>20</v>
      </c>
      <c r="AG60" s="969" t="s">
        <v>4164</v>
      </c>
      <c r="AH60" s="970" t="s">
        <v>4165</v>
      </c>
      <c r="AI60" s="971"/>
      <c r="AJ60" s="966"/>
      <c r="AO60" s="1470"/>
      <c r="AP60" s="1470"/>
    </row>
    <row r="61" spans="1:42" s="894" customFormat="1" ht="18" customHeight="1" x14ac:dyDescent="0.2">
      <c r="A61" s="951" t="s">
        <v>4253</v>
      </c>
      <c r="B61" s="952">
        <v>8</v>
      </c>
      <c r="C61" s="952">
        <v>11</v>
      </c>
      <c r="D61" s="952">
        <v>20</v>
      </c>
      <c r="E61" s="952">
        <v>3</v>
      </c>
      <c r="F61" s="952">
        <v>6</v>
      </c>
      <c r="G61" s="952">
        <v>11</v>
      </c>
      <c r="H61" s="952">
        <v>3</v>
      </c>
      <c r="I61" s="953" t="s">
        <v>3989</v>
      </c>
      <c r="J61" s="953" t="s">
        <v>1761</v>
      </c>
      <c r="K61" s="952" t="s">
        <v>2231</v>
      </c>
      <c r="L61" s="954" t="s">
        <v>2226</v>
      </c>
      <c r="M61" s="951" t="s">
        <v>4128</v>
      </c>
      <c r="N61" s="955" t="s">
        <v>2354</v>
      </c>
      <c r="O61" s="951" t="s">
        <v>4037</v>
      </c>
      <c r="P61" s="955" t="s">
        <v>2244</v>
      </c>
      <c r="Q61" s="951" t="s">
        <v>4037</v>
      </c>
      <c r="R61" s="955" t="s">
        <v>2245</v>
      </c>
      <c r="S61" s="951" t="s">
        <v>4037</v>
      </c>
      <c r="T61" s="955" t="s">
        <v>2472</v>
      </c>
      <c r="U61" s="952" t="s">
        <v>3914</v>
      </c>
      <c r="V61" s="952" t="s">
        <v>3914</v>
      </c>
      <c r="W61" s="952"/>
      <c r="X61" s="903" t="s">
        <v>4254</v>
      </c>
      <c r="AB61" s="905"/>
      <c r="AC61" s="906"/>
      <c r="AD61" s="968" t="s">
        <v>4167</v>
      </c>
      <c r="AE61" s="907">
        <v>2</v>
      </c>
      <c r="AF61" s="907">
        <v>65</v>
      </c>
      <c r="AG61" s="969" t="s">
        <v>4168</v>
      </c>
      <c r="AH61" s="970" t="s">
        <v>4169</v>
      </c>
      <c r="AI61" s="971"/>
      <c r="AJ61" s="966"/>
      <c r="AO61" s="1470"/>
      <c r="AP61" s="1470"/>
    </row>
    <row r="62" spans="1:42" s="894" customFormat="1" ht="18" customHeight="1" x14ac:dyDescent="0.2">
      <c r="A62" s="903" t="s">
        <v>4010</v>
      </c>
      <c r="B62" s="946"/>
      <c r="C62" s="946"/>
      <c r="D62" s="946"/>
      <c r="E62" s="946"/>
      <c r="F62" s="946"/>
      <c r="G62" s="946"/>
      <c r="H62" s="946"/>
      <c r="I62" s="946"/>
      <c r="J62" s="946"/>
      <c r="K62" s="946"/>
      <c r="L62" s="947"/>
      <c r="M62" s="946"/>
      <c r="N62" s="946"/>
      <c r="O62" s="946"/>
      <c r="P62" s="946"/>
      <c r="Q62" s="946"/>
      <c r="R62" s="946"/>
      <c r="S62" s="946"/>
      <c r="T62" s="946"/>
      <c r="U62" s="946"/>
      <c r="V62" s="946"/>
      <c r="W62" s="952"/>
      <c r="X62" s="903" t="s">
        <v>4258</v>
      </c>
      <c r="AB62" s="905"/>
      <c r="AC62" s="906"/>
      <c r="AD62" s="968" t="s">
        <v>4172</v>
      </c>
      <c r="AE62" s="907">
        <v>2</v>
      </c>
      <c r="AF62" s="907">
        <v>70</v>
      </c>
      <c r="AG62" s="969" t="s">
        <v>4173</v>
      </c>
      <c r="AH62" s="970" t="s">
        <v>4174</v>
      </c>
      <c r="AI62" s="971"/>
      <c r="AJ62" s="966"/>
      <c r="AO62" s="1470"/>
      <c r="AP62" s="1470"/>
    </row>
    <row r="63" spans="1:42" s="894" customFormat="1" ht="18" customHeight="1" x14ac:dyDescent="0.2">
      <c r="A63" s="951" t="s">
        <v>4263</v>
      </c>
      <c r="B63" s="952">
        <v>2</v>
      </c>
      <c r="C63" s="952">
        <v>4</v>
      </c>
      <c r="D63" s="952">
        <v>10</v>
      </c>
      <c r="E63" s="952">
        <v>2</v>
      </c>
      <c r="F63" s="952">
        <v>4</v>
      </c>
      <c r="G63" s="952">
        <v>7</v>
      </c>
      <c r="H63" s="952">
        <v>1</v>
      </c>
      <c r="I63" s="953" t="s">
        <v>3994</v>
      </c>
      <c r="J63" s="953" t="s">
        <v>1761</v>
      </c>
      <c r="K63" s="952" t="s">
        <v>2231</v>
      </c>
      <c r="L63" s="954" t="s">
        <v>2226</v>
      </c>
      <c r="M63" s="951" t="s">
        <v>4128</v>
      </c>
      <c r="N63" s="955" t="s">
        <v>2354</v>
      </c>
      <c r="O63" s="951" t="s">
        <v>4037</v>
      </c>
      <c r="P63" s="955" t="s">
        <v>2244</v>
      </c>
      <c r="Q63" s="951" t="s">
        <v>4037</v>
      </c>
      <c r="R63" s="955" t="s">
        <v>2245</v>
      </c>
      <c r="S63" s="951" t="s">
        <v>4037</v>
      </c>
      <c r="T63" s="955" t="s">
        <v>2472</v>
      </c>
      <c r="U63" s="952" t="s">
        <v>3914</v>
      </c>
      <c r="V63" s="952" t="s">
        <v>3914</v>
      </c>
      <c r="W63" s="952"/>
      <c r="X63" s="903" t="s">
        <v>2556</v>
      </c>
      <c r="AB63" s="905"/>
      <c r="AC63" s="906"/>
      <c r="AD63" s="968" t="s">
        <v>4177</v>
      </c>
      <c r="AE63" s="907">
        <v>3</v>
      </c>
      <c r="AF63" s="907">
        <v>115</v>
      </c>
      <c r="AG63" s="969" t="s">
        <v>4178</v>
      </c>
      <c r="AH63" s="970" t="s">
        <v>4179</v>
      </c>
      <c r="AI63" s="971" t="s">
        <v>4125</v>
      </c>
      <c r="AJ63" s="966"/>
      <c r="AO63" s="1470"/>
      <c r="AP63" s="1470"/>
    </row>
    <row r="64" spans="1:42" s="894" customFormat="1" ht="18" customHeight="1" x14ac:dyDescent="0.2">
      <c r="A64" s="951" t="s">
        <v>4268</v>
      </c>
      <c r="B64" s="952">
        <v>4</v>
      </c>
      <c r="C64" s="952">
        <v>6</v>
      </c>
      <c r="D64" s="952">
        <v>15</v>
      </c>
      <c r="E64" s="952">
        <v>3</v>
      </c>
      <c r="F64" s="952">
        <v>6</v>
      </c>
      <c r="G64" s="952">
        <v>11</v>
      </c>
      <c r="H64" s="952">
        <v>1</v>
      </c>
      <c r="I64" s="953" t="s">
        <v>3994</v>
      </c>
      <c r="J64" s="953" t="s">
        <v>1761</v>
      </c>
      <c r="K64" s="952" t="s">
        <v>2231</v>
      </c>
      <c r="L64" s="954" t="s">
        <v>2226</v>
      </c>
      <c r="M64" s="951" t="s">
        <v>4128</v>
      </c>
      <c r="N64" s="955" t="s">
        <v>2354</v>
      </c>
      <c r="O64" s="951" t="s">
        <v>4037</v>
      </c>
      <c r="P64" s="955" t="s">
        <v>2244</v>
      </c>
      <c r="Q64" s="951" t="s">
        <v>4037</v>
      </c>
      <c r="R64" s="955" t="s">
        <v>2245</v>
      </c>
      <c r="S64" s="951" t="s">
        <v>4037</v>
      </c>
      <c r="T64" s="955" t="s">
        <v>2472</v>
      </c>
      <c r="U64" s="952" t="s">
        <v>3914</v>
      </c>
      <c r="V64" s="952" t="s">
        <v>3914</v>
      </c>
      <c r="W64" s="952"/>
      <c r="X64" s="903" t="s">
        <v>4269</v>
      </c>
      <c r="AB64" s="905"/>
      <c r="AC64" s="960"/>
      <c r="AD64" s="961" t="s">
        <v>4182</v>
      </c>
      <c r="AE64" s="962"/>
      <c r="AF64" s="962"/>
      <c r="AG64" s="963"/>
      <c r="AH64" s="964"/>
      <c r="AI64" s="965"/>
      <c r="AJ64" s="966"/>
      <c r="AO64" s="1470"/>
      <c r="AP64" s="1470"/>
    </row>
    <row r="65" spans="1:42" s="894" customFormat="1" ht="18" customHeight="1" x14ac:dyDescent="0.2">
      <c r="A65" s="951" t="s">
        <v>4274</v>
      </c>
      <c r="B65" s="952">
        <v>6</v>
      </c>
      <c r="C65" s="952">
        <v>9</v>
      </c>
      <c r="D65" s="952">
        <v>20</v>
      </c>
      <c r="E65" s="952">
        <v>4</v>
      </c>
      <c r="F65" s="952">
        <v>8</v>
      </c>
      <c r="G65" s="952">
        <v>14</v>
      </c>
      <c r="H65" s="952">
        <v>2</v>
      </c>
      <c r="I65" s="953" t="s">
        <v>3994</v>
      </c>
      <c r="J65" s="953" t="s">
        <v>1761</v>
      </c>
      <c r="K65" s="952" t="s">
        <v>2231</v>
      </c>
      <c r="L65" s="954" t="s">
        <v>2226</v>
      </c>
      <c r="M65" s="951" t="s">
        <v>4128</v>
      </c>
      <c r="N65" s="955" t="s">
        <v>2354</v>
      </c>
      <c r="O65" s="951" t="s">
        <v>4037</v>
      </c>
      <c r="P65" s="955" t="s">
        <v>2244</v>
      </c>
      <c r="Q65" s="951" t="s">
        <v>4037</v>
      </c>
      <c r="R65" s="955" t="s">
        <v>2245</v>
      </c>
      <c r="S65" s="951" t="s">
        <v>4037</v>
      </c>
      <c r="T65" s="955" t="s">
        <v>2472</v>
      </c>
      <c r="U65" s="952" t="s">
        <v>3914</v>
      </c>
      <c r="V65" s="952" t="s">
        <v>3914</v>
      </c>
      <c r="W65" s="952"/>
      <c r="X65" s="903" t="s">
        <v>4275</v>
      </c>
      <c r="AB65" s="905"/>
      <c r="AC65" s="906"/>
      <c r="AD65" s="968" t="s">
        <v>4185</v>
      </c>
      <c r="AE65" s="907">
        <v>1</v>
      </c>
      <c r="AF65" s="907">
        <v>25</v>
      </c>
      <c r="AG65" s="969" t="s">
        <v>4186</v>
      </c>
      <c r="AH65" s="970" t="s">
        <v>4187</v>
      </c>
      <c r="AI65" s="971"/>
      <c r="AJ65" s="966"/>
      <c r="AO65" s="1470"/>
      <c r="AP65" s="1470"/>
    </row>
    <row r="66" spans="1:42" s="894" customFormat="1" ht="18" customHeight="1" x14ac:dyDescent="0.2">
      <c r="A66" s="903" t="s">
        <v>4013</v>
      </c>
      <c r="B66" s="946"/>
      <c r="C66" s="946"/>
      <c r="D66" s="946"/>
      <c r="E66" s="946"/>
      <c r="F66" s="946"/>
      <c r="G66" s="946"/>
      <c r="H66" s="946"/>
      <c r="I66" s="946"/>
      <c r="J66" s="946"/>
      <c r="K66" s="946"/>
      <c r="L66" s="947"/>
      <c r="M66" s="946"/>
      <c r="N66" s="946"/>
      <c r="O66" s="946"/>
      <c r="P66" s="946"/>
      <c r="Q66" s="946"/>
      <c r="R66" s="946"/>
      <c r="S66" s="946"/>
      <c r="T66" s="946"/>
      <c r="U66" s="946"/>
      <c r="V66" s="946"/>
      <c r="W66" s="952"/>
      <c r="X66" s="903" t="s">
        <v>4277</v>
      </c>
      <c r="AB66" s="905"/>
      <c r="AC66" s="906"/>
      <c r="AD66" s="968" t="s">
        <v>4190</v>
      </c>
      <c r="AE66" s="907">
        <v>1</v>
      </c>
      <c r="AF66" s="907">
        <v>25</v>
      </c>
      <c r="AG66" s="969" t="s">
        <v>4191</v>
      </c>
      <c r="AH66" s="970" t="s">
        <v>4192</v>
      </c>
      <c r="AI66" s="971"/>
      <c r="AJ66" s="966"/>
      <c r="AO66" s="1470"/>
      <c r="AP66" s="1470"/>
    </row>
    <row r="67" spans="1:42" s="894" customFormat="1" ht="18" customHeight="1" x14ac:dyDescent="0.2">
      <c r="A67" s="951" t="s">
        <v>4282</v>
      </c>
      <c r="B67" s="952">
        <v>3</v>
      </c>
      <c r="C67" s="952">
        <v>5</v>
      </c>
      <c r="D67" s="952">
        <v>10</v>
      </c>
      <c r="E67" s="952">
        <v>2</v>
      </c>
      <c r="F67" s="952">
        <v>4</v>
      </c>
      <c r="G67" s="952">
        <v>7</v>
      </c>
      <c r="H67" s="952">
        <v>1</v>
      </c>
      <c r="I67" s="953" t="s">
        <v>3989</v>
      </c>
      <c r="J67" s="953" t="s">
        <v>1761</v>
      </c>
      <c r="K67" s="952" t="s">
        <v>2244</v>
      </c>
      <c r="L67" s="954" t="s">
        <v>2226</v>
      </c>
      <c r="M67" s="951" t="s">
        <v>4037</v>
      </c>
      <c r="N67" s="955" t="s">
        <v>2354</v>
      </c>
      <c r="O67" s="951" t="s">
        <v>4037</v>
      </c>
      <c r="P67" s="955" t="s">
        <v>2231</v>
      </c>
      <c r="Q67" s="951" t="s">
        <v>4037</v>
      </c>
      <c r="R67" s="955" t="s">
        <v>2245</v>
      </c>
      <c r="S67" s="951" t="s">
        <v>4037</v>
      </c>
      <c r="T67" s="955" t="s">
        <v>2475</v>
      </c>
      <c r="U67" s="955" t="s">
        <v>2472</v>
      </c>
      <c r="V67" s="955" t="s">
        <v>2571</v>
      </c>
      <c r="W67" s="952"/>
      <c r="X67" s="903" t="s">
        <v>4283</v>
      </c>
      <c r="AB67" s="905"/>
      <c r="AC67" s="906"/>
      <c r="AD67" s="968" t="s">
        <v>4195</v>
      </c>
      <c r="AE67" s="907">
        <v>1</v>
      </c>
      <c r="AF67" s="907">
        <v>30</v>
      </c>
      <c r="AG67" s="969" t="s">
        <v>4196</v>
      </c>
      <c r="AH67" s="970" t="s">
        <v>4197</v>
      </c>
      <c r="AI67" s="971"/>
      <c r="AJ67" s="966"/>
      <c r="AO67" s="1470"/>
      <c r="AP67" s="1470"/>
    </row>
    <row r="68" spans="1:42" s="894" customFormat="1" ht="18" customHeight="1" x14ac:dyDescent="0.2">
      <c r="A68" s="951" t="s">
        <v>4288</v>
      </c>
      <c r="B68" s="952">
        <v>6</v>
      </c>
      <c r="C68" s="952">
        <v>9</v>
      </c>
      <c r="D68" s="952">
        <v>20</v>
      </c>
      <c r="E68" s="952">
        <v>4</v>
      </c>
      <c r="F68" s="952">
        <v>8</v>
      </c>
      <c r="G68" s="952">
        <v>14</v>
      </c>
      <c r="H68" s="952">
        <v>2</v>
      </c>
      <c r="I68" s="953" t="s">
        <v>3989</v>
      </c>
      <c r="J68" s="953" t="s">
        <v>1761</v>
      </c>
      <c r="K68" s="952" t="s">
        <v>2244</v>
      </c>
      <c r="L68" s="954" t="s">
        <v>2226</v>
      </c>
      <c r="M68" s="951" t="s">
        <v>4037</v>
      </c>
      <c r="N68" s="955" t="s">
        <v>2354</v>
      </c>
      <c r="O68" s="951" t="s">
        <v>4037</v>
      </c>
      <c r="P68" s="955" t="s">
        <v>2231</v>
      </c>
      <c r="Q68" s="951" t="s">
        <v>4037</v>
      </c>
      <c r="R68" s="955" t="s">
        <v>2245</v>
      </c>
      <c r="S68" s="951" t="s">
        <v>4037</v>
      </c>
      <c r="T68" s="955" t="s">
        <v>2475</v>
      </c>
      <c r="U68" s="955" t="s">
        <v>2472</v>
      </c>
      <c r="V68" s="955" t="s">
        <v>2571</v>
      </c>
      <c r="W68" s="952"/>
      <c r="X68" s="903" t="s">
        <v>4289</v>
      </c>
      <c r="AB68" s="905"/>
      <c r="AC68" s="906"/>
      <c r="AD68" s="968" t="s">
        <v>4200</v>
      </c>
      <c r="AE68" s="907">
        <v>2</v>
      </c>
      <c r="AF68" s="907">
        <v>60</v>
      </c>
      <c r="AG68" s="969" t="s">
        <v>4201</v>
      </c>
      <c r="AH68" s="970" t="s">
        <v>4202</v>
      </c>
      <c r="AI68" s="971"/>
      <c r="AJ68" s="966"/>
      <c r="AO68" s="1470"/>
      <c r="AP68" s="1470"/>
    </row>
    <row r="69" spans="1:42" s="894" customFormat="1" ht="18" customHeight="1" x14ac:dyDescent="0.2">
      <c r="A69" s="951" t="s">
        <v>4295</v>
      </c>
      <c r="B69" s="952">
        <v>9</v>
      </c>
      <c r="C69" s="952">
        <v>12</v>
      </c>
      <c r="D69" s="952">
        <v>30</v>
      </c>
      <c r="E69" s="952">
        <v>6</v>
      </c>
      <c r="F69" s="952">
        <v>12</v>
      </c>
      <c r="G69" s="952">
        <v>21</v>
      </c>
      <c r="H69" s="952">
        <v>3</v>
      </c>
      <c r="I69" s="953" t="s">
        <v>3989</v>
      </c>
      <c r="J69" s="953" t="s">
        <v>1761</v>
      </c>
      <c r="K69" s="952" t="s">
        <v>2244</v>
      </c>
      <c r="L69" s="954" t="s">
        <v>2226</v>
      </c>
      <c r="M69" s="951" t="s">
        <v>4037</v>
      </c>
      <c r="N69" s="955" t="s">
        <v>2354</v>
      </c>
      <c r="O69" s="951" t="s">
        <v>4037</v>
      </c>
      <c r="P69" s="955" t="s">
        <v>2231</v>
      </c>
      <c r="Q69" s="951" t="s">
        <v>4037</v>
      </c>
      <c r="R69" s="955" t="s">
        <v>2245</v>
      </c>
      <c r="S69" s="951" t="s">
        <v>4037</v>
      </c>
      <c r="T69" s="955" t="s">
        <v>2475</v>
      </c>
      <c r="U69" s="955" t="s">
        <v>2472</v>
      </c>
      <c r="V69" s="955" t="s">
        <v>2571</v>
      </c>
      <c r="W69" s="952"/>
      <c r="X69" s="903" t="s">
        <v>4296</v>
      </c>
      <c r="AB69" s="905"/>
      <c r="AC69" s="906"/>
      <c r="AD69" s="968" t="s">
        <v>4205</v>
      </c>
      <c r="AE69" s="907">
        <v>2</v>
      </c>
      <c r="AF69" s="907">
        <v>45</v>
      </c>
      <c r="AG69" s="969" t="s">
        <v>4206</v>
      </c>
      <c r="AH69" s="970" t="s">
        <v>4207</v>
      </c>
      <c r="AI69" s="971" t="s">
        <v>4208</v>
      </c>
      <c r="AJ69" s="966"/>
      <c r="AO69" s="1470"/>
      <c r="AP69" s="1470"/>
    </row>
    <row r="70" spans="1:42" s="894" customFormat="1" ht="18" customHeight="1" x14ac:dyDescent="0.2">
      <c r="A70" s="903" t="s">
        <v>4015</v>
      </c>
      <c r="B70" s="946"/>
      <c r="C70" s="946"/>
      <c r="D70" s="946"/>
      <c r="E70" s="946"/>
      <c r="F70" s="946"/>
      <c r="G70" s="946"/>
      <c r="H70" s="946"/>
      <c r="I70" s="946"/>
      <c r="J70" s="946"/>
      <c r="K70" s="946"/>
      <c r="L70" s="947"/>
      <c r="M70" s="946"/>
      <c r="N70" s="946"/>
      <c r="O70" s="946"/>
      <c r="P70" s="946"/>
      <c r="Q70" s="946"/>
      <c r="R70" s="946"/>
      <c r="S70" s="946"/>
      <c r="T70" s="946"/>
      <c r="U70" s="946"/>
      <c r="V70" s="946"/>
      <c r="W70" s="952"/>
      <c r="X70" s="903" t="s">
        <v>4301</v>
      </c>
      <c r="AB70" s="905"/>
      <c r="AC70" s="906"/>
      <c r="AD70" s="968" t="s">
        <v>4211</v>
      </c>
      <c r="AE70" s="907">
        <v>2</v>
      </c>
      <c r="AF70" s="907">
        <v>80</v>
      </c>
      <c r="AG70" s="969" t="s">
        <v>4212</v>
      </c>
      <c r="AH70" s="970" t="s">
        <v>4213</v>
      </c>
      <c r="AI70" s="971" t="s">
        <v>4214</v>
      </c>
      <c r="AJ70" s="966"/>
      <c r="AO70" s="1470"/>
      <c r="AP70" s="1470"/>
    </row>
    <row r="71" spans="1:42" s="894" customFormat="1" ht="18" customHeight="1" x14ac:dyDescent="0.2">
      <c r="A71" s="951" t="s">
        <v>4306</v>
      </c>
      <c r="B71" s="952">
        <v>1</v>
      </c>
      <c r="C71" s="952">
        <v>2</v>
      </c>
      <c r="D71" s="952">
        <v>5</v>
      </c>
      <c r="E71" s="952">
        <v>1</v>
      </c>
      <c r="F71" s="952">
        <v>2</v>
      </c>
      <c r="G71" s="952">
        <v>4</v>
      </c>
      <c r="H71" s="952">
        <v>1</v>
      </c>
      <c r="I71" s="953" t="s">
        <v>3989</v>
      </c>
      <c r="J71" s="953" t="s">
        <v>1761</v>
      </c>
      <c r="K71" s="952" t="s">
        <v>2244</v>
      </c>
      <c r="L71" s="954" t="s">
        <v>2226</v>
      </c>
      <c r="M71" s="951" t="s">
        <v>4037</v>
      </c>
      <c r="N71" s="955" t="s">
        <v>2354</v>
      </c>
      <c r="O71" s="951" t="s">
        <v>4038</v>
      </c>
      <c r="P71" s="955" t="s">
        <v>2231</v>
      </c>
      <c r="Q71" s="951" t="s">
        <v>4128</v>
      </c>
      <c r="R71" s="955" t="s">
        <v>2245</v>
      </c>
      <c r="S71" s="951" t="s">
        <v>4037</v>
      </c>
      <c r="T71" s="955" t="s">
        <v>2475</v>
      </c>
      <c r="U71" s="955" t="s">
        <v>2472</v>
      </c>
      <c r="V71" s="955" t="s">
        <v>2571</v>
      </c>
      <c r="W71" s="952"/>
      <c r="X71" s="903" t="s">
        <v>4307</v>
      </c>
      <c r="AB71" s="905"/>
      <c r="AC71" s="960"/>
      <c r="AD71" s="961" t="s">
        <v>4217</v>
      </c>
      <c r="AE71" s="962"/>
      <c r="AF71" s="962"/>
      <c r="AG71" s="963"/>
      <c r="AH71" s="964"/>
      <c r="AI71" s="965"/>
      <c r="AJ71" s="966"/>
      <c r="AO71" s="1470"/>
      <c r="AP71" s="1470"/>
    </row>
    <row r="72" spans="1:42" s="894" customFormat="1" ht="18" customHeight="1" x14ac:dyDescent="0.2">
      <c r="A72" s="951" t="s">
        <v>4312</v>
      </c>
      <c r="B72" s="952">
        <v>2</v>
      </c>
      <c r="C72" s="952">
        <v>4</v>
      </c>
      <c r="D72" s="952">
        <v>5</v>
      </c>
      <c r="E72" s="952">
        <v>1</v>
      </c>
      <c r="F72" s="952">
        <v>2</v>
      </c>
      <c r="G72" s="952">
        <v>4</v>
      </c>
      <c r="H72" s="952">
        <v>1</v>
      </c>
      <c r="I72" s="953" t="s">
        <v>3989</v>
      </c>
      <c r="J72" s="953" t="s">
        <v>1761</v>
      </c>
      <c r="K72" s="952" t="s">
        <v>2244</v>
      </c>
      <c r="L72" s="954" t="s">
        <v>2226</v>
      </c>
      <c r="M72" s="951" t="s">
        <v>4037</v>
      </c>
      <c r="N72" s="955" t="s">
        <v>2354</v>
      </c>
      <c r="O72" s="951" t="s">
        <v>4038</v>
      </c>
      <c r="P72" s="955" t="s">
        <v>2231</v>
      </c>
      <c r="Q72" s="951" t="s">
        <v>4128</v>
      </c>
      <c r="R72" s="955" t="s">
        <v>2245</v>
      </c>
      <c r="S72" s="951" t="s">
        <v>4037</v>
      </c>
      <c r="T72" s="955" t="s">
        <v>2475</v>
      </c>
      <c r="U72" s="955" t="s">
        <v>2472</v>
      </c>
      <c r="V72" s="955" t="s">
        <v>2571</v>
      </c>
      <c r="W72" s="952"/>
      <c r="X72" s="903" t="s">
        <v>4313</v>
      </c>
      <c r="AB72" s="905"/>
      <c r="AC72" s="906"/>
      <c r="AD72" s="968" t="s">
        <v>4220</v>
      </c>
      <c r="AE72" s="907">
        <v>1</v>
      </c>
      <c r="AF72" s="907">
        <v>20</v>
      </c>
      <c r="AG72" s="969" t="s">
        <v>4221</v>
      </c>
      <c r="AH72" s="970" t="s">
        <v>4222</v>
      </c>
      <c r="AI72" s="971"/>
      <c r="AJ72" s="966"/>
      <c r="AO72" s="1470"/>
      <c r="AP72" s="1470"/>
    </row>
    <row r="73" spans="1:42" s="894" customFormat="1" ht="18" customHeight="1" x14ac:dyDescent="0.2">
      <c r="A73" s="951" t="s">
        <v>4315</v>
      </c>
      <c r="B73" s="952">
        <v>3</v>
      </c>
      <c r="C73" s="952">
        <v>5</v>
      </c>
      <c r="D73" s="952">
        <v>5</v>
      </c>
      <c r="E73" s="952">
        <v>1</v>
      </c>
      <c r="F73" s="952">
        <v>2</v>
      </c>
      <c r="G73" s="952">
        <v>4</v>
      </c>
      <c r="H73" s="952">
        <v>1</v>
      </c>
      <c r="I73" s="953" t="s">
        <v>3989</v>
      </c>
      <c r="J73" s="953" t="s">
        <v>1761</v>
      </c>
      <c r="K73" s="952" t="s">
        <v>2244</v>
      </c>
      <c r="L73" s="954" t="s">
        <v>2226</v>
      </c>
      <c r="M73" s="951" t="s">
        <v>4037</v>
      </c>
      <c r="N73" s="955" t="s">
        <v>2354</v>
      </c>
      <c r="O73" s="951" t="s">
        <v>4038</v>
      </c>
      <c r="P73" s="955" t="s">
        <v>2231</v>
      </c>
      <c r="Q73" s="951" t="s">
        <v>4128</v>
      </c>
      <c r="R73" s="955" t="s">
        <v>2245</v>
      </c>
      <c r="S73" s="951" t="s">
        <v>4037</v>
      </c>
      <c r="T73" s="955" t="s">
        <v>2475</v>
      </c>
      <c r="U73" s="955" t="s">
        <v>2472</v>
      </c>
      <c r="V73" s="955" t="s">
        <v>2571</v>
      </c>
      <c r="W73" s="952"/>
      <c r="X73" s="903" t="s">
        <v>4316</v>
      </c>
      <c r="AB73" s="905"/>
      <c r="AC73" s="906"/>
      <c r="AD73" s="968" t="s">
        <v>4224</v>
      </c>
      <c r="AE73" s="907">
        <v>1</v>
      </c>
      <c r="AF73" s="907">
        <v>30</v>
      </c>
      <c r="AG73" s="969" t="s">
        <v>4225</v>
      </c>
      <c r="AH73" s="970" t="s">
        <v>4226</v>
      </c>
      <c r="AI73" s="971"/>
      <c r="AJ73" s="966"/>
      <c r="AO73" s="1470"/>
      <c r="AP73" s="1470"/>
    </row>
    <row r="74" spans="1:42" s="894" customFormat="1" ht="18" customHeight="1" x14ac:dyDescent="0.2">
      <c r="A74" s="951" t="s">
        <v>4320</v>
      </c>
      <c r="B74" s="952">
        <v>5</v>
      </c>
      <c r="C74" s="952">
        <v>8</v>
      </c>
      <c r="D74" s="952">
        <v>10</v>
      </c>
      <c r="E74" s="952">
        <v>2</v>
      </c>
      <c r="F74" s="952">
        <v>4</v>
      </c>
      <c r="G74" s="952">
        <v>7</v>
      </c>
      <c r="H74" s="952">
        <v>1</v>
      </c>
      <c r="I74" s="953" t="s">
        <v>3989</v>
      </c>
      <c r="J74" s="953" t="s">
        <v>1761</v>
      </c>
      <c r="K74" s="952" t="s">
        <v>2244</v>
      </c>
      <c r="L74" s="954" t="s">
        <v>2226</v>
      </c>
      <c r="M74" s="951" t="s">
        <v>4037</v>
      </c>
      <c r="N74" s="955" t="s">
        <v>2354</v>
      </c>
      <c r="O74" s="951" t="s">
        <v>4038</v>
      </c>
      <c r="P74" s="955" t="s">
        <v>2231</v>
      </c>
      <c r="Q74" s="951" t="s">
        <v>4128</v>
      </c>
      <c r="R74" s="955" t="s">
        <v>2245</v>
      </c>
      <c r="S74" s="951" t="s">
        <v>4037</v>
      </c>
      <c r="T74" s="955" t="s">
        <v>2475</v>
      </c>
      <c r="U74" s="955" t="s">
        <v>2472</v>
      </c>
      <c r="V74" s="955" t="s">
        <v>2571</v>
      </c>
      <c r="W74" s="952"/>
      <c r="AB74" s="905"/>
      <c r="AC74" s="906"/>
      <c r="AD74" s="968" t="s">
        <v>4229</v>
      </c>
      <c r="AE74" s="907">
        <v>2</v>
      </c>
      <c r="AF74" s="907">
        <v>40</v>
      </c>
      <c r="AG74" s="969" t="s">
        <v>4230</v>
      </c>
      <c r="AH74" s="970" t="s">
        <v>4231</v>
      </c>
      <c r="AI74" s="971" t="s">
        <v>4232</v>
      </c>
      <c r="AJ74" s="966"/>
      <c r="AO74" s="1470"/>
      <c r="AP74" s="1470"/>
    </row>
    <row r="75" spans="1:42" s="894" customFormat="1" ht="18" customHeight="1" x14ac:dyDescent="0.2">
      <c r="A75" s="951" t="s">
        <v>4324</v>
      </c>
      <c r="B75" s="952">
        <v>6</v>
      </c>
      <c r="C75" s="952">
        <v>9</v>
      </c>
      <c r="D75" s="952">
        <v>10</v>
      </c>
      <c r="E75" s="952">
        <v>3</v>
      </c>
      <c r="F75" s="952">
        <v>6</v>
      </c>
      <c r="G75" s="952">
        <v>11</v>
      </c>
      <c r="H75" s="952">
        <v>1</v>
      </c>
      <c r="I75" s="953" t="s">
        <v>3989</v>
      </c>
      <c r="J75" s="953" t="s">
        <v>1761</v>
      </c>
      <c r="K75" s="952" t="s">
        <v>2244</v>
      </c>
      <c r="L75" s="954" t="s">
        <v>2226</v>
      </c>
      <c r="M75" s="951" t="s">
        <v>4037</v>
      </c>
      <c r="N75" s="955" t="s">
        <v>2354</v>
      </c>
      <c r="O75" s="951" t="s">
        <v>4038</v>
      </c>
      <c r="P75" s="955" t="s">
        <v>2231</v>
      </c>
      <c r="Q75" s="951" t="s">
        <v>4128</v>
      </c>
      <c r="R75" s="955" t="s">
        <v>2245</v>
      </c>
      <c r="S75" s="951" t="s">
        <v>4037</v>
      </c>
      <c r="T75" s="955" t="s">
        <v>2475</v>
      </c>
      <c r="U75" s="955" t="s">
        <v>2472</v>
      </c>
      <c r="V75" s="955" t="s">
        <v>2571</v>
      </c>
      <c r="W75" s="952"/>
      <c r="AB75" s="905"/>
      <c r="AC75" s="906"/>
      <c r="AD75" s="968" t="s">
        <v>4235</v>
      </c>
      <c r="AE75" s="907">
        <v>2</v>
      </c>
      <c r="AF75" s="907">
        <v>55</v>
      </c>
      <c r="AG75" s="969" t="s">
        <v>4236</v>
      </c>
      <c r="AH75" s="970" t="s">
        <v>4237</v>
      </c>
      <c r="AI75" s="971" t="s">
        <v>4238</v>
      </c>
      <c r="AJ75" s="966"/>
      <c r="AO75" s="1470"/>
      <c r="AP75" s="1470"/>
    </row>
    <row r="76" spans="1:42" s="894" customFormat="1" ht="18" customHeight="1" x14ac:dyDescent="0.2">
      <c r="A76" s="951" t="s">
        <v>4328</v>
      </c>
      <c r="B76" s="952">
        <v>7</v>
      </c>
      <c r="C76" s="952">
        <v>10</v>
      </c>
      <c r="D76" s="952">
        <v>15</v>
      </c>
      <c r="E76" s="952">
        <v>4</v>
      </c>
      <c r="F76" s="952">
        <v>8</v>
      </c>
      <c r="G76" s="952">
        <v>14</v>
      </c>
      <c r="H76" s="952">
        <v>2</v>
      </c>
      <c r="I76" s="953" t="s">
        <v>3989</v>
      </c>
      <c r="J76" s="953" t="s">
        <v>1761</v>
      </c>
      <c r="K76" s="952" t="s">
        <v>2244</v>
      </c>
      <c r="L76" s="954" t="s">
        <v>2226</v>
      </c>
      <c r="M76" s="951" t="s">
        <v>4037</v>
      </c>
      <c r="N76" s="955" t="s">
        <v>2354</v>
      </c>
      <c r="O76" s="951" t="s">
        <v>4038</v>
      </c>
      <c r="P76" s="955" t="s">
        <v>2231</v>
      </c>
      <c r="Q76" s="951" t="s">
        <v>4128</v>
      </c>
      <c r="R76" s="955" t="s">
        <v>2245</v>
      </c>
      <c r="S76" s="951" t="s">
        <v>4037</v>
      </c>
      <c r="T76" s="955" t="s">
        <v>2475</v>
      </c>
      <c r="U76" s="955" t="s">
        <v>2472</v>
      </c>
      <c r="V76" s="955" t="s">
        <v>2571</v>
      </c>
      <c r="W76" s="952"/>
      <c r="AB76" s="905"/>
      <c r="AC76" s="906"/>
      <c r="AD76" s="968" t="s">
        <v>4241</v>
      </c>
      <c r="AE76" s="907">
        <v>3</v>
      </c>
      <c r="AF76" s="907">
        <v>90</v>
      </c>
      <c r="AG76" s="969" t="s">
        <v>4242</v>
      </c>
      <c r="AH76" s="970" t="s">
        <v>4243</v>
      </c>
      <c r="AI76" s="971" t="s">
        <v>4244</v>
      </c>
      <c r="AJ76" s="966"/>
      <c r="AO76" s="1470"/>
      <c r="AP76" s="1470"/>
    </row>
    <row r="77" spans="1:42" s="894" customFormat="1" ht="18" customHeight="1" x14ac:dyDescent="0.2">
      <c r="A77" s="951" t="s">
        <v>4332</v>
      </c>
      <c r="B77" s="952">
        <v>8</v>
      </c>
      <c r="C77" s="952">
        <v>11</v>
      </c>
      <c r="D77" s="952">
        <v>20</v>
      </c>
      <c r="E77" s="952">
        <v>5</v>
      </c>
      <c r="F77" s="952">
        <v>10</v>
      </c>
      <c r="G77" s="952">
        <v>18</v>
      </c>
      <c r="H77" s="952">
        <v>2</v>
      </c>
      <c r="I77" s="953" t="s">
        <v>3989</v>
      </c>
      <c r="J77" s="953" t="s">
        <v>1761</v>
      </c>
      <c r="K77" s="952" t="s">
        <v>2244</v>
      </c>
      <c r="L77" s="954" t="s">
        <v>2226</v>
      </c>
      <c r="M77" s="951" t="s">
        <v>4037</v>
      </c>
      <c r="N77" s="955" t="s">
        <v>2354</v>
      </c>
      <c r="O77" s="951" t="s">
        <v>4038</v>
      </c>
      <c r="P77" s="955" t="s">
        <v>2231</v>
      </c>
      <c r="Q77" s="951" t="s">
        <v>4128</v>
      </c>
      <c r="R77" s="955" t="s">
        <v>2245</v>
      </c>
      <c r="S77" s="951" t="s">
        <v>4037</v>
      </c>
      <c r="T77" s="955" t="s">
        <v>2475</v>
      </c>
      <c r="U77" s="955" t="s">
        <v>2472</v>
      </c>
      <c r="V77" s="955" t="s">
        <v>2571</v>
      </c>
      <c r="W77" s="952"/>
      <c r="AB77" s="905"/>
      <c r="AC77" s="960"/>
      <c r="AD77" s="961" t="s">
        <v>4247</v>
      </c>
      <c r="AE77" s="962"/>
      <c r="AF77" s="962"/>
      <c r="AG77" s="963"/>
      <c r="AH77" s="964"/>
      <c r="AI77" s="965"/>
      <c r="AJ77" s="966"/>
      <c r="AO77" s="1470"/>
      <c r="AP77" s="1470"/>
    </row>
    <row r="78" spans="1:42" s="894" customFormat="1" ht="18" customHeight="1" x14ac:dyDescent="0.2">
      <c r="A78" s="951" t="s">
        <v>4337</v>
      </c>
      <c r="B78" s="952">
        <v>10</v>
      </c>
      <c r="C78" s="952">
        <v>13</v>
      </c>
      <c r="D78" s="952">
        <v>25</v>
      </c>
      <c r="E78" s="952">
        <v>6</v>
      </c>
      <c r="F78" s="952">
        <v>12</v>
      </c>
      <c r="G78" s="952">
        <v>21</v>
      </c>
      <c r="H78" s="952">
        <v>3</v>
      </c>
      <c r="I78" s="953" t="s">
        <v>3989</v>
      </c>
      <c r="J78" s="953" t="s">
        <v>1761</v>
      </c>
      <c r="K78" s="952" t="s">
        <v>2244</v>
      </c>
      <c r="L78" s="954" t="s">
        <v>2226</v>
      </c>
      <c r="M78" s="951" t="s">
        <v>4037</v>
      </c>
      <c r="N78" s="955" t="s">
        <v>2354</v>
      </c>
      <c r="O78" s="951" t="s">
        <v>4038</v>
      </c>
      <c r="P78" s="955" t="s">
        <v>2231</v>
      </c>
      <c r="Q78" s="951" t="s">
        <v>4128</v>
      </c>
      <c r="R78" s="955" t="s">
        <v>2245</v>
      </c>
      <c r="S78" s="951" t="s">
        <v>4037</v>
      </c>
      <c r="T78" s="955" t="s">
        <v>2475</v>
      </c>
      <c r="U78" s="955" t="s">
        <v>2472</v>
      </c>
      <c r="V78" s="955" t="s">
        <v>2571</v>
      </c>
      <c r="W78" s="952"/>
      <c r="AB78" s="905"/>
      <c r="AC78" s="906"/>
      <c r="AD78" s="968" t="s">
        <v>4250</v>
      </c>
      <c r="AE78" s="907">
        <v>1</v>
      </c>
      <c r="AF78" s="907">
        <v>25</v>
      </c>
      <c r="AG78" s="969" t="s">
        <v>4251</v>
      </c>
      <c r="AH78" s="970" t="s">
        <v>4252</v>
      </c>
      <c r="AI78" s="971"/>
      <c r="AJ78" s="966"/>
      <c r="AO78" s="1470"/>
      <c r="AP78" s="1470"/>
    </row>
    <row r="79" spans="1:42" s="894" customFormat="1" ht="18" customHeight="1" x14ac:dyDescent="0.2">
      <c r="A79" s="927" t="s">
        <v>4017</v>
      </c>
      <c r="B79" s="939"/>
      <c r="C79" s="939"/>
      <c r="D79" s="939"/>
      <c r="E79" s="939"/>
      <c r="F79" s="939"/>
      <c r="G79" s="939"/>
      <c r="H79" s="939"/>
      <c r="I79" s="939"/>
      <c r="J79" s="939"/>
      <c r="K79" s="939"/>
      <c r="L79" s="940"/>
      <c r="M79" s="939"/>
      <c r="N79" s="939"/>
      <c r="O79" s="939"/>
      <c r="P79" s="939"/>
      <c r="Q79" s="939"/>
      <c r="R79" s="939"/>
      <c r="S79" s="939"/>
      <c r="T79" s="939"/>
      <c r="U79" s="939"/>
      <c r="V79" s="939"/>
      <c r="W79" s="952"/>
      <c r="AB79" s="905"/>
      <c r="AC79" s="906"/>
      <c r="AD79" s="968" t="s">
        <v>4255</v>
      </c>
      <c r="AE79" s="907">
        <v>1</v>
      </c>
      <c r="AF79" s="907">
        <v>40</v>
      </c>
      <c r="AG79" s="969" t="s">
        <v>4256</v>
      </c>
      <c r="AH79" s="970" t="s">
        <v>4257</v>
      </c>
      <c r="AI79" s="971"/>
      <c r="AJ79" s="966"/>
      <c r="AO79" s="1470"/>
      <c r="AP79" s="1470"/>
    </row>
    <row r="80" spans="1:42" s="894" customFormat="1" ht="18" customHeight="1" x14ac:dyDescent="0.2">
      <c r="A80" s="903" t="s">
        <v>4026</v>
      </c>
      <c r="B80" s="946"/>
      <c r="C80" s="946"/>
      <c r="D80" s="946"/>
      <c r="E80" s="946"/>
      <c r="F80" s="946"/>
      <c r="G80" s="946"/>
      <c r="H80" s="946"/>
      <c r="I80" s="946"/>
      <c r="J80" s="946"/>
      <c r="K80" s="946"/>
      <c r="L80" s="947"/>
      <c r="M80" s="946"/>
      <c r="N80" s="946"/>
      <c r="O80" s="946"/>
      <c r="P80" s="946"/>
      <c r="Q80" s="946"/>
      <c r="R80" s="946"/>
      <c r="S80" s="946"/>
      <c r="T80" s="946"/>
      <c r="U80" s="946"/>
      <c r="V80" s="946"/>
      <c r="W80" s="952"/>
      <c r="AB80" s="905"/>
      <c r="AC80" s="906"/>
      <c r="AD80" s="968" t="s">
        <v>4259</v>
      </c>
      <c r="AE80" s="907">
        <v>2</v>
      </c>
      <c r="AF80" s="907">
        <v>75</v>
      </c>
      <c r="AG80" s="969" t="s">
        <v>4260</v>
      </c>
      <c r="AH80" s="970" t="s">
        <v>4261</v>
      </c>
      <c r="AI80" s="971" t="s">
        <v>4262</v>
      </c>
      <c r="AJ80" s="966"/>
      <c r="AO80" s="1470"/>
      <c r="AP80" s="1470"/>
    </row>
    <row r="81" spans="1:42" s="894" customFormat="1" ht="18" customHeight="1" x14ac:dyDescent="0.2">
      <c r="A81" s="951" t="s">
        <v>4346</v>
      </c>
      <c r="B81" s="952">
        <v>2</v>
      </c>
      <c r="C81" s="952">
        <v>4</v>
      </c>
      <c r="D81" s="952">
        <v>5</v>
      </c>
      <c r="E81" s="952">
        <v>1</v>
      </c>
      <c r="F81" s="952">
        <v>2</v>
      </c>
      <c r="G81" s="952">
        <v>4</v>
      </c>
      <c r="H81" s="952">
        <v>1</v>
      </c>
      <c r="I81" s="953" t="s">
        <v>3989</v>
      </c>
      <c r="J81" s="953" t="s">
        <v>2431</v>
      </c>
      <c r="K81" s="952" t="s">
        <v>2231</v>
      </c>
      <c r="L81" s="954" t="s">
        <v>2226</v>
      </c>
      <c r="M81" s="951" t="s">
        <v>4037</v>
      </c>
      <c r="N81" s="954" t="s">
        <v>2236</v>
      </c>
      <c r="O81" s="951" t="s">
        <v>4037</v>
      </c>
      <c r="P81" s="954" t="s">
        <v>2244</v>
      </c>
      <c r="Q81" s="951" t="s">
        <v>4037</v>
      </c>
      <c r="R81" s="954" t="s">
        <v>2245</v>
      </c>
      <c r="S81" s="951" t="s">
        <v>4038</v>
      </c>
      <c r="T81" s="955" t="s">
        <v>2475</v>
      </c>
      <c r="U81" s="955" t="s">
        <v>2570</v>
      </c>
      <c r="V81" s="955" t="s">
        <v>2575</v>
      </c>
      <c r="W81" s="952"/>
      <c r="AB81" s="905"/>
      <c r="AC81" s="906"/>
      <c r="AD81" s="968" t="s">
        <v>4264</v>
      </c>
      <c r="AE81" s="907">
        <v>2</v>
      </c>
      <c r="AF81" s="907">
        <v>75</v>
      </c>
      <c r="AG81" s="969" t="s">
        <v>4265</v>
      </c>
      <c r="AH81" s="970" t="s">
        <v>4266</v>
      </c>
      <c r="AI81" s="971" t="s">
        <v>4267</v>
      </c>
      <c r="AJ81" s="966"/>
      <c r="AO81" s="1470"/>
      <c r="AP81" s="1470"/>
    </row>
    <row r="82" spans="1:42" s="894" customFormat="1" ht="18" customHeight="1" x14ac:dyDescent="0.2">
      <c r="A82" s="951" t="s">
        <v>4350</v>
      </c>
      <c r="B82" s="952">
        <v>3</v>
      </c>
      <c r="C82" s="952">
        <v>5</v>
      </c>
      <c r="D82" s="952">
        <v>5</v>
      </c>
      <c r="E82" s="952">
        <v>1</v>
      </c>
      <c r="F82" s="952">
        <v>2</v>
      </c>
      <c r="G82" s="952">
        <v>4</v>
      </c>
      <c r="H82" s="952">
        <v>1</v>
      </c>
      <c r="I82" s="953" t="s">
        <v>3989</v>
      </c>
      <c r="J82" s="953" t="s">
        <v>2431</v>
      </c>
      <c r="K82" s="952" t="s">
        <v>2231</v>
      </c>
      <c r="L82" s="954" t="s">
        <v>2226</v>
      </c>
      <c r="M82" s="951" t="s">
        <v>4037</v>
      </c>
      <c r="N82" s="954" t="s">
        <v>2236</v>
      </c>
      <c r="O82" s="951" t="s">
        <v>4037</v>
      </c>
      <c r="P82" s="954" t="s">
        <v>2244</v>
      </c>
      <c r="Q82" s="951" t="s">
        <v>4037</v>
      </c>
      <c r="R82" s="954" t="s">
        <v>2245</v>
      </c>
      <c r="S82" s="951" t="s">
        <v>4038</v>
      </c>
      <c r="T82" s="955" t="s">
        <v>2475</v>
      </c>
      <c r="U82" s="955" t="s">
        <v>2570</v>
      </c>
      <c r="V82" s="955" t="s">
        <v>2575</v>
      </c>
      <c r="W82" s="952"/>
      <c r="AB82" s="905"/>
      <c r="AC82" s="960"/>
      <c r="AD82" s="968" t="s">
        <v>4270</v>
      </c>
      <c r="AE82" s="907">
        <v>3</v>
      </c>
      <c r="AF82" s="907">
        <v>95</v>
      </c>
      <c r="AG82" s="969" t="s">
        <v>4271</v>
      </c>
      <c r="AH82" s="970" t="s">
        <v>4272</v>
      </c>
      <c r="AI82" s="971" t="s">
        <v>4273</v>
      </c>
      <c r="AJ82" s="966"/>
      <c r="AO82" s="1470"/>
      <c r="AP82" s="1470"/>
    </row>
    <row r="83" spans="1:42" s="894" customFormat="1" ht="18" customHeight="1" x14ac:dyDescent="0.2">
      <c r="A83" s="951" t="s">
        <v>4355</v>
      </c>
      <c r="B83" s="952">
        <v>4</v>
      </c>
      <c r="C83" s="952">
        <v>6</v>
      </c>
      <c r="D83" s="952">
        <v>10</v>
      </c>
      <c r="E83" s="952">
        <v>2</v>
      </c>
      <c r="F83" s="952">
        <v>4</v>
      </c>
      <c r="G83" s="952">
        <v>7</v>
      </c>
      <c r="H83" s="952">
        <v>1</v>
      </c>
      <c r="I83" s="953" t="s">
        <v>3989</v>
      </c>
      <c r="J83" s="953" t="s">
        <v>2431</v>
      </c>
      <c r="K83" s="952" t="s">
        <v>2231</v>
      </c>
      <c r="L83" s="954" t="s">
        <v>2226</v>
      </c>
      <c r="M83" s="951" t="s">
        <v>4037</v>
      </c>
      <c r="N83" s="954" t="s">
        <v>2236</v>
      </c>
      <c r="O83" s="951" t="s">
        <v>4037</v>
      </c>
      <c r="P83" s="954" t="s">
        <v>2244</v>
      </c>
      <c r="Q83" s="951" t="s">
        <v>4037</v>
      </c>
      <c r="R83" s="954" t="s">
        <v>2245</v>
      </c>
      <c r="S83" s="951" t="s">
        <v>4038</v>
      </c>
      <c r="T83" s="955" t="s">
        <v>2475</v>
      </c>
      <c r="U83" s="955" t="s">
        <v>2570</v>
      </c>
      <c r="V83" s="955" t="s">
        <v>2575</v>
      </c>
      <c r="W83" s="952"/>
      <c r="AB83" s="905"/>
      <c r="AC83" s="960"/>
      <c r="AD83" s="961" t="s">
        <v>4276</v>
      </c>
      <c r="AE83" s="962"/>
      <c r="AF83" s="962"/>
      <c r="AG83" s="963"/>
      <c r="AH83" s="964"/>
      <c r="AI83" s="965"/>
      <c r="AJ83" s="966"/>
      <c r="AO83" s="1470"/>
      <c r="AP83" s="1470"/>
    </row>
    <row r="84" spans="1:42" s="894" customFormat="1" ht="18" customHeight="1" x14ac:dyDescent="0.2">
      <c r="A84" s="951" t="s">
        <v>4360</v>
      </c>
      <c r="B84" s="952">
        <v>5</v>
      </c>
      <c r="C84" s="952">
        <v>8</v>
      </c>
      <c r="D84" s="952">
        <v>15</v>
      </c>
      <c r="E84" s="952">
        <v>3</v>
      </c>
      <c r="F84" s="952">
        <v>6</v>
      </c>
      <c r="G84" s="952">
        <v>11</v>
      </c>
      <c r="H84" s="952">
        <v>1</v>
      </c>
      <c r="I84" s="953" t="s">
        <v>3989</v>
      </c>
      <c r="J84" s="953" t="s">
        <v>2431</v>
      </c>
      <c r="K84" s="952" t="s">
        <v>2231</v>
      </c>
      <c r="L84" s="954" t="s">
        <v>2226</v>
      </c>
      <c r="M84" s="951" t="s">
        <v>4037</v>
      </c>
      <c r="N84" s="954" t="s">
        <v>2236</v>
      </c>
      <c r="O84" s="951" t="s">
        <v>4037</v>
      </c>
      <c r="P84" s="954" t="s">
        <v>2244</v>
      </c>
      <c r="Q84" s="951" t="s">
        <v>4037</v>
      </c>
      <c r="R84" s="954" t="s">
        <v>2245</v>
      </c>
      <c r="S84" s="951" t="s">
        <v>4038</v>
      </c>
      <c r="T84" s="955" t="s">
        <v>2475</v>
      </c>
      <c r="U84" s="955" t="s">
        <v>2570</v>
      </c>
      <c r="V84" s="955" t="s">
        <v>2575</v>
      </c>
      <c r="W84" s="952"/>
      <c r="AB84" s="905"/>
      <c r="AC84" s="981"/>
      <c r="AD84" s="982" t="s">
        <v>4278</v>
      </c>
      <c r="AE84" s="983">
        <v>1</v>
      </c>
      <c r="AF84" s="983">
        <v>35</v>
      </c>
      <c r="AG84" s="984" t="s">
        <v>4279</v>
      </c>
      <c r="AH84" s="985" t="s">
        <v>4280</v>
      </c>
      <c r="AI84" s="971" t="s">
        <v>4281</v>
      </c>
      <c r="AJ84" s="966"/>
      <c r="AO84" s="1470"/>
      <c r="AP84" s="1470"/>
    </row>
    <row r="85" spans="1:42" s="894" customFormat="1" ht="18" customHeight="1" x14ac:dyDescent="0.2">
      <c r="A85" s="951" t="s">
        <v>4362</v>
      </c>
      <c r="B85" s="952">
        <v>9</v>
      </c>
      <c r="C85" s="952">
        <v>12</v>
      </c>
      <c r="D85" s="952">
        <v>20</v>
      </c>
      <c r="E85" s="952">
        <v>4</v>
      </c>
      <c r="F85" s="952">
        <v>8</v>
      </c>
      <c r="G85" s="952">
        <v>14</v>
      </c>
      <c r="H85" s="952">
        <v>1</v>
      </c>
      <c r="I85" s="953" t="s">
        <v>3989</v>
      </c>
      <c r="J85" s="953" t="s">
        <v>2431</v>
      </c>
      <c r="K85" s="952" t="s">
        <v>2231</v>
      </c>
      <c r="L85" s="954" t="s">
        <v>2226</v>
      </c>
      <c r="M85" s="951" t="s">
        <v>4037</v>
      </c>
      <c r="N85" s="954" t="s">
        <v>2236</v>
      </c>
      <c r="O85" s="951" t="s">
        <v>4037</v>
      </c>
      <c r="P85" s="954" t="s">
        <v>2244</v>
      </c>
      <c r="Q85" s="951" t="s">
        <v>4037</v>
      </c>
      <c r="R85" s="954" t="s">
        <v>2245</v>
      </c>
      <c r="S85" s="951" t="s">
        <v>4038</v>
      </c>
      <c r="T85" s="955" t="s">
        <v>2475</v>
      </c>
      <c r="U85" s="955" t="s">
        <v>2570</v>
      </c>
      <c r="V85" s="955" t="s">
        <v>2575</v>
      </c>
      <c r="W85" s="952"/>
      <c r="AB85" s="905"/>
      <c r="AC85" s="981"/>
      <c r="AD85" s="982" t="s">
        <v>4284</v>
      </c>
      <c r="AE85" s="983">
        <v>1</v>
      </c>
      <c r="AF85" s="983">
        <v>50</v>
      </c>
      <c r="AG85" s="984" t="s">
        <v>4285</v>
      </c>
      <c r="AH85" s="985" t="s">
        <v>4286</v>
      </c>
      <c r="AI85" s="971" t="s">
        <v>4287</v>
      </c>
      <c r="AJ85" s="966"/>
      <c r="AO85" s="1470"/>
      <c r="AP85" s="1470"/>
    </row>
    <row r="86" spans="1:42" s="894" customFormat="1" ht="18" customHeight="1" x14ac:dyDescent="0.2">
      <c r="A86" s="951" t="s">
        <v>4366</v>
      </c>
      <c r="B86" s="952">
        <v>12</v>
      </c>
      <c r="C86" s="952">
        <v>15</v>
      </c>
      <c r="D86" s="952">
        <v>25</v>
      </c>
      <c r="E86" s="952">
        <v>5</v>
      </c>
      <c r="F86" s="952">
        <v>10</v>
      </c>
      <c r="G86" s="952">
        <v>18</v>
      </c>
      <c r="H86" s="952">
        <v>1</v>
      </c>
      <c r="I86" s="953" t="s">
        <v>3989</v>
      </c>
      <c r="J86" s="953" t="s">
        <v>2431</v>
      </c>
      <c r="K86" s="952" t="s">
        <v>2231</v>
      </c>
      <c r="L86" s="954" t="s">
        <v>2226</v>
      </c>
      <c r="M86" s="951" t="s">
        <v>4037</v>
      </c>
      <c r="N86" s="954" t="s">
        <v>2236</v>
      </c>
      <c r="O86" s="951" t="s">
        <v>4037</v>
      </c>
      <c r="P86" s="954" t="s">
        <v>2244</v>
      </c>
      <c r="Q86" s="951" t="s">
        <v>4037</v>
      </c>
      <c r="R86" s="954" t="s">
        <v>2245</v>
      </c>
      <c r="S86" s="951" t="s">
        <v>4038</v>
      </c>
      <c r="T86" s="955" t="s">
        <v>2475</v>
      </c>
      <c r="U86" s="955" t="s">
        <v>2570</v>
      </c>
      <c r="V86" s="955" t="s">
        <v>2575</v>
      </c>
      <c r="W86" s="952"/>
      <c r="AB86" s="905"/>
      <c r="AC86" s="981"/>
      <c r="AD86" s="982" t="s">
        <v>4290</v>
      </c>
      <c r="AE86" s="983">
        <v>2</v>
      </c>
      <c r="AF86" s="983">
        <v>40</v>
      </c>
      <c r="AG86" s="984" t="s">
        <v>4291</v>
      </c>
      <c r="AH86" s="985" t="s">
        <v>4292</v>
      </c>
      <c r="AI86" s="971" t="s">
        <v>4125</v>
      </c>
      <c r="AJ86" s="966"/>
      <c r="AO86" s="1470"/>
      <c r="AP86" s="1470"/>
    </row>
    <row r="87" spans="1:42" s="894" customFormat="1" ht="18" customHeight="1" x14ac:dyDescent="0.2">
      <c r="A87" s="951" t="s">
        <v>4370</v>
      </c>
      <c r="B87" s="952">
        <v>14</v>
      </c>
      <c r="C87" s="952">
        <v>18</v>
      </c>
      <c r="D87" s="952">
        <v>30</v>
      </c>
      <c r="E87" s="952">
        <v>8</v>
      </c>
      <c r="F87" s="952">
        <v>16</v>
      </c>
      <c r="G87" s="952">
        <v>28</v>
      </c>
      <c r="H87" s="952">
        <v>1</v>
      </c>
      <c r="I87" s="953" t="s">
        <v>3989</v>
      </c>
      <c r="J87" s="953" t="s">
        <v>2431</v>
      </c>
      <c r="K87" s="952" t="s">
        <v>2231</v>
      </c>
      <c r="L87" s="954" t="s">
        <v>2226</v>
      </c>
      <c r="M87" s="951" t="s">
        <v>4037</v>
      </c>
      <c r="N87" s="954" t="s">
        <v>2236</v>
      </c>
      <c r="O87" s="951" t="s">
        <v>4037</v>
      </c>
      <c r="P87" s="954" t="s">
        <v>2244</v>
      </c>
      <c r="Q87" s="951" t="s">
        <v>4037</v>
      </c>
      <c r="R87" s="954" t="s">
        <v>2245</v>
      </c>
      <c r="S87" s="951" t="s">
        <v>4038</v>
      </c>
      <c r="T87" s="955" t="s">
        <v>2475</v>
      </c>
      <c r="U87" s="955" t="s">
        <v>2570</v>
      </c>
      <c r="V87" s="955" t="s">
        <v>2575</v>
      </c>
      <c r="W87" s="952"/>
      <c r="AB87" s="905"/>
      <c r="AC87" s="981"/>
      <c r="AD87" s="982" t="s">
        <v>4297</v>
      </c>
      <c r="AE87" s="983">
        <v>2</v>
      </c>
      <c r="AF87" s="983">
        <v>65</v>
      </c>
      <c r="AG87" s="984" t="s">
        <v>4298</v>
      </c>
      <c r="AH87" s="985" t="s">
        <v>4299</v>
      </c>
      <c r="AI87" s="971" t="s">
        <v>4300</v>
      </c>
      <c r="AJ87" s="966"/>
      <c r="AO87" s="1470"/>
      <c r="AP87" s="1470"/>
    </row>
    <row r="88" spans="1:42" s="894" customFormat="1" ht="18" customHeight="1" x14ac:dyDescent="0.2">
      <c r="A88" s="951" t="s">
        <v>4374</v>
      </c>
      <c r="B88" s="952">
        <v>18</v>
      </c>
      <c r="C88" s="952">
        <v>22</v>
      </c>
      <c r="D88" s="952">
        <v>35</v>
      </c>
      <c r="E88" s="952">
        <v>10</v>
      </c>
      <c r="F88" s="952">
        <v>20</v>
      </c>
      <c r="G88" s="952">
        <v>35</v>
      </c>
      <c r="H88" s="952">
        <v>2</v>
      </c>
      <c r="I88" s="953" t="s">
        <v>3989</v>
      </c>
      <c r="J88" s="953" t="s">
        <v>2431</v>
      </c>
      <c r="K88" s="952" t="s">
        <v>2231</v>
      </c>
      <c r="L88" s="954" t="s">
        <v>2226</v>
      </c>
      <c r="M88" s="951" t="s">
        <v>4037</v>
      </c>
      <c r="N88" s="954" t="s">
        <v>2236</v>
      </c>
      <c r="O88" s="951" t="s">
        <v>4037</v>
      </c>
      <c r="P88" s="954" t="s">
        <v>2244</v>
      </c>
      <c r="Q88" s="951" t="s">
        <v>4037</v>
      </c>
      <c r="R88" s="954" t="s">
        <v>2245</v>
      </c>
      <c r="S88" s="951" t="s">
        <v>4038</v>
      </c>
      <c r="T88" s="955" t="s">
        <v>2475</v>
      </c>
      <c r="U88" s="955" t="s">
        <v>2570</v>
      </c>
      <c r="V88" s="955" t="s">
        <v>2575</v>
      </c>
      <c r="W88" s="952"/>
      <c r="AB88" s="905"/>
      <c r="AC88" s="981"/>
      <c r="AD88" s="982" t="s">
        <v>4302</v>
      </c>
      <c r="AE88" s="983">
        <v>2</v>
      </c>
      <c r="AF88" s="983">
        <v>60</v>
      </c>
      <c r="AG88" s="984" t="s">
        <v>4303</v>
      </c>
      <c r="AH88" s="985" t="s">
        <v>4304</v>
      </c>
      <c r="AI88" s="971" t="s">
        <v>4305</v>
      </c>
      <c r="AJ88" s="966"/>
      <c r="AO88" s="1470"/>
      <c r="AP88" s="1470"/>
    </row>
    <row r="89" spans="1:42" s="894" customFormat="1" ht="18" customHeight="1" x14ac:dyDescent="0.2">
      <c r="A89" s="951" t="s">
        <v>4379</v>
      </c>
      <c r="B89" s="952">
        <v>22</v>
      </c>
      <c r="C89" s="952">
        <v>26</v>
      </c>
      <c r="D89" s="952">
        <v>40</v>
      </c>
      <c r="E89" s="952">
        <v>12</v>
      </c>
      <c r="F89" s="952">
        <v>24</v>
      </c>
      <c r="G89" s="952">
        <v>42</v>
      </c>
      <c r="H89" s="952">
        <v>2</v>
      </c>
      <c r="I89" s="953" t="s">
        <v>3989</v>
      </c>
      <c r="J89" s="953" t="s">
        <v>2431</v>
      </c>
      <c r="K89" s="952" t="s">
        <v>2231</v>
      </c>
      <c r="L89" s="954" t="s">
        <v>2226</v>
      </c>
      <c r="M89" s="951" t="s">
        <v>4037</v>
      </c>
      <c r="N89" s="954" t="s">
        <v>2236</v>
      </c>
      <c r="O89" s="951" t="s">
        <v>4037</v>
      </c>
      <c r="P89" s="954" t="s">
        <v>2244</v>
      </c>
      <c r="Q89" s="951" t="s">
        <v>4037</v>
      </c>
      <c r="R89" s="954" t="s">
        <v>2245</v>
      </c>
      <c r="S89" s="951" t="s">
        <v>4038</v>
      </c>
      <c r="T89" s="955" t="s">
        <v>2475</v>
      </c>
      <c r="U89" s="955" t="s">
        <v>2570</v>
      </c>
      <c r="V89" s="955" t="s">
        <v>2575</v>
      </c>
      <c r="W89" s="952"/>
      <c r="AB89" s="905"/>
      <c r="AC89" s="981"/>
      <c r="AD89" s="982" t="s">
        <v>4308</v>
      </c>
      <c r="AE89" s="983"/>
      <c r="AF89" s="983">
        <v>90</v>
      </c>
      <c r="AG89" s="984" t="s">
        <v>4309</v>
      </c>
      <c r="AH89" s="985" t="s">
        <v>4310</v>
      </c>
      <c r="AI89" s="971" t="s">
        <v>4311</v>
      </c>
      <c r="AJ89" s="966"/>
      <c r="AO89" s="1470"/>
      <c r="AP89" s="1470"/>
    </row>
    <row r="90" spans="1:42" s="894" customFormat="1" ht="18" customHeight="1" x14ac:dyDescent="0.2">
      <c r="A90" s="951" t="s">
        <v>4383</v>
      </c>
      <c r="B90" s="952">
        <v>26</v>
      </c>
      <c r="C90" s="952">
        <v>32</v>
      </c>
      <c r="D90" s="952">
        <v>45</v>
      </c>
      <c r="E90" s="952">
        <v>14</v>
      </c>
      <c r="F90" s="952">
        <v>28</v>
      </c>
      <c r="G90" s="952">
        <v>49</v>
      </c>
      <c r="H90" s="952">
        <v>3</v>
      </c>
      <c r="I90" s="953" t="s">
        <v>3989</v>
      </c>
      <c r="J90" s="953" t="s">
        <v>2431</v>
      </c>
      <c r="K90" s="952" t="s">
        <v>2231</v>
      </c>
      <c r="L90" s="954" t="s">
        <v>2226</v>
      </c>
      <c r="M90" s="951" t="s">
        <v>4037</v>
      </c>
      <c r="N90" s="954" t="s">
        <v>2236</v>
      </c>
      <c r="O90" s="951" t="s">
        <v>4037</v>
      </c>
      <c r="P90" s="954" t="s">
        <v>2244</v>
      </c>
      <c r="Q90" s="951" t="s">
        <v>4037</v>
      </c>
      <c r="R90" s="954" t="s">
        <v>2245</v>
      </c>
      <c r="S90" s="951" t="s">
        <v>4038</v>
      </c>
      <c r="T90" s="955" t="s">
        <v>2475</v>
      </c>
      <c r="U90" s="955" t="s">
        <v>2570</v>
      </c>
      <c r="V90" s="955" t="s">
        <v>2575</v>
      </c>
      <c r="W90" s="952"/>
      <c r="AB90" s="905"/>
      <c r="AC90" s="989"/>
      <c r="AD90" s="990" t="s">
        <v>4314</v>
      </c>
      <c r="AE90" s="991"/>
      <c r="AF90" s="991"/>
      <c r="AG90" s="992"/>
      <c r="AH90" s="993"/>
      <c r="AI90" s="965"/>
      <c r="AJ90" s="966"/>
      <c r="AO90" s="1470"/>
      <c r="AP90" s="1470"/>
    </row>
    <row r="91" spans="1:42" s="894" customFormat="1" ht="18" customHeight="1" x14ac:dyDescent="0.2">
      <c r="A91" s="951" t="s">
        <v>4385</v>
      </c>
      <c r="B91" s="952">
        <v>30</v>
      </c>
      <c r="C91" s="952">
        <v>36</v>
      </c>
      <c r="D91" s="952">
        <v>50</v>
      </c>
      <c r="E91" s="952">
        <v>16</v>
      </c>
      <c r="F91" s="952">
        <v>32</v>
      </c>
      <c r="G91" s="952">
        <v>56</v>
      </c>
      <c r="H91" s="952">
        <v>3</v>
      </c>
      <c r="I91" s="953" t="s">
        <v>3989</v>
      </c>
      <c r="J91" s="953" t="s">
        <v>2431</v>
      </c>
      <c r="K91" s="952" t="s">
        <v>2231</v>
      </c>
      <c r="L91" s="954" t="s">
        <v>2226</v>
      </c>
      <c r="M91" s="951" t="s">
        <v>4037</v>
      </c>
      <c r="N91" s="954" t="s">
        <v>2236</v>
      </c>
      <c r="O91" s="951" t="s">
        <v>4037</v>
      </c>
      <c r="P91" s="954" t="s">
        <v>2244</v>
      </c>
      <c r="Q91" s="951" t="s">
        <v>4037</v>
      </c>
      <c r="R91" s="954" t="s">
        <v>2245</v>
      </c>
      <c r="S91" s="951" t="s">
        <v>4038</v>
      </c>
      <c r="T91" s="955" t="s">
        <v>2475</v>
      </c>
      <c r="U91" s="955" t="s">
        <v>2570</v>
      </c>
      <c r="V91" s="955" t="s">
        <v>2575</v>
      </c>
      <c r="W91" s="952"/>
      <c r="AB91" s="905"/>
      <c r="AC91" s="981"/>
      <c r="AD91" s="982" t="s">
        <v>4317</v>
      </c>
      <c r="AE91" s="983">
        <v>1</v>
      </c>
      <c r="AF91" s="983">
        <v>20</v>
      </c>
      <c r="AG91" s="984" t="s">
        <v>4318</v>
      </c>
      <c r="AH91" s="985" t="s">
        <v>4319</v>
      </c>
      <c r="AI91" s="971"/>
      <c r="AJ91" s="966"/>
      <c r="AO91" s="1470"/>
      <c r="AP91" s="1470"/>
    </row>
    <row r="92" spans="1:42" s="894" customFormat="1" ht="18" customHeight="1" x14ac:dyDescent="0.2">
      <c r="A92" s="903" t="s">
        <v>4029</v>
      </c>
      <c r="B92" s="946"/>
      <c r="C92" s="946"/>
      <c r="D92" s="946"/>
      <c r="E92" s="946"/>
      <c r="F92" s="946"/>
      <c r="G92" s="946"/>
      <c r="H92" s="946"/>
      <c r="I92" s="946"/>
      <c r="J92" s="946"/>
      <c r="K92" s="946"/>
      <c r="L92" s="947"/>
      <c r="M92" s="946"/>
      <c r="N92" s="946"/>
      <c r="O92" s="946"/>
      <c r="P92" s="946"/>
      <c r="Q92" s="946"/>
      <c r="R92" s="946"/>
      <c r="S92" s="946"/>
      <c r="T92" s="946"/>
      <c r="U92" s="946"/>
      <c r="V92" s="946"/>
      <c r="W92" s="952"/>
      <c r="AB92" s="905"/>
      <c r="AC92" s="981"/>
      <c r="AD92" s="982" t="s">
        <v>4321</v>
      </c>
      <c r="AE92" s="983">
        <v>1</v>
      </c>
      <c r="AF92" s="983">
        <v>20</v>
      </c>
      <c r="AG92" s="984" t="s">
        <v>4322</v>
      </c>
      <c r="AH92" s="985" t="s">
        <v>4323</v>
      </c>
      <c r="AI92" s="971"/>
      <c r="AJ92" s="966"/>
      <c r="AO92" s="1470"/>
      <c r="AP92" s="1470"/>
    </row>
    <row r="93" spans="1:42" s="894" customFormat="1" ht="18" customHeight="1" x14ac:dyDescent="0.2">
      <c r="A93" s="951" t="s">
        <v>4393</v>
      </c>
      <c r="B93" s="952">
        <v>4</v>
      </c>
      <c r="C93" s="952">
        <v>6</v>
      </c>
      <c r="D93" s="952">
        <v>10</v>
      </c>
      <c r="E93" s="952">
        <v>2</v>
      </c>
      <c r="F93" s="952">
        <v>4</v>
      </c>
      <c r="G93" s="952">
        <v>7</v>
      </c>
      <c r="H93" s="952">
        <v>1</v>
      </c>
      <c r="I93" s="953" t="s">
        <v>3994</v>
      </c>
      <c r="J93" s="953" t="s">
        <v>2431</v>
      </c>
      <c r="K93" s="952" t="s">
        <v>2231</v>
      </c>
      <c r="L93" s="954" t="s">
        <v>2226</v>
      </c>
      <c r="M93" s="951" t="s">
        <v>4037</v>
      </c>
      <c r="N93" s="955" t="s">
        <v>2236</v>
      </c>
      <c r="O93" s="951" t="s">
        <v>4037</v>
      </c>
      <c r="P93" s="955" t="s">
        <v>2244</v>
      </c>
      <c r="Q93" s="951" t="s">
        <v>4037</v>
      </c>
      <c r="R93" s="955" t="s">
        <v>2245</v>
      </c>
      <c r="S93" s="951" t="s">
        <v>4038</v>
      </c>
      <c r="T93" s="955" t="s">
        <v>2475</v>
      </c>
      <c r="U93" s="955" t="s">
        <v>2570</v>
      </c>
      <c r="V93" s="955" t="s">
        <v>2575</v>
      </c>
      <c r="W93" s="952"/>
      <c r="AB93" s="905"/>
      <c r="AC93" s="981"/>
      <c r="AD93" s="982" t="s">
        <v>4325</v>
      </c>
      <c r="AE93" s="983">
        <v>1</v>
      </c>
      <c r="AF93" s="983">
        <v>40</v>
      </c>
      <c r="AG93" s="984" t="s">
        <v>4326</v>
      </c>
      <c r="AH93" s="985" t="s">
        <v>4327</v>
      </c>
      <c r="AI93" s="971"/>
      <c r="AJ93" s="966"/>
      <c r="AO93" s="1470"/>
      <c r="AP93" s="1470"/>
    </row>
    <row r="94" spans="1:42" s="894" customFormat="1" ht="18" customHeight="1" x14ac:dyDescent="0.2">
      <c r="A94" s="951" t="s">
        <v>4398</v>
      </c>
      <c r="B94" s="952">
        <v>6</v>
      </c>
      <c r="C94" s="952">
        <v>9</v>
      </c>
      <c r="D94" s="952">
        <v>15</v>
      </c>
      <c r="E94" s="952">
        <v>4</v>
      </c>
      <c r="F94" s="952">
        <v>8</v>
      </c>
      <c r="G94" s="952">
        <v>14</v>
      </c>
      <c r="H94" s="952">
        <v>1</v>
      </c>
      <c r="I94" s="953" t="s">
        <v>3994</v>
      </c>
      <c r="J94" s="953" t="s">
        <v>2431</v>
      </c>
      <c r="K94" s="952" t="s">
        <v>2231</v>
      </c>
      <c r="L94" s="954" t="s">
        <v>2226</v>
      </c>
      <c r="M94" s="951" t="s">
        <v>4037</v>
      </c>
      <c r="N94" s="955" t="s">
        <v>2236</v>
      </c>
      <c r="O94" s="951" t="s">
        <v>4037</v>
      </c>
      <c r="P94" s="955" t="s">
        <v>2244</v>
      </c>
      <c r="Q94" s="951" t="s">
        <v>4037</v>
      </c>
      <c r="R94" s="955" t="s">
        <v>2245</v>
      </c>
      <c r="S94" s="951" t="s">
        <v>4038</v>
      </c>
      <c r="T94" s="955" t="s">
        <v>2475</v>
      </c>
      <c r="U94" s="955" t="s">
        <v>2570</v>
      </c>
      <c r="V94" s="955" t="s">
        <v>2575</v>
      </c>
      <c r="W94" s="952"/>
      <c r="AB94" s="905"/>
      <c r="AC94" s="981"/>
      <c r="AD94" s="982" t="s">
        <v>4329</v>
      </c>
      <c r="AE94" s="983">
        <v>2</v>
      </c>
      <c r="AF94" s="983">
        <v>40</v>
      </c>
      <c r="AG94" s="984" t="s">
        <v>4330</v>
      </c>
      <c r="AH94" s="985" t="s">
        <v>4331</v>
      </c>
      <c r="AI94" s="971"/>
      <c r="AJ94" s="966"/>
      <c r="AO94" s="1470"/>
      <c r="AP94" s="1470"/>
    </row>
    <row r="95" spans="1:42" s="894" customFormat="1" ht="18" customHeight="1" x14ac:dyDescent="0.2">
      <c r="A95" s="951" t="s">
        <v>4402</v>
      </c>
      <c r="B95" s="952">
        <v>9</v>
      </c>
      <c r="C95" s="952">
        <v>12</v>
      </c>
      <c r="D95" s="952">
        <v>20</v>
      </c>
      <c r="E95" s="952">
        <v>6</v>
      </c>
      <c r="F95" s="952">
        <v>12</v>
      </c>
      <c r="G95" s="952">
        <v>21</v>
      </c>
      <c r="H95" s="952">
        <v>1</v>
      </c>
      <c r="I95" s="953" t="s">
        <v>3994</v>
      </c>
      <c r="J95" s="953" t="s">
        <v>2431</v>
      </c>
      <c r="K95" s="952" t="s">
        <v>2231</v>
      </c>
      <c r="L95" s="954" t="s">
        <v>2226</v>
      </c>
      <c r="M95" s="951" t="s">
        <v>4037</v>
      </c>
      <c r="N95" s="955" t="s">
        <v>2236</v>
      </c>
      <c r="O95" s="951" t="s">
        <v>4037</v>
      </c>
      <c r="P95" s="955" t="s">
        <v>2244</v>
      </c>
      <c r="Q95" s="951" t="s">
        <v>4037</v>
      </c>
      <c r="R95" s="955" t="s">
        <v>2245</v>
      </c>
      <c r="S95" s="951" t="s">
        <v>4038</v>
      </c>
      <c r="T95" s="955" t="s">
        <v>2475</v>
      </c>
      <c r="U95" s="955" t="s">
        <v>2570</v>
      </c>
      <c r="V95" s="955" t="s">
        <v>2575</v>
      </c>
      <c r="W95" s="952"/>
      <c r="AB95" s="905"/>
      <c r="AC95" s="981"/>
      <c r="AD95" s="982" t="s">
        <v>4333</v>
      </c>
      <c r="AE95" s="983">
        <v>2</v>
      </c>
      <c r="AF95" s="983">
        <v>45</v>
      </c>
      <c r="AG95" s="984" t="s">
        <v>4334</v>
      </c>
      <c r="AH95" s="985" t="s">
        <v>4335</v>
      </c>
      <c r="AI95" s="971" t="s">
        <v>4336</v>
      </c>
      <c r="AJ95" s="966"/>
      <c r="AO95" s="1470"/>
      <c r="AP95" s="1470"/>
    </row>
    <row r="96" spans="1:42" s="894" customFormat="1" ht="18" customHeight="1" x14ac:dyDescent="0.2">
      <c r="A96" s="951" t="s">
        <v>4406</v>
      </c>
      <c r="B96" s="952">
        <v>12</v>
      </c>
      <c r="C96" s="952">
        <v>15</v>
      </c>
      <c r="D96" s="952">
        <v>35</v>
      </c>
      <c r="E96" s="952">
        <v>9</v>
      </c>
      <c r="F96" s="952">
        <v>18</v>
      </c>
      <c r="G96" s="952">
        <v>32</v>
      </c>
      <c r="H96" s="952">
        <v>2</v>
      </c>
      <c r="I96" s="953" t="s">
        <v>3994</v>
      </c>
      <c r="J96" s="953" t="s">
        <v>2431</v>
      </c>
      <c r="K96" s="952" t="s">
        <v>2231</v>
      </c>
      <c r="L96" s="954" t="s">
        <v>2226</v>
      </c>
      <c r="M96" s="951" t="s">
        <v>4037</v>
      </c>
      <c r="N96" s="955" t="s">
        <v>2236</v>
      </c>
      <c r="O96" s="951" t="s">
        <v>4037</v>
      </c>
      <c r="P96" s="955" t="s">
        <v>2244</v>
      </c>
      <c r="Q96" s="951" t="s">
        <v>4037</v>
      </c>
      <c r="R96" s="955" t="s">
        <v>2245</v>
      </c>
      <c r="S96" s="951" t="s">
        <v>4038</v>
      </c>
      <c r="T96" s="955" t="s">
        <v>2475</v>
      </c>
      <c r="U96" s="955" t="s">
        <v>2570</v>
      </c>
      <c r="V96" s="955" t="s">
        <v>2575</v>
      </c>
      <c r="W96" s="952"/>
      <c r="AB96" s="905"/>
      <c r="AC96" s="994"/>
      <c r="AD96" s="990" t="s">
        <v>4338</v>
      </c>
      <c r="AE96" s="995"/>
      <c r="AF96" s="995"/>
      <c r="AG96" s="996"/>
      <c r="AH96" s="997"/>
      <c r="AI96" s="998"/>
      <c r="AJ96" s="966"/>
      <c r="AO96" s="1470"/>
      <c r="AP96" s="1470"/>
    </row>
    <row r="97" spans="1:42" s="894" customFormat="1" ht="18" customHeight="1" x14ac:dyDescent="0.2">
      <c r="A97" s="951" t="s">
        <v>4408</v>
      </c>
      <c r="B97" s="952">
        <v>18</v>
      </c>
      <c r="C97" s="952">
        <v>22</v>
      </c>
      <c r="D97" s="952">
        <v>50</v>
      </c>
      <c r="E97" s="952">
        <v>12</v>
      </c>
      <c r="F97" s="952">
        <v>24</v>
      </c>
      <c r="G97" s="952">
        <v>42</v>
      </c>
      <c r="H97" s="952">
        <v>2</v>
      </c>
      <c r="I97" s="953" t="s">
        <v>3994</v>
      </c>
      <c r="J97" s="953" t="s">
        <v>2431</v>
      </c>
      <c r="K97" s="952" t="s">
        <v>2231</v>
      </c>
      <c r="L97" s="954" t="s">
        <v>2226</v>
      </c>
      <c r="M97" s="951" t="s">
        <v>4037</v>
      </c>
      <c r="N97" s="955" t="s">
        <v>2236</v>
      </c>
      <c r="O97" s="951" t="s">
        <v>4037</v>
      </c>
      <c r="P97" s="955" t="s">
        <v>2244</v>
      </c>
      <c r="Q97" s="951" t="s">
        <v>4037</v>
      </c>
      <c r="R97" s="955" t="s">
        <v>2245</v>
      </c>
      <c r="S97" s="951" t="s">
        <v>4038</v>
      </c>
      <c r="T97" s="955" t="s">
        <v>2475</v>
      </c>
      <c r="U97" s="955" t="s">
        <v>2570</v>
      </c>
      <c r="V97" s="955" t="s">
        <v>2575</v>
      </c>
      <c r="W97" s="952"/>
      <c r="AB97" s="905"/>
      <c r="AC97" s="981"/>
      <c r="AD97" s="982" t="s">
        <v>4339</v>
      </c>
      <c r="AE97" s="983">
        <v>1</v>
      </c>
      <c r="AF97" s="983">
        <v>35</v>
      </c>
      <c r="AG97" s="999" t="s">
        <v>4340</v>
      </c>
      <c r="AH97" s="985" t="s">
        <v>4341</v>
      </c>
      <c r="AI97" s="971" t="s">
        <v>4342</v>
      </c>
      <c r="AJ97" s="966"/>
      <c r="AO97" s="1470"/>
      <c r="AP97" s="1470"/>
    </row>
    <row r="98" spans="1:42" s="894" customFormat="1" ht="18" customHeight="1" x14ac:dyDescent="0.2">
      <c r="A98" s="951" t="s">
        <v>4412</v>
      </c>
      <c r="B98" s="952">
        <v>26</v>
      </c>
      <c r="C98" s="952">
        <v>32</v>
      </c>
      <c r="D98" s="952">
        <v>65</v>
      </c>
      <c r="E98" s="952">
        <v>15</v>
      </c>
      <c r="F98" s="952">
        <v>30</v>
      </c>
      <c r="G98" s="952">
        <v>53</v>
      </c>
      <c r="H98" s="952">
        <v>3</v>
      </c>
      <c r="I98" s="953" t="s">
        <v>3994</v>
      </c>
      <c r="J98" s="953" t="s">
        <v>2431</v>
      </c>
      <c r="K98" s="952" t="s">
        <v>2231</v>
      </c>
      <c r="L98" s="954" t="s">
        <v>2226</v>
      </c>
      <c r="M98" s="951" t="s">
        <v>4037</v>
      </c>
      <c r="N98" s="955" t="s">
        <v>2236</v>
      </c>
      <c r="O98" s="951" t="s">
        <v>4037</v>
      </c>
      <c r="P98" s="955" t="s">
        <v>2244</v>
      </c>
      <c r="Q98" s="951" t="s">
        <v>4037</v>
      </c>
      <c r="R98" s="955" t="s">
        <v>2245</v>
      </c>
      <c r="S98" s="951" t="s">
        <v>4038</v>
      </c>
      <c r="T98" s="955" t="s">
        <v>2475</v>
      </c>
      <c r="U98" s="955" t="s">
        <v>2570</v>
      </c>
      <c r="V98" s="955" t="s">
        <v>2575</v>
      </c>
      <c r="W98" s="952"/>
      <c r="AB98" s="905"/>
      <c r="AC98" s="981"/>
      <c r="AD98" s="982" t="s">
        <v>4343</v>
      </c>
      <c r="AE98" s="983">
        <v>1</v>
      </c>
      <c r="AF98" s="983">
        <v>45</v>
      </c>
      <c r="AG98" s="999" t="s">
        <v>4344</v>
      </c>
      <c r="AH98" s="985" t="s">
        <v>4345</v>
      </c>
      <c r="AI98" s="971"/>
      <c r="AJ98" s="966"/>
      <c r="AO98" s="1470"/>
      <c r="AP98" s="1470"/>
    </row>
    <row r="99" spans="1:42" s="894" customFormat="1" ht="18" customHeight="1" x14ac:dyDescent="0.2">
      <c r="A99" s="951" t="s">
        <v>4417</v>
      </c>
      <c r="B99" s="952">
        <v>30</v>
      </c>
      <c r="C99" s="952">
        <v>36</v>
      </c>
      <c r="D99" s="952">
        <v>75</v>
      </c>
      <c r="E99" s="952">
        <v>18</v>
      </c>
      <c r="F99" s="952">
        <v>36</v>
      </c>
      <c r="G99" s="952">
        <v>63</v>
      </c>
      <c r="H99" s="952">
        <v>3</v>
      </c>
      <c r="I99" s="953" t="s">
        <v>3994</v>
      </c>
      <c r="J99" s="953" t="s">
        <v>2431</v>
      </c>
      <c r="K99" s="952" t="s">
        <v>2231</v>
      </c>
      <c r="L99" s="954" t="s">
        <v>2226</v>
      </c>
      <c r="M99" s="951" t="s">
        <v>4037</v>
      </c>
      <c r="N99" s="955" t="s">
        <v>2236</v>
      </c>
      <c r="O99" s="951" t="s">
        <v>4037</v>
      </c>
      <c r="P99" s="955" t="s">
        <v>2244</v>
      </c>
      <c r="Q99" s="951" t="s">
        <v>4037</v>
      </c>
      <c r="R99" s="955" t="s">
        <v>2245</v>
      </c>
      <c r="S99" s="951" t="s">
        <v>4038</v>
      </c>
      <c r="T99" s="955" t="s">
        <v>2475</v>
      </c>
      <c r="U99" s="955" t="s">
        <v>2570</v>
      </c>
      <c r="V99" s="955" t="s">
        <v>2575</v>
      </c>
      <c r="W99" s="952"/>
      <c r="AB99" s="905"/>
      <c r="AC99" s="981"/>
      <c r="AD99" s="982" t="s">
        <v>4347</v>
      </c>
      <c r="AE99" s="983">
        <v>2</v>
      </c>
      <c r="AF99" s="983">
        <v>75</v>
      </c>
      <c r="AG99" s="999" t="s">
        <v>4348</v>
      </c>
      <c r="AH99" s="985" t="s">
        <v>4349</v>
      </c>
      <c r="AI99" s="971"/>
      <c r="AJ99" s="966"/>
      <c r="AO99" s="1470"/>
      <c r="AP99" s="1470"/>
    </row>
    <row r="100" spans="1:42" s="894" customFormat="1" ht="18" customHeight="1" x14ac:dyDescent="0.2">
      <c r="A100" s="903" t="s">
        <v>4031</v>
      </c>
      <c r="B100" s="946"/>
      <c r="C100" s="946"/>
      <c r="D100" s="946"/>
      <c r="E100" s="946"/>
      <c r="F100" s="946"/>
      <c r="G100" s="946"/>
      <c r="H100" s="946"/>
      <c r="I100" s="946"/>
      <c r="J100" s="946"/>
      <c r="K100" s="946"/>
      <c r="L100" s="947"/>
      <c r="M100" s="946"/>
      <c r="N100" s="946"/>
      <c r="O100" s="946"/>
      <c r="P100" s="946"/>
      <c r="Q100" s="946"/>
      <c r="R100" s="946"/>
      <c r="S100" s="946"/>
      <c r="T100" s="946"/>
      <c r="U100" s="946"/>
      <c r="V100" s="946"/>
      <c r="W100" s="952"/>
      <c r="AB100" s="905"/>
      <c r="AC100" s="981"/>
      <c r="AD100" s="982" t="s">
        <v>4351</v>
      </c>
      <c r="AE100" s="983">
        <v>2</v>
      </c>
      <c r="AF100" s="983">
        <v>70</v>
      </c>
      <c r="AG100" s="999" t="s">
        <v>4352</v>
      </c>
      <c r="AH100" s="985" t="s">
        <v>4353</v>
      </c>
      <c r="AI100" s="971" t="s">
        <v>4354</v>
      </c>
      <c r="AJ100" s="966"/>
      <c r="AO100" s="1470"/>
      <c r="AP100" s="1470"/>
    </row>
    <row r="101" spans="1:42" s="894" customFormat="1" ht="18" customHeight="1" x14ac:dyDescent="0.2">
      <c r="A101" s="951" t="s">
        <v>4424</v>
      </c>
      <c r="B101" s="952">
        <v>1</v>
      </c>
      <c r="C101" s="952">
        <v>2</v>
      </c>
      <c r="D101" s="952">
        <v>5</v>
      </c>
      <c r="E101" s="952">
        <v>1</v>
      </c>
      <c r="F101" s="952">
        <v>2</v>
      </c>
      <c r="G101" s="952">
        <v>4</v>
      </c>
      <c r="H101" s="952">
        <v>1</v>
      </c>
      <c r="I101" s="953" t="s">
        <v>3989</v>
      </c>
      <c r="J101" s="953" t="s">
        <v>2431</v>
      </c>
      <c r="K101" s="952" t="s">
        <v>2231</v>
      </c>
      <c r="L101" s="954" t="s">
        <v>2226</v>
      </c>
      <c r="M101" s="951" t="s">
        <v>4037</v>
      </c>
      <c r="N101" s="954" t="s">
        <v>2236</v>
      </c>
      <c r="O101" s="951" t="s">
        <v>4037</v>
      </c>
      <c r="P101" s="954" t="s">
        <v>2244</v>
      </c>
      <c r="Q101" s="951" t="s">
        <v>4037</v>
      </c>
      <c r="R101" s="954" t="s">
        <v>2245</v>
      </c>
      <c r="S101" s="951" t="s">
        <v>4038</v>
      </c>
      <c r="T101" s="955" t="s">
        <v>2475</v>
      </c>
      <c r="U101" s="955" t="s">
        <v>2570</v>
      </c>
      <c r="V101" s="955" t="s">
        <v>2575</v>
      </c>
      <c r="W101" s="952"/>
      <c r="AB101" s="905"/>
      <c r="AC101" s="981"/>
      <c r="AD101" s="982" t="s">
        <v>4356</v>
      </c>
      <c r="AE101" s="983">
        <v>3</v>
      </c>
      <c r="AF101" s="983">
        <v>105</v>
      </c>
      <c r="AG101" s="999" t="s">
        <v>4357</v>
      </c>
      <c r="AH101" s="985" t="s">
        <v>4358</v>
      </c>
      <c r="AI101" s="971" t="s">
        <v>4359</v>
      </c>
      <c r="AJ101" s="966"/>
      <c r="AO101" s="1470"/>
      <c r="AP101" s="1470"/>
    </row>
    <row r="102" spans="1:42" s="894" customFormat="1" ht="18" customHeight="1" x14ac:dyDescent="0.2">
      <c r="A102" s="951" t="s">
        <v>4428</v>
      </c>
      <c r="B102" s="952">
        <v>2</v>
      </c>
      <c r="C102" s="952">
        <v>4</v>
      </c>
      <c r="D102" s="952">
        <v>5</v>
      </c>
      <c r="E102" s="952">
        <v>1</v>
      </c>
      <c r="F102" s="952">
        <v>2</v>
      </c>
      <c r="G102" s="952">
        <v>4</v>
      </c>
      <c r="H102" s="952">
        <v>1</v>
      </c>
      <c r="I102" s="953" t="s">
        <v>3989</v>
      </c>
      <c r="J102" s="953" t="s">
        <v>2431</v>
      </c>
      <c r="K102" s="952" t="s">
        <v>2231</v>
      </c>
      <c r="L102" s="954" t="s">
        <v>2226</v>
      </c>
      <c r="M102" s="951" t="s">
        <v>4037</v>
      </c>
      <c r="N102" s="954" t="s">
        <v>2236</v>
      </c>
      <c r="O102" s="951" t="s">
        <v>4037</v>
      </c>
      <c r="P102" s="954" t="s">
        <v>2244</v>
      </c>
      <c r="Q102" s="951" t="s">
        <v>4037</v>
      </c>
      <c r="R102" s="954" t="s">
        <v>2245</v>
      </c>
      <c r="S102" s="951" t="s">
        <v>4038</v>
      </c>
      <c r="T102" s="955" t="s">
        <v>2475</v>
      </c>
      <c r="U102" s="955" t="s">
        <v>2570</v>
      </c>
      <c r="V102" s="955" t="s">
        <v>2575</v>
      </c>
      <c r="W102" s="952"/>
      <c r="AB102" s="905"/>
      <c r="AC102" s="989"/>
      <c r="AD102" s="990" t="s">
        <v>4361</v>
      </c>
      <c r="AE102" s="995"/>
      <c r="AF102" s="991"/>
      <c r="AG102" s="1000"/>
      <c r="AH102" s="993"/>
      <c r="AI102" s="965"/>
      <c r="AJ102" s="966"/>
      <c r="AO102" s="1470"/>
      <c r="AP102" s="1470"/>
    </row>
    <row r="103" spans="1:42" s="894" customFormat="1" ht="18" customHeight="1" x14ac:dyDescent="0.2">
      <c r="A103" s="951" t="s">
        <v>4433</v>
      </c>
      <c r="B103" s="952">
        <v>3</v>
      </c>
      <c r="C103" s="952">
        <v>5</v>
      </c>
      <c r="D103" s="952">
        <v>10</v>
      </c>
      <c r="E103" s="952">
        <v>1</v>
      </c>
      <c r="F103" s="952">
        <v>2</v>
      </c>
      <c r="G103" s="952">
        <v>4</v>
      </c>
      <c r="H103" s="952">
        <v>1</v>
      </c>
      <c r="I103" s="953" t="s">
        <v>3989</v>
      </c>
      <c r="J103" s="953" t="s">
        <v>2431</v>
      </c>
      <c r="K103" s="952" t="s">
        <v>2231</v>
      </c>
      <c r="L103" s="954" t="s">
        <v>2226</v>
      </c>
      <c r="M103" s="951" t="s">
        <v>4037</v>
      </c>
      <c r="N103" s="954" t="s">
        <v>2236</v>
      </c>
      <c r="O103" s="951" t="s">
        <v>4037</v>
      </c>
      <c r="P103" s="954" t="s">
        <v>2244</v>
      </c>
      <c r="Q103" s="951" t="s">
        <v>4037</v>
      </c>
      <c r="R103" s="954" t="s">
        <v>2245</v>
      </c>
      <c r="S103" s="951" t="s">
        <v>4038</v>
      </c>
      <c r="T103" s="955" t="s">
        <v>2475</v>
      </c>
      <c r="U103" s="955" t="s">
        <v>2570</v>
      </c>
      <c r="V103" s="955" t="s">
        <v>2575</v>
      </c>
      <c r="W103" s="952"/>
      <c r="AB103" s="905"/>
      <c r="AC103" s="981"/>
      <c r="AD103" s="982" t="s">
        <v>4363</v>
      </c>
      <c r="AE103" s="983">
        <v>1</v>
      </c>
      <c r="AF103" s="983">
        <v>30</v>
      </c>
      <c r="AG103" s="999" t="s">
        <v>4364</v>
      </c>
      <c r="AH103" s="985" t="s">
        <v>4365</v>
      </c>
      <c r="AI103" s="971"/>
      <c r="AJ103" s="966"/>
      <c r="AO103" s="1470"/>
      <c r="AP103" s="1470"/>
    </row>
    <row r="104" spans="1:42" s="894" customFormat="1" ht="18" customHeight="1" x14ac:dyDescent="0.2">
      <c r="A104" s="951" t="s">
        <v>4438</v>
      </c>
      <c r="B104" s="952">
        <v>4</v>
      </c>
      <c r="C104" s="952">
        <v>6</v>
      </c>
      <c r="D104" s="952">
        <v>10</v>
      </c>
      <c r="E104" s="952">
        <v>2</v>
      </c>
      <c r="F104" s="952">
        <v>4</v>
      </c>
      <c r="G104" s="952">
        <v>7</v>
      </c>
      <c r="H104" s="952">
        <v>1</v>
      </c>
      <c r="I104" s="953" t="s">
        <v>3989</v>
      </c>
      <c r="J104" s="953" t="s">
        <v>2431</v>
      </c>
      <c r="K104" s="952" t="s">
        <v>2231</v>
      </c>
      <c r="L104" s="954" t="s">
        <v>2226</v>
      </c>
      <c r="M104" s="951" t="s">
        <v>4037</v>
      </c>
      <c r="N104" s="954" t="s">
        <v>2236</v>
      </c>
      <c r="O104" s="951" t="s">
        <v>4037</v>
      </c>
      <c r="P104" s="954" t="s">
        <v>2244</v>
      </c>
      <c r="Q104" s="951" t="s">
        <v>4037</v>
      </c>
      <c r="R104" s="954" t="s">
        <v>2245</v>
      </c>
      <c r="S104" s="951" t="s">
        <v>4038</v>
      </c>
      <c r="T104" s="955" t="s">
        <v>2475</v>
      </c>
      <c r="U104" s="955" t="s">
        <v>2570</v>
      </c>
      <c r="V104" s="955" t="s">
        <v>2575</v>
      </c>
      <c r="W104" s="952"/>
      <c r="AB104" s="905"/>
      <c r="AC104" s="981"/>
      <c r="AD104" s="982" t="s">
        <v>4367</v>
      </c>
      <c r="AE104" s="983">
        <v>1</v>
      </c>
      <c r="AF104" s="983">
        <v>30</v>
      </c>
      <c r="AG104" s="999" t="s">
        <v>4368</v>
      </c>
      <c r="AH104" s="985" t="s">
        <v>4369</v>
      </c>
      <c r="AI104" s="971"/>
      <c r="AJ104" s="966"/>
      <c r="AO104" s="1470"/>
      <c r="AP104" s="1470"/>
    </row>
    <row r="105" spans="1:42" s="894" customFormat="1" ht="18" customHeight="1" x14ac:dyDescent="0.2">
      <c r="A105" s="951" t="s">
        <v>4440</v>
      </c>
      <c r="B105" s="952">
        <v>6</v>
      </c>
      <c r="C105" s="952">
        <v>9</v>
      </c>
      <c r="D105" s="952">
        <v>15</v>
      </c>
      <c r="E105" s="952">
        <v>3</v>
      </c>
      <c r="F105" s="952">
        <v>6</v>
      </c>
      <c r="G105" s="952">
        <v>11</v>
      </c>
      <c r="H105" s="952">
        <v>1</v>
      </c>
      <c r="I105" s="953" t="s">
        <v>3989</v>
      </c>
      <c r="J105" s="953" t="s">
        <v>2431</v>
      </c>
      <c r="K105" s="952" t="s">
        <v>2231</v>
      </c>
      <c r="L105" s="954" t="s">
        <v>2226</v>
      </c>
      <c r="M105" s="951" t="s">
        <v>4037</v>
      </c>
      <c r="N105" s="954" t="s">
        <v>2236</v>
      </c>
      <c r="O105" s="951" t="s">
        <v>4037</v>
      </c>
      <c r="P105" s="954" t="s">
        <v>2244</v>
      </c>
      <c r="Q105" s="951" t="s">
        <v>4037</v>
      </c>
      <c r="R105" s="954" t="s">
        <v>2245</v>
      </c>
      <c r="S105" s="951" t="s">
        <v>4038</v>
      </c>
      <c r="T105" s="955" t="s">
        <v>2475</v>
      </c>
      <c r="U105" s="955" t="s">
        <v>2570</v>
      </c>
      <c r="V105" s="955" t="s">
        <v>2575</v>
      </c>
      <c r="W105" s="952"/>
      <c r="AB105" s="905"/>
      <c r="AC105" s="981"/>
      <c r="AD105" s="982" t="s">
        <v>4371</v>
      </c>
      <c r="AE105" s="983">
        <v>2</v>
      </c>
      <c r="AF105" s="983">
        <v>70</v>
      </c>
      <c r="AG105" s="999" t="s">
        <v>4372</v>
      </c>
      <c r="AH105" s="985" t="s">
        <v>4373</v>
      </c>
      <c r="AI105" s="971"/>
      <c r="AJ105" s="966"/>
      <c r="AO105" s="1470"/>
      <c r="AP105" s="1470"/>
    </row>
    <row r="106" spans="1:42" s="894" customFormat="1" ht="18" customHeight="1" x14ac:dyDescent="0.2">
      <c r="A106" s="951" t="s">
        <v>4444</v>
      </c>
      <c r="B106" s="952">
        <v>8</v>
      </c>
      <c r="C106" s="952">
        <v>11</v>
      </c>
      <c r="D106" s="952">
        <v>20</v>
      </c>
      <c r="E106" s="952">
        <v>4</v>
      </c>
      <c r="F106" s="952">
        <v>8</v>
      </c>
      <c r="G106" s="952">
        <v>14</v>
      </c>
      <c r="H106" s="952">
        <v>1</v>
      </c>
      <c r="I106" s="953" t="s">
        <v>3989</v>
      </c>
      <c r="J106" s="953" t="s">
        <v>2431</v>
      </c>
      <c r="K106" s="952" t="s">
        <v>2231</v>
      </c>
      <c r="L106" s="954" t="s">
        <v>2226</v>
      </c>
      <c r="M106" s="951" t="s">
        <v>4037</v>
      </c>
      <c r="N106" s="954" t="s">
        <v>2236</v>
      </c>
      <c r="O106" s="951" t="s">
        <v>4037</v>
      </c>
      <c r="P106" s="954" t="s">
        <v>2244</v>
      </c>
      <c r="Q106" s="951" t="s">
        <v>4037</v>
      </c>
      <c r="R106" s="954" t="s">
        <v>2245</v>
      </c>
      <c r="S106" s="951" t="s">
        <v>4038</v>
      </c>
      <c r="T106" s="955" t="s">
        <v>2475</v>
      </c>
      <c r="U106" s="955" t="s">
        <v>2570</v>
      </c>
      <c r="V106" s="955" t="s">
        <v>2575</v>
      </c>
      <c r="W106" s="952"/>
      <c r="AB106" s="905"/>
      <c r="AC106" s="981"/>
      <c r="AD106" s="982" t="s">
        <v>4375</v>
      </c>
      <c r="AE106" s="983">
        <v>2</v>
      </c>
      <c r="AF106" s="983">
        <v>60</v>
      </c>
      <c r="AG106" s="999" t="s">
        <v>4376</v>
      </c>
      <c r="AH106" s="985" t="s">
        <v>4377</v>
      </c>
      <c r="AI106" s="971" t="s">
        <v>4378</v>
      </c>
      <c r="AJ106" s="966"/>
      <c r="AO106" s="1470"/>
      <c r="AP106" s="1470"/>
    </row>
    <row r="107" spans="1:42" s="894" customFormat="1" ht="18" customHeight="1" x14ac:dyDescent="0.2">
      <c r="A107" s="951" t="s">
        <v>4448</v>
      </c>
      <c r="B107" s="952">
        <v>10</v>
      </c>
      <c r="C107" s="952">
        <v>13</v>
      </c>
      <c r="D107" s="952">
        <v>25</v>
      </c>
      <c r="E107" s="952">
        <v>6</v>
      </c>
      <c r="F107" s="952">
        <v>12</v>
      </c>
      <c r="G107" s="952">
        <v>21</v>
      </c>
      <c r="H107" s="952">
        <v>1</v>
      </c>
      <c r="I107" s="953" t="s">
        <v>3989</v>
      </c>
      <c r="J107" s="953" t="s">
        <v>2431</v>
      </c>
      <c r="K107" s="952" t="s">
        <v>2231</v>
      </c>
      <c r="L107" s="954" t="s">
        <v>2226</v>
      </c>
      <c r="M107" s="951" t="s">
        <v>4037</v>
      </c>
      <c r="N107" s="954" t="s">
        <v>2236</v>
      </c>
      <c r="O107" s="951" t="s">
        <v>4037</v>
      </c>
      <c r="P107" s="954" t="s">
        <v>2244</v>
      </c>
      <c r="Q107" s="951" t="s">
        <v>4037</v>
      </c>
      <c r="R107" s="954" t="s">
        <v>2245</v>
      </c>
      <c r="S107" s="951" t="s">
        <v>4038</v>
      </c>
      <c r="T107" s="955" t="s">
        <v>2475</v>
      </c>
      <c r="U107" s="955" t="s">
        <v>2570</v>
      </c>
      <c r="V107" s="955" t="s">
        <v>2575</v>
      </c>
      <c r="W107" s="952"/>
      <c r="AB107" s="905"/>
      <c r="AC107" s="981"/>
      <c r="AD107" s="982" t="s">
        <v>4380</v>
      </c>
      <c r="AE107" s="983">
        <v>3</v>
      </c>
      <c r="AF107" s="983">
        <v>115</v>
      </c>
      <c r="AG107" s="999" t="s">
        <v>4381</v>
      </c>
      <c r="AH107" s="985" t="s">
        <v>4382</v>
      </c>
      <c r="AI107" s="971"/>
      <c r="AJ107" s="966"/>
      <c r="AO107" s="1470"/>
      <c r="AP107" s="1470"/>
    </row>
    <row r="108" spans="1:42" s="894" customFormat="1" ht="18" customHeight="1" x14ac:dyDescent="0.2">
      <c r="A108" s="951" t="s">
        <v>4451</v>
      </c>
      <c r="B108" s="952">
        <v>12</v>
      </c>
      <c r="C108" s="952">
        <v>15</v>
      </c>
      <c r="D108" s="952">
        <v>30</v>
      </c>
      <c r="E108" s="952">
        <v>8</v>
      </c>
      <c r="F108" s="952">
        <v>16</v>
      </c>
      <c r="G108" s="952">
        <v>28</v>
      </c>
      <c r="H108" s="952">
        <v>2</v>
      </c>
      <c r="I108" s="953" t="s">
        <v>3989</v>
      </c>
      <c r="J108" s="953" t="s">
        <v>2431</v>
      </c>
      <c r="K108" s="952" t="s">
        <v>2231</v>
      </c>
      <c r="L108" s="954" t="s">
        <v>2226</v>
      </c>
      <c r="M108" s="951" t="s">
        <v>4037</v>
      </c>
      <c r="N108" s="954" t="s">
        <v>2236</v>
      </c>
      <c r="O108" s="951" t="s">
        <v>4037</v>
      </c>
      <c r="P108" s="954" t="s">
        <v>2244</v>
      </c>
      <c r="Q108" s="951" t="s">
        <v>4037</v>
      </c>
      <c r="R108" s="954" t="s">
        <v>2245</v>
      </c>
      <c r="S108" s="951" t="s">
        <v>4038</v>
      </c>
      <c r="T108" s="955" t="s">
        <v>2475</v>
      </c>
      <c r="U108" s="955" t="s">
        <v>2570</v>
      </c>
      <c r="V108" s="955" t="s">
        <v>2575</v>
      </c>
      <c r="W108" s="952"/>
      <c r="AB108" s="905"/>
      <c r="AC108" s="989"/>
      <c r="AD108" s="990" t="s">
        <v>4384</v>
      </c>
      <c r="AE108" s="995"/>
      <c r="AF108" s="991"/>
      <c r="AG108" s="1000"/>
      <c r="AH108" s="993"/>
      <c r="AI108" s="965"/>
      <c r="AJ108" s="966"/>
      <c r="AO108" s="1470"/>
      <c r="AP108" s="1470"/>
    </row>
    <row r="109" spans="1:42" s="894" customFormat="1" ht="18" customHeight="1" x14ac:dyDescent="0.2">
      <c r="A109" s="951" t="s">
        <v>4455</v>
      </c>
      <c r="B109" s="952">
        <v>16</v>
      </c>
      <c r="C109" s="952">
        <v>20</v>
      </c>
      <c r="D109" s="952">
        <v>35</v>
      </c>
      <c r="E109" s="952">
        <v>10</v>
      </c>
      <c r="F109" s="952">
        <v>20</v>
      </c>
      <c r="G109" s="952">
        <v>35</v>
      </c>
      <c r="H109" s="952">
        <v>2</v>
      </c>
      <c r="I109" s="953" t="s">
        <v>3989</v>
      </c>
      <c r="J109" s="953" t="s">
        <v>2431</v>
      </c>
      <c r="K109" s="952" t="s">
        <v>2231</v>
      </c>
      <c r="L109" s="954" t="s">
        <v>2226</v>
      </c>
      <c r="M109" s="951" t="s">
        <v>4037</v>
      </c>
      <c r="N109" s="954" t="s">
        <v>2236</v>
      </c>
      <c r="O109" s="951" t="s">
        <v>4037</v>
      </c>
      <c r="P109" s="954" t="s">
        <v>2244</v>
      </c>
      <c r="Q109" s="951" t="s">
        <v>4037</v>
      </c>
      <c r="R109" s="954" t="s">
        <v>2245</v>
      </c>
      <c r="S109" s="951" t="s">
        <v>4038</v>
      </c>
      <c r="T109" s="955" t="s">
        <v>2475</v>
      </c>
      <c r="U109" s="955" t="s">
        <v>2570</v>
      </c>
      <c r="V109" s="955" t="s">
        <v>2575</v>
      </c>
      <c r="W109" s="952"/>
      <c r="AB109" s="905"/>
      <c r="AC109" s="981"/>
      <c r="AD109" s="982" t="s">
        <v>4386</v>
      </c>
      <c r="AE109" s="983">
        <v>1</v>
      </c>
      <c r="AF109" s="983">
        <v>30</v>
      </c>
      <c r="AG109" s="999" t="s">
        <v>4387</v>
      </c>
      <c r="AH109" s="985" t="s">
        <v>4388</v>
      </c>
      <c r="AI109" s="971"/>
      <c r="AJ109" s="966"/>
      <c r="AO109" s="1470"/>
      <c r="AP109" s="1470"/>
    </row>
    <row r="110" spans="1:42" s="894" customFormat="1" ht="18" customHeight="1" x14ac:dyDescent="0.2">
      <c r="A110" s="951" t="s">
        <v>4459</v>
      </c>
      <c r="B110" s="952">
        <v>20</v>
      </c>
      <c r="C110" s="952">
        <v>24</v>
      </c>
      <c r="D110" s="952">
        <v>40</v>
      </c>
      <c r="E110" s="952">
        <v>12</v>
      </c>
      <c r="F110" s="952">
        <v>24</v>
      </c>
      <c r="G110" s="952">
        <v>42</v>
      </c>
      <c r="H110" s="952">
        <v>3</v>
      </c>
      <c r="I110" s="953" t="s">
        <v>3989</v>
      </c>
      <c r="J110" s="953" t="s">
        <v>2431</v>
      </c>
      <c r="K110" s="952" t="s">
        <v>2231</v>
      </c>
      <c r="L110" s="954" t="s">
        <v>2226</v>
      </c>
      <c r="M110" s="951" t="s">
        <v>4037</v>
      </c>
      <c r="N110" s="954" t="s">
        <v>2236</v>
      </c>
      <c r="O110" s="951" t="s">
        <v>4037</v>
      </c>
      <c r="P110" s="954" t="s">
        <v>2244</v>
      </c>
      <c r="Q110" s="951" t="s">
        <v>4037</v>
      </c>
      <c r="R110" s="954" t="s">
        <v>2245</v>
      </c>
      <c r="S110" s="951" t="s">
        <v>4038</v>
      </c>
      <c r="T110" s="955" t="s">
        <v>2475</v>
      </c>
      <c r="U110" s="955" t="s">
        <v>2570</v>
      </c>
      <c r="V110" s="955" t="s">
        <v>2575</v>
      </c>
      <c r="W110" s="952"/>
      <c r="AB110" s="905"/>
      <c r="AC110" s="981"/>
      <c r="AD110" s="982" t="s">
        <v>4389</v>
      </c>
      <c r="AE110" s="983">
        <v>1</v>
      </c>
      <c r="AF110" s="983">
        <v>25</v>
      </c>
      <c r="AG110" s="999" t="s">
        <v>4390</v>
      </c>
      <c r="AH110" s="985" t="s">
        <v>4391</v>
      </c>
      <c r="AI110" s="971" t="s">
        <v>4392</v>
      </c>
      <c r="AJ110" s="966"/>
      <c r="AO110" s="1470"/>
      <c r="AP110" s="1470"/>
    </row>
    <row r="111" spans="1:42" s="894" customFormat="1" ht="18" customHeight="1" x14ac:dyDescent="0.2">
      <c r="A111" s="951" t="s">
        <v>4463</v>
      </c>
      <c r="B111" s="952">
        <v>24</v>
      </c>
      <c r="C111" s="952">
        <v>29</v>
      </c>
      <c r="D111" s="952">
        <v>45</v>
      </c>
      <c r="E111" s="952">
        <v>14</v>
      </c>
      <c r="F111" s="952">
        <v>28</v>
      </c>
      <c r="G111" s="952">
        <v>49</v>
      </c>
      <c r="H111" s="952">
        <v>3</v>
      </c>
      <c r="I111" s="953" t="s">
        <v>3989</v>
      </c>
      <c r="J111" s="953" t="s">
        <v>2431</v>
      </c>
      <c r="K111" s="952" t="s">
        <v>2231</v>
      </c>
      <c r="L111" s="954" t="s">
        <v>2226</v>
      </c>
      <c r="M111" s="951" t="s">
        <v>4037</v>
      </c>
      <c r="N111" s="954" t="s">
        <v>2236</v>
      </c>
      <c r="O111" s="951" t="s">
        <v>4037</v>
      </c>
      <c r="P111" s="954" t="s">
        <v>2244</v>
      </c>
      <c r="Q111" s="951" t="s">
        <v>4037</v>
      </c>
      <c r="R111" s="954" t="s">
        <v>2245</v>
      </c>
      <c r="S111" s="951" t="s">
        <v>4038</v>
      </c>
      <c r="T111" s="955" t="s">
        <v>2475</v>
      </c>
      <c r="U111" s="955" t="s">
        <v>2570</v>
      </c>
      <c r="V111" s="955" t="s">
        <v>2575</v>
      </c>
      <c r="W111" s="952"/>
      <c r="AB111" s="905"/>
      <c r="AC111" s="981"/>
      <c r="AD111" s="982" t="s">
        <v>4394</v>
      </c>
      <c r="AE111" s="983">
        <v>2</v>
      </c>
      <c r="AF111" s="983">
        <v>70</v>
      </c>
      <c r="AG111" s="999" t="s">
        <v>4395</v>
      </c>
      <c r="AH111" s="985" t="s">
        <v>4396</v>
      </c>
      <c r="AI111" s="971" t="s">
        <v>4397</v>
      </c>
      <c r="AJ111" s="966"/>
      <c r="AO111" s="1470"/>
      <c r="AP111" s="1470"/>
    </row>
    <row r="112" spans="1:42" s="894" customFormat="1" ht="18" customHeight="1" x14ac:dyDescent="0.2">
      <c r="A112" s="903" t="s">
        <v>4034</v>
      </c>
      <c r="B112" s="946"/>
      <c r="C112" s="946"/>
      <c r="D112" s="946"/>
      <c r="E112" s="946"/>
      <c r="F112" s="946"/>
      <c r="G112" s="946"/>
      <c r="H112" s="946"/>
      <c r="I112" s="946"/>
      <c r="J112" s="946"/>
      <c r="K112" s="946"/>
      <c r="L112" s="947"/>
      <c r="M112" s="946"/>
      <c r="N112" s="946"/>
      <c r="O112" s="946"/>
      <c r="P112" s="946"/>
      <c r="Q112" s="946"/>
      <c r="R112" s="946"/>
      <c r="S112" s="946"/>
      <c r="T112" s="946"/>
      <c r="U112" s="946"/>
      <c r="V112" s="946"/>
      <c r="W112" s="952"/>
      <c r="AB112" s="905"/>
      <c r="AC112" s="981"/>
      <c r="AD112" s="982" t="s">
        <v>4399</v>
      </c>
      <c r="AE112" s="983">
        <v>2</v>
      </c>
      <c r="AF112" s="983">
        <v>65</v>
      </c>
      <c r="AG112" s="999" t="s">
        <v>4400</v>
      </c>
      <c r="AH112" s="985" t="s">
        <v>4401</v>
      </c>
      <c r="AI112" s="971" t="s">
        <v>4397</v>
      </c>
      <c r="AJ112" s="966"/>
      <c r="AO112" s="1470"/>
      <c r="AP112" s="1470"/>
    </row>
    <row r="113" spans="1:42" s="894" customFormat="1" ht="18" customHeight="1" x14ac:dyDescent="0.2">
      <c r="A113" s="951" t="s">
        <v>4469</v>
      </c>
      <c r="B113" s="952">
        <v>2</v>
      </c>
      <c r="C113" s="952">
        <v>4</v>
      </c>
      <c r="D113" s="952">
        <v>5</v>
      </c>
      <c r="E113" s="952">
        <v>1</v>
      </c>
      <c r="F113" s="952">
        <v>2</v>
      </c>
      <c r="G113" s="952">
        <v>4</v>
      </c>
      <c r="H113" s="952">
        <v>1</v>
      </c>
      <c r="I113" s="953" t="s">
        <v>3989</v>
      </c>
      <c r="J113" s="953" t="s">
        <v>2431</v>
      </c>
      <c r="K113" s="952" t="s">
        <v>2226</v>
      </c>
      <c r="L113" s="954" t="s">
        <v>2354</v>
      </c>
      <c r="M113" s="951" t="s">
        <v>4037</v>
      </c>
      <c r="N113" s="954" t="s">
        <v>2231</v>
      </c>
      <c r="O113" s="951" t="s">
        <v>4037</v>
      </c>
      <c r="P113" s="954" t="s">
        <v>2244</v>
      </c>
      <c r="Q113" s="951" t="s">
        <v>4037</v>
      </c>
      <c r="R113" s="954" t="s">
        <v>2245</v>
      </c>
      <c r="S113" s="951" t="s">
        <v>4038</v>
      </c>
      <c r="T113" s="955" t="s">
        <v>2475</v>
      </c>
      <c r="U113" s="955" t="s">
        <v>2472</v>
      </c>
      <c r="V113" s="955" t="s">
        <v>2570</v>
      </c>
      <c r="W113" s="952"/>
      <c r="AB113" s="905"/>
      <c r="AC113" s="981"/>
      <c r="AD113" s="982" t="s">
        <v>4403</v>
      </c>
      <c r="AE113" s="983">
        <v>2</v>
      </c>
      <c r="AF113" s="983">
        <v>100</v>
      </c>
      <c r="AG113" s="999" t="s">
        <v>4404</v>
      </c>
      <c r="AH113" s="985" t="s">
        <v>4405</v>
      </c>
      <c r="AI113" s="971"/>
      <c r="AJ113" s="966"/>
      <c r="AO113" s="1470"/>
      <c r="AP113" s="1470"/>
    </row>
    <row r="114" spans="1:42" s="894" customFormat="1" ht="18" customHeight="1" x14ac:dyDescent="0.2">
      <c r="A114" s="951" t="s">
        <v>4473</v>
      </c>
      <c r="B114" s="952">
        <v>3</v>
      </c>
      <c r="C114" s="952">
        <v>5</v>
      </c>
      <c r="D114" s="952">
        <v>5</v>
      </c>
      <c r="E114" s="952">
        <v>1</v>
      </c>
      <c r="F114" s="952">
        <v>2</v>
      </c>
      <c r="G114" s="952">
        <v>4</v>
      </c>
      <c r="H114" s="952">
        <v>1</v>
      </c>
      <c r="I114" s="953" t="s">
        <v>3989</v>
      </c>
      <c r="J114" s="953" t="s">
        <v>2431</v>
      </c>
      <c r="K114" s="952" t="s">
        <v>2226</v>
      </c>
      <c r="L114" s="954" t="s">
        <v>2354</v>
      </c>
      <c r="M114" s="951" t="s">
        <v>4037</v>
      </c>
      <c r="N114" s="954" t="s">
        <v>2231</v>
      </c>
      <c r="O114" s="951" t="s">
        <v>4037</v>
      </c>
      <c r="P114" s="954" t="s">
        <v>2244</v>
      </c>
      <c r="Q114" s="951" t="s">
        <v>4037</v>
      </c>
      <c r="R114" s="954" t="s">
        <v>2245</v>
      </c>
      <c r="S114" s="951" t="s">
        <v>4038</v>
      </c>
      <c r="T114" s="955" t="s">
        <v>2475</v>
      </c>
      <c r="U114" s="955" t="s">
        <v>2472</v>
      </c>
      <c r="V114" s="955" t="s">
        <v>2570</v>
      </c>
      <c r="W114" s="952"/>
      <c r="AB114" s="905"/>
      <c r="AC114" s="989"/>
      <c r="AD114" s="990" t="s">
        <v>4407</v>
      </c>
      <c r="AE114" s="995"/>
      <c r="AF114" s="991"/>
      <c r="AG114" s="1000"/>
      <c r="AH114" s="993"/>
      <c r="AI114" s="965"/>
      <c r="AJ114" s="966"/>
      <c r="AO114" s="1470"/>
      <c r="AP114" s="1470"/>
    </row>
    <row r="115" spans="1:42" s="894" customFormat="1" ht="18" customHeight="1" x14ac:dyDescent="0.2">
      <c r="A115" s="951" t="s">
        <v>4478</v>
      </c>
      <c r="B115" s="952">
        <v>4</v>
      </c>
      <c r="C115" s="952">
        <v>6</v>
      </c>
      <c r="D115" s="952">
        <v>10</v>
      </c>
      <c r="E115" s="952">
        <v>2</v>
      </c>
      <c r="F115" s="952">
        <v>4</v>
      </c>
      <c r="G115" s="952">
        <v>7</v>
      </c>
      <c r="H115" s="952">
        <v>1</v>
      </c>
      <c r="I115" s="953" t="s">
        <v>3989</v>
      </c>
      <c r="J115" s="953" t="s">
        <v>2431</v>
      </c>
      <c r="K115" s="952" t="s">
        <v>2226</v>
      </c>
      <c r="L115" s="954" t="s">
        <v>2354</v>
      </c>
      <c r="M115" s="951" t="s">
        <v>4037</v>
      </c>
      <c r="N115" s="954" t="s">
        <v>2231</v>
      </c>
      <c r="O115" s="951" t="s">
        <v>4037</v>
      </c>
      <c r="P115" s="954" t="s">
        <v>2244</v>
      </c>
      <c r="Q115" s="951" t="s">
        <v>4037</v>
      </c>
      <c r="R115" s="954" t="s">
        <v>2245</v>
      </c>
      <c r="S115" s="951" t="s">
        <v>4038</v>
      </c>
      <c r="T115" s="955" t="s">
        <v>2475</v>
      </c>
      <c r="U115" s="955" t="s">
        <v>2472</v>
      </c>
      <c r="V115" s="955" t="s">
        <v>2570</v>
      </c>
      <c r="W115" s="952"/>
      <c r="AB115" s="905"/>
      <c r="AC115" s="981"/>
      <c r="AD115" s="982" t="s">
        <v>4409</v>
      </c>
      <c r="AE115" s="983">
        <v>1</v>
      </c>
      <c r="AF115" s="983">
        <v>35</v>
      </c>
      <c r="AG115" s="999" t="s">
        <v>4410</v>
      </c>
      <c r="AH115" s="985" t="s">
        <v>4411</v>
      </c>
      <c r="AI115" s="971"/>
      <c r="AJ115" s="966"/>
      <c r="AO115" s="1470"/>
      <c r="AP115" s="1470"/>
    </row>
    <row r="116" spans="1:42" s="894" customFormat="1" ht="18" customHeight="1" x14ac:dyDescent="0.2">
      <c r="A116" s="951" t="s">
        <v>4483</v>
      </c>
      <c r="B116" s="952">
        <v>5</v>
      </c>
      <c r="C116" s="952">
        <v>8</v>
      </c>
      <c r="D116" s="952">
        <v>15</v>
      </c>
      <c r="E116" s="952">
        <v>3</v>
      </c>
      <c r="F116" s="952">
        <v>6</v>
      </c>
      <c r="G116" s="952">
        <v>11</v>
      </c>
      <c r="H116" s="952">
        <v>1</v>
      </c>
      <c r="I116" s="953" t="s">
        <v>3989</v>
      </c>
      <c r="J116" s="953" t="s">
        <v>2431</v>
      </c>
      <c r="K116" s="952" t="s">
        <v>2226</v>
      </c>
      <c r="L116" s="954" t="s">
        <v>2354</v>
      </c>
      <c r="M116" s="951" t="s">
        <v>4037</v>
      </c>
      <c r="N116" s="954" t="s">
        <v>2231</v>
      </c>
      <c r="O116" s="951" t="s">
        <v>4037</v>
      </c>
      <c r="P116" s="954" t="s">
        <v>2244</v>
      </c>
      <c r="Q116" s="951" t="s">
        <v>4037</v>
      </c>
      <c r="R116" s="954" t="s">
        <v>2245</v>
      </c>
      <c r="S116" s="951" t="s">
        <v>4038</v>
      </c>
      <c r="T116" s="955" t="s">
        <v>2475</v>
      </c>
      <c r="U116" s="955" t="s">
        <v>2472</v>
      </c>
      <c r="V116" s="955" t="s">
        <v>2570</v>
      </c>
      <c r="W116" s="952"/>
      <c r="AB116" s="905"/>
      <c r="AC116" s="981"/>
      <c r="AD116" s="982" t="s">
        <v>4413</v>
      </c>
      <c r="AE116" s="983">
        <v>1</v>
      </c>
      <c r="AF116" s="983">
        <v>45</v>
      </c>
      <c r="AG116" s="999" t="s">
        <v>4414</v>
      </c>
      <c r="AH116" s="985" t="s">
        <v>4415</v>
      </c>
      <c r="AI116" s="971" t="s">
        <v>4416</v>
      </c>
      <c r="AJ116" s="966"/>
      <c r="AO116" s="1470"/>
      <c r="AP116" s="1470"/>
    </row>
    <row r="117" spans="1:42" s="894" customFormat="1" ht="18" customHeight="1" x14ac:dyDescent="0.2">
      <c r="A117" s="951" t="s">
        <v>4487</v>
      </c>
      <c r="B117" s="952">
        <v>8</v>
      </c>
      <c r="C117" s="952">
        <v>11</v>
      </c>
      <c r="D117" s="952">
        <v>20</v>
      </c>
      <c r="E117" s="952">
        <v>4</v>
      </c>
      <c r="F117" s="952">
        <v>8</v>
      </c>
      <c r="G117" s="952">
        <v>14</v>
      </c>
      <c r="H117" s="952">
        <v>1</v>
      </c>
      <c r="I117" s="953" t="s">
        <v>3989</v>
      </c>
      <c r="J117" s="953" t="s">
        <v>2431</v>
      </c>
      <c r="K117" s="952" t="s">
        <v>2226</v>
      </c>
      <c r="L117" s="954" t="s">
        <v>2354</v>
      </c>
      <c r="M117" s="951" t="s">
        <v>4037</v>
      </c>
      <c r="N117" s="954" t="s">
        <v>2231</v>
      </c>
      <c r="O117" s="951" t="s">
        <v>4037</v>
      </c>
      <c r="P117" s="954" t="s">
        <v>2244</v>
      </c>
      <c r="Q117" s="951" t="s">
        <v>4037</v>
      </c>
      <c r="R117" s="954" t="s">
        <v>2245</v>
      </c>
      <c r="S117" s="951" t="s">
        <v>4038</v>
      </c>
      <c r="T117" s="955" t="s">
        <v>2475</v>
      </c>
      <c r="U117" s="955" t="s">
        <v>2472</v>
      </c>
      <c r="V117" s="955" t="s">
        <v>2570</v>
      </c>
      <c r="W117" s="952"/>
      <c r="AB117" s="905"/>
      <c r="AC117" s="981"/>
      <c r="AD117" s="982" t="s">
        <v>4418</v>
      </c>
      <c r="AE117" s="983">
        <v>1</v>
      </c>
      <c r="AF117" s="983">
        <v>25</v>
      </c>
      <c r="AG117" s="999" t="s">
        <v>4419</v>
      </c>
      <c r="AH117" s="985" t="s">
        <v>4420</v>
      </c>
      <c r="AI117" s="971" t="s">
        <v>4416</v>
      </c>
      <c r="AJ117" s="966"/>
      <c r="AO117" s="1470"/>
      <c r="AP117" s="1470"/>
    </row>
    <row r="118" spans="1:42" s="894" customFormat="1" ht="18" customHeight="1" x14ac:dyDescent="0.2">
      <c r="A118" s="951" t="s">
        <v>4491</v>
      </c>
      <c r="B118" s="952">
        <v>12</v>
      </c>
      <c r="C118" s="952">
        <v>15</v>
      </c>
      <c r="D118" s="952">
        <v>25</v>
      </c>
      <c r="E118" s="952">
        <v>5</v>
      </c>
      <c r="F118" s="952">
        <v>10</v>
      </c>
      <c r="G118" s="952">
        <v>18</v>
      </c>
      <c r="H118" s="952">
        <v>1</v>
      </c>
      <c r="I118" s="953" t="s">
        <v>3989</v>
      </c>
      <c r="J118" s="953" t="s">
        <v>2431</v>
      </c>
      <c r="K118" s="952" t="s">
        <v>2226</v>
      </c>
      <c r="L118" s="954" t="s">
        <v>2354</v>
      </c>
      <c r="M118" s="951" t="s">
        <v>4037</v>
      </c>
      <c r="N118" s="954" t="s">
        <v>2231</v>
      </c>
      <c r="O118" s="951" t="s">
        <v>4037</v>
      </c>
      <c r="P118" s="954" t="s">
        <v>2244</v>
      </c>
      <c r="Q118" s="951" t="s">
        <v>4037</v>
      </c>
      <c r="R118" s="954" t="s">
        <v>2245</v>
      </c>
      <c r="S118" s="951" t="s">
        <v>4038</v>
      </c>
      <c r="T118" s="955" t="s">
        <v>2475</v>
      </c>
      <c r="U118" s="955" t="s">
        <v>2472</v>
      </c>
      <c r="V118" s="955" t="s">
        <v>2570</v>
      </c>
      <c r="W118" s="952"/>
      <c r="AB118" s="905"/>
      <c r="AC118" s="981"/>
      <c r="AD118" s="982" t="s">
        <v>4421</v>
      </c>
      <c r="AE118" s="983">
        <v>1</v>
      </c>
      <c r="AF118" s="983">
        <v>30</v>
      </c>
      <c r="AG118" s="999" t="s">
        <v>4419</v>
      </c>
      <c r="AH118" s="985" t="s">
        <v>4422</v>
      </c>
      <c r="AI118" s="971" t="s">
        <v>4423</v>
      </c>
      <c r="AJ118" s="966"/>
      <c r="AO118" s="1470"/>
      <c r="AP118" s="1470"/>
    </row>
    <row r="119" spans="1:42" s="894" customFormat="1" ht="18" customHeight="1" x14ac:dyDescent="0.2">
      <c r="A119" s="951" t="s">
        <v>4493</v>
      </c>
      <c r="B119" s="952">
        <v>14</v>
      </c>
      <c r="C119" s="952">
        <v>18</v>
      </c>
      <c r="D119" s="952">
        <v>30</v>
      </c>
      <c r="E119" s="952">
        <v>8</v>
      </c>
      <c r="F119" s="952">
        <v>16</v>
      </c>
      <c r="G119" s="952">
        <v>28</v>
      </c>
      <c r="H119" s="952">
        <v>1</v>
      </c>
      <c r="I119" s="953" t="s">
        <v>3989</v>
      </c>
      <c r="J119" s="953" t="s">
        <v>2431</v>
      </c>
      <c r="K119" s="952" t="s">
        <v>2226</v>
      </c>
      <c r="L119" s="954" t="s">
        <v>2354</v>
      </c>
      <c r="M119" s="951" t="s">
        <v>4037</v>
      </c>
      <c r="N119" s="954" t="s">
        <v>2231</v>
      </c>
      <c r="O119" s="951" t="s">
        <v>4037</v>
      </c>
      <c r="P119" s="954" t="s">
        <v>2244</v>
      </c>
      <c r="Q119" s="951" t="s">
        <v>4037</v>
      </c>
      <c r="R119" s="954" t="s">
        <v>2245</v>
      </c>
      <c r="S119" s="951" t="s">
        <v>4038</v>
      </c>
      <c r="T119" s="955" t="s">
        <v>2475</v>
      </c>
      <c r="U119" s="955" t="s">
        <v>2472</v>
      </c>
      <c r="V119" s="955" t="s">
        <v>2570</v>
      </c>
      <c r="W119" s="952"/>
      <c r="AB119" s="905"/>
      <c r="AC119" s="981"/>
      <c r="AD119" s="982" t="s">
        <v>4425</v>
      </c>
      <c r="AE119" s="983">
        <v>2</v>
      </c>
      <c r="AF119" s="983">
        <v>85</v>
      </c>
      <c r="AG119" s="999" t="s">
        <v>4426</v>
      </c>
      <c r="AH119" s="985" t="s">
        <v>4427</v>
      </c>
      <c r="AI119" s="971" t="s">
        <v>4416</v>
      </c>
      <c r="AJ119" s="966"/>
      <c r="AO119" s="1470"/>
      <c r="AP119" s="1470"/>
    </row>
    <row r="120" spans="1:42" s="894" customFormat="1" ht="18" customHeight="1" x14ac:dyDescent="0.2">
      <c r="A120" s="951" t="s">
        <v>4497</v>
      </c>
      <c r="B120" s="952">
        <v>18</v>
      </c>
      <c r="C120" s="952">
        <v>22</v>
      </c>
      <c r="D120" s="952">
        <v>35</v>
      </c>
      <c r="E120" s="952">
        <v>10</v>
      </c>
      <c r="F120" s="952">
        <v>20</v>
      </c>
      <c r="G120" s="952">
        <v>35</v>
      </c>
      <c r="H120" s="952">
        <v>2</v>
      </c>
      <c r="I120" s="953" t="s">
        <v>3989</v>
      </c>
      <c r="J120" s="953" t="s">
        <v>2431</v>
      </c>
      <c r="K120" s="952" t="s">
        <v>2226</v>
      </c>
      <c r="L120" s="954" t="s">
        <v>2354</v>
      </c>
      <c r="M120" s="951" t="s">
        <v>4037</v>
      </c>
      <c r="N120" s="954" t="s">
        <v>2231</v>
      </c>
      <c r="O120" s="951" t="s">
        <v>4037</v>
      </c>
      <c r="P120" s="954" t="s">
        <v>2244</v>
      </c>
      <c r="Q120" s="951" t="s">
        <v>4037</v>
      </c>
      <c r="R120" s="954" t="s">
        <v>2245</v>
      </c>
      <c r="S120" s="951" t="s">
        <v>4038</v>
      </c>
      <c r="T120" s="955" t="s">
        <v>2475</v>
      </c>
      <c r="U120" s="955" t="s">
        <v>2472</v>
      </c>
      <c r="V120" s="955" t="s">
        <v>2570</v>
      </c>
      <c r="W120" s="952"/>
      <c r="AB120" s="905"/>
      <c r="AC120" s="981"/>
      <c r="AD120" s="982" t="s">
        <v>4429</v>
      </c>
      <c r="AE120" s="983">
        <v>2</v>
      </c>
      <c r="AF120" s="983">
        <v>65</v>
      </c>
      <c r="AG120" s="999" t="s">
        <v>4430</v>
      </c>
      <c r="AH120" s="985" t="s">
        <v>4431</v>
      </c>
      <c r="AI120" s="971" t="s">
        <v>4432</v>
      </c>
      <c r="AJ120" s="966"/>
      <c r="AO120" s="1470"/>
      <c r="AP120" s="1470"/>
    </row>
    <row r="121" spans="1:42" s="894" customFormat="1" ht="18" customHeight="1" x14ac:dyDescent="0.2">
      <c r="A121" s="951" t="s">
        <v>4501</v>
      </c>
      <c r="B121" s="952">
        <v>22</v>
      </c>
      <c r="C121" s="952">
        <v>26</v>
      </c>
      <c r="D121" s="952">
        <v>40</v>
      </c>
      <c r="E121" s="952">
        <v>12</v>
      </c>
      <c r="F121" s="952">
        <v>24</v>
      </c>
      <c r="G121" s="952">
        <v>42</v>
      </c>
      <c r="H121" s="952">
        <v>2</v>
      </c>
      <c r="I121" s="953" t="s">
        <v>3989</v>
      </c>
      <c r="J121" s="953" t="s">
        <v>2431</v>
      </c>
      <c r="K121" s="952" t="s">
        <v>2226</v>
      </c>
      <c r="L121" s="954" t="s">
        <v>2354</v>
      </c>
      <c r="M121" s="951" t="s">
        <v>4037</v>
      </c>
      <c r="N121" s="954" t="s">
        <v>2231</v>
      </c>
      <c r="O121" s="951" t="s">
        <v>4037</v>
      </c>
      <c r="P121" s="954" t="s">
        <v>2244</v>
      </c>
      <c r="Q121" s="951" t="s">
        <v>4037</v>
      </c>
      <c r="R121" s="954" t="s">
        <v>2245</v>
      </c>
      <c r="S121" s="951" t="s">
        <v>4038</v>
      </c>
      <c r="T121" s="955" t="s">
        <v>2475</v>
      </c>
      <c r="U121" s="955" t="s">
        <v>2472</v>
      </c>
      <c r="V121" s="955" t="s">
        <v>2570</v>
      </c>
      <c r="W121" s="952"/>
      <c r="AB121" s="905"/>
      <c r="AC121" s="981"/>
      <c r="AD121" s="982" t="s">
        <v>4434</v>
      </c>
      <c r="AE121" s="983">
        <v>3</v>
      </c>
      <c r="AF121" s="983">
        <v>90</v>
      </c>
      <c r="AG121" s="999" t="s">
        <v>4435</v>
      </c>
      <c r="AH121" s="985" t="s">
        <v>4436</v>
      </c>
      <c r="AI121" s="971" t="s">
        <v>4437</v>
      </c>
      <c r="AJ121" s="966"/>
      <c r="AO121" s="1470"/>
      <c r="AP121" s="1470"/>
    </row>
    <row r="122" spans="1:42" s="894" customFormat="1" ht="18" customHeight="1" x14ac:dyDescent="0.2">
      <c r="A122" s="951" t="s">
        <v>4505</v>
      </c>
      <c r="B122" s="952">
        <v>26</v>
      </c>
      <c r="C122" s="952">
        <v>32</v>
      </c>
      <c r="D122" s="952">
        <v>45</v>
      </c>
      <c r="E122" s="952">
        <v>14</v>
      </c>
      <c r="F122" s="952">
        <v>28</v>
      </c>
      <c r="G122" s="952">
        <v>49</v>
      </c>
      <c r="H122" s="952">
        <v>3</v>
      </c>
      <c r="I122" s="953" t="s">
        <v>3989</v>
      </c>
      <c r="J122" s="953" t="s">
        <v>2431</v>
      </c>
      <c r="K122" s="952" t="s">
        <v>2226</v>
      </c>
      <c r="L122" s="954" t="s">
        <v>2354</v>
      </c>
      <c r="M122" s="951" t="s">
        <v>4037</v>
      </c>
      <c r="N122" s="954" t="s">
        <v>2231</v>
      </c>
      <c r="O122" s="951" t="s">
        <v>4037</v>
      </c>
      <c r="P122" s="954" t="s">
        <v>2244</v>
      </c>
      <c r="Q122" s="951" t="s">
        <v>4037</v>
      </c>
      <c r="R122" s="954" t="s">
        <v>2245</v>
      </c>
      <c r="S122" s="951" t="s">
        <v>4038</v>
      </c>
      <c r="T122" s="955" t="s">
        <v>2475</v>
      </c>
      <c r="U122" s="955" t="s">
        <v>2472</v>
      </c>
      <c r="V122" s="955" t="s">
        <v>2570</v>
      </c>
      <c r="W122" s="952"/>
      <c r="AB122" s="905"/>
      <c r="AC122" s="989"/>
      <c r="AD122" s="990" t="s">
        <v>4439</v>
      </c>
      <c r="AE122" s="995"/>
      <c r="AF122" s="991"/>
      <c r="AG122" s="1000"/>
      <c r="AH122" s="993"/>
      <c r="AI122" s="965"/>
      <c r="AJ122" s="966"/>
      <c r="AO122" s="1470"/>
      <c r="AP122" s="1470"/>
    </row>
    <row r="123" spans="1:42" s="894" customFormat="1" ht="18" customHeight="1" x14ac:dyDescent="0.2">
      <c r="A123" s="951" t="s">
        <v>4509</v>
      </c>
      <c r="B123" s="952">
        <v>30</v>
      </c>
      <c r="C123" s="952">
        <v>36</v>
      </c>
      <c r="D123" s="952">
        <v>50</v>
      </c>
      <c r="E123" s="952">
        <v>16</v>
      </c>
      <c r="F123" s="952">
        <v>32</v>
      </c>
      <c r="G123" s="952">
        <v>56</v>
      </c>
      <c r="H123" s="952">
        <v>3</v>
      </c>
      <c r="I123" s="953" t="s">
        <v>3989</v>
      </c>
      <c r="J123" s="953" t="s">
        <v>2431</v>
      </c>
      <c r="K123" s="952" t="s">
        <v>2226</v>
      </c>
      <c r="L123" s="954" t="s">
        <v>2354</v>
      </c>
      <c r="M123" s="951" t="s">
        <v>4037</v>
      </c>
      <c r="N123" s="954" t="s">
        <v>2231</v>
      </c>
      <c r="O123" s="951" t="s">
        <v>4037</v>
      </c>
      <c r="P123" s="954" t="s">
        <v>2244</v>
      </c>
      <c r="Q123" s="951" t="s">
        <v>4037</v>
      </c>
      <c r="R123" s="954" t="s">
        <v>2245</v>
      </c>
      <c r="S123" s="951" t="s">
        <v>4038</v>
      </c>
      <c r="T123" s="955" t="s">
        <v>2475</v>
      </c>
      <c r="U123" s="955" t="s">
        <v>2472</v>
      </c>
      <c r="V123" s="955" t="s">
        <v>2570</v>
      </c>
      <c r="W123" s="952"/>
      <c r="AB123" s="905"/>
      <c r="AC123" s="981"/>
      <c r="AD123" s="982" t="s">
        <v>4441</v>
      </c>
      <c r="AE123" s="983">
        <v>1</v>
      </c>
      <c r="AF123" s="983">
        <v>20</v>
      </c>
      <c r="AG123" s="999" t="s">
        <v>4442</v>
      </c>
      <c r="AH123" s="985" t="s">
        <v>4443</v>
      </c>
      <c r="AI123" s="971"/>
      <c r="AJ123" s="966"/>
      <c r="AO123" s="1470"/>
      <c r="AP123" s="1470"/>
    </row>
    <row r="124" spans="1:42" s="894" customFormat="1" ht="18" customHeight="1" x14ac:dyDescent="0.2">
      <c r="A124" s="903" t="s">
        <v>4039</v>
      </c>
      <c r="B124" s="946"/>
      <c r="C124" s="946"/>
      <c r="D124" s="946"/>
      <c r="E124" s="946"/>
      <c r="F124" s="946"/>
      <c r="G124" s="946"/>
      <c r="H124" s="946"/>
      <c r="I124" s="946"/>
      <c r="J124" s="946"/>
      <c r="K124" s="946"/>
      <c r="L124" s="947"/>
      <c r="M124" s="946"/>
      <c r="N124" s="946"/>
      <c r="O124" s="946"/>
      <c r="P124" s="946"/>
      <c r="Q124" s="946"/>
      <c r="R124" s="946"/>
      <c r="S124" s="946"/>
      <c r="T124" s="946"/>
      <c r="U124" s="946"/>
      <c r="V124" s="946"/>
      <c r="W124" s="952"/>
      <c r="AB124" s="905"/>
      <c r="AC124" s="981"/>
      <c r="AD124" s="982" t="s">
        <v>4445</v>
      </c>
      <c r="AE124" s="983">
        <v>1</v>
      </c>
      <c r="AF124" s="983">
        <v>35</v>
      </c>
      <c r="AG124" s="999" t="s">
        <v>4446</v>
      </c>
      <c r="AH124" s="985" t="s">
        <v>4447</v>
      </c>
      <c r="AI124" s="971"/>
      <c r="AJ124" s="966"/>
      <c r="AO124" s="1470"/>
      <c r="AP124" s="1470"/>
    </row>
    <row r="125" spans="1:42" s="894" customFormat="1" ht="18" customHeight="1" x14ac:dyDescent="0.2">
      <c r="A125" s="951" t="s">
        <v>4515</v>
      </c>
      <c r="B125" s="952">
        <v>4</v>
      </c>
      <c r="C125" s="952">
        <v>6</v>
      </c>
      <c r="D125" s="952">
        <v>10</v>
      </c>
      <c r="E125" s="952">
        <v>2</v>
      </c>
      <c r="F125" s="952">
        <v>4</v>
      </c>
      <c r="G125" s="952">
        <v>7</v>
      </c>
      <c r="H125" s="952">
        <v>1</v>
      </c>
      <c r="I125" s="953" t="s">
        <v>3994</v>
      </c>
      <c r="J125" s="953" t="s">
        <v>2431</v>
      </c>
      <c r="K125" s="952" t="s">
        <v>2226</v>
      </c>
      <c r="L125" s="954" t="s">
        <v>2354</v>
      </c>
      <c r="M125" s="951" t="s">
        <v>4037</v>
      </c>
      <c r="N125" s="954" t="s">
        <v>2231</v>
      </c>
      <c r="O125" s="951" t="s">
        <v>4037</v>
      </c>
      <c r="P125" s="954" t="s">
        <v>2244</v>
      </c>
      <c r="Q125" s="951" t="s">
        <v>4037</v>
      </c>
      <c r="R125" s="954" t="s">
        <v>2245</v>
      </c>
      <c r="S125" s="951" t="s">
        <v>4038</v>
      </c>
      <c r="T125" s="955" t="s">
        <v>2475</v>
      </c>
      <c r="U125" s="955" t="s">
        <v>2472</v>
      </c>
      <c r="V125" s="955" t="s">
        <v>2570</v>
      </c>
      <c r="W125" s="952"/>
      <c r="AB125" s="905"/>
      <c r="AC125" s="981"/>
      <c r="AD125" s="982" t="s">
        <v>4449</v>
      </c>
      <c r="AE125" s="983">
        <v>1</v>
      </c>
      <c r="AF125" s="983">
        <v>45</v>
      </c>
      <c r="AG125" s="999" t="s">
        <v>4442</v>
      </c>
      <c r="AH125" s="985" t="s">
        <v>4450</v>
      </c>
      <c r="AI125" s="971"/>
      <c r="AJ125" s="966"/>
      <c r="AO125" s="1470"/>
      <c r="AP125" s="1470"/>
    </row>
    <row r="126" spans="1:42" s="894" customFormat="1" ht="18" customHeight="1" x14ac:dyDescent="0.2">
      <c r="A126" s="951" t="s">
        <v>4519</v>
      </c>
      <c r="B126" s="952">
        <v>6</v>
      </c>
      <c r="C126" s="952">
        <v>9</v>
      </c>
      <c r="D126" s="952">
        <v>15</v>
      </c>
      <c r="E126" s="952">
        <v>4</v>
      </c>
      <c r="F126" s="952">
        <v>8</v>
      </c>
      <c r="G126" s="952">
        <v>14</v>
      </c>
      <c r="H126" s="952">
        <v>1</v>
      </c>
      <c r="I126" s="953" t="s">
        <v>3994</v>
      </c>
      <c r="J126" s="953" t="s">
        <v>2431</v>
      </c>
      <c r="K126" s="952" t="s">
        <v>2226</v>
      </c>
      <c r="L126" s="954" t="s">
        <v>2354</v>
      </c>
      <c r="M126" s="951" t="s">
        <v>4037</v>
      </c>
      <c r="N126" s="954" t="s">
        <v>2231</v>
      </c>
      <c r="O126" s="951" t="s">
        <v>4037</v>
      </c>
      <c r="P126" s="954" t="s">
        <v>2244</v>
      </c>
      <c r="Q126" s="951" t="s">
        <v>4037</v>
      </c>
      <c r="R126" s="954" t="s">
        <v>2245</v>
      </c>
      <c r="S126" s="951" t="s">
        <v>4038</v>
      </c>
      <c r="T126" s="955" t="s">
        <v>2475</v>
      </c>
      <c r="U126" s="955" t="s">
        <v>2472</v>
      </c>
      <c r="V126" s="955" t="s">
        <v>2570</v>
      </c>
      <c r="W126" s="952"/>
      <c r="AB126" s="905"/>
      <c r="AC126" s="981"/>
      <c r="AD126" s="982" t="s">
        <v>4452</v>
      </c>
      <c r="AE126" s="983">
        <v>2</v>
      </c>
      <c r="AF126" s="983">
        <v>55</v>
      </c>
      <c r="AG126" s="999" t="s">
        <v>4453</v>
      </c>
      <c r="AH126" s="985" t="s">
        <v>4454</v>
      </c>
      <c r="AI126" s="971" t="s">
        <v>4378</v>
      </c>
      <c r="AJ126" s="966"/>
      <c r="AO126" s="1470"/>
      <c r="AP126" s="1470"/>
    </row>
    <row r="127" spans="1:42" s="894" customFormat="1" ht="18" customHeight="1" x14ac:dyDescent="0.2">
      <c r="A127" s="951" t="s">
        <v>4523</v>
      </c>
      <c r="B127" s="952">
        <v>9</v>
      </c>
      <c r="C127" s="952">
        <v>12</v>
      </c>
      <c r="D127" s="952">
        <v>20</v>
      </c>
      <c r="E127" s="952">
        <v>6</v>
      </c>
      <c r="F127" s="952">
        <v>12</v>
      </c>
      <c r="G127" s="952">
        <v>21</v>
      </c>
      <c r="H127" s="952">
        <v>1</v>
      </c>
      <c r="I127" s="953" t="s">
        <v>3994</v>
      </c>
      <c r="J127" s="953" t="s">
        <v>2431</v>
      </c>
      <c r="K127" s="952" t="s">
        <v>2226</v>
      </c>
      <c r="L127" s="954" t="s">
        <v>2354</v>
      </c>
      <c r="M127" s="951" t="s">
        <v>4037</v>
      </c>
      <c r="N127" s="954" t="s">
        <v>2231</v>
      </c>
      <c r="O127" s="951" t="s">
        <v>4037</v>
      </c>
      <c r="P127" s="954" t="s">
        <v>2244</v>
      </c>
      <c r="Q127" s="951" t="s">
        <v>4037</v>
      </c>
      <c r="R127" s="954" t="s">
        <v>2245</v>
      </c>
      <c r="S127" s="951" t="s">
        <v>4038</v>
      </c>
      <c r="T127" s="955" t="s">
        <v>2475</v>
      </c>
      <c r="U127" s="955" t="s">
        <v>2472</v>
      </c>
      <c r="V127" s="955" t="s">
        <v>2570</v>
      </c>
      <c r="W127" s="952"/>
      <c r="AB127" s="905"/>
      <c r="AC127" s="981"/>
      <c r="AD127" s="982" t="s">
        <v>4456</v>
      </c>
      <c r="AE127" s="983">
        <v>2</v>
      </c>
      <c r="AF127" s="983">
        <v>90</v>
      </c>
      <c r="AG127" s="999" t="s">
        <v>4457</v>
      </c>
      <c r="AH127" s="985" t="s">
        <v>4458</v>
      </c>
      <c r="AI127" s="971"/>
      <c r="AJ127" s="966"/>
      <c r="AO127" s="1470"/>
      <c r="AP127" s="1470"/>
    </row>
    <row r="128" spans="1:42" s="894" customFormat="1" ht="18" customHeight="1" x14ac:dyDescent="0.2">
      <c r="A128" s="951" t="s">
        <v>4527</v>
      </c>
      <c r="B128" s="952">
        <v>12</v>
      </c>
      <c r="C128" s="952">
        <v>15</v>
      </c>
      <c r="D128" s="952">
        <v>35</v>
      </c>
      <c r="E128" s="952">
        <v>9</v>
      </c>
      <c r="F128" s="952">
        <v>18</v>
      </c>
      <c r="G128" s="952">
        <v>32</v>
      </c>
      <c r="H128" s="952">
        <v>2</v>
      </c>
      <c r="I128" s="953" t="s">
        <v>3994</v>
      </c>
      <c r="J128" s="953" t="s">
        <v>2431</v>
      </c>
      <c r="K128" s="952" t="s">
        <v>2226</v>
      </c>
      <c r="L128" s="954" t="s">
        <v>2354</v>
      </c>
      <c r="M128" s="951" t="s">
        <v>4037</v>
      </c>
      <c r="N128" s="954" t="s">
        <v>2231</v>
      </c>
      <c r="O128" s="951" t="s">
        <v>4037</v>
      </c>
      <c r="P128" s="954" t="s">
        <v>2244</v>
      </c>
      <c r="Q128" s="951" t="s">
        <v>4037</v>
      </c>
      <c r="R128" s="954" t="s">
        <v>2245</v>
      </c>
      <c r="S128" s="951" t="s">
        <v>4038</v>
      </c>
      <c r="T128" s="955" t="s">
        <v>2475</v>
      </c>
      <c r="U128" s="955" t="s">
        <v>2472</v>
      </c>
      <c r="V128" s="955" t="s">
        <v>2570</v>
      </c>
      <c r="W128" s="952"/>
      <c r="AB128" s="905"/>
      <c r="AC128" s="981"/>
      <c r="AD128" s="982" t="s">
        <v>4460</v>
      </c>
      <c r="AE128" s="983">
        <v>3</v>
      </c>
      <c r="AF128" s="983">
        <v>95</v>
      </c>
      <c r="AG128" s="999" t="s">
        <v>4461</v>
      </c>
      <c r="AH128" s="985" t="s">
        <v>4462</v>
      </c>
      <c r="AI128" s="971"/>
      <c r="AJ128" s="966"/>
      <c r="AO128" s="1470"/>
      <c r="AP128" s="1470"/>
    </row>
    <row r="129" spans="1:42" s="894" customFormat="1" ht="18" customHeight="1" x14ac:dyDescent="0.2">
      <c r="A129" s="951" t="s">
        <v>4529</v>
      </c>
      <c r="B129" s="952">
        <v>18</v>
      </c>
      <c r="C129" s="952">
        <v>22</v>
      </c>
      <c r="D129" s="952">
        <v>50</v>
      </c>
      <c r="E129" s="952">
        <v>12</v>
      </c>
      <c r="F129" s="952">
        <v>24</v>
      </c>
      <c r="G129" s="952">
        <v>42</v>
      </c>
      <c r="H129" s="952">
        <v>2</v>
      </c>
      <c r="I129" s="953" t="s">
        <v>3994</v>
      </c>
      <c r="J129" s="953" t="s">
        <v>2431</v>
      </c>
      <c r="K129" s="952" t="s">
        <v>2226</v>
      </c>
      <c r="L129" s="954" t="s">
        <v>2354</v>
      </c>
      <c r="M129" s="951" t="s">
        <v>4037</v>
      </c>
      <c r="N129" s="954" t="s">
        <v>2231</v>
      </c>
      <c r="O129" s="951" t="s">
        <v>4037</v>
      </c>
      <c r="P129" s="954" t="s">
        <v>2244</v>
      </c>
      <c r="Q129" s="951" t="s">
        <v>4037</v>
      </c>
      <c r="R129" s="954" t="s">
        <v>2245</v>
      </c>
      <c r="S129" s="951" t="s">
        <v>4038</v>
      </c>
      <c r="T129" s="955" t="s">
        <v>2475</v>
      </c>
      <c r="U129" s="955" t="s">
        <v>2472</v>
      </c>
      <c r="V129" s="955" t="s">
        <v>2570</v>
      </c>
      <c r="W129" s="952"/>
      <c r="AB129" s="905"/>
      <c r="AC129" s="989"/>
      <c r="AD129" s="990" t="s">
        <v>4464</v>
      </c>
      <c r="AE129" s="995"/>
      <c r="AF129" s="991"/>
      <c r="AG129" s="1000"/>
      <c r="AH129" s="993"/>
      <c r="AI129" s="965"/>
      <c r="AJ129" s="966"/>
      <c r="AO129" s="1470"/>
      <c r="AP129" s="1470"/>
    </row>
    <row r="130" spans="1:42" s="894" customFormat="1" ht="18" customHeight="1" x14ac:dyDescent="0.2">
      <c r="A130" s="951" t="s">
        <v>4534</v>
      </c>
      <c r="B130" s="952">
        <v>26</v>
      </c>
      <c r="C130" s="952">
        <v>32</v>
      </c>
      <c r="D130" s="952">
        <v>65</v>
      </c>
      <c r="E130" s="952">
        <v>15</v>
      </c>
      <c r="F130" s="952">
        <v>30</v>
      </c>
      <c r="G130" s="952">
        <v>53</v>
      </c>
      <c r="H130" s="952">
        <v>3</v>
      </c>
      <c r="I130" s="953" t="s">
        <v>3994</v>
      </c>
      <c r="J130" s="953" t="s">
        <v>2431</v>
      </c>
      <c r="K130" s="952" t="s">
        <v>2226</v>
      </c>
      <c r="L130" s="954" t="s">
        <v>2354</v>
      </c>
      <c r="M130" s="951" t="s">
        <v>4037</v>
      </c>
      <c r="N130" s="954" t="s">
        <v>2231</v>
      </c>
      <c r="O130" s="951" t="s">
        <v>4037</v>
      </c>
      <c r="P130" s="954" t="s">
        <v>2244</v>
      </c>
      <c r="Q130" s="951" t="s">
        <v>4037</v>
      </c>
      <c r="R130" s="954" t="s">
        <v>2245</v>
      </c>
      <c r="S130" s="951" t="s">
        <v>4038</v>
      </c>
      <c r="T130" s="955" t="s">
        <v>2475</v>
      </c>
      <c r="U130" s="955" t="s">
        <v>2472</v>
      </c>
      <c r="V130" s="955" t="s">
        <v>2570</v>
      </c>
      <c r="W130" s="952"/>
      <c r="AB130" s="905"/>
      <c r="AC130" s="981"/>
      <c r="AD130" s="982" t="s">
        <v>4465</v>
      </c>
      <c r="AE130" s="983">
        <v>1</v>
      </c>
      <c r="AF130" s="983">
        <v>30</v>
      </c>
      <c r="AG130" s="999" t="s">
        <v>4466</v>
      </c>
      <c r="AH130" s="985" t="s">
        <v>4467</v>
      </c>
      <c r="AI130" s="971" t="s">
        <v>4468</v>
      </c>
      <c r="AJ130" s="966"/>
      <c r="AO130" s="1470"/>
      <c r="AP130" s="1470"/>
    </row>
    <row r="131" spans="1:42" s="894" customFormat="1" ht="18" customHeight="1" x14ac:dyDescent="0.2">
      <c r="A131" s="951" t="s">
        <v>4538</v>
      </c>
      <c r="B131" s="952">
        <v>30</v>
      </c>
      <c r="C131" s="952">
        <v>36</v>
      </c>
      <c r="D131" s="952">
        <v>75</v>
      </c>
      <c r="E131" s="952">
        <v>18</v>
      </c>
      <c r="F131" s="952">
        <v>36</v>
      </c>
      <c r="G131" s="952">
        <v>63</v>
      </c>
      <c r="H131" s="952">
        <v>3</v>
      </c>
      <c r="I131" s="953" t="s">
        <v>3994</v>
      </c>
      <c r="J131" s="953" t="s">
        <v>2431</v>
      </c>
      <c r="K131" s="952" t="s">
        <v>2226</v>
      </c>
      <c r="L131" s="954" t="s">
        <v>2354</v>
      </c>
      <c r="M131" s="951" t="s">
        <v>4037</v>
      </c>
      <c r="N131" s="954" t="s">
        <v>2231</v>
      </c>
      <c r="O131" s="951" t="s">
        <v>4037</v>
      </c>
      <c r="P131" s="954" t="s">
        <v>2244</v>
      </c>
      <c r="Q131" s="951" t="s">
        <v>4037</v>
      </c>
      <c r="R131" s="954" t="s">
        <v>2245</v>
      </c>
      <c r="S131" s="951" t="s">
        <v>4038</v>
      </c>
      <c r="T131" s="955" t="s">
        <v>2475</v>
      </c>
      <c r="U131" s="955" t="s">
        <v>2472</v>
      </c>
      <c r="V131" s="955" t="s">
        <v>2570</v>
      </c>
      <c r="W131" s="952"/>
      <c r="AB131" s="905"/>
      <c r="AC131" s="981"/>
      <c r="AD131" s="982" t="s">
        <v>4470</v>
      </c>
      <c r="AE131" s="983">
        <v>1</v>
      </c>
      <c r="AF131" s="983">
        <v>25</v>
      </c>
      <c r="AG131" s="999" t="s">
        <v>4471</v>
      </c>
      <c r="AH131" s="985" t="s">
        <v>4472</v>
      </c>
      <c r="AI131" s="971"/>
      <c r="AJ131" s="966"/>
      <c r="AO131" s="1470"/>
      <c r="AP131" s="1470"/>
    </row>
    <row r="132" spans="1:42" s="894" customFormat="1" ht="18" customHeight="1" x14ac:dyDescent="0.2">
      <c r="A132" s="903" t="s">
        <v>4041</v>
      </c>
      <c r="B132" s="946"/>
      <c r="C132" s="946"/>
      <c r="D132" s="946"/>
      <c r="E132" s="946"/>
      <c r="F132" s="946"/>
      <c r="G132" s="946"/>
      <c r="H132" s="946"/>
      <c r="I132" s="946"/>
      <c r="J132" s="946"/>
      <c r="K132" s="946"/>
      <c r="L132" s="947"/>
      <c r="M132" s="946"/>
      <c r="N132" s="946"/>
      <c r="O132" s="946"/>
      <c r="P132" s="946"/>
      <c r="Q132" s="946"/>
      <c r="R132" s="946"/>
      <c r="S132" s="946"/>
      <c r="T132" s="946"/>
      <c r="U132" s="946"/>
      <c r="V132" s="946"/>
      <c r="W132" s="952"/>
      <c r="AB132" s="905"/>
      <c r="AC132" s="981"/>
      <c r="AD132" s="982" t="s">
        <v>4474</v>
      </c>
      <c r="AE132" s="983">
        <v>1</v>
      </c>
      <c r="AF132" s="983">
        <v>35</v>
      </c>
      <c r="AG132" s="999" t="s">
        <v>4475</v>
      </c>
      <c r="AH132" s="985" t="s">
        <v>4476</v>
      </c>
      <c r="AI132" s="971" t="s">
        <v>4477</v>
      </c>
      <c r="AJ132" s="966"/>
      <c r="AO132" s="1470"/>
      <c r="AP132" s="1470"/>
    </row>
    <row r="133" spans="1:42" s="894" customFormat="1" ht="18" customHeight="1" x14ac:dyDescent="0.2">
      <c r="A133" s="951" t="s">
        <v>4544</v>
      </c>
      <c r="B133" s="952">
        <v>1</v>
      </c>
      <c r="C133" s="952">
        <v>2</v>
      </c>
      <c r="D133" s="952">
        <v>5</v>
      </c>
      <c r="E133" s="952">
        <v>1</v>
      </c>
      <c r="F133" s="952">
        <v>2</v>
      </c>
      <c r="G133" s="952">
        <v>4</v>
      </c>
      <c r="H133" s="952">
        <v>1</v>
      </c>
      <c r="I133" s="953" t="s">
        <v>3989</v>
      </c>
      <c r="J133" s="953" t="s">
        <v>2431</v>
      </c>
      <c r="K133" s="952" t="s">
        <v>2226</v>
      </c>
      <c r="L133" s="954" t="s">
        <v>2354</v>
      </c>
      <c r="M133" s="951" t="s">
        <v>4037</v>
      </c>
      <c r="N133" s="954" t="s">
        <v>2231</v>
      </c>
      <c r="O133" s="951" t="s">
        <v>4037</v>
      </c>
      <c r="P133" s="954" t="s">
        <v>2244</v>
      </c>
      <c r="Q133" s="951" t="s">
        <v>4037</v>
      </c>
      <c r="R133" s="954" t="s">
        <v>2245</v>
      </c>
      <c r="S133" s="951" t="s">
        <v>4038</v>
      </c>
      <c r="T133" s="955" t="s">
        <v>2472</v>
      </c>
      <c r="U133" s="955" t="s">
        <v>2570</v>
      </c>
      <c r="V133" s="955" t="s">
        <v>2571</v>
      </c>
      <c r="W133" s="952"/>
      <c r="AB133" s="905"/>
      <c r="AC133" s="981"/>
      <c r="AD133" s="982" t="s">
        <v>4479</v>
      </c>
      <c r="AE133" s="983">
        <v>2</v>
      </c>
      <c r="AF133" s="983">
        <v>45</v>
      </c>
      <c r="AG133" s="999" t="s">
        <v>4480</v>
      </c>
      <c r="AH133" s="985" t="s">
        <v>4481</v>
      </c>
      <c r="AI133" s="971" t="s">
        <v>4482</v>
      </c>
      <c r="AJ133" s="966"/>
      <c r="AO133" s="1470"/>
      <c r="AP133" s="1470"/>
    </row>
    <row r="134" spans="1:42" s="894" customFormat="1" ht="18" customHeight="1" x14ac:dyDescent="0.2">
      <c r="A134" s="951" t="s">
        <v>4549</v>
      </c>
      <c r="B134" s="952">
        <v>2</v>
      </c>
      <c r="C134" s="952">
        <v>4</v>
      </c>
      <c r="D134" s="952">
        <v>5</v>
      </c>
      <c r="E134" s="952">
        <v>1</v>
      </c>
      <c r="F134" s="952">
        <v>2</v>
      </c>
      <c r="G134" s="952">
        <v>4</v>
      </c>
      <c r="H134" s="952">
        <v>1</v>
      </c>
      <c r="I134" s="953" t="s">
        <v>3989</v>
      </c>
      <c r="J134" s="953" t="s">
        <v>2431</v>
      </c>
      <c r="K134" s="952" t="s">
        <v>2226</v>
      </c>
      <c r="L134" s="954" t="s">
        <v>2354</v>
      </c>
      <c r="M134" s="951" t="s">
        <v>4037</v>
      </c>
      <c r="N134" s="954" t="s">
        <v>2231</v>
      </c>
      <c r="O134" s="951" t="s">
        <v>4037</v>
      </c>
      <c r="P134" s="954" t="s">
        <v>2244</v>
      </c>
      <c r="Q134" s="951" t="s">
        <v>4037</v>
      </c>
      <c r="R134" s="954" t="s">
        <v>2245</v>
      </c>
      <c r="S134" s="951" t="s">
        <v>4038</v>
      </c>
      <c r="T134" s="955" t="s">
        <v>2472</v>
      </c>
      <c r="U134" s="955" t="s">
        <v>2570</v>
      </c>
      <c r="V134" s="955" t="s">
        <v>2571</v>
      </c>
      <c r="W134" s="952"/>
      <c r="AB134" s="905"/>
      <c r="AC134" s="981"/>
      <c r="AD134" s="982" t="s">
        <v>4484</v>
      </c>
      <c r="AE134" s="983">
        <v>2</v>
      </c>
      <c r="AF134" s="983">
        <v>75</v>
      </c>
      <c r="AG134" s="999" t="s">
        <v>4485</v>
      </c>
      <c r="AH134" s="985" t="s">
        <v>4486</v>
      </c>
      <c r="AI134" s="971"/>
      <c r="AJ134" s="966"/>
      <c r="AO134" s="1470"/>
      <c r="AP134" s="1470"/>
    </row>
    <row r="135" spans="1:42" s="894" customFormat="1" ht="18" customHeight="1" x14ac:dyDescent="0.2">
      <c r="A135" s="951" t="s">
        <v>4554</v>
      </c>
      <c r="B135" s="952">
        <v>3</v>
      </c>
      <c r="C135" s="952">
        <v>5</v>
      </c>
      <c r="D135" s="952">
        <v>10</v>
      </c>
      <c r="E135" s="952">
        <v>1</v>
      </c>
      <c r="F135" s="952">
        <v>2</v>
      </c>
      <c r="G135" s="952">
        <v>4</v>
      </c>
      <c r="H135" s="952">
        <v>1</v>
      </c>
      <c r="I135" s="953" t="s">
        <v>3989</v>
      </c>
      <c r="J135" s="953" t="s">
        <v>2431</v>
      </c>
      <c r="K135" s="952" t="s">
        <v>2226</v>
      </c>
      <c r="L135" s="954" t="s">
        <v>2354</v>
      </c>
      <c r="M135" s="951" t="s">
        <v>4037</v>
      </c>
      <c r="N135" s="954" t="s">
        <v>2231</v>
      </c>
      <c r="O135" s="951" t="s">
        <v>4037</v>
      </c>
      <c r="P135" s="954" t="s">
        <v>2244</v>
      </c>
      <c r="Q135" s="951" t="s">
        <v>4037</v>
      </c>
      <c r="R135" s="954" t="s">
        <v>2245</v>
      </c>
      <c r="S135" s="951" t="s">
        <v>4038</v>
      </c>
      <c r="T135" s="955" t="s">
        <v>2472</v>
      </c>
      <c r="U135" s="955" t="s">
        <v>2570</v>
      </c>
      <c r="V135" s="955" t="s">
        <v>2571</v>
      </c>
      <c r="W135" s="952"/>
      <c r="AB135" s="905"/>
      <c r="AC135" s="981"/>
      <c r="AD135" s="982" t="s">
        <v>4488</v>
      </c>
      <c r="AE135" s="983">
        <v>3</v>
      </c>
      <c r="AF135" s="983">
        <v>95</v>
      </c>
      <c r="AG135" s="999" t="s">
        <v>4489</v>
      </c>
      <c r="AH135" s="985" t="s">
        <v>4490</v>
      </c>
      <c r="AI135" s="971" t="s">
        <v>4238</v>
      </c>
      <c r="AJ135" s="966"/>
      <c r="AO135" s="1470"/>
      <c r="AP135" s="1470"/>
    </row>
    <row r="136" spans="1:42" s="894" customFormat="1" ht="18" customHeight="1" x14ac:dyDescent="0.2">
      <c r="A136" s="951" t="s">
        <v>4556</v>
      </c>
      <c r="B136" s="952">
        <v>4</v>
      </c>
      <c r="C136" s="952">
        <v>6</v>
      </c>
      <c r="D136" s="952">
        <v>10</v>
      </c>
      <c r="E136" s="952">
        <v>2</v>
      </c>
      <c r="F136" s="952">
        <v>4</v>
      </c>
      <c r="G136" s="952">
        <v>7</v>
      </c>
      <c r="H136" s="952">
        <v>1</v>
      </c>
      <c r="I136" s="953" t="s">
        <v>3989</v>
      </c>
      <c r="J136" s="953" t="s">
        <v>2431</v>
      </c>
      <c r="K136" s="952" t="s">
        <v>2226</v>
      </c>
      <c r="L136" s="954" t="s">
        <v>2354</v>
      </c>
      <c r="M136" s="951" t="s">
        <v>4037</v>
      </c>
      <c r="N136" s="954" t="s">
        <v>2231</v>
      </c>
      <c r="O136" s="951" t="s">
        <v>4037</v>
      </c>
      <c r="P136" s="954" t="s">
        <v>2244</v>
      </c>
      <c r="Q136" s="951" t="s">
        <v>4037</v>
      </c>
      <c r="R136" s="954" t="s">
        <v>2245</v>
      </c>
      <c r="S136" s="951" t="s">
        <v>4038</v>
      </c>
      <c r="T136" s="955" t="s">
        <v>2472</v>
      </c>
      <c r="U136" s="955" t="s">
        <v>2570</v>
      </c>
      <c r="V136" s="955" t="s">
        <v>2571</v>
      </c>
      <c r="W136" s="952"/>
      <c r="AB136" s="905"/>
      <c r="AC136" s="989"/>
      <c r="AD136" s="990" t="s">
        <v>4492</v>
      </c>
      <c r="AE136" s="995"/>
      <c r="AF136" s="991"/>
      <c r="AG136" s="1000"/>
      <c r="AH136" s="993"/>
      <c r="AI136" s="965"/>
      <c r="AJ136" s="966"/>
      <c r="AO136" s="1470"/>
      <c r="AP136" s="1470"/>
    </row>
    <row r="137" spans="1:42" s="894" customFormat="1" ht="18" customHeight="1" x14ac:dyDescent="0.2">
      <c r="A137" s="951" t="s">
        <v>4561</v>
      </c>
      <c r="B137" s="952">
        <v>6</v>
      </c>
      <c r="C137" s="952">
        <v>9</v>
      </c>
      <c r="D137" s="952">
        <v>15</v>
      </c>
      <c r="E137" s="952">
        <v>3</v>
      </c>
      <c r="F137" s="952">
        <v>6</v>
      </c>
      <c r="G137" s="952">
        <v>11</v>
      </c>
      <c r="H137" s="952">
        <v>1</v>
      </c>
      <c r="I137" s="953" t="s">
        <v>3989</v>
      </c>
      <c r="J137" s="953" t="s">
        <v>2431</v>
      </c>
      <c r="K137" s="952" t="s">
        <v>2226</v>
      </c>
      <c r="L137" s="954" t="s">
        <v>2354</v>
      </c>
      <c r="M137" s="951" t="s">
        <v>4037</v>
      </c>
      <c r="N137" s="954" t="s">
        <v>2231</v>
      </c>
      <c r="O137" s="951" t="s">
        <v>4037</v>
      </c>
      <c r="P137" s="954" t="s">
        <v>2244</v>
      </c>
      <c r="Q137" s="951" t="s">
        <v>4037</v>
      </c>
      <c r="R137" s="954" t="s">
        <v>2245</v>
      </c>
      <c r="S137" s="951" t="s">
        <v>4038</v>
      </c>
      <c r="T137" s="955" t="s">
        <v>2472</v>
      </c>
      <c r="U137" s="955" t="s">
        <v>2570</v>
      </c>
      <c r="V137" s="955" t="s">
        <v>2571</v>
      </c>
      <c r="W137" s="952"/>
      <c r="AB137" s="905"/>
      <c r="AC137" s="981"/>
      <c r="AD137" s="982" t="s">
        <v>4494</v>
      </c>
      <c r="AE137" s="983">
        <v>1</v>
      </c>
      <c r="AF137" s="983">
        <v>20</v>
      </c>
      <c r="AG137" s="999" t="s">
        <v>4495</v>
      </c>
      <c r="AH137" s="985" t="s">
        <v>4496</v>
      </c>
      <c r="AI137" s="971"/>
      <c r="AJ137" s="966"/>
      <c r="AO137" s="1470"/>
      <c r="AP137" s="1470"/>
    </row>
    <row r="138" spans="1:42" s="894" customFormat="1" ht="18" customHeight="1" x14ac:dyDescent="0.2">
      <c r="A138" s="951" t="s">
        <v>4566</v>
      </c>
      <c r="B138" s="952">
        <v>8</v>
      </c>
      <c r="C138" s="952">
        <v>11</v>
      </c>
      <c r="D138" s="952">
        <v>20</v>
      </c>
      <c r="E138" s="952">
        <v>4</v>
      </c>
      <c r="F138" s="952">
        <v>8</v>
      </c>
      <c r="G138" s="952">
        <v>14</v>
      </c>
      <c r="H138" s="952">
        <v>1</v>
      </c>
      <c r="I138" s="953" t="s">
        <v>3989</v>
      </c>
      <c r="J138" s="953" t="s">
        <v>2431</v>
      </c>
      <c r="K138" s="952" t="s">
        <v>2226</v>
      </c>
      <c r="L138" s="954" t="s">
        <v>2354</v>
      </c>
      <c r="M138" s="951" t="s">
        <v>4037</v>
      </c>
      <c r="N138" s="954" t="s">
        <v>2231</v>
      </c>
      <c r="O138" s="951" t="s">
        <v>4037</v>
      </c>
      <c r="P138" s="954" t="s">
        <v>2244</v>
      </c>
      <c r="Q138" s="951" t="s">
        <v>4037</v>
      </c>
      <c r="R138" s="954" t="s">
        <v>2245</v>
      </c>
      <c r="S138" s="951" t="s">
        <v>4038</v>
      </c>
      <c r="T138" s="955" t="s">
        <v>2472</v>
      </c>
      <c r="U138" s="955" t="s">
        <v>2570</v>
      </c>
      <c r="V138" s="955" t="s">
        <v>2571</v>
      </c>
      <c r="W138" s="952"/>
      <c r="AB138" s="905"/>
      <c r="AC138" s="981"/>
      <c r="AD138" s="982" t="s">
        <v>4498</v>
      </c>
      <c r="AE138" s="983">
        <v>1</v>
      </c>
      <c r="AF138" s="983">
        <v>20</v>
      </c>
      <c r="AG138" s="999" t="s">
        <v>4499</v>
      </c>
      <c r="AH138" s="985" t="s">
        <v>4500</v>
      </c>
      <c r="AI138" s="971"/>
      <c r="AJ138" s="966"/>
      <c r="AO138" s="1470"/>
      <c r="AP138" s="1470"/>
    </row>
    <row r="139" spans="1:42" s="894" customFormat="1" ht="18" customHeight="1" x14ac:dyDescent="0.2">
      <c r="A139" s="951" t="s">
        <v>4571</v>
      </c>
      <c r="B139" s="952">
        <v>10</v>
      </c>
      <c r="C139" s="952">
        <v>13</v>
      </c>
      <c r="D139" s="952">
        <v>25</v>
      </c>
      <c r="E139" s="952">
        <v>6</v>
      </c>
      <c r="F139" s="952">
        <v>12</v>
      </c>
      <c r="G139" s="952">
        <v>21</v>
      </c>
      <c r="H139" s="952">
        <v>1</v>
      </c>
      <c r="I139" s="953" t="s">
        <v>3989</v>
      </c>
      <c r="J139" s="953" t="s">
        <v>2431</v>
      </c>
      <c r="K139" s="952" t="s">
        <v>2226</v>
      </c>
      <c r="L139" s="954" t="s">
        <v>2354</v>
      </c>
      <c r="M139" s="951" t="s">
        <v>4037</v>
      </c>
      <c r="N139" s="954" t="s">
        <v>2231</v>
      </c>
      <c r="O139" s="951" t="s">
        <v>4037</v>
      </c>
      <c r="P139" s="954" t="s">
        <v>2244</v>
      </c>
      <c r="Q139" s="951" t="s">
        <v>4037</v>
      </c>
      <c r="R139" s="954" t="s">
        <v>2245</v>
      </c>
      <c r="S139" s="951" t="s">
        <v>4038</v>
      </c>
      <c r="T139" s="955" t="s">
        <v>2472</v>
      </c>
      <c r="U139" s="955" t="s">
        <v>2570</v>
      </c>
      <c r="V139" s="955" t="s">
        <v>2571</v>
      </c>
      <c r="W139" s="952"/>
      <c r="AB139" s="905"/>
      <c r="AC139" s="981"/>
      <c r="AD139" s="982" t="s">
        <v>4502</v>
      </c>
      <c r="AE139" s="983">
        <v>1</v>
      </c>
      <c r="AF139" s="983">
        <v>25</v>
      </c>
      <c r="AG139" s="999" t="s">
        <v>4503</v>
      </c>
      <c r="AH139" s="985" t="s">
        <v>4504</v>
      </c>
      <c r="AI139" s="971"/>
      <c r="AJ139" s="966"/>
      <c r="AO139" s="1470"/>
      <c r="AP139" s="1470"/>
    </row>
    <row r="140" spans="1:42" s="894" customFormat="1" ht="18" customHeight="1" x14ac:dyDescent="0.2">
      <c r="A140" s="951" t="s">
        <v>4576</v>
      </c>
      <c r="B140" s="952">
        <v>12</v>
      </c>
      <c r="C140" s="952">
        <v>15</v>
      </c>
      <c r="D140" s="952">
        <v>30</v>
      </c>
      <c r="E140" s="952">
        <v>8</v>
      </c>
      <c r="F140" s="952">
        <v>16</v>
      </c>
      <c r="G140" s="952">
        <v>28</v>
      </c>
      <c r="H140" s="952">
        <v>2</v>
      </c>
      <c r="I140" s="953" t="s">
        <v>3989</v>
      </c>
      <c r="J140" s="953" t="s">
        <v>2431</v>
      </c>
      <c r="K140" s="952" t="s">
        <v>2226</v>
      </c>
      <c r="L140" s="954" t="s">
        <v>2354</v>
      </c>
      <c r="M140" s="951" t="s">
        <v>4037</v>
      </c>
      <c r="N140" s="954" t="s">
        <v>2231</v>
      </c>
      <c r="O140" s="951" t="s">
        <v>4037</v>
      </c>
      <c r="P140" s="954" t="s">
        <v>2244</v>
      </c>
      <c r="Q140" s="951" t="s">
        <v>4037</v>
      </c>
      <c r="R140" s="954" t="s">
        <v>2245</v>
      </c>
      <c r="S140" s="951" t="s">
        <v>4038</v>
      </c>
      <c r="T140" s="955" t="s">
        <v>2472</v>
      </c>
      <c r="U140" s="955" t="s">
        <v>2570</v>
      </c>
      <c r="V140" s="955" t="s">
        <v>2571</v>
      </c>
      <c r="W140" s="952"/>
      <c r="AB140" s="905"/>
      <c r="AC140" s="981"/>
      <c r="AD140" s="982" t="s">
        <v>4506</v>
      </c>
      <c r="AE140" s="983">
        <v>1</v>
      </c>
      <c r="AF140" s="983">
        <v>30</v>
      </c>
      <c r="AG140" s="999" t="s">
        <v>4507</v>
      </c>
      <c r="AH140" s="985" t="s">
        <v>4508</v>
      </c>
      <c r="AI140" s="971" t="s">
        <v>4238</v>
      </c>
      <c r="AJ140" s="966"/>
      <c r="AO140" s="1470"/>
      <c r="AP140" s="1470"/>
    </row>
    <row r="141" spans="1:42" s="894" customFormat="1" ht="18" customHeight="1" x14ac:dyDescent="0.2">
      <c r="A141" s="951" t="s">
        <v>4581</v>
      </c>
      <c r="B141" s="952">
        <v>16</v>
      </c>
      <c r="C141" s="952">
        <v>20</v>
      </c>
      <c r="D141" s="952">
        <v>35</v>
      </c>
      <c r="E141" s="952">
        <v>10</v>
      </c>
      <c r="F141" s="952">
        <v>20</v>
      </c>
      <c r="G141" s="952">
        <v>35</v>
      </c>
      <c r="H141" s="952">
        <v>2</v>
      </c>
      <c r="I141" s="953" t="s">
        <v>3989</v>
      </c>
      <c r="J141" s="953" t="s">
        <v>2431</v>
      </c>
      <c r="K141" s="952" t="s">
        <v>2226</v>
      </c>
      <c r="L141" s="954" t="s">
        <v>2354</v>
      </c>
      <c r="M141" s="951" t="s">
        <v>4037</v>
      </c>
      <c r="N141" s="954" t="s">
        <v>2231</v>
      </c>
      <c r="O141" s="951" t="s">
        <v>4037</v>
      </c>
      <c r="P141" s="954" t="s">
        <v>2244</v>
      </c>
      <c r="Q141" s="951" t="s">
        <v>4037</v>
      </c>
      <c r="R141" s="954" t="s">
        <v>2245</v>
      </c>
      <c r="S141" s="951" t="s">
        <v>4038</v>
      </c>
      <c r="T141" s="955" t="s">
        <v>2472</v>
      </c>
      <c r="U141" s="955" t="s">
        <v>2570</v>
      </c>
      <c r="V141" s="955" t="s">
        <v>2571</v>
      </c>
      <c r="W141" s="952"/>
      <c r="AB141" s="905"/>
      <c r="AC141" s="981"/>
      <c r="AD141" s="982" t="s">
        <v>4510</v>
      </c>
      <c r="AE141" s="983">
        <v>1</v>
      </c>
      <c r="AF141" s="983">
        <v>30</v>
      </c>
      <c r="AG141" s="999" t="s">
        <v>4499</v>
      </c>
      <c r="AH141" s="985" t="s">
        <v>4511</v>
      </c>
      <c r="AI141" s="971" t="s">
        <v>4378</v>
      </c>
      <c r="AJ141" s="966"/>
      <c r="AO141" s="1470"/>
      <c r="AP141" s="1470"/>
    </row>
    <row r="142" spans="1:42" s="894" customFormat="1" ht="18" customHeight="1" x14ac:dyDescent="0.2">
      <c r="A142" s="951" t="s">
        <v>4586</v>
      </c>
      <c r="B142" s="952">
        <v>20</v>
      </c>
      <c r="C142" s="952">
        <v>24</v>
      </c>
      <c r="D142" s="952">
        <v>40</v>
      </c>
      <c r="E142" s="952">
        <v>12</v>
      </c>
      <c r="F142" s="952">
        <v>24</v>
      </c>
      <c r="G142" s="952">
        <v>42</v>
      </c>
      <c r="H142" s="952">
        <v>3</v>
      </c>
      <c r="I142" s="953" t="s">
        <v>3989</v>
      </c>
      <c r="J142" s="953" t="s">
        <v>2431</v>
      </c>
      <c r="K142" s="952" t="s">
        <v>2226</v>
      </c>
      <c r="L142" s="954" t="s">
        <v>2354</v>
      </c>
      <c r="M142" s="951" t="s">
        <v>4037</v>
      </c>
      <c r="N142" s="954" t="s">
        <v>2231</v>
      </c>
      <c r="O142" s="951" t="s">
        <v>4037</v>
      </c>
      <c r="P142" s="954" t="s">
        <v>2244</v>
      </c>
      <c r="Q142" s="951" t="s">
        <v>4037</v>
      </c>
      <c r="R142" s="954" t="s">
        <v>2245</v>
      </c>
      <c r="S142" s="951" t="s">
        <v>4038</v>
      </c>
      <c r="T142" s="955" t="s">
        <v>2472</v>
      </c>
      <c r="U142" s="955" t="s">
        <v>2570</v>
      </c>
      <c r="V142" s="955" t="s">
        <v>2571</v>
      </c>
      <c r="W142" s="952"/>
      <c r="AB142" s="905"/>
      <c r="AC142" s="981"/>
      <c r="AD142" s="982" t="s">
        <v>4512</v>
      </c>
      <c r="AE142" s="983">
        <v>1</v>
      </c>
      <c r="AF142" s="983">
        <v>30</v>
      </c>
      <c r="AG142" s="999" t="s">
        <v>4513</v>
      </c>
      <c r="AH142" s="985" t="s">
        <v>4514</v>
      </c>
      <c r="AI142" s="971"/>
      <c r="AJ142" s="966"/>
      <c r="AO142" s="1470"/>
      <c r="AP142" s="1470"/>
    </row>
    <row r="143" spans="1:42" s="894" customFormat="1" ht="18" customHeight="1" x14ac:dyDescent="0.2">
      <c r="A143" s="951" t="s">
        <v>4588</v>
      </c>
      <c r="B143" s="952">
        <v>24</v>
      </c>
      <c r="C143" s="952">
        <v>29</v>
      </c>
      <c r="D143" s="952">
        <v>45</v>
      </c>
      <c r="E143" s="952">
        <v>14</v>
      </c>
      <c r="F143" s="952">
        <v>28</v>
      </c>
      <c r="G143" s="952">
        <v>49</v>
      </c>
      <c r="H143" s="952">
        <v>3</v>
      </c>
      <c r="I143" s="953" t="s">
        <v>3989</v>
      </c>
      <c r="J143" s="953" t="s">
        <v>2431</v>
      </c>
      <c r="K143" s="952" t="s">
        <v>2226</v>
      </c>
      <c r="L143" s="954" t="s">
        <v>2354</v>
      </c>
      <c r="M143" s="951" t="s">
        <v>4037</v>
      </c>
      <c r="N143" s="954" t="s">
        <v>2231</v>
      </c>
      <c r="O143" s="951" t="s">
        <v>4037</v>
      </c>
      <c r="P143" s="954" t="s">
        <v>2244</v>
      </c>
      <c r="Q143" s="951" t="s">
        <v>4037</v>
      </c>
      <c r="R143" s="954" t="s">
        <v>2245</v>
      </c>
      <c r="S143" s="951" t="s">
        <v>4038</v>
      </c>
      <c r="T143" s="955" t="s">
        <v>2472</v>
      </c>
      <c r="U143" s="955" t="s">
        <v>2570</v>
      </c>
      <c r="V143" s="955" t="s">
        <v>2571</v>
      </c>
      <c r="W143" s="952"/>
      <c r="AB143" s="905"/>
      <c r="AC143" s="981"/>
      <c r="AD143" s="982" t="s">
        <v>4516</v>
      </c>
      <c r="AE143" s="983">
        <v>2</v>
      </c>
      <c r="AF143" s="983">
        <v>50</v>
      </c>
      <c r="AG143" s="999" t="s">
        <v>4517</v>
      </c>
      <c r="AH143" s="985" t="s">
        <v>4518</v>
      </c>
      <c r="AI143" s="971"/>
      <c r="AJ143" s="966"/>
      <c r="AO143" s="1470"/>
      <c r="AP143" s="1470"/>
    </row>
    <row r="144" spans="1:42" s="894" customFormat="1" ht="18" customHeight="1" x14ac:dyDescent="0.2">
      <c r="A144" s="903" t="s">
        <v>4044</v>
      </c>
      <c r="B144" s="946"/>
      <c r="C144" s="946"/>
      <c r="D144" s="946"/>
      <c r="E144" s="946"/>
      <c r="F144" s="946"/>
      <c r="G144" s="946"/>
      <c r="H144" s="946"/>
      <c r="I144" s="946"/>
      <c r="J144" s="946"/>
      <c r="K144" s="946"/>
      <c r="L144" s="947"/>
      <c r="M144" s="946"/>
      <c r="N144" s="946"/>
      <c r="O144" s="946"/>
      <c r="P144" s="946"/>
      <c r="Q144" s="946"/>
      <c r="R144" s="946"/>
      <c r="S144" s="946"/>
      <c r="T144" s="946"/>
      <c r="U144" s="946"/>
      <c r="V144" s="946"/>
      <c r="W144" s="952"/>
      <c r="AB144" s="905"/>
      <c r="AC144" s="981"/>
      <c r="AD144" s="982" t="s">
        <v>4520</v>
      </c>
      <c r="AE144" s="983">
        <v>2</v>
      </c>
      <c r="AF144" s="983">
        <v>70</v>
      </c>
      <c r="AG144" s="999" t="s">
        <v>4521</v>
      </c>
      <c r="AH144" s="985" t="s">
        <v>4522</v>
      </c>
      <c r="AI144" s="971"/>
      <c r="AJ144" s="966"/>
      <c r="AO144" s="1470"/>
      <c r="AP144" s="1470"/>
    </row>
    <row r="145" spans="1:42" s="894" customFormat="1" ht="18" customHeight="1" x14ac:dyDescent="0.2">
      <c r="A145" s="951" t="s">
        <v>4596</v>
      </c>
      <c r="B145" s="952">
        <v>2</v>
      </c>
      <c r="C145" s="952">
        <v>4</v>
      </c>
      <c r="D145" s="952">
        <v>5</v>
      </c>
      <c r="E145" s="952">
        <v>1</v>
      </c>
      <c r="F145" s="952">
        <v>2</v>
      </c>
      <c r="G145" s="952">
        <v>4</v>
      </c>
      <c r="H145" s="952">
        <v>1</v>
      </c>
      <c r="I145" s="953" t="s">
        <v>3989</v>
      </c>
      <c r="J145" s="953" t="s">
        <v>2431</v>
      </c>
      <c r="K145" s="952" t="s">
        <v>2231</v>
      </c>
      <c r="L145" s="954" t="s">
        <v>2226</v>
      </c>
      <c r="M145" s="951" t="s">
        <v>4128</v>
      </c>
      <c r="N145" s="954" t="s">
        <v>2354</v>
      </c>
      <c r="O145" s="951" t="s">
        <v>4038</v>
      </c>
      <c r="P145" s="954" t="s">
        <v>2244</v>
      </c>
      <c r="Q145" s="951" t="s">
        <v>4037</v>
      </c>
      <c r="R145" s="954" t="s">
        <v>2245</v>
      </c>
      <c r="S145" s="951" t="s">
        <v>4037</v>
      </c>
      <c r="T145" s="955" t="s">
        <v>2475</v>
      </c>
      <c r="U145" s="955" t="s">
        <v>2570</v>
      </c>
      <c r="V145" s="955" t="s">
        <v>2575</v>
      </c>
      <c r="W145" s="952"/>
      <c r="AB145" s="905"/>
      <c r="AC145" s="981"/>
      <c r="AD145" s="982" t="s">
        <v>4524</v>
      </c>
      <c r="AE145" s="983">
        <v>2</v>
      </c>
      <c r="AF145" s="983">
        <v>85</v>
      </c>
      <c r="AG145" s="999" t="s">
        <v>4525</v>
      </c>
      <c r="AH145" s="985" t="s">
        <v>4526</v>
      </c>
      <c r="AI145" s="971"/>
      <c r="AJ145" s="966"/>
      <c r="AO145" s="1470"/>
      <c r="AP145" s="1470"/>
    </row>
    <row r="146" spans="1:42" s="894" customFormat="1" ht="18" customHeight="1" x14ac:dyDescent="0.2">
      <c r="A146" s="951" t="s">
        <v>4601</v>
      </c>
      <c r="B146" s="952">
        <v>4</v>
      </c>
      <c r="C146" s="952">
        <v>6</v>
      </c>
      <c r="D146" s="952">
        <v>5</v>
      </c>
      <c r="E146" s="952">
        <v>2</v>
      </c>
      <c r="F146" s="952">
        <v>4</v>
      </c>
      <c r="G146" s="952">
        <v>7</v>
      </c>
      <c r="H146" s="952">
        <v>1</v>
      </c>
      <c r="I146" s="953" t="s">
        <v>3989</v>
      </c>
      <c r="J146" s="953" t="s">
        <v>2431</v>
      </c>
      <c r="K146" s="952" t="s">
        <v>2231</v>
      </c>
      <c r="L146" s="954" t="s">
        <v>2226</v>
      </c>
      <c r="M146" s="951" t="s">
        <v>4128</v>
      </c>
      <c r="N146" s="954" t="s">
        <v>2354</v>
      </c>
      <c r="O146" s="951" t="s">
        <v>4038</v>
      </c>
      <c r="P146" s="954" t="s">
        <v>2244</v>
      </c>
      <c r="Q146" s="951" t="s">
        <v>4037</v>
      </c>
      <c r="R146" s="954" t="s">
        <v>2245</v>
      </c>
      <c r="S146" s="951" t="s">
        <v>4037</v>
      </c>
      <c r="T146" s="955" t="s">
        <v>2475</v>
      </c>
      <c r="U146" s="955" t="s">
        <v>2570</v>
      </c>
      <c r="V146" s="955" t="s">
        <v>2575</v>
      </c>
      <c r="W146" s="952"/>
      <c r="AB146" s="905"/>
      <c r="AC146" s="989"/>
      <c r="AD146" s="990" t="s">
        <v>4528</v>
      </c>
      <c r="AE146" s="995"/>
      <c r="AF146" s="991"/>
      <c r="AG146" s="1000"/>
      <c r="AH146" s="993"/>
      <c r="AI146" s="965"/>
      <c r="AJ146" s="966"/>
      <c r="AO146" s="1470"/>
      <c r="AP146" s="1470"/>
    </row>
    <row r="147" spans="1:42" s="894" customFormat="1" ht="18" customHeight="1" x14ac:dyDescent="0.2">
      <c r="A147" s="951" t="s">
        <v>4605</v>
      </c>
      <c r="B147" s="952">
        <v>6</v>
      </c>
      <c r="C147" s="952">
        <v>9</v>
      </c>
      <c r="D147" s="952">
        <v>5</v>
      </c>
      <c r="E147" s="952">
        <v>3</v>
      </c>
      <c r="F147" s="952">
        <v>6</v>
      </c>
      <c r="G147" s="952">
        <v>11</v>
      </c>
      <c r="H147" s="952">
        <v>1</v>
      </c>
      <c r="I147" s="953" t="s">
        <v>3989</v>
      </c>
      <c r="J147" s="953" t="s">
        <v>2431</v>
      </c>
      <c r="K147" s="952" t="s">
        <v>2231</v>
      </c>
      <c r="L147" s="954" t="s">
        <v>2226</v>
      </c>
      <c r="M147" s="951" t="s">
        <v>4128</v>
      </c>
      <c r="N147" s="954" t="s">
        <v>2354</v>
      </c>
      <c r="O147" s="951" t="s">
        <v>4038</v>
      </c>
      <c r="P147" s="954" t="s">
        <v>2244</v>
      </c>
      <c r="Q147" s="951" t="s">
        <v>4037</v>
      </c>
      <c r="R147" s="954" t="s">
        <v>2245</v>
      </c>
      <c r="S147" s="951" t="s">
        <v>4037</v>
      </c>
      <c r="T147" s="955" t="s">
        <v>2475</v>
      </c>
      <c r="U147" s="955" t="s">
        <v>2570</v>
      </c>
      <c r="V147" s="955" t="s">
        <v>2575</v>
      </c>
      <c r="W147" s="952"/>
      <c r="AB147" s="905"/>
      <c r="AC147" s="981"/>
      <c r="AD147" s="982" t="s">
        <v>4530</v>
      </c>
      <c r="AE147" s="983">
        <v>1</v>
      </c>
      <c r="AF147" s="983">
        <v>30</v>
      </c>
      <c r="AG147" s="999" t="s">
        <v>4531</v>
      </c>
      <c r="AH147" s="985" t="s">
        <v>4532</v>
      </c>
      <c r="AI147" s="971" t="s">
        <v>4533</v>
      </c>
      <c r="AJ147" s="966"/>
      <c r="AO147" s="1470"/>
      <c r="AP147" s="1470"/>
    </row>
    <row r="148" spans="1:42" s="894" customFormat="1" ht="18" customHeight="1" x14ac:dyDescent="0.2">
      <c r="A148" s="951" t="s">
        <v>4608</v>
      </c>
      <c r="B148" s="952">
        <v>8</v>
      </c>
      <c r="C148" s="952">
        <v>11</v>
      </c>
      <c r="D148" s="952">
        <v>10</v>
      </c>
      <c r="E148" s="952">
        <v>4</v>
      </c>
      <c r="F148" s="952">
        <v>8</v>
      </c>
      <c r="G148" s="952">
        <v>14</v>
      </c>
      <c r="H148" s="952">
        <v>1</v>
      </c>
      <c r="I148" s="953" t="s">
        <v>3989</v>
      </c>
      <c r="J148" s="953" t="s">
        <v>2431</v>
      </c>
      <c r="K148" s="952" t="s">
        <v>2231</v>
      </c>
      <c r="L148" s="954" t="s">
        <v>2226</v>
      </c>
      <c r="M148" s="951" t="s">
        <v>4128</v>
      </c>
      <c r="N148" s="954" t="s">
        <v>2354</v>
      </c>
      <c r="O148" s="951" t="s">
        <v>4038</v>
      </c>
      <c r="P148" s="954" t="s">
        <v>2244</v>
      </c>
      <c r="Q148" s="951" t="s">
        <v>4037</v>
      </c>
      <c r="R148" s="954" t="s">
        <v>2245</v>
      </c>
      <c r="S148" s="951" t="s">
        <v>4037</v>
      </c>
      <c r="T148" s="955" t="s">
        <v>2475</v>
      </c>
      <c r="U148" s="955" t="s">
        <v>2570</v>
      </c>
      <c r="V148" s="955" t="s">
        <v>2575</v>
      </c>
      <c r="W148" s="952"/>
      <c r="AB148" s="905"/>
      <c r="AC148" s="981"/>
      <c r="AD148" s="982" t="s">
        <v>4535</v>
      </c>
      <c r="AE148" s="983">
        <v>1</v>
      </c>
      <c r="AF148" s="983">
        <v>20</v>
      </c>
      <c r="AG148" s="999" t="s">
        <v>4536</v>
      </c>
      <c r="AH148" s="985" t="s">
        <v>4537</v>
      </c>
      <c r="AI148" s="971"/>
      <c r="AJ148" s="966"/>
      <c r="AO148" s="1470"/>
      <c r="AP148" s="1470"/>
    </row>
    <row r="149" spans="1:42" s="894" customFormat="1" ht="18" customHeight="1" x14ac:dyDescent="0.2">
      <c r="A149" s="951" t="s">
        <v>4613</v>
      </c>
      <c r="B149" s="952">
        <v>12</v>
      </c>
      <c r="C149" s="952">
        <v>15</v>
      </c>
      <c r="D149" s="952">
        <v>15</v>
      </c>
      <c r="E149" s="952">
        <v>6</v>
      </c>
      <c r="F149" s="952">
        <v>12</v>
      </c>
      <c r="G149" s="952">
        <v>21</v>
      </c>
      <c r="H149" s="952">
        <v>1</v>
      </c>
      <c r="I149" s="953" t="s">
        <v>3989</v>
      </c>
      <c r="J149" s="953" t="s">
        <v>2431</v>
      </c>
      <c r="K149" s="952" t="s">
        <v>2231</v>
      </c>
      <c r="L149" s="954" t="s">
        <v>2226</v>
      </c>
      <c r="M149" s="951" t="s">
        <v>4128</v>
      </c>
      <c r="N149" s="954" t="s">
        <v>2354</v>
      </c>
      <c r="O149" s="951" t="s">
        <v>4038</v>
      </c>
      <c r="P149" s="954" t="s">
        <v>2244</v>
      </c>
      <c r="Q149" s="951" t="s">
        <v>4037</v>
      </c>
      <c r="R149" s="954" t="s">
        <v>2245</v>
      </c>
      <c r="S149" s="951" t="s">
        <v>4037</v>
      </c>
      <c r="T149" s="955" t="s">
        <v>2475</v>
      </c>
      <c r="U149" s="955" t="s">
        <v>2570</v>
      </c>
      <c r="V149" s="955" t="s">
        <v>2575</v>
      </c>
      <c r="W149" s="952"/>
      <c r="AB149" s="905"/>
      <c r="AC149" s="981"/>
      <c r="AD149" s="982" t="s">
        <v>4539</v>
      </c>
      <c r="AE149" s="983">
        <v>1</v>
      </c>
      <c r="AF149" s="983">
        <v>20</v>
      </c>
      <c r="AG149" s="999" t="s">
        <v>4540</v>
      </c>
      <c r="AH149" s="985" t="s">
        <v>4541</v>
      </c>
      <c r="AI149" s="971"/>
      <c r="AJ149" s="966"/>
      <c r="AO149" s="1470"/>
      <c r="AP149" s="1470"/>
    </row>
    <row r="150" spans="1:42" s="894" customFormat="1" ht="18" customHeight="1" x14ac:dyDescent="0.2">
      <c r="A150" s="951" t="s">
        <v>4615</v>
      </c>
      <c r="B150" s="952">
        <v>16</v>
      </c>
      <c r="C150" s="952">
        <v>20</v>
      </c>
      <c r="D150" s="952">
        <v>25</v>
      </c>
      <c r="E150" s="952">
        <v>8</v>
      </c>
      <c r="F150" s="952">
        <v>16</v>
      </c>
      <c r="G150" s="952">
        <v>28</v>
      </c>
      <c r="H150" s="952">
        <v>2</v>
      </c>
      <c r="I150" s="953" t="s">
        <v>3989</v>
      </c>
      <c r="J150" s="953" t="s">
        <v>2431</v>
      </c>
      <c r="K150" s="952" t="s">
        <v>2231</v>
      </c>
      <c r="L150" s="954" t="s">
        <v>2226</v>
      </c>
      <c r="M150" s="951" t="s">
        <v>4128</v>
      </c>
      <c r="N150" s="954" t="s">
        <v>2354</v>
      </c>
      <c r="O150" s="951" t="s">
        <v>4038</v>
      </c>
      <c r="P150" s="954" t="s">
        <v>2244</v>
      </c>
      <c r="Q150" s="951" t="s">
        <v>4037</v>
      </c>
      <c r="R150" s="954" t="s">
        <v>2245</v>
      </c>
      <c r="S150" s="951" t="s">
        <v>4037</v>
      </c>
      <c r="T150" s="955" t="s">
        <v>2475</v>
      </c>
      <c r="U150" s="955" t="s">
        <v>2570</v>
      </c>
      <c r="V150" s="955" t="s">
        <v>2575</v>
      </c>
      <c r="W150" s="952"/>
      <c r="AB150" s="905"/>
      <c r="AC150" s="1001"/>
      <c r="AD150" s="982" t="s">
        <v>4542</v>
      </c>
      <c r="AE150" s="983">
        <v>2</v>
      </c>
      <c r="AF150" s="1002">
        <v>50</v>
      </c>
      <c r="AG150" s="1003" t="s">
        <v>4457</v>
      </c>
      <c r="AH150" s="1004" t="s">
        <v>4543</v>
      </c>
      <c r="AI150" s="1005"/>
      <c r="AJ150" s="966"/>
      <c r="AO150" s="1470"/>
      <c r="AP150" s="1470"/>
    </row>
    <row r="151" spans="1:42" s="894" customFormat="1" ht="18" customHeight="1" x14ac:dyDescent="0.2">
      <c r="A151" s="951" t="s">
        <v>4620</v>
      </c>
      <c r="B151" s="952">
        <v>20</v>
      </c>
      <c r="C151" s="952">
        <v>24</v>
      </c>
      <c r="D151" s="952">
        <v>35</v>
      </c>
      <c r="E151" s="952">
        <v>10</v>
      </c>
      <c r="F151" s="952">
        <v>20</v>
      </c>
      <c r="G151" s="952">
        <v>35</v>
      </c>
      <c r="H151" s="952">
        <v>2</v>
      </c>
      <c r="I151" s="953" t="s">
        <v>3989</v>
      </c>
      <c r="J151" s="953" t="s">
        <v>2431</v>
      </c>
      <c r="K151" s="952" t="s">
        <v>2231</v>
      </c>
      <c r="L151" s="954" t="s">
        <v>2226</v>
      </c>
      <c r="M151" s="951" t="s">
        <v>4128</v>
      </c>
      <c r="N151" s="954" t="s">
        <v>2354</v>
      </c>
      <c r="O151" s="951" t="s">
        <v>4038</v>
      </c>
      <c r="P151" s="954" t="s">
        <v>2244</v>
      </c>
      <c r="Q151" s="951" t="s">
        <v>4037</v>
      </c>
      <c r="R151" s="954" t="s">
        <v>2245</v>
      </c>
      <c r="S151" s="951" t="s">
        <v>4037</v>
      </c>
      <c r="T151" s="955" t="s">
        <v>2475</v>
      </c>
      <c r="U151" s="955" t="s">
        <v>2570</v>
      </c>
      <c r="V151" s="955" t="s">
        <v>2575</v>
      </c>
      <c r="W151" s="952"/>
      <c r="AB151" s="905"/>
      <c r="AC151" s="1001"/>
      <c r="AD151" s="982" t="s">
        <v>4545</v>
      </c>
      <c r="AE151" s="983">
        <v>2</v>
      </c>
      <c r="AF151" s="1002">
        <v>70</v>
      </c>
      <c r="AG151" s="1003" t="s">
        <v>4546</v>
      </c>
      <c r="AH151" s="1004" t="s">
        <v>4547</v>
      </c>
      <c r="AI151" s="1005" t="s">
        <v>4548</v>
      </c>
      <c r="AJ151" s="966"/>
      <c r="AO151" s="1470"/>
      <c r="AP151" s="1470"/>
    </row>
    <row r="152" spans="1:42" s="894" customFormat="1" ht="18" customHeight="1" x14ac:dyDescent="0.2">
      <c r="A152" s="951" t="s">
        <v>4623</v>
      </c>
      <c r="B152" s="952">
        <v>26</v>
      </c>
      <c r="C152" s="952">
        <v>32</v>
      </c>
      <c r="D152" s="952">
        <v>45</v>
      </c>
      <c r="E152" s="952">
        <v>12</v>
      </c>
      <c r="F152" s="952">
        <v>24</v>
      </c>
      <c r="G152" s="952">
        <v>42</v>
      </c>
      <c r="H152" s="952">
        <v>3</v>
      </c>
      <c r="I152" s="953" t="s">
        <v>3989</v>
      </c>
      <c r="J152" s="953" t="s">
        <v>2431</v>
      </c>
      <c r="K152" s="952" t="s">
        <v>2231</v>
      </c>
      <c r="L152" s="954" t="s">
        <v>2226</v>
      </c>
      <c r="M152" s="951" t="s">
        <v>4128</v>
      </c>
      <c r="N152" s="954" t="s">
        <v>2354</v>
      </c>
      <c r="O152" s="951" t="s">
        <v>4038</v>
      </c>
      <c r="P152" s="954" t="s">
        <v>2244</v>
      </c>
      <c r="Q152" s="951" t="s">
        <v>4037</v>
      </c>
      <c r="R152" s="954" t="s">
        <v>2245</v>
      </c>
      <c r="S152" s="951" t="s">
        <v>4037</v>
      </c>
      <c r="T152" s="955" t="s">
        <v>2475</v>
      </c>
      <c r="U152" s="955" t="s">
        <v>2570</v>
      </c>
      <c r="V152" s="955" t="s">
        <v>2575</v>
      </c>
      <c r="W152" s="952"/>
      <c r="AB152" s="905"/>
      <c r="AC152" s="981"/>
      <c r="AD152" s="982" t="s">
        <v>4550</v>
      </c>
      <c r="AE152" s="983">
        <v>3</v>
      </c>
      <c r="AF152" s="983">
        <v>75</v>
      </c>
      <c r="AG152" s="999" t="s">
        <v>4551</v>
      </c>
      <c r="AH152" s="985" t="s">
        <v>4552</v>
      </c>
      <c r="AI152" s="971" t="s">
        <v>4553</v>
      </c>
      <c r="AJ152" s="966"/>
      <c r="AO152" s="1470"/>
      <c r="AP152" s="1470"/>
    </row>
    <row r="153" spans="1:42" s="894" customFormat="1" ht="18" customHeight="1" x14ac:dyDescent="0.2">
      <c r="A153" s="903" t="s">
        <v>4049</v>
      </c>
      <c r="B153" s="946"/>
      <c r="C153" s="946"/>
      <c r="D153" s="946"/>
      <c r="E153" s="946"/>
      <c r="F153" s="946"/>
      <c r="G153" s="946"/>
      <c r="H153" s="946"/>
      <c r="I153" s="946"/>
      <c r="J153" s="946"/>
      <c r="K153" s="946"/>
      <c r="L153" s="947"/>
      <c r="M153" s="946"/>
      <c r="N153" s="946"/>
      <c r="O153" s="946"/>
      <c r="P153" s="946"/>
      <c r="Q153" s="946"/>
      <c r="R153" s="946"/>
      <c r="S153" s="946"/>
      <c r="T153" s="946"/>
      <c r="U153" s="946"/>
      <c r="V153" s="946"/>
      <c r="W153" s="952"/>
      <c r="AB153" s="905"/>
      <c r="AC153" s="989"/>
      <c r="AD153" s="990" t="s">
        <v>4555</v>
      </c>
      <c r="AE153" s="995"/>
      <c r="AF153" s="991"/>
      <c r="AG153" s="1000"/>
      <c r="AH153" s="993"/>
      <c r="AI153" s="965"/>
      <c r="AJ153" s="966"/>
      <c r="AO153" s="1470"/>
      <c r="AP153" s="1470"/>
    </row>
    <row r="154" spans="1:42" s="894" customFormat="1" ht="18" customHeight="1" x14ac:dyDescent="0.2">
      <c r="A154" s="951" t="s">
        <v>4629</v>
      </c>
      <c r="B154" s="952">
        <v>1</v>
      </c>
      <c r="C154" s="952">
        <v>2</v>
      </c>
      <c r="D154" s="952">
        <v>5</v>
      </c>
      <c r="E154" s="952">
        <v>1</v>
      </c>
      <c r="F154" s="952">
        <v>2</v>
      </c>
      <c r="G154" s="952">
        <v>4</v>
      </c>
      <c r="H154" s="952">
        <v>1</v>
      </c>
      <c r="I154" s="953" t="s">
        <v>3989</v>
      </c>
      <c r="J154" s="953" t="s">
        <v>1761</v>
      </c>
      <c r="K154" s="952" t="s">
        <v>2236</v>
      </c>
      <c r="L154" s="954" t="s">
        <v>2354</v>
      </c>
      <c r="M154" s="951" t="s">
        <v>4128</v>
      </c>
      <c r="N154" s="954" t="s">
        <v>2231</v>
      </c>
      <c r="O154" s="951" t="s">
        <v>4038</v>
      </c>
      <c r="P154" s="954" t="s">
        <v>2244</v>
      </c>
      <c r="Q154" s="951" t="s">
        <v>4037</v>
      </c>
      <c r="R154" s="954" t="s">
        <v>2245</v>
      </c>
      <c r="S154" s="951" t="s">
        <v>4128</v>
      </c>
      <c r="T154" s="955" t="s">
        <v>2479</v>
      </c>
      <c r="U154" s="955" t="s">
        <v>2575</v>
      </c>
      <c r="V154" s="952" t="s">
        <v>3914</v>
      </c>
      <c r="W154" s="952"/>
      <c r="AB154" s="905"/>
      <c r="AC154" s="981"/>
      <c r="AD154" s="982" t="s">
        <v>4557</v>
      </c>
      <c r="AE154" s="983">
        <v>1</v>
      </c>
      <c r="AF154" s="983">
        <v>25</v>
      </c>
      <c r="AG154" s="999" t="s">
        <v>4558</v>
      </c>
      <c r="AH154" s="985" t="s">
        <v>4559</v>
      </c>
      <c r="AI154" s="971" t="s">
        <v>4560</v>
      </c>
      <c r="AJ154" s="966"/>
      <c r="AO154" s="1470"/>
      <c r="AP154" s="1470"/>
    </row>
    <row r="155" spans="1:42" s="894" customFormat="1" ht="18" customHeight="1" x14ac:dyDescent="0.2">
      <c r="A155" s="951" t="s">
        <v>4633</v>
      </c>
      <c r="B155" s="952">
        <v>2</v>
      </c>
      <c r="C155" s="952">
        <v>4</v>
      </c>
      <c r="D155" s="952">
        <v>5</v>
      </c>
      <c r="E155" s="952">
        <v>1</v>
      </c>
      <c r="F155" s="952">
        <v>2</v>
      </c>
      <c r="G155" s="952">
        <v>4</v>
      </c>
      <c r="H155" s="952">
        <v>1</v>
      </c>
      <c r="I155" s="953" t="s">
        <v>3989</v>
      </c>
      <c r="J155" s="953" t="s">
        <v>1761</v>
      </c>
      <c r="K155" s="952" t="s">
        <v>2236</v>
      </c>
      <c r="L155" s="954" t="s">
        <v>2354</v>
      </c>
      <c r="M155" s="951" t="s">
        <v>4128</v>
      </c>
      <c r="N155" s="954" t="s">
        <v>2231</v>
      </c>
      <c r="O155" s="951" t="s">
        <v>4038</v>
      </c>
      <c r="P155" s="954" t="s">
        <v>2244</v>
      </c>
      <c r="Q155" s="951" t="s">
        <v>4037</v>
      </c>
      <c r="R155" s="954" t="s">
        <v>2245</v>
      </c>
      <c r="S155" s="951" t="s">
        <v>4128</v>
      </c>
      <c r="T155" s="955" t="s">
        <v>2479</v>
      </c>
      <c r="U155" s="955" t="s">
        <v>2575</v>
      </c>
      <c r="V155" s="952" t="s">
        <v>3914</v>
      </c>
      <c r="W155" s="952"/>
      <c r="AB155" s="905"/>
      <c r="AC155" s="981"/>
      <c r="AD155" s="982" t="s">
        <v>4562</v>
      </c>
      <c r="AE155" s="983">
        <v>1</v>
      </c>
      <c r="AF155" s="983">
        <v>45</v>
      </c>
      <c r="AG155" s="999" t="s">
        <v>4563</v>
      </c>
      <c r="AH155" s="985" t="s">
        <v>4564</v>
      </c>
      <c r="AI155" s="971" t="s">
        <v>4565</v>
      </c>
      <c r="AJ155" s="966"/>
      <c r="AO155" s="1470"/>
      <c r="AP155" s="1470"/>
    </row>
    <row r="156" spans="1:42" s="894" customFormat="1" ht="18" customHeight="1" x14ac:dyDescent="0.2">
      <c r="A156" s="951" t="s">
        <v>4637</v>
      </c>
      <c r="B156" s="952">
        <v>3</v>
      </c>
      <c r="C156" s="952">
        <v>5</v>
      </c>
      <c r="D156" s="952">
        <v>10</v>
      </c>
      <c r="E156" s="952">
        <v>1</v>
      </c>
      <c r="F156" s="952">
        <v>2</v>
      </c>
      <c r="G156" s="952">
        <v>4</v>
      </c>
      <c r="H156" s="952">
        <v>1</v>
      </c>
      <c r="I156" s="953" t="s">
        <v>3989</v>
      </c>
      <c r="J156" s="953" t="s">
        <v>1761</v>
      </c>
      <c r="K156" s="952" t="s">
        <v>2236</v>
      </c>
      <c r="L156" s="954" t="s">
        <v>2354</v>
      </c>
      <c r="M156" s="951" t="s">
        <v>4128</v>
      </c>
      <c r="N156" s="954" t="s">
        <v>2231</v>
      </c>
      <c r="O156" s="951" t="s">
        <v>4038</v>
      </c>
      <c r="P156" s="954" t="s">
        <v>2244</v>
      </c>
      <c r="Q156" s="951" t="s">
        <v>4037</v>
      </c>
      <c r="R156" s="954" t="s">
        <v>2245</v>
      </c>
      <c r="S156" s="951" t="s">
        <v>4128</v>
      </c>
      <c r="T156" s="955" t="s">
        <v>2479</v>
      </c>
      <c r="U156" s="955" t="s">
        <v>2575</v>
      </c>
      <c r="V156" s="952" t="s">
        <v>3914</v>
      </c>
      <c r="W156" s="952"/>
      <c r="AB156" s="905"/>
      <c r="AC156" s="981"/>
      <c r="AD156" s="982" t="s">
        <v>4567</v>
      </c>
      <c r="AE156" s="983">
        <v>2</v>
      </c>
      <c r="AF156" s="983">
        <v>65</v>
      </c>
      <c r="AG156" s="999" t="s">
        <v>4568</v>
      </c>
      <c r="AH156" s="985" t="s">
        <v>4569</v>
      </c>
      <c r="AI156" s="971" t="s">
        <v>4570</v>
      </c>
      <c r="AJ156" s="966"/>
      <c r="AO156" s="1470"/>
      <c r="AP156" s="1470"/>
    </row>
    <row r="157" spans="1:42" s="894" customFormat="1" ht="18" customHeight="1" x14ac:dyDescent="0.2">
      <c r="A157" s="951" t="s">
        <v>4641</v>
      </c>
      <c r="B157" s="952">
        <v>4</v>
      </c>
      <c r="C157" s="952">
        <v>6</v>
      </c>
      <c r="D157" s="952">
        <v>15</v>
      </c>
      <c r="E157" s="952">
        <v>2</v>
      </c>
      <c r="F157" s="952">
        <v>4</v>
      </c>
      <c r="G157" s="952">
        <v>7</v>
      </c>
      <c r="H157" s="952">
        <v>1</v>
      </c>
      <c r="I157" s="953" t="s">
        <v>3989</v>
      </c>
      <c r="J157" s="953" t="s">
        <v>1761</v>
      </c>
      <c r="K157" s="952" t="s">
        <v>2236</v>
      </c>
      <c r="L157" s="954" t="s">
        <v>2354</v>
      </c>
      <c r="M157" s="951" t="s">
        <v>4128</v>
      </c>
      <c r="N157" s="954" t="s">
        <v>2231</v>
      </c>
      <c r="O157" s="951" t="s">
        <v>4038</v>
      </c>
      <c r="P157" s="954" t="s">
        <v>2244</v>
      </c>
      <c r="Q157" s="951" t="s">
        <v>4037</v>
      </c>
      <c r="R157" s="954" t="s">
        <v>2245</v>
      </c>
      <c r="S157" s="951" t="s">
        <v>4128</v>
      </c>
      <c r="T157" s="955" t="s">
        <v>2479</v>
      </c>
      <c r="U157" s="955" t="s">
        <v>2575</v>
      </c>
      <c r="V157" s="952" t="s">
        <v>3914</v>
      </c>
      <c r="W157" s="952"/>
      <c r="AB157" s="905"/>
      <c r="AC157" s="981"/>
      <c r="AD157" s="982" t="s">
        <v>4572</v>
      </c>
      <c r="AE157" s="983">
        <v>2</v>
      </c>
      <c r="AF157" s="983">
        <v>75</v>
      </c>
      <c r="AG157" s="999" t="s">
        <v>4573</v>
      </c>
      <c r="AH157" s="985" t="s">
        <v>4574</v>
      </c>
      <c r="AI157" s="971" t="s">
        <v>4575</v>
      </c>
      <c r="AJ157" s="966"/>
      <c r="AO157" s="1470"/>
      <c r="AP157" s="1470"/>
    </row>
    <row r="158" spans="1:42" s="894" customFormat="1" ht="18" customHeight="1" x14ac:dyDescent="0.2">
      <c r="A158" s="951" t="s">
        <v>4645</v>
      </c>
      <c r="B158" s="952">
        <v>6</v>
      </c>
      <c r="C158" s="952">
        <v>9</v>
      </c>
      <c r="D158" s="952">
        <v>20</v>
      </c>
      <c r="E158" s="952">
        <v>3</v>
      </c>
      <c r="F158" s="952">
        <v>6</v>
      </c>
      <c r="G158" s="952">
        <v>11</v>
      </c>
      <c r="H158" s="952">
        <v>1</v>
      </c>
      <c r="I158" s="953" t="s">
        <v>3989</v>
      </c>
      <c r="J158" s="953" t="s">
        <v>1761</v>
      </c>
      <c r="K158" s="952" t="s">
        <v>2236</v>
      </c>
      <c r="L158" s="954" t="s">
        <v>2354</v>
      </c>
      <c r="M158" s="951" t="s">
        <v>4128</v>
      </c>
      <c r="N158" s="954" t="s">
        <v>2231</v>
      </c>
      <c r="O158" s="951" t="s">
        <v>4038</v>
      </c>
      <c r="P158" s="954" t="s">
        <v>2244</v>
      </c>
      <c r="Q158" s="951" t="s">
        <v>4037</v>
      </c>
      <c r="R158" s="954" t="s">
        <v>2245</v>
      </c>
      <c r="S158" s="951" t="s">
        <v>4128</v>
      </c>
      <c r="T158" s="955" t="s">
        <v>2479</v>
      </c>
      <c r="U158" s="955" t="s">
        <v>2575</v>
      </c>
      <c r="V158" s="952" t="s">
        <v>3914</v>
      </c>
      <c r="W158" s="952"/>
      <c r="AB158" s="905"/>
      <c r="AC158" s="981"/>
      <c r="AD158" s="982" t="s">
        <v>4577</v>
      </c>
      <c r="AE158" s="983">
        <v>3</v>
      </c>
      <c r="AF158" s="983">
        <v>110</v>
      </c>
      <c r="AG158" s="999" t="s">
        <v>4578</v>
      </c>
      <c r="AH158" s="970" t="s">
        <v>4579</v>
      </c>
      <c r="AI158" s="971" t="s">
        <v>4580</v>
      </c>
      <c r="AJ158" s="966"/>
      <c r="AO158" s="1470"/>
      <c r="AP158" s="1470"/>
    </row>
    <row r="159" spans="1:42" s="894" customFormat="1" ht="18" customHeight="1" x14ac:dyDescent="0.2">
      <c r="A159" s="951" t="s">
        <v>4650</v>
      </c>
      <c r="B159" s="952">
        <v>8</v>
      </c>
      <c r="C159" s="952">
        <v>11</v>
      </c>
      <c r="D159" s="952">
        <v>25</v>
      </c>
      <c r="E159" s="952">
        <v>4</v>
      </c>
      <c r="F159" s="952">
        <v>8</v>
      </c>
      <c r="G159" s="952">
        <v>14</v>
      </c>
      <c r="H159" s="952">
        <v>1</v>
      </c>
      <c r="I159" s="953" t="s">
        <v>3989</v>
      </c>
      <c r="J159" s="953" t="s">
        <v>1761</v>
      </c>
      <c r="K159" s="952" t="s">
        <v>2236</v>
      </c>
      <c r="L159" s="954" t="s">
        <v>2354</v>
      </c>
      <c r="M159" s="951" t="s">
        <v>4128</v>
      </c>
      <c r="N159" s="954" t="s">
        <v>2231</v>
      </c>
      <c r="O159" s="951" t="s">
        <v>4038</v>
      </c>
      <c r="P159" s="954" t="s">
        <v>2244</v>
      </c>
      <c r="Q159" s="951" t="s">
        <v>4037</v>
      </c>
      <c r="R159" s="954" t="s">
        <v>2245</v>
      </c>
      <c r="S159" s="951" t="s">
        <v>4128</v>
      </c>
      <c r="T159" s="955" t="s">
        <v>2479</v>
      </c>
      <c r="U159" s="955" t="s">
        <v>2575</v>
      </c>
      <c r="V159" s="952" t="s">
        <v>3914</v>
      </c>
      <c r="W159" s="952"/>
      <c r="AB159" s="905"/>
      <c r="AC159" s="981"/>
      <c r="AD159" s="982" t="s">
        <v>4582</v>
      </c>
      <c r="AE159" s="983">
        <v>3</v>
      </c>
      <c r="AF159" s="983">
        <v>110</v>
      </c>
      <c r="AG159" s="999" t="s">
        <v>4583</v>
      </c>
      <c r="AH159" s="985" t="s">
        <v>4584</v>
      </c>
      <c r="AI159" s="971" t="s">
        <v>4585</v>
      </c>
      <c r="AJ159" s="966"/>
      <c r="AO159" s="1470"/>
      <c r="AP159" s="1470"/>
    </row>
    <row r="160" spans="1:42" s="894" customFormat="1" ht="18" customHeight="1" x14ac:dyDescent="0.2">
      <c r="A160" s="951" t="s">
        <v>4652</v>
      </c>
      <c r="B160" s="952">
        <v>10</v>
      </c>
      <c r="C160" s="952">
        <v>13</v>
      </c>
      <c r="D160" s="952">
        <v>30</v>
      </c>
      <c r="E160" s="952">
        <v>5</v>
      </c>
      <c r="F160" s="952">
        <v>10</v>
      </c>
      <c r="G160" s="952">
        <v>18</v>
      </c>
      <c r="H160" s="952">
        <v>1</v>
      </c>
      <c r="I160" s="953" t="s">
        <v>3989</v>
      </c>
      <c r="J160" s="953" t="s">
        <v>1761</v>
      </c>
      <c r="K160" s="952" t="s">
        <v>2236</v>
      </c>
      <c r="L160" s="954" t="s">
        <v>2354</v>
      </c>
      <c r="M160" s="951" t="s">
        <v>4128</v>
      </c>
      <c r="N160" s="954" t="s">
        <v>2231</v>
      </c>
      <c r="O160" s="951" t="s">
        <v>4038</v>
      </c>
      <c r="P160" s="954" t="s">
        <v>2244</v>
      </c>
      <c r="Q160" s="951" t="s">
        <v>4037</v>
      </c>
      <c r="R160" s="954" t="s">
        <v>2245</v>
      </c>
      <c r="S160" s="951" t="s">
        <v>4128</v>
      </c>
      <c r="T160" s="955" t="s">
        <v>2479</v>
      </c>
      <c r="U160" s="955" t="s">
        <v>2575</v>
      </c>
      <c r="V160" s="952" t="s">
        <v>3914</v>
      </c>
      <c r="W160" s="952"/>
      <c r="AB160" s="905"/>
      <c r="AC160" s="989"/>
      <c r="AD160" s="990" t="s">
        <v>4587</v>
      </c>
      <c r="AE160" s="995"/>
      <c r="AF160" s="991"/>
      <c r="AG160" s="1000"/>
      <c r="AH160" s="993"/>
      <c r="AI160" s="965"/>
      <c r="AJ160" s="966"/>
      <c r="AO160" s="1470"/>
      <c r="AP160" s="1470"/>
    </row>
    <row r="161" spans="1:37" x14ac:dyDescent="0.2">
      <c r="A161" s="1006" t="s">
        <v>4656</v>
      </c>
      <c r="B161" s="1007">
        <v>14</v>
      </c>
      <c r="C161" s="1007">
        <v>18</v>
      </c>
      <c r="D161" s="1007">
        <v>35</v>
      </c>
      <c r="E161" s="1007">
        <v>6</v>
      </c>
      <c r="F161" s="1007">
        <v>12</v>
      </c>
      <c r="G161" s="1007">
        <v>21</v>
      </c>
      <c r="H161" s="1007">
        <v>2</v>
      </c>
      <c r="I161" s="1008" t="s">
        <v>3989</v>
      </c>
      <c r="J161" s="1008" t="s">
        <v>1761</v>
      </c>
      <c r="K161" s="1007" t="s">
        <v>2236</v>
      </c>
      <c r="L161" s="1009" t="s">
        <v>2354</v>
      </c>
      <c r="M161" s="1006" t="s">
        <v>4128</v>
      </c>
      <c r="N161" s="1009" t="s">
        <v>2231</v>
      </c>
      <c r="O161" s="1006" t="s">
        <v>4038</v>
      </c>
      <c r="P161" s="1009" t="s">
        <v>2244</v>
      </c>
      <c r="Q161" s="1006" t="s">
        <v>4037</v>
      </c>
      <c r="R161" s="1009" t="s">
        <v>2245</v>
      </c>
      <c r="S161" s="1006" t="s">
        <v>4128</v>
      </c>
      <c r="T161" s="1010" t="s">
        <v>2479</v>
      </c>
      <c r="U161" s="1010" t="s">
        <v>2575</v>
      </c>
      <c r="V161" s="952" t="s">
        <v>3914</v>
      </c>
      <c r="W161" s="1007"/>
      <c r="AC161" s="981"/>
      <c r="AD161" s="982" t="s">
        <v>4589</v>
      </c>
      <c r="AE161" s="983">
        <v>1</v>
      </c>
      <c r="AF161" s="983">
        <v>20</v>
      </c>
      <c r="AG161" s="999" t="s">
        <v>4590</v>
      </c>
      <c r="AH161" s="985" t="s">
        <v>4591</v>
      </c>
      <c r="AI161" s="971" t="s">
        <v>4570</v>
      </c>
      <c r="AJ161" s="966"/>
      <c r="AK161" s="894"/>
    </row>
    <row r="162" spans="1:37" x14ac:dyDescent="0.2">
      <c r="A162" s="1006" t="s">
        <v>4660</v>
      </c>
      <c r="B162" s="1007">
        <v>16</v>
      </c>
      <c r="C162" s="1007">
        <v>20</v>
      </c>
      <c r="D162" s="1007">
        <v>40</v>
      </c>
      <c r="E162" s="1007">
        <v>8</v>
      </c>
      <c r="F162" s="1007">
        <v>16</v>
      </c>
      <c r="G162" s="1007">
        <v>28</v>
      </c>
      <c r="H162" s="1007">
        <v>2</v>
      </c>
      <c r="I162" s="1008" t="s">
        <v>3989</v>
      </c>
      <c r="J162" s="1008" t="s">
        <v>1761</v>
      </c>
      <c r="K162" s="1007" t="s">
        <v>2236</v>
      </c>
      <c r="L162" s="1009" t="s">
        <v>2354</v>
      </c>
      <c r="M162" s="1006" t="s">
        <v>4128</v>
      </c>
      <c r="N162" s="1009" t="s">
        <v>2231</v>
      </c>
      <c r="O162" s="1006" t="s">
        <v>4038</v>
      </c>
      <c r="P162" s="1009" t="s">
        <v>2244</v>
      </c>
      <c r="Q162" s="1006" t="s">
        <v>4037</v>
      </c>
      <c r="R162" s="1009" t="s">
        <v>2245</v>
      </c>
      <c r="S162" s="1006" t="s">
        <v>4128</v>
      </c>
      <c r="T162" s="1010" t="s">
        <v>2479</v>
      </c>
      <c r="U162" s="1010" t="s">
        <v>2575</v>
      </c>
      <c r="V162" s="952" t="s">
        <v>3914</v>
      </c>
      <c r="W162" s="1007"/>
      <c r="AC162" s="981"/>
      <c r="AD162" s="982" t="s">
        <v>4592</v>
      </c>
      <c r="AE162" s="983">
        <v>1</v>
      </c>
      <c r="AF162" s="983">
        <v>25</v>
      </c>
      <c r="AG162" s="999" t="s">
        <v>4593</v>
      </c>
      <c r="AH162" s="985" t="s">
        <v>4594</v>
      </c>
      <c r="AI162" s="971" t="s">
        <v>4595</v>
      </c>
      <c r="AJ162" s="966"/>
    </row>
    <row r="163" spans="1:37" x14ac:dyDescent="0.2">
      <c r="A163" s="1006" t="s">
        <v>4664</v>
      </c>
      <c r="B163" s="1007">
        <v>18</v>
      </c>
      <c r="C163" s="1007">
        <v>22</v>
      </c>
      <c r="D163" s="1007">
        <v>45</v>
      </c>
      <c r="E163" s="1007">
        <v>10</v>
      </c>
      <c r="F163" s="1007">
        <v>20</v>
      </c>
      <c r="G163" s="1007">
        <v>35</v>
      </c>
      <c r="H163" s="1007">
        <v>3</v>
      </c>
      <c r="I163" s="1008" t="s">
        <v>3989</v>
      </c>
      <c r="J163" s="1008" t="s">
        <v>1761</v>
      </c>
      <c r="K163" s="1007" t="s">
        <v>2236</v>
      </c>
      <c r="L163" s="1009" t="s">
        <v>2354</v>
      </c>
      <c r="M163" s="1006" t="s">
        <v>4128</v>
      </c>
      <c r="N163" s="1009" t="s">
        <v>2231</v>
      </c>
      <c r="O163" s="1006" t="s">
        <v>4038</v>
      </c>
      <c r="P163" s="1009" t="s">
        <v>2244</v>
      </c>
      <c r="Q163" s="1006" t="s">
        <v>4037</v>
      </c>
      <c r="R163" s="1009" t="s">
        <v>2245</v>
      </c>
      <c r="S163" s="1006" t="s">
        <v>4128</v>
      </c>
      <c r="T163" s="1010" t="s">
        <v>2479</v>
      </c>
      <c r="U163" s="1010" t="s">
        <v>2575</v>
      </c>
      <c r="V163" s="952" t="s">
        <v>3914</v>
      </c>
      <c r="W163" s="1007"/>
      <c r="AC163" s="981"/>
      <c r="AD163" s="982" t="s">
        <v>4597</v>
      </c>
      <c r="AE163" s="983">
        <v>2</v>
      </c>
      <c r="AF163" s="983">
        <v>65</v>
      </c>
      <c r="AG163" s="999" t="s">
        <v>4598</v>
      </c>
      <c r="AH163" s="985" t="s">
        <v>4599</v>
      </c>
      <c r="AI163" s="971" t="s">
        <v>4600</v>
      </c>
      <c r="AJ163" s="966"/>
    </row>
    <row r="164" spans="1:37" x14ac:dyDescent="0.2">
      <c r="A164" s="1006" t="s">
        <v>4668</v>
      </c>
      <c r="B164" s="1007">
        <v>20</v>
      </c>
      <c r="C164" s="1007">
        <v>24</v>
      </c>
      <c r="D164" s="1007">
        <v>50</v>
      </c>
      <c r="E164" s="1007">
        <v>12</v>
      </c>
      <c r="F164" s="1007">
        <v>24</v>
      </c>
      <c r="G164" s="1007">
        <v>42</v>
      </c>
      <c r="H164" s="1007">
        <v>3</v>
      </c>
      <c r="I164" s="1008" t="s">
        <v>3989</v>
      </c>
      <c r="J164" s="1008" t="s">
        <v>1761</v>
      </c>
      <c r="K164" s="1007" t="s">
        <v>2236</v>
      </c>
      <c r="L164" s="1009" t="s">
        <v>2354</v>
      </c>
      <c r="M164" s="1006" t="s">
        <v>4128</v>
      </c>
      <c r="N164" s="1009" t="s">
        <v>2231</v>
      </c>
      <c r="O164" s="1006" t="s">
        <v>4038</v>
      </c>
      <c r="P164" s="1009" t="s">
        <v>2244</v>
      </c>
      <c r="Q164" s="1006" t="s">
        <v>4037</v>
      </c>
      <c r="R164" s="1009" t="s">
        <v>2245</v>
      </c>
      <c r="S164" s="1006" t="s">
        <v>4128</v>
      </c>
      <c r="T164" s="1010" t="s">
        <v>2479</v>
      </c>
      <c r="U164" s="1010" t="s">
        <v>2575</v>
      </c>
      <c r="V164" s="952" t="s">
        <v>3914</v>
      </c>
      <c r="W164" s="1007"/>
      <c r="AC164" s="981"/>
      <c r="AD164" s="982" t="s">
        <v>4602</v>
      </c>
      <c r="AE164" s="983">
        <v>2</v>
      </c>
      <c r="AF164" s="983">
        <v>50</v>
      </c>
      <c r="AG164" s="999" t="s">
        <v>4603</v>
      </c>
      <c r="AH164" s="985" t="s">
        <v>4604</v>
      </c>
      <c r="AI164" s="971" t="s">
        <v>4600</v>
      </c>
      <c r="AJ164" s="966"/>
    </row>
    <row r="165" spans="1:37" x14ac:dyDescent="0.2">
      <c r="A165" s="1012" t="s">
        <v>4672</v>
      </c>
      <c r="B165" s="1013"/>
      <c r="C165" s="1013"/>
      <c r="D165" s="1013"/>
      <c r="E165" s="1013"/>
      <c r="F165" s="1013"/>
      <c r="G165" s="1013"/>
      <c r="H165" s="1013"/>
      <c r="I165" s="1013"/>
      <c r="J165" s="1013"/>
      <c r="K165" s="1013"/>
      <c r="L165" s="1014"/>
      <c r="M165" s="1013"/>
      <c r="N165" s="1013"/>
      <c r="O165" s="1013"/>
      <c r="P165" s="1013"/>
      <c r="Q165" s="1013"/>
      <c r="R165" s="1013"/>
      <c r="S165" s="1013"/>
      <c r="T165" s="1013"/>
      <c r="U165" s="1013"/>
      <c r="V165" s="1013"/>
      <c r="W165" s="1007"/>
      <c r="AC165" s="981"/>
      <c r="AD165" s="982" t="s">
        <v>4606</v>
      </c>
      <c r="AE165" s="983">
        <v>2</v>
      </c>
      <c r="AF165" s="983">
        <v>60</v>
      </c>
      <c r="AG165" s="999" t="s">
        <v>4603</v>
      </c>
      <c r="AH165" s="985" t="s">
        <v>4607</v>
      </c>
      <c r="AI165" s="971" t="s">
        <v>4600</v>
      </c>
      <c r="AJ165" s="966"/>
    </row>
    <row r="166" spans="1:37" x14ac:dyDescent="0.2">
      <c r="A166" s="1006" t="s">
        <v>4674</v>
      </c>
      <c r="B166" s="1015">
        <v>4</v>
      </c>
      <c r="C166" s="1015">
        <v>4</v>
      </c>
      <c r="D166" s="1007">
        <v>15</v>
      </c>
      <c r="E166" s="1007">
        <v>3</v>
      </c>
      <c r="F166" s="1007">
        <v>6</v>
      </c>
      <c r="G166" s="1007">
        <v>11</v>
      </c>
      <c r="H166" s="1007"/>
      <c r="I166" s="1007"/>
      <c r="J166" s="1007"/>
      <c r="K166" s="1007"/>
      <c r="L166" s="1016"/>
      <c r="M166" s="1007"/>
      <c r="N166" s="1007"/>
      <c r="O166" s="1007"/>
      <c r="P166" s="1007"/>
      <c r="Q166" s="1007"/>
      <c r="R166" s="1007"/>
      <c r="S166" s="1007"/>
      <c r="T166" s="1007"/>
      <c r="U166" s="1007"/>
      <c r="V166" s="1007"/>
      <c r="W166" s="1007"/>
      <c r="AC166" s="981"/>
      <c r="AD166" s="982" t="s">
        <v>4609</v>
      </c>
      <c r="AE166" s="983">
        <v>3</v>
      </c>
      <c r="AF166" s="983">
        <v>90</v>
      </c>
      <c r="AG166" s="999" t="s">
        <v>4610</v>
      </c>
      <c r="AH166" s="985" t="s">
        <v>4611</v>
      </c>
      <c r="AI166" s="971" t="s">
        <v>4612</v>
      </c>
      <c r="AJ166" s="966"/>
    </row>
    <row r="167" spans="1:37" x14ac:dyDescent="0.2">
      <c r="A167" s="1006" t="s">
        <v>4678</v>
      </c>
      <c r="B167" s="1015">
        <v>10</v>
      </c>
      <c r="C167" s="1015">
        <v>10</v>
      </c>
      <c r="D167" s="1007">
        <v>50</v>
      </c>
      <c r="E167" s="1007">
        <v>4</v>
      </c>
      <c r="F167" s="1007">
        <v>8</v>
      </c>
      <c r="G167" s="1007">
        <v>14</v>
      </c>
      <c r="H167" s="1007"/>
      <c r="I167" s="1007"/>
      <c r="J167" s="1007"/>
      <c r="K167" s="1007"/>
      <c r="L167" s="1016"/>
      <c r="M167" s="1007"/>
      <c r="N167" s="1007"/>
      <c r="O167" s="1007"/>
      <c r="P167" s="1007"/>
      <c r="Q167" s="1007"/>
      <c r="R167" s="1007"/>
      <c r="S167" s="1007"/>
      <c r="T167" s="1007"/>
      <c r="U167" s="1007"/>
      <c r="V167" s="1007"/>
      <c r="W167" s="1007"/>
      <c r="AC167" s="989"/>
      <c r="AD167" s="990" t="s">
        <v>4614</v>
      </c>
      <c r="AE167" s="995"/>
      <c r="AF167" s="991"/>
      <c r="AG167" s="1000"/>
      <c r="AH167" s="993"/>
      <c r="AI167" s="965"/>
      <c r="AJ167" s="966"/>
    </row>
    <row r="168" spans="1:37" x14ac:dyDescent="0.2">
      <c r="A168" s="1006" t="s">
        <v>4682</v>
      </c>
      <c r="B168" s="1015">
        <v>2</v>
      </c>
      <c r="C168" s="1015">
        <v>2</v>
      </c>
      <c r="D168" s="1007">
        <v>10</v>
      </c>
      <c r="E168" s="1007">
        <v>2</v>
      </c>
      <c r="F168" s="1007">
        <v>4</v>
      </c>
      <c r="G168" s="1007">
        <v>7</v>
      </c>
      <c r="H168" s="1007"/>
      <c r="I168" s="1007"/>
      <c r="J168" s="1007"/>
      <c r="K168" s="1007"/>
      <c r="L168" s="1016"/>
      <c r="M168" s="1007"/>
      <c r="N168" s="1007"/>
      <c r="O168" s="1007"/>
      <c r="P168" s="1007"/>
      <c r="Q168" s="1007"/>
      <c r="R168" s="1007"/>
      <c r="S168" s="1007"/>
      <c r="T168" s="1007"/>
      <c r="U168" s="1007"/>
      <c r="V168" s="1007"/>
      <c r="W168" s="1007"/>
      <c r="AC168" s="981"/>
      <c r="AD168" s="982" t="s">
        <v>4616</v>
      </c>
      <c r="AE168" s="983">
        <v>1</v>
      </c>
      <c r="AF168" s="983">
        <v>50</v>
      </c>
      <c r="AG168" s="999" t="s">
        <v>4617</v>
      </c>
      <c r="AH168" s="985" t="s">
        <v>4618</v>
      </c>
      <c r="AI168" s="971" t="s">
        <v>4619</v>
      </c>
      <c r="AJ168" s="966"/>
    </row>
    <row r="169" spans="1:37" x14ac:dyDescent="0.2">
      <c r="A169" s="1006" t="s">
        <v>4687</v>
      </c>
      <c r="B169" s="1015">
        <v>2</v>
      </c>
      <c r="C169" s="1015">
        <v>2</v>
      </c>
      <c r="D169" s="1007">
        <v>10</v>
      </c>
      <c r="E169" s="1007">
        <v>2</v>
      </c>
      <c r="F169" s="1007">
        <v>4</v>
      </c>
      <c r="G169" s="1007">
        <v>7</v>
      </c>
      <c r="H169" s="1007"/>
      <c r="I169" s="1007"/>
      <c r="J169" s="1007"/>
      <c r="K169" s="1007"/>
      <c r="L169" s="1016"/>
      <c r="M169" s="1007"/>
      <c r="N169" s="1007"/>
      <c r="O169" s="1007"/>
      <c r="P169" s="1007"/>
      <c r="Q169" s="1007"/>
      <c r="R169" s="1007"/>
      <c r="S169" s="1007"/>
      <c r="T169" s="1007"/>
      <c r="U169" s="1007"/>
      <c r="V169" s="1007"/>
      <c r="W169" s="1007"/>
      <c r="AC169" s="981"/>
      <c r="AD169" s="982" t="s">
        <v>4621</v>
      </c>
      <c r="AE169" s="983">
        <v>1</v>
      </c>
      <c r="AF169" s="983">
        <v>25</v>
      </c>
      <c r="AG169" s="999" t="s">
        <v>4540</v>
      </c>
      <c r="AH169" s="985" t="s">
        <v>4622</v>
      </c>
      <c r="AI169" s="971" t="s">
        <v>4619</v>
      </c>
      <c r="AJ169" s="966"/>
    </row>
    <row r="170" spans="1:37" x14ac:dyDescent="0.2">
      <c r="A170" s="1012" t="s">
        <v>4691</v>
      </c>
      <c r="B170" s="1017"/>
      <c r="C170" s="1017"/>
      <c r="D170" s="1013"/>
      <c r="E170" s="1013"/>
      <c r="F170" s="1013"/>
      <c r="G170" s="1013"/>
      <c r="H170" s="1013"/>
      <c r="I170" s="1013"/>
      <c r="J170" s="1013"/>
      <c r="K170" s="1013"/>
      <c r="L170" s="1014"/>
      <c r="M170" s="1013"/>
      <c r="N170" s="1013"/>
      <c r="O170" s="1013"/>
      <c r="P170" s="1013"/>
      <c r="Q170" s="1013"/>
      <c r="R170" s="1013"/>
      <c r="S170" s="1013"/>
      <c r="T170" s="1013"/>
      <c r="U170" s="1013"/>
      <c r="V170" s="1013"/>
      <c r="W170" s="1007"/>
      <c r="AC170" s="981"/>
      <c r="AD170" s="982" t="s">
        <v>4624</v>
      </c>
      <c r="AE170" s="983">
        <v>1</v>
      </c>
      <c r="AF170" s="983">
        <v>35</v>
      </c>
      <c r="AG170" s="999" t="s">
        <v>4546</v>
      </c>
      <c r="AH170" s="985" t="s">
        <v>4625</v>
      </c>
      <c r="AI170" s="971" t="s">
        <v>4619</v>
      </c>
      <c r="AJ170" s="966"/>
    </row>
    <row r="171" spans="1:37" x14ac:dyDescent="0.2">
      <c r="A171" s="1006" t="s">
        <v>4696</v>
      </c>
      <c r="B171" s="1015">
        <v>12</v>
      </c>
      <c r="C171" s="1015">
        <v>12</v>
      </c>
      <c r="D171" s="1007">
        <v>30</v>
      </c>
      <c r="E171" s="1007">
        <v>4</v>
      </c>
      <c r="F171" s="1007">
        <v>8</v>
      </c>
      <c r="G171" s="1007">
        <v>14</v>
      </c>
      <c r="H171" s="1007"/>
      <c r="I171" s="1007"/>
      <c r="J171" s="1007"/>
      <c r="K171" s="1007"/>
      <c r="L171" s="1016"/>
      <c r="M171" s="1007"/>
      <c r="N171" s="1007"/>
      <c r="O171" s="1007"/>
      <c r="P171" s="1007"/>
      <c r="Q171" s="1007"/>
      <c r="R171" s="1007"/>
      <c r="S171" s="1007"/>
      <c r="T171" s="1007"/>
      <c r="U171" s="1007"/>
      <c r="V171" s="1007"/>
      <c r="W171" s="1007"/>
      <c r="AC171" s="981"/>
      <c r="AD171" s="982" t="s">
        <v>4626</v>
      </c>
      <c r="AE171" s="983">
        <v>2</v>
      </c>
      <c r="AF171" s="983">
        <v>65</v>
      </c>
      <c r="AG171" s="999" t="s">
        <v>4627</v>
      </c>
      <c r="AH171" s="985" t="s">
        <v>4628</v>
      </c>
      <c r="AI171" s="971" t="s">
        <v>4619</v>
      </c>
      <c r="AJ171" s="966"/>
    </row>
    <row r="172" spans="1:37" x14ac:dyDescent="0.2">
      <c r="A172" s="848" t="s">
        <v>4055</v>
      </c>
      <c r="B172" s="1026"/>
      <c r="C172" s="1026"/>
      <c r="D172" s="1026"/>
      <c r="E172" s="1026"/>
      <c r="F172" s="1026"/>
      <c r="G172" s="1026"/>
      <c r="H172" s="1026"/>
      <c r="I172" s="1026"/>
      <c r="J172" s="1026"/>
      <c r="K172" s="1026"/>
      <c r="L172" s="1027"/>
      <c r="M172" s="1026"/>
      <c r="N172" s="1026"/>
      <c r="O172" s="1026"/>
      <c r="P172" s="1026"/>
      <c r="Q172" s="1026"/>
      <c r="R172" s="1026"/>
      <c r="S172" s="1026"/>
      <c r="T172" s="1026"/>
      <c r="U172" s="1026"/>
      <c r="V172" s="1026"/>
      <c r="W172" s="1007"/>
      <c r="AC172" s="981"/>
      <c r="AD172" s="982" t="s">
        <v>4630</v>
      </c>
      <c r="AE172" s="983">
        <v>2</v>
      </c>
      <c r="AF172" s="983">
        <v>60</v>
      </c>
      <c r="AG172" s="999" t="s">
        <v>4631</v>
      </c>
      <c r="AH172" s="985" t="s">
        <v>4632</v>
      </c>
      <c r="AI172" s="971" t="s">
        <v>4619</v>
      </c>
      <c r="AJ172" s="966"/>
    </row>
    <row r="173" spans="1:37" x14ac:dyDescent="0.2">
      <c r="A173" s="1006" t="s">
        <v>4697</v>
      </c>
      <c r="B173" s="1007">
        <v>2</v>
      </c>
      <c r="C173" s="1007">
        <v>4</v>
      </c>
      <c r="D173" s="1007">
        <v>10</v>
      </c>
      <c r="E173" s="1007">
        <v>1</v>
      </c>
      <c r="F173" s="1007">
        <v>2</v>
      </c>
      <c r="G173" s="1007">
        <v>4</v>
      </c>
      <c r="H173" s="1007">
        <v>1</v>
      </c>
      <c r="I173" s="1008" t="s">
        <v>3994</v>
      </c>
      <c r="J173" s="1008" t="s">
        <v>1761</v>
      </c>
      <c r="K173" s="1007" t="s">
        <v>2236</v>
      </c>
      <c r="L173" s="1009" t="s">
        <v>2354</v>
      </c>
      <c r="M173" s="1006" t="s">
        <v>4128</v>
      </c>
      <c r="N173" s="1009" t="s">
        <v>2231</v>
      </c>
      <c r="O173" s="1006" t="s">
        <v>4038</v>
      </c>
      <c r="P173" s="1009" t="s">
        <v>2244</v>
      </c>
      <c r="Q173" s="1006" t="s">
        <v>4037</v>
      </c>
      <c r="R173" s="1009" t="s">
        <v>2245</v>
      </c>
      <c r="S173" s="1006" t="s">
        <v>4037</v>
      </c>
      <c r="T173" s="1010" t="s">
        <v>2479</v>
      </c>
      <c r="U173" s="1010" t="s">
        <v>2575</v>
      </c>
      <c r="V173" s="952" t="s">
        <v>3914</v>
      </c>
      <c r="W173" s="1007"/>
      <c r="AC173" s="981"/>
      <c r="AD173" s="982" t="s">
        <v>4634</v>
      </c>
      <c r="AE173" s="983">
        <v>2</v>
      </c>
      <c r="AF173" s="983">
        <v>100</v>
      </c>
      <c r="AG173" s="999" t="s">
        <v>4635</v>
      </c>
      <c r="AH173" s="985" t="s">
        <v>4636</v>
      </c>
      <c r="AI173" s="971" t="s">
        <v>4619</v>
      </c>
      <c r="AJ173" s="966"/>
    </row>
    <row r="174" spans="1:37" x14ac:dyDescent="0.2">
      <c r="A174" s="1006" t="s">
        <v>4698</v>
      </c>
      <c r="B174" s="1007">
        <v>3</v>
      </c>
      <c r="C174" s="1007">
        <v>5</v>
      </c>
      <c r="D174" s="1007">
        <v>15</v>
      </c>
      <c r="E174" s="1007">
        <v>2</v>
      </c>
      <c r="F174" s="1007">
        <v>4</v>
      </c>
      <c r="G174" s="1007">
        <v>7</v>
      </c>
      <c r="H174" s="1007">
        <v>1</v>
      </c>
      <c r="I174" s="1008" t="s">
        <v>3994</v>
      </c>
      <c r="J174" s="1008" t="s">
        <v>1761</v>
      </c>
      <c r="K174" s="1007" t="s">
        <v>2236</v>
      </c>
      <c r="L174" s="1009" t="s">
        <v>2354</v>
      </c>
      <c r="M174" s="1006" t="s">
        <v>4128</v>
      </c>
      <c r="N174" s="1009" t="s">
        <v>2231</v>
      </c>
      <c r="O174" s="1006" t="s">
        <v>4038</v>
      </c>
      <c r="P174" s="1009" t="s">
        <v>2244</v>
      </c>
      <c r="Q174" s="1006" t="s">
        <v>4037</v>
      </c>
      <c r="R174" s="1009" t="s">
        <v>2245</v>
      </c>
      <c r="S174" s="1006" t="s">
        <v>4037</v>
      </c>
      <c r="T174" s="1010" t="s">
        <v>2479</v>
      </c>
      <c r="U174" s="1010" t="s">
        <v>2575</v>
      </c>
      <c r="V174" s="952" t="s">
        <v>3914</v>
      </c>
      <c r="W174" s="1007"/>
      <c r="AC174" s="981"/>
      <c r="AD174" s="982" t="s">
        <v>4638</v>
      </c>
      <c r="AE174" s="983">
        <v>2</v>
      </c>
      <c r="AF174" s="983">
        <v>65</v>
      </c>
      <c r="AG174" s="999" t="s">
        <v>4540</v>
      </c>
      <c r="AH174" s="985" t="s">
        <v>4639</v>
      </c>
      <c r="AI174" s="971" t="s">
        <v>4640</v>
      </c>
      <c r="AJ174" s="966"/>
    </row>
    <row r="175" spans="1:37" x14ac:dyDescent="0.2">
      <c r="A175" s="1006" t="s">
        <v>4699</v>
      </c>
      <c r="B175" s="1007">
        <v>5</v>
      </c>
      <c r="C175" s="1007">
        <v>8</v>
      </c>
      <c r="D175" s="1007">
        <v>20</v>
      </c>
      <c r="E175" s="1007">
        <v>3</v>
      </c>
      <c r="F175" s="1007">
        <v>6</v>
      </c>
      <c r="G175" s="1007">
        <v>11</v>
      </c>
      <c r="H175" s="1007">
        <v>1</v>
      </c>
      <c r="I175" s="1008" t="s">
        <v>3994</v>
      </c>
      <c r="J175" s="1008" t="s">
        <v>1761</v>
      </c>
      <c r="K175" s="1007" t="s">
        <v>2236</v>
      </c>
      <c r="L175" s="1009" t="s">
        <v>2354</v>
      </c>
      <c r="M175" s="1006" t="s">
        <v>4128</v>
      </c>
      <c r="N175" s="1009" t="s">
        <v>2231</v>
      </c>
      <c r="O175" s="1006" t="s">
        <v>4038</v>
      </c>
      <c r="P175" s="1009" t="s">
        <v>2244</v>
      </c>
      <c r="Q175" s="1006" t="s">
        <v>4037</v>
      </c>
      <c r="R175" s="1009" t="s">
        <v>2245</v>
      </c>
      <c r="S175" s="1006" t="s">
        <v>4037</v>
      </c>
      <c r="T175" s="1010" t="s">
        <v>2479</v>
      </c>
      <c r="U175" s="1010" t="s">
        <v>2575</v>
      </c>
      <c r="V175" s="952" t="s">
        <v>3914</v>
      </c>
      <c r="W175" s="1007"/>
      <c r="AC175" s="981"/>
      <c r="AD175" s="982" t="s">
        <v>4642</v>
      </c>
      <c r="AE175" s="983">
        <v>3</v>
      </c>
      <c r="AF175" s="983">
        <v>95</v>
      </c>
      <c r="AG175" s="999" t="s">
        <v>4643</v>
      </c>
      <c r="AH175" s="985" t="s">
        <v>4644</v>
      </c>
      <c r="AI175" s="971" t="s">
        <v>4619</v>
      </c>
      <c r="AJ175" s="966"/>
    </row>
    <row r="176" spans="1:37" x14ac:dyDescent="0.2">
      <c r="A176" s="1006" t="s">
        <v>4700</v>
      </c>
      <c r="B176" s="1007">
        <v>7</v>
      </c>
      <c r="C176" s="1007">
        <v>10</v>
      </c>
      <c r="D176" s="1007">
        <v>25</v>
      </c>
      <c r="E176" s="1007">
        <v>4</v>
      </c>
      <c r="F176" s="1007">
        <v>8</v>
      </c>
      <c r="G176" s="1007">
        <v>14</v>
      </c>
      <c r="H176" s="1007">
        <v>2</v>
      </c>
      <c r="I176" s="1008" t="s">
        <v>3994</v>
      </c>
      <c r="J176" s="1008" t="s">
        <v>1761</v>
      </c>
      <c r="K176" s="1007" t="s">
        <v>2236</v>
      </c>
      <c r="L176" s="1009" t="s">
        <v>2354</v>
      </c>
      <c r="M176" s="1006" t="s">
        <v>4128</v>
      </c>
      <c r="N176" s="1009" t="s">
        <v>2231</v>
      </c>
      <c r="O176" s="1006" t="s">
        <v>4038</v>
      </c>
      <c r="P176" s="1009" t="s">
        <v>2244</v>
      </c>
      <c r="Q176" s="1006" t="s">
        <v>4037</v>
      </c>
      <c r="R176" s="1009" t="s">
        <v>2245</v>
      </c>
      <c r="S176" s="1006" t="s">
        <v>4037</v>
      </c>
      <c r="T176" s="1010" t="s">
        <v>2479</v>
      </c>
      <c r="U176" s="1010" t="s">
        <v>2575</v>
      </c>
      <c r="V176" s="952" t="s">
        <v>3914</v>
      </c>
      <c r="W176" s="1007"/>
      <c r="AC176" s="981"/>
      <c r="AD176" s="982" t="s">
        <v>4646</v>
      </c>
      <c r="AE176" s="983">
        <v>3</v>
      </c>
      <c r="AF176" s="983">
        <v>80</v>
      </c>
      <c r="AG176" s="999" t="s">
        <v>4647</v>
      </c>
      <c r="AH176" s="985" t="s">
        <v>4648</v>
      </c>
      <c r="AI176" s="971" t="s">
        <v>4649</v>
      </c>
      <c r="AJ176" s="966"/>
    </row>
    <row r="177" spans="1:36" x14ac:dyDescent="0.2">
      <c r="A177" s="1006" t="s">
        <v>4701</v>
      </c>
      <c r="B177" s="1007">
        <v>10</v>
      </c>
      <c r="C177" s="1007">
        <v>13</v>
      </c>
      <c r="D177" s="1007">
        <v>35</v>
      </c>
      <c r="E177" s="1007">
        <v>6</v>
      </c>
      <c r="F177" s="1007">
        <v>12</v>
      </c>
      <c r="G177" s="1007">
        <v>21</v>
      </c>
      <c r="H177" s="1007">
        <v>2</v>
      </c>
      <c r="I177" s="1008" t="s">
        <v>3994</v>
      </c>
      <c r="J177" s="1008" t="s">
        <v>1761</v>
      </c>
      <c r="K177" s="1007" t="s">
        <v>2236</v>
      </c>
      <c r="L177" s="1009" t="s">
        <v>2354</v>
      </c>
      <c r="M177" s="1006" t="s">
        <v>4128</v>
      </c>
      <c r="N177" s="1009" t="s">
        <v>2231</v>
      </c>
      <c r="O177" s="1006" t="s">
        <v>4038</v>
      </c>
      <c r="P177" s="1009" t="s">
        <v>2244</v>
      </c>
      <c r="Q177" s="1006" t="s">
        <v>4037</v>
      </c>
      <c r="R177" s="1009" t="s">
        <v>2245</v>
      </c>
      <c r="S177" s="1006" t="s">
        <v>4037</v>
      </c>
      <c r="T177" s="1010" t="s">
        <v>2479</v>
      </c>
      <c r="U177" s="1010" t="s">
        <v>2575</v>
      </c>
      <c r="V177" s="952" t="s">
        <v>3914</v>
      </c>
      <c r="W177" s="1007"/>
      <c r="AC177" s="989"/>
      <c r="AD177" s="990" t="s">
        <v>4651</v>
      </c>
      <c r="AE177" s="995"/>
      <c r="AF177" s="991"/>
      <c r="AG177" s="1000"/>
      <c r="AH177" s="993"/>
      <c r="AI177" s="965"/>
      <c r="AJ177" s="966"/>
    </row>
    <row r="178" spans="1:36" x14ac:dyDescent="0.2">
      <c r="A178" s="1006" t="s">
        <v>4702</v>
      </c>
      <c r="B178" s="1007">
        <v>12</v>
      </c>
      <c r="C178" s="1007">
        <v>15</v>
      </c>
      <c r="D178" s="1007">
        <v>40</v>
      </c>
      <c r="E178" s="1007">
        <v>8</v>
      </c>
      <c r="F178" s="1007">
        <v>16</v>
      </c>
      <c r="G178" s="1007">
        <v>28</v>
      </c>
      <c r="H178" s="1007">
        <v>3</v>
      </c>
      <c r="I178" s="1008" t="s">
        <v>3994</v>
      </c>
      <c r="J178" s="1008" t="s">
        <v>1761</v>
      </c>
      <c r="K178" s="1007" t="s">
        <v>2236</v>
      </c>
      <c r="L178" s="1009" t="s">
        <v>2354</v>
      </c>
      <c r="M178" s="1006" t="s">
        <v>4128</v>
      </c>
      <c r="N178" s="1009" t="s">
        <v>2231</v>
      </c>
      <c r="O178" s="1006" t="s">
        <v>4038</v>
      </c>
      <c r="P178" s="1009" t="s">
        <v>2244</v>
      </c>
      <c r="Q178" s="1006" t="s">
        <v>4037</v>
      </c>
      <c r="R178" s="1009" t="s">
        <v>2245</v>
      </c>
      <c r="S178" s="1006" t="s">
        <v>4037</v>
      </c>
      <c r="T178" s="1010" t="s">
        <v>2479</v>
      </c>
      <c r="U178" s="1010" t="s">
        <v>2575</v>
      </c>
      <c r="V178" s="952" t="s">
        <v>3914</v>
      </c>
      <c r="W178" s="1007"/>
      <c r="AC178" s="981"/>
      <c r="AD178" s="982" t="s">
        <v>4653</v>
      </c>
      <c r="AE178" s="983">
        <v>1</v>
      </c>
      <c r="AF178" s="983">
        <v>35</v>
      </c>
      <c r="AG178" s="999" t="s">
        <v>4654</v>
      </c>
      <c r="AH178" s="985" t="s">
        <v>4655</v>
      </c>
      <c r="AI178" s="971"/>
      <c r="AJ178" s="966"/>
    </row>
    <row r="179" spans="1:36" x14ac:dyDescent="0.2">
      <c r="A179" s="1006" t="s">
        <v>4703</v>
      </c>
      <c r="B179" s="1007">
        <v>14</v>
      </c>
      <c r="C179" s="1007">
        <v>18</v>
      </c>
      <c r="D179" s="1007">
        <v>50</v>
      </c>
      <c r="E179" s="1007">
        <v>10</v>
      </c>
      <c r="F179" s="1007">
        <v>20</v>
      </c>
      <c r="G179" s="1007">
        <v>35</v>
      </c>
      <c r="H179" s="1007">
        <v>3</v>
      </c>
      <c r="I179" s="1008" t="s">
        <v>3994</v>
      </c>
      <c r="J179" s="1008" t="s">
        <v>1761</v>
      </c>
      <c r="K179" s="1007" t="s">
        <v>2236</v>
      </c>
      <c r="L179" s="1009" t="s">
        <v>2354</v>
      </c>
      <c r="M179" s="1006" t="s">
        <v>4128</v>
      </c>
      <c r="N179" s="1009" t="s">
        <v>2231</v>
      </c>
      <c r="O179" s="1006" t="s">
        <v>4038</v>
      </c>
      <c r="P179" s="1009" t="s">
        <v>2244</v>
      </c>
      <c r="Q179" s="1006" t="s">
        <v>4037</v>
      </c>
      <c r="R179" s="1009" t="s">
        <v>2245</v>
      </c>
      <c r="S179" s="1006" t="s">
        <v>4037</v>
      </c>
      <c r="T179" s="1010" t="s">
        <v>2479</v>
      </c>
      <c r="U179" s="1010" t="s">
        <v>2575</v>
      </c>
      <c r="V179" s="952" t="s">
        <v>3914</v>
      </c>
      <c r="W179" s="1007"/>
      <c r="AC179" s="981"/>
      <c r="AD179" s="982" t="s">
        <v>4657</v>
      </c>
      <c r="AE179" s="983">
        <v>1</v>
      </c>
      <c r="AF179" s="983">
        <v>25</v>
      </c>
      <c r="AG179" s="999" t="s">
        <v>4658</v>
      </c>
      <c r="AH179" s="985" t="s">
        <v>4659</v>
      </c>
      <c r="AI179" s="971"/>
      <c r="AJ179" s="1011"/>
    </row>
    <row r="180" spans="1:36" x14ac:dyDescent="0.2">
      <c r="A180" s="848" t="s">
        <v>4060</v>
      </c>
      <c r="B180" s="1026"/>
      <c r="C180" s="1026"/>
      <c r="D180" s="1026"/>
      <c r="E180" s="1026"/>
      <c r="F180" s="1026"/>
      <c r="G180" s="1026"/>
      <c r="H180" s="1026"/>
      <c r="I180" s="1026"/>
      <c r="J180" s="1026"/>
      <c r="K180" s="1026"/>
      <c r="L180" s="1027"/>
      <c r="M180" s="1026"/>
      <c r="N180" s="1026"/>
      <c r="O180" s="1026"/>
      <c r="P180" s="1026"/>
      <c r="Q180" s="1026"/>
      <c r="R180" s="1026"/>
      <c r="S180" s="1026"/>
      <c r="T180" s="1026"/>
      <c r="U180" s="1026"/>
      <c r="V180" s="1026"/>
      <c r="W180" s="1007"/>
      <c r="AC180" s="981"/>
      <c r="AD180" s="982" t="s">
        <v>4661</v>
      </c>
      <c r="AE180" s="983">
        <v>2</v>
      </c>
      <c r="AF180" s="983">
        <v>45</v>
      </c>
      <c r="AG180" s="999" t="s">
        <v>4662</v>
      </c>
      <c r="AH180" s="985" t="s">
        <v>4663</v>
      </c>
      <c r="AI180" s="971"/>
      <c r="AJ180" s="1011"/>
    </row>
    <row r="181" spans="1:36" x14ac:dyDescent="0.2">
      <c r="A181" s="1006" t="s">
        <v>4704</v>
      </c>
      <c r="B181" s="1007">
        <v>10</v>
      </c>
      <c r="C181" s="1007">
        <v>15</v>
      </c>
      <c r="D181" s="1007">
        <v>25</v>
      </c>
      <c r="E181" s="1007">
        <v>4</v>
      </c>
      <c r="F181" s="1007">
        <v>8</v>
      </c>
      <c r="G181" s="1007">
        <v>14</v>
      </c>
      <c r="H181" s="1007">
        <v>1</v>
      </c>
      <c r="I181" s="1008" t="s">
        <v>3989</v>
      </c>
      <c r="J181" s="1008" t="s">
        <v>1761</v>
      </c>
      <c r="K181" s="1007" t="s">
        <v>2236</v>
      </c>
      <c r="L181" s="1009" t="s">
        <v>2354</v>
      </c>
      <c r="M181" s="1006" t="s">
        <v>4037</v>
      </c>
      <c r="N181" s="1009" t="s">
        <v>2231</v>
      </c>
      <c r="O181" s="1006" t="s">
        <v>4038</v>
      </c>
      <c r="P181" s="1009" t="s">
        <v>2244</v>
      </c>
      <c r="Q181" s="1006" t="s">
        <v>4128</v>
      </c>
      <c r="R181" s="1009" t="s">
        <v>2245</v>
      </c>
      <c r="S181" s="1006" t="s">
        <v>4128</v>
      </c>
      <c r="T181" s="1010" t="s">
        <v>2479</v>
      </c>
      <c r="U181" s="1010" t="s">
        <v>2575</v>
      </c>
      <c r="V181" s="952" t="s">
        <v>3914</v>
      </c>
      <c r="W181" s="1007"/>
      <c r="AC181" s="981"/>
      <c r="AD181" s="982" t="s">
        <v>4665</v>
      </c>
      <c r="AE181" s="983">
        <v>2</v>
      </c>
      <c r="AF181" s="983">
        <v>45</v>
      </c>
      <c r="AG181" s="999" t="s">
        <v>4666</v>
      </c>
      <c r="AH181" s="985" t="s">
        <v>4667</v>
      </c>
      <c r="AI181" s="971"/>
      <c r="AJ181" s="1011"/>
    </row>
    <row r="182" spans="1:36" x14ac:dyDescent="0.2">
      <c r="A182" s="1006" t="s">
        <v>4705</v>
      </c>
      <c r="B182" s="1007">
        <v>15</v>
      </c>
      <c r="C182" s="1007">
        <v>20</v>
      </c>
      <c r="D182" s="1007">
        <v>40</v>
      </c>
      <c r="E182" s="1007">
        <v>8</v>
      </c>
      <c r="F182" s="1007">
        <v>16</v>
      </c>
      <c r="G182" s="1007">
        <v>28</v>
      </c>
      <c r="H182" s="1007">
        <v>2</v>
      </c>
      <c r="I182" s="1008" t="s">
        <v>3989</v>
      </c>
      <c r="J182" s="1008" t="s">
        <v>1761</v>
      </c>
      <c r="K182" s="1007" t="s">
        <v>2236</v>
      </c>
      <c r="L182" s="1009" t="s">
        <v>2354</v>
      </c>
      <c r="M182" s="1006" t="s">
        <v>4037</v>
      </c>
      <c r="N182" s="1009" t="s">
        <v>2231</v>
      </c>
      <c r="O182" s="1006" t="s">
        <v>4038</v>
      </c>
      <c r="P182" s="1009" t="s">
        <v>2244</v>
      </c>
      <c r="Q182" s="1006" t="s">
        <v>4128</v>
      </c>
      <c r="R182" s="1009" t="s">
        <v>2245</v>
      </c>
      <c r="S182" s="1006" t="s">
        <v>4128</v>
      </c>
      <c r="T182" s="1010" t="s">
        <v>2479</v>
      </c>
      <c r="U182" s="1010" t="s">
        <v>2575</v>
      </c>
      <c r="V182" s="952" t="s">
        <v>3914</v>
      </c>
      <c r="W182" s="1007"/>
      <c r="AC182" s="981"/>
      <c r="AD182" s="982" t="s">
        <v>4669</v>
      </c>
      <c r="AE182" s="983">
        <v>3</v>
      </c>
      <c r="AF182" s="983">
        <v>75</v>
      </c>
      <c r="AG182" s="999" t="s">
        <v>4670</v>
      </c>
      <c r="AH182" s="985" t="s">
        <v>4671</v>
      </c>
      <c r="AI182" s="971"/>
      <c r="AJ182" s="1011"/>
    </row>
    <row r="183" spans="1:36" x14ac:dyDescent="0.2">
      <c r="A183" s="1006" t="s">
        <v>4706</v>
      </c>
      <c r="B183" s="1007">
        <v>20</v>
      </c>
      <c r="C183" s="1007">
        <v>30</v>
      </c>
      <c r="D183" s="1007">
        <v>80</v>
      </c>
      <c r="E183" s="1007">
        <v>12</v>
      </c>
      <c r="F183" s="1007">
        <v>24</v>
      </c>
      <c r="G183" s="1007">
        <v>42</v>
      </c>
      <c r="H183" s="1007">
        <v>3</v>
      </c>
      <c r="I183" s="1008" t="s">
        <v>3989</v>
      </c>
      <c r="J183" s="1008" t="s">
        <v>1761</v>
      </c>
      <c r="K183" s="1007" t="s">
        <v>2236</v>
      </c>
      <c r="L183" s="1009" t="s">
        <v>2354</v>
      </c>
      <c r="M183" s="1006" t="s">
        <v>4037</v>
      </c>
      <c r="N183" s="1009" t="s">
        <v>2231</v>
      </c>
      <c r="O183" s="1006" t="s">
        <v>4038</v>
      </c>
      <c r="P183" s="1009" t="s">
        <v>2244</v>
      </c>
      <c r="Q183" s="1006" t="s">
        <v>4128</v>
      </c>
      <c r="R183" s="1009" t="s">
        <v>2245</v>
      </c>
      <c r="S183" s="1006" t="s">
        <v>4128</v>
      </c>
      <c r="T183" s="1010" t="s">
        <v>2479</v>
      </c>
      <c r="U183" s="1010" t="s">
        <v>2575</v>
      </c>
      <c r="V183" s="952" t="s">
        <v>3914</v>
      </c>
      <c r="W183" s="1007"/>
      <c r="AC183" s="989"/>
      <c r="AD183" s="990" t="s">
        <v>4673</v>
      </c>
      <c r="AE183" s="995"/>
      <c r="AF183" s="991"/>
      <c r="AG183" s="1000"/>
      <c r="AH183" s="993"/>
      <c r="AI183" s="965"/>
      <c r="AJ183" s="1011"/>
    </row>
    <row r="184" spans="1:36" x14ac:dyDescent="0.2">
      <c r="A184" s="848" t="s">
        <v>4065</v>
      </c>
      <c r="B184" s="1026"/>
      <c r="C184" s="1026"/>
      <c r="D184" s="1026"/>
      <c r="E184" s="1026"/>
      <c r="F184" s="1026"/>
      <c r="G184" s="1026"/>
      <c r="H184" s="1026"/>
      <c r="I184" s="1026"/>
      <c r="J184" s="1026"/>
      <c r="K184" s="1026"/>
      <c r="L184" s="1027"/>
      <c r="M184" s="1026"/>
      <c r="N184" s="1026"/>
      <c r="O184" s="1026"/>
      <c r="P184" s="1026"/>
      <c r="Q184" s="1026"/>
      <c r="R184" s="1026"/>
      <c r="S184" s="1026"/>
      <c r="T184" s="1026"/>
      <c r="U184" s="1026"/>
      <c r="V184" s="1026"/>
      <c r="W184" s="1007"/>
      <c r="AC184" s="981"/>
      <c r="AD184" s="982" t="s">
        <v>4675</v>
      </c>
      <c r="AE184" s="983">
        <v>1</v>
      </c>
      <c r="AF184" s="983">
        <v>50</v>
      </c>
      <c r="AG184" s="999" t="s">
        <v>4676</v>
      </c>
      <c r="AH184" s="985" t="s">
        <v>4677</v>
      </c>
      <c r="AI184" s="971"/>
      <c r="AJ184" s="1011"/>
    </row>
    <row r="185" spans="1:36" x14ac:dyDescent="0.2">
      <c r="A185" s="1006" t="s">
        <v>4707</v>
      </c>
      <c r="B185" s="1007">
        <v>20</v>
      </c>
      <c r="C185" s="1007">
        <v>30</v>
      </c>
      <c r="D185" s="1007">
        <v>40</v>
      </c>
      <c r="E185" s="1007">
        <v>8</v>
      </c>
      <c r="F185" s="1007">
        <v>16</v>
      </c>
      <c r="G185" s="1007">
        <v>28</v>
      </c>
      <c r="H185" s="1007">
        <v>1</v>
      </c>
      <c r="I185" s="1008" t="s">
        <v>3994</v>
      </c>
      <c r="J185" s="1008" t="s">
        <v>1761</v>
      </c>
      <c r="K185" s="1007" t="s">
        <v>2236</v>
      </c>
      <c r="L185" s="1009" t="s">
        <v>2354</v>
      </c>
      <c r="M185" s="1006" t="s">
        <v>4037</v>
      </c>
      <c r="N185" s="1009" t="s">
        <v>2231</v>
      </c>
      <c r="O185" s="1006" t="s">
        <v>4038</v>
      </c>
      <c r="P185" s="1009" t="s">
        <v>2244</v>
      </c>
      <c r="Q185" s="1006" t="s">
        <v>4128</v>
      </c>
      <c r="R185" s="1009" t="s">
        <v>2245</v>
      </c>
      <c r="S185" s="1006" t="s">
        <v>4128</v>
      </c>
      <c r="T185" s="1010" t="s">
        <v>2479</v>
      </c>
      <c r="U185" s="1010" t="s">
        <v>2575</v>
      </c>
      <c r="V185" s="952" t="s">
        <v>3914</v>
      </c>
      <c r="W185" s="1007"/>
      <c r="AC185" s="981"/>
      <c r="AD185" s="982" t="s">
        <v>4679</v>
      </c>
      <c r="AE185" s="983">
        <v>1</v>
      </c>
      <c r="AF185" s="983">
        <v>40</v>
      </c>
      <c r="AG185" s="999" t="s">
        <v>4680</v>
      </c>
      <c r="AH185" s="985" t="s">
        <v>4681</v>
      </c>
      <c r="AI185" s="971"/>
      <c r="AJ185" s="1011"/>
    </row>
    <row r="186" spans="1:36" x14ac:dyDescent="0.2">
      <c r="A186" s="1006" t="s">
        <v>4708</v>
      </c>
      <c r="B186" s="1007">
        <v>30</v>
      </c>
      <c r="C186" s="1007">
        <v>36</v>
      </c>
      <c r="D186" s="1007">
        <v>70</v>
      </c>
      <c r="E186" s="1007">
        <v>16</v>
      </c>
      <c r="F186" s="1007">
        <v>32</v>
      </c>
      <c r="G186" s="1007">
        <v>56</v>
      </c>
      <c r="H186" s="1007">
        <v>2</v>
      </c>
      <c r="I186" s="1008" t="s">
        <v>3994</v>
      </c>
      <c r="J186" s="1008" t="s">
        <v>1761</v>
      </c>
      <c r="K186" s="1007" t="s">
        <v>2236</v>
      </c>
      <c r="L186" s="1009" t="s">
        <v>2354</v>
      </c>
      <c r="M186" s="1006" t="s">
        <v>4037</v>
      </c>
      <c r="N186" s="1009" t="s">
        <v>2231</v>
      </c>
      <c r="O186" s="1006" t="s">
        <v>4038</v>
      </c>
      <c r="P186" s="1009" t="s">
        <v>2244</v>
      </c>
      <c r="Q186" s="1006" t="s">
        <v>4128</v>
      </c>
      <c r="R186" s="1009" t="s">
        <v>2245</v>
      </c>
      <c r="S186" s="1006" t="s">
        <v>4128</v>
      </c>
      <c r="T186" s="1010" t="s">
        <v>2479</v>
      </c>
      <c r="U186" s="1010" t="s">
        <v>2575</v>
      </c>
      <c r="V186" s="952" t="s">
        <v>3914</v>
      </c>
      <c r="W186" s="1007"/>
      <c r="AC186" s="981"/>
      <c r="AD186" s="982" t="s">
        <v>4683</v>
      </c>
      <c r="AE186" s="983">
        <v>2</v>
      </c>
      <c r="AF186" s="983">
        <v>100</v>
      </c>
      <c r="AG186" s="999" t="s">
        <v>4684</v>
      </c>
      <c r="AH186" s="985" t="s">
        <v>4685</v>
      </c>
      <c r="AI186" s="971" t="s">
        <v>4686</v>
      </c>
      <c r="AJ186" s="1011"/>
    </row>
    <row r="187" spans="1:36" x14ac:dyDescent="0.2">
      <c r="A187" s="1006" t="s">
        <v>4709</v>
      </c>
      <c r="B187" s="1007">
        <v>40</v>
      </c>
      <c r="C187" s="1007">
        <v>48</v>
      </c>
      <c r="D187" s="1007">
        <v>100</v>
      </c>
      <c r="E187" s="1007">
        <v>22</v>
      </c>
      <c r="F187" s="1007">
        <v>44</v>
      </c>
      <c r="G187" s="1007">
        <v>77</v>
      </c>
      <c r="H187" s="1007">
        <v>3</v>
      </c>
      <c r="I187" s="1008" t="s">
        <v>3994</v>
      </c>
      <c r="J187" s="1008" t="s">
        <v>1761</v>
      </c>
      <c r="K187" s="1007" t="s">
        <v>2236</v>
      </c>
      <c r="L187" s="1009" t="s">
        <v>2354</v>
      </c>
      <c r="M187" s="1006" t="s">
        <v>4037</v>
      </c>
      <c r="N187" s="1009" t="s">
        <v>2231</v>
      </c>
      <c r="O187" s="1006" t="s">
        <v>4038</v>
      </c>
      <c r="P187" s="1009" t="s">
        <v>2244</v>
      </c>
      <c r="Q187" s="1006" t="s">
        <v>4128</v>
      </c>
      <c r="R187" s="1009" t="s">
        <v>2245</v>
      </c>
      <c r="S187" s="1006" t="s">
        <v>4128</v>
      </c>
      <c r="T187" s="1010" t="s">
        <v>2479</v>
      </c>
      <c r="U187" s="1010" t="s">
        <v>2575</v>
      </c>
      <c r="V187" s="952" t="s">
        <v>3914</v>
      </c>
      <c r="W187" s="1007"/>
      <c r="AC187" s="981"/>
      <c r="AD187" s="982" t="s">
        <v>4688</v>
      </c>
      <c r="AE187" s="983">
        <v>2</v>
      </c>
      <c r="AF187" s="983">
        <v>100</v>
      </c>
      <c r="AG187" s="999" t="s">
        <v>4689</v>
      </c>
      <c r="AH187" s="985" t="s">
        <v>4690</v>
      </c>
      <c r="AI187" s="971"/>
      <c r="AJ187" s="1011"/>
    </row>
    <row r="188" spans="1:36" ht="13.5" thickBot="1" x14ac:dyDescent="0.25">
      <c r="A188" s="1006" t="s">
        <v>4070</v>
      </c>
      <c r="B188" s="1026"/>
      <c r="C188" s="1026"/>
      <c r="D188" s="1026"/>
      <c r="E188" s="1026"/>
      <c r="F188" s="1026"/>
      <c r="G188" s="1026"/>
      <c r="H188" s="1026"/>
      <c r="I188" s="1026"/>
      <c r="J188" s="1026"/>
      <c r="K188" s="1026"/>
      <c r="L188" s="1027"/>
      <c r="M188" s="1026"/>
      <c r="N188" s="1026"/>
      <c r="O188" s="1026"/>
      <c r="P188" s="1026"/>
      <c r="Q188" s="1026"/>
      <c r="R188" s="1026"/>
      <c r="S188" s="1026"/>
      <c r="T188" s="1026"/>
      <c r="U188" s="1026"/>
      <c r="V188" s="1026"/>
      <c r="W188" s="1007"/>
      <c r="AC188" s="1018"/>
      <c r="AD188" s="1019" t="s">
        <v>4692</v>
      </c>
      <c r="AE188" s="1020">
        <v>3</v>
      </c>
      <c r="AF188" s="1020">
        <v>200</v>
      </c>
      <c r="AG188" s="1021" t="s">
        <v>4693</v>
      </c>
      <c r="AH188" s="1022" t="s">
        <v>4694</v>
      </c>
      <c r="AI188" s="1023" t="s">
        <v>4695</v>
      </c>
      <c r="AJ188" s="1024"/>
    </row>
    <row r="189" spans="1:36" x14ac:dyDescent="0.2">
      <c r="A189" s="1006" t="s">
        <v>4710</v>
      </c>
      <c r="B189" s="1007">
        <v>1</v>
      </c>
      <c r="C189" s="1007">
        <v>2</v>
      </c>
      <c r="D189" s="1007">
        <v>5</v>
      </c>
      <c r="E189" s="1007">
        <v>1</v>
      </c>
      <c r="F189" s="1007">
        <v>2</v>
      </c>
      <c r="G189" s="1007">
        <v>4</v>
      </c>
      <c r="H189" s="1007">
        <v>1</v>
      </c>
      <c r="I189" s="1008" t="s">
        <v>3989</v>
      </c>
      <c r="J189" s="1008" t="s">
        <v>1761</v>
      </c>
      <c r="K189" s="1007" t="s">
        <v>2236</v>
      </c>
      <c r="L189" s="1009" t="s">
        <v>2354</v>
      </c>
      <c r="M189" s="1006" t="s">
        <v>4128</v>
      </c>
      <c r="N189" s="1009" t="s">
        <v>2231</v>
      </c>
      <c r="O189" s="1006" t="s">
        <v>4038</v>
      </c>
      <c r="P189" s="1009" t="s">
        <v>2244</v>
      </c>
      <c r="Q189" s="1006" t="s">
        <v>4037</v>
      </c>
      <c r="R189" s="1009" t="s">
        <v>2245</v>
      </c>
      <c r="S189" s="1006" t="s">
        <v>4037</v>
      </c>
      <c r="T189" s="1010" t="s">
        <v>2479</v>
      </c>
      <c r="U189" s="1010" t="s">
        <v>2575</v>
      </c>
      <c r="V189" s="952" t="s">
        <v>3914</v>
      </c>
      <c r="W189" s="1007"/>
    </row>
    <row r="190" spans="1:36" x14ac:dyDescent="0.2">
      <c r="A190" s="1006" t="s">
        <v>4711</v>
      </c>
      <c r="B190" s="1007">
        <v>3</v>
      </c>
      <c r="C190" s="1007">
        <v>5</v>
      </c>
      <c r="D190" s="1007">
        <v>10</v>
      </c>
      <c r="E190" s="1007">
        <v>2</v>
      </c>
      <c r="F190" s="1007">
        <v>4</v>
      </c>
      <c r="G190" s="1007">
        <v>7</v>
      </c>
      <c r="H190" s="1007">
        <v>1</v>
      </c>
      <c r="I190" s="1008" t="s">
        <v>3989</v>
      </c>
      <c r="J190" s="1008" t="s">
        <v>1761</v>
      </c>
      <c r="K190" s="1007" t="s">
        <v>2236</v>
      </c>
      <c r="L190" s="1009" t="s">
        <v>2354</v>
      </c>
      <c r="M190" s="1006" t="s">
        <v>4128</v>
      </c>
      <c r="N190" s="1009" t="s">
        <v>2231</v>
      </c>
      <c r="O190" s="1006" t="s">
        <v>4038</v>
      </c>
      <c r="P190" s="1009" t="s">
        <v>2244</v>
      </c>
      <c r="Q190" s="1006" t="s">
        <v>4037</v>
      </c>
      <c r="R190" s="1009" t="s">
        <v>2245</v>
      </c>
      <c r="S190" s="1006" t="s">
        <v>4037</v>
      </c>
      <c r="T190" s="1010" t="s">
        <v>2479</v>
      </c>
      <c r="U190" s="1010" t="s">
        <v>2575</v>
      </c>
      <c r="V190" s="952" t="s">
        <v>3914</v>
      </c>
      <c r="W190" s="1007"/>
    </row>
    <row r="191" spans="1:36" x14ac:dyDescent="0.2">
      <c r="A191" s="1006" t="s">
        <v>4712</v>
      </c>
      <c r="B191" s="1007">
        <v>5</v>
      </c>
      <c r="C191" s="1007">
        <v>8</v>
      </c>
      <c r="D191" s="1007">
        <v>15</v>
      </c>
      <c r="E191" s="1007">
        <v>3</v>
      </c>
      <c r="F191" s="1007">
        <v>6</v>
      </c>
      <c r="G191" s="1007">
        <v>11</v>
      </c>
      <c r="H191" s="1007">
        <v>1</v>
      </c>
      <c r="I191" s="1008" t="s">
        <v>3989</v>
      </c>
      <c r="J191" s="1008" t="s">
        <v>1761</v>
      </c>
      <c r="K191" s="1007" t="s">
        <v>2236</v>
      </c>
      <c r="L191" s="1009" t="s">
        <v>2354</v>
      </c>
      <c r="M191" s="1006" t="s">
        <v>4128</v>
      </c>
      <c r="N191" s="1009" t="s">
        <v>2231</v>
      </c>
      <c r="O191" s="1006" t="s">
        <v>4038</v>
      </c>
      <c r="P191" s="1009" t="s">
        <v>2244</v>
      </c>
      <c r="Q191" s="1006" t="s">
        <v>4037</v>
      </c>
      <c r="R191" s="1009" t="s">
        <v>2245</v>
      </c>
      <c r="S191" s="1006" t="s">
        <v>4037</v>
      </c>
      <c r="T191" s="1010" t="s">
        <v>2479</v>
      </c>
      <c r="U191" s="1010" t="s">
        <v>2575</v>
      </c>
      <c r="V191" s="952" t="s">
        <v>3914</v>
      </c>
      <c r="W191" s="1007"/>
    </row>
    <row r="192" spans="1:36" x14ac:dyDescent="0.2">
      <c r="A192" s="1006" t="s">
        <v>4713</v>
      </c>
      <c r="B192" s="1007">
        <v>7</v>
      </c>
      <c r="C192" s="1007">
        <v>10</v>
      </c>
      <c r="D192" s="1007">
        <v>20</v>
      </c>
      <c r="E192" s="1007">
        <v>5</v>
      </c>
      <c r="F192" s="1007">
        <v>10</v>
      </c>
      <c r="G192" s="1007">
        <v>18</v>
      </c>
      <c r="H192" s="1007">
        <v>2</v>
      </c>
      <c r="I192" s="1008" t="s">
        <v>3989</v>
      </c>
      <c r="J192" s="1008" t="s">
        <v>1761</v>
      </c>
      <c r="K192" s="1007" t="s">
        <v>2236</v>
      </c>
      <c r="L192" s="1009" t="s">
        <v>2354</v>
      </c>
      <c r="M192" s="1006" t="s">
        <v>4128</v>
      </c>
      <c r="N192" s="1009" t="s">
        <v>2231</v>
      </c>
      <c r="O192" s="1006" t="s">
        <v>4038</v>
      </c>
      <c r="P192" s="1009" t="s">
        <v>2244</v>
      </c>
      <c r="Q192" s="1006" t="s">
        <v>4037</v>
      </c>
      <c r="R192" s="1009" t="s">
        <v>2245</v>
      </c>
      <c r="S192" s="1006" t="s">
        <v>4037</v>
      </c>
      <c r="T192" s="1010" t="s">
        <v>2479</v>
      </c>
      <c r="U192" s="1010" t="s">
        <v>2575</v>
      </c>
      <c r="V192" s="952" t="s">
        <v>3914</v>
      </c>
      <c r="W192" s="1007"/>
    </row>
    <row r="193" spans="1:23" x14ac:dyDescent="0.2">
      <c r="A193" s="1006" t="s">
        <v>4714</v>
      </c>
      <c r="B193" s="1007">
        <v>9</v>
      </c>
      <c r="C193" s="1007">
        <v>12</v>
      </c>
      <c r="D193" s="1007">
        <v>25</v>
      </c>
      <c r="E193" s="1007">
        <v>7</v>
      </c>
      <c r="F193" s="1007">
        <v>14</v>
      </c>
      <c r="G193" s="1007">
        <v>25</v>
      </c>
      <c r="H193" s="1007">
        <v>2</v>
      </c>
      <c r="I193" s="1008" t="s">
        <v>3989</v>
      </c>
      <c r="J193" s="1008" t="s">
        <v>1761</v>
      </c>
      <c r="K193" s="1007" t="s">
        <v>2236</v>
      </c>
      <c r="L193" s="1009" t="s">
        <v>2354</v>
      </c>
      <c r="M193" s="1006" t="s">
        <v>4128</v>
      </c>
      <c r="N193" s="1009" t="s">
        <v>2231</v>
      </c>
      <c r="O193" s="1006" t="s">
        <v>4038</v>
      </c>
      <c r="P193" s="1009" t="s">
        <v>2244</v>
      </c>
      <c r="Q193" s="1006" t="s">
        <v>4037</v>
      </c>
      <c r="R193" s="1009" t="s">
        <v>2245</v>
      </c>
      <c r="S193" s="1006" t="s">
        <v>4037</v>
      </c>
      <c r="T193" s="1010" t="s">
        <v>2479</v>
      </c>
      <c r="U193" s="1010" t="s">
        <v>2575</v>
      </c>
      <c r="V193" s="952" t="s">
        <v>3914</v>
      </c>
      <c r="W193" s="1007"/>
    </row>
    <row r="194" spans="1:23" x14ac:dyDescent="0.2">
      <c r="A194" s="1006" t="s">
        <v>4715</v>
      </c>
      <c r="B194" s="1007">
        <v>12</v>
      </c>
      <c r="C194" s="1007">
        <v>15</v>
      </c>
      <c r="D194" s="1007">
        <v>30</v>
      </c>
      <c r="E194" s="1007">
        <v>9</v>
      </c>
      <c r="F194" s="1007">
        <v>18</v>
      </c>
      <c r="G194" s="1007">
        <v>32</v>
      </c>
      <c r="H194" s="1007">
        <v>3</v>
      </c>
      <c r="I194" s="1008" t="s">
        <v>3989</v>
      </c>
      <c r="J194" s="1008" t="s">
        <v>1761</v>
      </c>
      <c r="K194" s="1007" t="s">
        <v>2236</v>
      </c>
      <c r="L194" s="1009" t="s">
        <v>2354</v>
      </c>
      <c r="M194" s="1006" t="s">
        <v>4128</v>
      </c>
      <c r="N194" s="1009" t="s">
        <v>2231</v>
      </c>
      <c r="O194" s="1006" t="s">
        <v>4038</v>
      </c>
      <c r="P194" s="1009" t="s">
        <v>2244</v>
      </c>
      <c r="Q194" s="1006" t="s">
        <v>4037</v>
      </c>
      <c r="R194" s="1009" t="s">
        <v>2245</v>
      </c>
      <c r="S194" s="1006" t="s">
        <v>4037</v>
      </c>
      <c r="T194" s="1010" t="s">
        <v>2479</v>
      </c>
      <c r="U194" s="1010" t="s">
        <v>2575</v>
      </c>
      <c r="V194" s="952" t="s">
        <v>3914</v>
      </c>
      <c r="W194" s="1007"/>
    </row>
    <row r="195" spans="1:23" x14ac:dyDescent="0.2">
      <c r="A195" s="1006" t="s">
        <v>4716</v>
      </c>
      <c r="B195" s="1007">
        <v>15</v>
      </c>
      <c r="C195" s="1007">
        <v>19</v>
      </c>
      <c r="D195" s="1007">
        <v>35</v>
      </c>
      <c r="E195" s="1007">
        <v>12</v>
      </c>
      <c r="F195" s="1007">
        <v>24</v>
      </c>
      <c r="G195" s="1007">
        <v>42</v>
      </c>
      <c r="H195" s="1007">
        <v>3</v>
      </c>
      <c r="I195" s="1008" t="s">
        <v>3989</v>
      </c>
      <c r="J195" s="1008" t="s">
        <v>1761</v>
      </c>
      <c r="K195" s="1007" t="s">
        <v>2236</v>
      </c>
      <c r="L195" s="1009" t="s">
        <v>2354</v>
      </c>
      <c r="M195" s="1006" t="s">
        <v>4128</v>
      </c>
      <c r="N195" s="1009" t="s">
        <v>2231</v>
      </c>
      <c r="O195" s="1006" t="s">
        <v>4038</v>
      </c>
      <c r="P195" s="1009" t="s">
        <v>2244</v>
      </c>
      <c r="Q195" s="1006" t="s">
        <v>4037</v>
      </c>
      <c r="R195" s="1009" t="s">
        <v>2245</v>
      </c>
      <c r="S195" s="1006" t="s">
        <v>4037</v>
      </c>
      <c r="T195" s="1010" t="s">
        <v>2479</v>
      </c>
      <c r="U195" s="1010" t="s">
        <v>2575</v>
      </c>
      <c r="V195" s="952" t="s">
        <v>3914</v>
      </c>
      <c r="W195" s="1007"/>
    </row>
    <row r="196" spans="1:23" x14ac:dyDescent="0.2">
      <c r="A196" s="848" t="s">
        <v>4073</v>
      </c>
      <c r="B196" s="1026"/>
      <c r="C196" s="1026"/>
      <c r="D196" s="1026"/>
      <c r="E196" s="1026"/>
      <c r="F196" s="1026"/>
      <c r="G196" s="1026"/>
      <c r="H196" s="1026"/>
      <c r="I196" s="1026"/>
      <c r="J196" s="1026"/>
      <c r="K196" s="1026"/>
      <c r="L196" s="1027"/>
      <c r="M196" s="1026"/>
      <c r="N196" s="1026"/>
      <c r="O196" s="1026"/>
      <c r="P196" s="1026"/>
      <c r="Q196" s="1026"/>
      <c r="R196" s="1026"/>
      <c r="S196" s="1026"/>
      <c r="T196" s="1026"/>
      <c r="U196" s="1026"/>
      <c r="V196" s="1026"/>
      <c r="W196" s="1007"/>
    </row>
    <row r="197" spans="1:23" x14ac:dyDescent="0.2">
      <c r="A197" s="1006" t="s">
        <v>4717</v>
      </c>
      <c r="B197" s="1007">
        <v>3</v>
      </c>
      <c r="C197" s="1007">
        <v>5</v>
      </c>
      <c r="D197" s="1007">
        <v>10</v>
      </c>
      <c r="E197" s="1007">
        <v>2</v>
      </c>
      <c r="F197" s="1007">
        <v>4</v>
      </c>
      <c r="G197" s="1007">
        <v>7</v>
      </c>
      <c r="H197" s="1007">
        <v>1</v>
      </c>
      <c r="I197" s="1008" t="s">
        <v>3994</v>
      </c>
      <c r="J197" s="1008" t="s">
        <v>1761</v>
      </c>
      <c r="K197" s="1007" t="s">
        <v>2236</v>
      </c>
      <c r="L197" s="1009" t="s">
        <v>2354</v>
      </c>
      <c r="M197" s="1006" t="s">
        <v>4128</v>
      </c>
      <c r="N197" s="1009" t="s">
        <v>2231</v>
      </c>
      <c r="O197" s="1006" t="s">
        <v>4038</v>
      </c>
      <c r="P197" s="1009" t="s">
        <v>2244</v>
      </c>
      <c r="Q197" s="1006" t="s">
        <v>4037</v>
      </c>
      <c r="R197" s="1009" t="s">
        <v>2245</v>
      </c>
      <c r="S197" s="1006" t="s">
        <v>4037</v>
      </c>
      <c r="T197" s="1010" t="s">
        <v>2479</v>
      </c>
      <c r="U197" s="1010" t="s">
        <v>2575</v>
      </c>
      <c r="V197" s="952" t="s">
        <v>3914</v>
      </c>
      <c r="W197" s="1007"/>
    </row>
    <row r="198" spans="1:23" x14ac:dyDescent="0.2">
      <c r="A198" s="1006" t="s">
        <v>4718</v>
      </c>
      <c r="B198" s="1007">
        <v>5</v>
      </c>
      <c r="C198" s="1007">
        <v>8</v>
      </c>
      <c r="D198" s="1007">
        <v>15</v>
      </c>
      <c r="E198" s="1007">
        <v>5</v>
      </c>
      <c r="F198" s="1007">
        <v>10</v>
      </c>
      <c r="G198" s="1007">
        <v>18</v>
      </c>
      <c r="H198" s="1007">
        <v>1</v>
      </c>
      <c r="I198" s="1008" t="s">
        <v>3994</v>
      </c>
      <c r="J198" s="1008" t="s">
        <v>1761</v>
      </c>
      <c r="K198" s="1007" t="s">
        <v>2236</v>
      </c>
      <c r="L198" s="1009" t="s">
        <v>2354</v>
      </c>
      <c r="M198" s="1006" t="s">
        <v>4128</v>
      </c>
      <c r="N198" s="1009" t="s">
        <v>2231</v>
      </c>
      <c r="O198" s="1006" t="s">
        <v>4038</v>
      </c>
      <c r="P198" s="1009" t="s">
        <v>2244</v>
      </c>
      <c r="Q198" s="1006" t="s">
        <v>4037</v>
      </c>
      <c r="R198" s="1009" t="s">
        <v>2245</v>
      </c>
      <c r="S198" s="1006" t="s">
        <v>4037</v>
      </c>
      <c r="T198" s="1010" t="s">
        <v>2479</v>
      </c>
      <c r="U198" s="1010" t="s">
        <v>2575</v>
      </c>
      <c r="V198" s="952" t="s">
        <v>3914</v>
      </c>
      <c r="W198" s="1007"/>
    </row>
    <row r="199" spans="1:23" x14ac:dyDescent="0.2">
      <c r="A199" s="1006" t="s">
        <v>4719</v>
      </c>
      <c r="B199" s="1007">
        <v>8</v>
      </c>
      <c r="C199" s="1007">
        <v>11</v>
      </c>
      <c r="D199" s="1007">
        <v>20</v>
      </c>
      <c r="E199" s="1007">
        <v>6</v>
      </c>
      <c r="F199" s="1007">
        <v>12</v>
      </c>
      <c r="G199" s="1007">
        <v>21</v>
      </c>
      <c r="H199" s="1007">
        <v>1</v>
      </c>
      <c r="I199" s="1008" t="s">
        <v>3994</v>
      </c>
      <c r="J199" s="1008" t="s">
        <v>1761</v>
      </c>
      <c r="K199" s="1007" t="s">
        <v>2236</v>
      </c>
      <c r="L199" s="1009" t="s">
        <v>2354</v>
      </c>
      <c r="M199" s="1006" t="s">
        <v>4128</v>
      </c>
      <c r="N199" s="1009" t="s">
        <v>2231</v>
      </c>
      <c r="O199" s="1006" t="s">
        <v>4038</v>
      </c>
      <c r="P199" s="1009" t="s">
        <v>2244</v>
      </c>
      <c r="Q199" s="1006" t="s">
        <v>4037</v>
      </c>
      <c r="R199" s="1009" t="s">
        <v>2245</v>
      </c>
      <c r="S199" s="1006" t="s">
        <v>4037</v>
      </c>
      <c r="T199" s="1010" t="s">
        <v>2479</v>
      </c>
      <c r="U199" s="1010" t="s">
        <v>2575</v>
      </c>
      <c r="V199" s="952" t="s">
        <v>3914</v>
      </c>
      <c r="W199" s="1007"/>
    </row>
    <row r="200" spans="1:23" x14ac:dyDescent="0.2">
      <c r="A200" s="1006" t="s">
        <v>4720</v>
      </c>
      <c r="B200" s="1007">
        <v>12</v>
      </c>
      <c r="C200" s="1007">
        <v>15</v>
      </c>
      <c r="D200" s="1007">
        <v>30</v>
      </c>
      <c r="E200" s="1007">
        <v>8</v>
      </c>
      <c r="F200" s="1007">
        <v>16</v>
      </c>
      <c r="G200" s="1007">
        <v>28</v>
      </c>
      <c r="H200" s="1007">
        <v>2</v>
      </c>
      <c r="I200" s="1008" t="s">
        <v>3994</v>
      </c>
      <c r="J200" s="1008" t="s">
        <v>1761</v>
      </c>
      <c r="K200" s="1007" t="s">
        <v>2236</v>
      </c>
      <c r="L200" s="1009" t="s">
        <v>2354</v>
      </c>
      <c r="M200" s="1006" t="s">
        <v>4128</v>
      </c>
      <c r="N200" s="1009" t="s">
        <v>2231</v>
      </c>
      <c r="O200" s="1006" t="s">
        <v>4038</v>
      </c>
      <c r="P200" s="1009" t="s">
        <v>2244</v>
      </c>
      <c r="Q200" s="1006" t="s">
        <v>4037</v>
      </c>
      <c r="R200" s="1009" t="s">
        <v>2245</v>
      </c>
      <c r="S200" s="1006" t="s">
        <v>4037</v>
      </c>
      <c r="T200" s="1010" t="s">
        <v>2479</v>
      </c>
      <c r="U200" s="1010" t="s">
        <v>2575</v>
      </c>
      <c r="V200" s="952" t="s">
        <v>3914</v>
      </c>
      <c r="W200" s="1007"/>
    </row>
    <row r="201" spans="1:23" x14ac:dyDescent="0.2">
      <c r="A201" s="1006" t="s">
        <v>4721</v>
      </c>
      <c r="B201" s="1007">
        <v>15</v>
      </c>
      <c r="C201" s="1007">
        <v>19</v>
      </c>
      <c r="D201" s="1007">
        <v>40</v>
      </c>
      <c r="E201" s="1007">
        <v>10</v>
      </c>
      <c r="F201" s="1007">
        <v>20</v>
      </c>
      <c r="G201" s="1007">
        <v>35</v>
      </c>
      <c r="H201" s="1007">
        <v>2</v>
      </c>
      <c r="I201" s="1008" t="s">
        <v>3994</v>
      </c>
      <c r="J201" s="1008" t="s">
        <v>1761</v>
      </c>
      <c r="K201" s="1007" t="s">
        <v>2236</v>
      </c>
      <c r="L201" s="1009" t="s">
        <v>2354</v>
      </c>
      <c r="M201" s="1006" t="s">
        <v>4128</v>
      </c>
      <c r="N201" s="1009" t="s">
        <v>2231</v>
      </c>
      <c r="O201" s="1006" t="s">
        <v>4038</v>
      </c>
      <c r="P201" s="1009" t="s">
        <v>2244</v>
      </c>
      <c r="Q201" s="1006" t="s">
        <v>4037</v>
      </c>
      <c r="R201" s="1009" t="s">
        <v>2245</v>
      </c>
      <c r="S201" s="1006" t="s">
        <v>4037</v>
      </c>
      <c r="T201" s="1010" t="s">
        <v>2479</v>
      </c>
      <c r="U201" s="1010" t="s">
        <v>2575</v>
      </c>
      <c r="V201" s="952" t="s">
        <v>3914</v>
      </c>
      <c r="W201" s="1007"/>
    </row>
    <row r="202" spans="1:23" x14ac:dyDescent="0.2">
      <c r="A202" s="1006" t="s">
        <v>4722</v>
      </c>
      <c r="B202" s="1007">
        <v>18</v>
      </c>
      <c r="C202" s="1007">
        <v>22</v>
      </c>
      <c r="D202" s="1007">
        <v>50</v>
      </c>
      <c r="E202" s="1007">
        <v>12</v>
      </c>
      <c r="F202" s="1007">
        <v>24</v>
      </c>
      <c r="G202" s="1007">
        <v>42</v>
      </c>
      <c r="H202" s="1007">
        <v>3</v>
      </c>
      <c r="I202" s="1008" t="s">
        <v>3994</v>
      </c>
      <c r="J202" s="1008" t="s">
        <v>1761</v>
      </c>
      <c r="K202" s="1007" t="s">
        <v>2236</v>
      </c>
      <c r="L202" s="1009" t="s">
        <v>2354</v>
      </c>
      <c r="M202" s="1006" t="s">
        <v>4128</v>
      </c>
      <c r="N202" s="1009" t="s">
        <v>2231</v>
      </c>
      <c r="O202" s="1006" t="s">
        <v>4038</v>
      </c>
      <c r="P202" s="1009" t="s">
        <v>2244</v>
      </c>
      <c r="Q202" s="1006" t="s">
        <v>4037</v>
      </c>
      <c r="R202" s="1009" t="s">
        <v>2245</v>
      </c>
      <c r="S202" s="1006" t="s">
        <v>4037</v>
      </c>
      <c r="T202" s="1010" t="s">
        <v>2479</v>
      </c>
      <c r="U202" s="1010" t="s">
        <v>2575</v>
      </c>
      <c r="V202" s="952" t="s">
        <v>3914</v>
      </c>
      <c r="W202" s="1007"/>
    </row>
    <row r="203" spans="1:23" x14ac:dyDescent="0.2">
      <c r="A203" s="841" t="s">
        <v>4078</v>
      </c>
      <c r="B203" s="1030"/>
      <c r="C203" s="1030"/>
      <c r="D203" s="1030"/>
      <c r="E203" s="1030"/>
      <c r="F203" s="1030"/>
      <c r="G203" s="1030"/>
      <c r="H203" s="1030"/>
      <c r="I203" s="1030"/>
      <c r="J203" s="1030"/>
      <c r="K203" s="1030"/>
      <c r="L203" s="1031"/>
      <c r="M203" s="1030"/>
      <c r="N203" s="1030"/>
      <c r="O203" s="1030"/>
      <c r="P203" s="1030"/>
      <c r="Q203" s="1030"/>
      <c r="R203" s="1030"/>
      <c r="S203" s="1030"/>
      <c r="T203" s="1030"/>
      <c r="U203" s="1030"/>
      <c r="V203" s="1030"/>
      <c r="W203" s="1007"/>
    </row>
    <row r="204" spans="1:23" x14ac:dyDescent="0.2">
      <c r="A204" s="848" t="s">
        <v>4083</v>
      </c>
      <c r="B204" s="1026"/>
      <c r="C204" s="1026"/>
      <c r="D204" s="1026"/>
      <c r="E204" s="1026"/>
      <c r="F204" s="1026"/>
      <c r="G204" s="1026"/>
      <c r="H204" s="1026"/>
      <c r="I204" s="1026"/>
      <c r="J204" s="1026"/>
      <c r="K204" s="1026"/>
      <c r="L204" s="1027"/>
      <c r="M204" s="1026"/>
      <c r="N204" s="1026"/>
      <c r="O204" s="1026"/>
      <c r="P204" s="1026"/>
      <c r="Q204" s="1026"/>
      <c r="R204" s="1026"/>
      <c r="S204" s="1026"/>
      <c r="T204" s="1026"/>
      <c r="U204" s="1026"/>
      <c r="V204" s="1026"/>
      <c r="W204" s="1007"/>
    </row>
    <row r="205" spans="1:23" x14ac:dyDescent="0.2">
      <c r="A205" s="1006" t="s">
        <v>4723</v>
      </c>
      <c r="B205" s="1007">
        <v>6</v>
      </c>
      <c r="C205" s="1007">
        <v>9</v>
      </c>
      <c r="D205" s="1007">
        <v>20</v>
      </c>
      <c r="E205" s="1007">
        <v>3</v>
      </c>
      <c r="F205" s="1007">
        <v>6</v>
      </c>
      <c r="G205" s="1007">
        <v>11</v>
      </c>
      <c r="H205" s="1007">
        <v>1</v>
      </c>
      <c r="I205" s="1008" t="s">
        <v>3989</v>
      </c>
      <c r="J205" s="1008" t="s">
        <v>1761</v>
      </c>
      <c r="K205" s="1007" t="s">
        <v>2231</v>
      </c>
      <c r="L205" s="1009" t="s">
        <v>2226</v>
      </c>
      <c r="M205" s="1006" t="s">
        <v>4037</v>
      </c>
      <c r="N205" s="1009" t="s">
        <v>2354</v>
      </c>
      <c r="O205" s="1006" t="s">
        <v>4128</v>
      </c>
      <c r="P205" s="1009" t="s">
        <v>2244</v>
      </c>
      <c r="Q205" s="1006" t="s">
        <v>4038</v>
      </c>
      <c r="R205" s="1009" t="s">
        <v>2245</v>
      </c>
      <c r="S205" s="1006" t="s">
        <v>4038</v>
      </c>
      <c r="T205" s="1010" t="s">
        <v>2475</v>
      </c>
      <c r="U205" s="1010" t="s">
        <v>2472</v>
      </c>
      <c r="V205" s="952" t="s">
        <v>3914</v>
      </c>
      <c r="W205" s="1007"/>
    </row>
    <row r="206" spans="1:23" x14ac:dyDescent="0.2">
      <c r="A206" s="1006" t="s">
        <v>4724</v>
      </c>
      <c r="B206" s="1007">
        <v>12</v>
      </c>
      <c r="C206" s="1007">
        <v>15</v>
      </c>
      <c r="D206" s="1007">
        <v>30</v>
      </c>
      <c r="E206" s="1007">
        <v>6</v>
      </c>
      <c r="F206" s="1007">
        <v>12</v>
      </c>
      <c r="G206" s="1007">
        <v>21</v>
      </c>
      <c r="H206" s="1007">
        <v>1</v>
      </c>
      <c r="I206" s="1008" t="s">
        <v>3989</v>
      </c>
      <c r="J206" s="1008" t="s">
        <v>1761</v>
      </c>
      <c r="K206" s="1007" t="s">
        <v>2231</v>
      </c>
      <c r="L206" s="1009" t="s">
        <v>2226</v>
      </c>
      <c r="M206" s="1006" t="s">
        <v>4037</v>
      </c>
      <c r="N206" s="1009" t="s">
        <v>2354</v>
      </c>
      <c r="O206" s="1006" t="s">
        <v>4128</v>
      </c>
      <c r="P206" s="1009" t="s">
        <v>2244</v>
      </c>
      <c r="Q206" s="1006" t="s">
        <v>4038</v>
      </c>
      <c r="R206" s="1009" t="s">
        <v>2245</v>
      </c>
      <c r="S206" s="1006" t="s">
        <v>4038</v>
      </c>
      <c r="T206" s="1010" t="s">
        <v>2475</v>
      </c>
      <c r="U206" s="1010" t="s">
        <v>2472</v>
      </c>
      <c r="V206" s="952" t="s">
        <v>3914</v>
      </c>
      <c r="W206" s="1007"/>
    </row>
    <row r="207" spans="1:23" x14ac:dyDescent="0.2">
      <c r="A207" s="1006" t="s">
        <v>4725</v>
      </c>
      <c r="B207" s="1007">
        <v>18</v>
      </c>
      <c r="C207" s="1007">
        <v>22</v>
      </c>
      <c r="D207" s="1007">
        <v>40</v>
      </c>
      <c r="E207" s="1007">
        <v>9</v>
      </c>
      <c r="F207" s="1007">
        <v>18</v>
      </c>
      <c r="G207" s="1007">
        <v>32</v>
      </c>
      <c r="H207" s="1007">
        <v>1</v>
      </c>
      <c r="I207" s="1008" t="s">
        <v>3989</v>
      </c>
      <c r="J207" s="1008" t="s">
        <v>1761</v>
      </c>
      <c r="K207" s="1007" t="s">
        <v>2231</v>
      </c>
      <c r="L207" s="1009" t="s">
        <v>2226</v>
      </c>
      <c r="M207" s="1006" t="s">
        <v>4037</v>
      </c>
      <c r="N207" s="1009" t="s">
        <v>2354</v>
      </c>
      <c r="O207" s="1006" t="s">
        <v>4128</v>
      </c>
      <c r="P207" s="1009" t="s">
        <v>2244</v>
      </c>
      <c r="Q207" s="1006" t="s">
        <v>4038</v>
      </c>
      <c r="R207" s="1009" t="s">
        <v>2245</v>
      </c>
      <c r="S207" s="1006" t="s">
        <v>4038</v>
      </c>
      <c r="T207" s="1010" t="s">
        <v>2475</v>
      </c>
      <c r="U207" s="1010" t="s">
        <v>2472</v>
      </c>
      <c r="V207" s="952" t="s">
        <v>3914</v>
      </c>
      <c r="W207" s="1007"/>
    </row>
    <row r="208" spans="1:23" x14ac:dyDescent="0.2">
      <c r="A208" s="1006" t="s">
        <v>4726</v>
      </c>
      <c r="B208" s="1007">
        <v>24</v>
      </c>
      <c r="C208" s="1007">
        <v>29</v>
      </c>
      <c r="D208" s="1007">
        <v>50</v>
      </c>
      <c r="E208" s="1007">
        <v>12</v>
      </c>
      <c r="F208" s="1007">
        <v>24</v>
      </c>
      <c r="G208" s="1007">
        <v>42</v>
      </c>
      <c r="H208" s="1007">
        <v>2</v>
      </c>
      <c r="I208" s="1008" t="s">
        <v>3989</v>
      </c>
      <c r="J208" s="1008" t="s">
        <v>1761</v>
      </c>
      <c r="K208" s="1007" t="s">
        <v>2231</v>
      </c>
      <c r="L208" s="1009" t="s">
        <v>2226</v>
      </c>
      <c r="M208" s="1006" t="s">
        <v>4037</v>
      </c>
      <c r="N208" s="1009" t="s">
        <v>2354</v>
      </c>
      <c r="O208" s="1006" t="s">
        <v>4128</v>
      </c>
      <c r="P208" s="1009" t="s">
        <v>2244</v>
      </c>
      <c r="Q208" s="1006" t="s">
        <v>4038</v>
      </c>
      <c r="R208" s="1009" t="s">
        <v>2245</v>
      </c>
      <c r="S208" s="1006" t="s">
        <v>4038</v>
      </c>
      <c r="T208" s="1010" t="s">
        <v>2475</v>
      </c>
      <c r="U208" s="1010" t="s">
        <v>2472</v>
      </c>
      <c r="V208" s="952" t="s">
        <v>3914</v>
      </c>
      <c r="W208" s="1007"/>
    </row>
    <row r="209" spans="1:23" x14ac:dyDescent="0.2">
      <c r="A209" s="1006" t="s">
        <v>4727</v>
      </c>
      <c r="B209" s="1007">
        <v>30</v>
      </c>
      <c r="C209" s="1007">
        <v>36</v>
      </c>
      <c r="D209" s="1007">
        <v>60</v>
      </c>
      <c r="E209" s="1007">
        <v>15</v>
      </c>
      <c r="F209" s="1007">
        <v>30</v>
      </c>
      <c r="G209" s="1007">
        <v>53</v>
      </c>
      <c r="H209" s="1007">
        <v>3</v>
      </c>
      <c r="I209" s="1008" t="s">
        <v>3989</v>
      </c>
      <c r="J209" s="1008" t="s">
        <v>1761</v>
      </c>
      <c r="K209" s="1007" t="s">
        <v>2231</v>
      </c>
      <c r="L209" s="1009" t="s">
        <v>2226</v>
      </c>
      <c r="M209" s="1006" t="s">
        <v>4037</v>
      </c>
      <c r="N209" s="1009" t="s">
        <v>2354</v>
      </c>
      <c r="O209" s="1006" t="s">
        <v>4128</v>
      </c>
      <c r="P209" s="1009" t="s">
        <v>2244</v>
      </c>
      <c r="Q209" s="1006" t="s">
        <v>4038</v>
      </c>
      <c r="R209" s="1009" t="s">
        <v>2245</v>
      </c>
      <c r="S209" s="1006" t="s">
        <v>4038</v>
      </c>
      <c r="T209" s="1010" t="s">
        <v>2475</v>
      </c>
      <c r="U209" s="1010" t="s">
        <v>2472</v>
      </c>
      <c r="V209" s="952" t="s">
        <v>3914</v>
      </c>
      <c r="W209" s="1007"/>
    </row>
    <row r="210" spans="1:23" x14ac:dyDescent="0.2">
      <c r="A210" s="1012" t="s">
        <v>4728</v>
      </c>
      <c r="B210" s="1013"/>
      <c r="C210" s="1013"/>
      <c r="D210" s="1013"/>
      <c r="E210" s="1013"/>
      <c r="F210" s="1013"/>
      <c r="G210" s="1013"/>
      <c r="H210" s="1013"/>
      <c r="I210" s="1013"/>
      <c r="J210" s="1013"/>
      <c r="K210" s="1013"/>
      <c r="L210" s="1014"/>
      <c r="M210" s="1013"/>
      <c r="N210" s="1013"/>
      <c r="O210" s="1013"/>
      <c r="P210" s="1013"/>
      <c r="Q210" s="1013"/>
      <c r="R210" s="1013"/>
      <c r="S210" s="1013"/>
      <c r="T210" s="1013"/>
      <c r="U210" s="1013"/>
      <c r="V210" s="1013"/>
      <c r="W210" s="1007"/>
    </row>
    <row r="211" spans="1:23" x14ac:dyDescent="0.2">
      <c r="A211" s="1006" t="s">
        <v>4729</v>
      </c>
      <c r="B211" s="1007">
        <v>10</v>
      </c>
      <c r="C211" s="1007">
        <v>10</v>
      </c>
      <c r="D211" s="1007">
        <v>30</v>
      </c>
      <c r="E211" s="1007">
        <v>5</v>
      </c>
      <c r="F211" s="1007">
        <v>10</v>
      </c>
      <c r="G211" s="1007">
        <v>18</v>
      </c>
      <c r="H211" s="1007"/>
      <c r="I211" s="1007"/>
      <c r="J211" s="1007"/>
      <c r="K211" s="1007"/>
      <c r="L211" s="1016"/>
      <c r="M211" s="1007"/>
      <c r="N211" s="1007"/>
      <c r="O211" s="1007"/>
      <c r="P211" s="1007"/>
      <c r="Q211" s="1007"/>
      <c r="R211" s="1007"/>
      <c r="S211" s="1007"/>
      <c r="T211" s="1007"/>
      <c r="U211" s="1007"/>
      <c r="V211" s="1007"/>
      <c r="W211" s="1007"/>
    </row>
    <row r="212" spans="1:23" x14ac:dyDescent="0.2">
      <c r="A212" s="1012" t="s">
        <v>4730</v>
      </c>
      <c r="B212" s="1013"/>
      <c r="C212" s="1013"/>
      <c r="D212" s="1013"/>
      <c r="E212" s="1013"/>
      <c r="F212" s="1013"/>
      <c r="G212" s="1013"/>
      <c r="H212" s="1013"/>
      <c r="I212" s="1013"/>
      <c r="J212" s="1013"/>
      <c r="K212" s="1013"/>
      <c r="L212" s="1014"/>
      <c r="M212" s="1013"/>
      <c r="N212" s="1013"/>
      <c r="O212" s="1013"/>
      <c r="P212" s="1013"/>
      <c r="Q212" s="1013"/>
      <c r="R212" s="1013"/>
      <c r="S212" s="1013"/>
      <c r="T212" s="1013"/>
      <c r="U212" s="1013"/>
      <c r="V212" s="1013"/>
      <c r="W212" s="1007"/>
    </row>
    <row r="213" spans="1:23" x14ac:dyDescent="0.2">
      <c r="A213" s="1006" t="s">
        <v>4731</v>
      </c>
      <c r="B213" s="1007">
        <v>6</v>
      </c>
      <c r="C213" s="1007">
        <v>6</v>
      </c>
      <c r="D213" s="1007">
        <v>20</v>
      </c>
      <c r="E213" s="1007">
        <v>2</v>
      </c>
      <c r="F213" s="1007">
        <v>4</v>
      </c>
      <c r="G213" s="1007">
        <v>7</v>
      </c>
      <c r="H213" s="1007"/>
      <c r="I213" s="1007"/>
      <c r="J213" s="1007"/>
      <c r="K213" s="1007"/>
      <c r="L213" s="1016"/>
      <c r="M213" s="1007"/>
      <c r="N213" s="1007"/>
      <c r="O213" s="1007"/>
      <c r="P213" s="1007"/>
      <c r="Q213" s="1007"/>
      <c r="R213" s="1007"/>
      <c r="S213" s="1007"/>
      <c r="T213" s="1007"/>
      <c r="U213" s="1007"/>
      <c r="V213" s="1007"/>
      <c r="W213" s="1007"/>
    </row>
    <row r="214" spans="1:23" x14ac:dyDescent="0.2">
      <c r="A214" s="1032" t="s">
        <v>4732</v>
      </c>
      <c r="B214" s="1033"/>
      <c r="C214" s="1033"/>
      <c r="D214" s="1033"/>
      <c r="E214" s="1033"/>
      <c r="F214" s="1033"/>
      <c r="G214" s="1033"/>
      <c r="H214" s="1033"/>
      <c r="I214" s="1033"/>
      <c r="J214" s="1033"/>
      <c r="K214" s="1033"/>
      <c r="L214" s="1034"/>
      <c r="M214" s="1033"/>
      <c r="N214" s="1033"/>
      <c r="O214" s="1033"/>
      <c r="P214" s="1033"/>
      <c r="Q214" s="1033"/>
      <c r="R214" s="1033"/>
      <c r="S214" s="1033"/>
      <c r="T214" s="1033"/>
      <c r="U214" s="1033"/>
      <c r="V214" s="1033"/>
      <c r="W214" s="1007"/>
    </row>
    <row r="215" spans="1:23" x14ac:dyDescent="0.2">
      <c r="A215" s="1006" t="s">
        <v>4733</v>
      </c>
      <c r="B215" s="1007">
        <v>-3</v>
      </c>
      <c r="C215" s="1007">
        <v>-3</v>
      </c>
      <c r="D215" s="1007">
        <v>-10</v>
      </c>
      <c r="E215" s="1007"/>
      <c r="F215" s="1007"/>
      <c r="G215" s="1007"/>
      <c r="H215" s="1007"/>
      <c r="I215" s="1007"/>
      <c r="J215" s="1007"/>
      <c r="K215" s="1007"/>
      <c r="L215" s="1016"/>
      <c r="M215" s="1007"/>
      <c r="N215" s="1007"/>
      <c r="O215" s="1007"/>
      <c r="P215" s="1007"/>
      <c r="Q215" s="1007"/>
      <c r="R215" s="1007"/>
      <c r="S215" s="1007"/>
      <c r="T215" s="1007"/>
      <c r="U215" s="1007"/>
      <c r="V215" s="1007"/>
      <c r="W215" s="1007"/>
    </row>
    <row r="216" spans="1:23" x14ac:dyDescent="0.2">
      <c r="A216" s="1006" t="s">
        <v>4734</v>
      </c>
      <c r="B216" s="1007">
        <v>-6</v>
      </c>
      <c r="C216" s="1007">
        <v>-6</v>
      </c>
      <c r="D216" s="1007">
        <v>-20</v>
      </c>
      <c r="E216" s="1007"/>
      <c r="F216" s="1007"/>
      <c r="G216" s="1007"/>
      <c r="H216" s="1007"/>
      <c r="I216" s="1007"/>
      <c r="J216" s="1007"/>
      <c r="K216" s="1007"/>
      <c r="L216" s="1016"/>
      <c r="M216" s="1007"/>
      <c r="N216" s="1007"/>
      <c r="O216" s="1007"/>
      <c r="P216" s="1007"/>
      <c r="Q216" s="1007"/>
      <c r="R216" s="1007"/>
      <c r="S216" s="1007"/>
      <c r="T216" s="1007"/>
      <c r="U216" s="1007"/>
      <c r="V216" s="1007"/>
      <c r="W216" s="1007"/>
    </row>
    <row r="217" spans="1:23" x14ac:dyDescent="0.2">
      <c r="A217" s="848" t="s">
        <v>4088</v>
      </c>
      <c r="B217" s="1026"/>
      <c r="C217" s="1026"/>
      <c r="D217" s="1026"/>
      <c r="E217" s="1026"/>
      <c r="F217" s="1026"/>
      <c r="G217" s="1026"/>
      <c r="H217" s="1026"/>
      <c r="I217" s="1026"/>
      <c r="J217" s="1026"/>
      <c r="K217" s="1026"/>
      <c r="L217" s="1027"/>
      <c r="M217" s="1026"/>
      <c r="N217" s="1026"/>
      <c r="O217" s="1026"/>
      <c r="P217" s="1026"/>
      <c r="Q217" s="1026"/>
      <c r="R217" s="1026"/>
      <c r="S217" s="1026"/>
      <c r="T217" s="1026"/>
      <c r="U217" s="1026"/>
      <c r="V217" s="1026"/>
      <c r="W217" s="1007"/>
    </row>
    <row r="218" spans="1:23" x14ac:dyDescent="0.2">
      <c r="A218" s="1006" t="s">
        <v>4735</v>
      </c>
      <c r="B218" s="1007">
        <v>3</v>
      </c>
      <c r="C218" s="1007">
        <v>5</v>
      </c>
      <c r="D218" s="1007">
        <v>5</v>
      </c>
      <c r="E218" s="1007">
        <v>1</v>
      </c>
      <c r="F218" s="1007">
        <v>2</v>
      </c>
      <c r="G218" s="1007">
        <v>4</v>
      </c>
      <c r="H218" s="1007">
        <v>1</v>
      </c>
      <c r="I218" s="1008" t="s">
        <v>3989</v>
      </c>
      <c r="J218" s="1008" t="s">
        <v>1761</v>
      </c>
      <c r="K218" s="1007" t="s">
        <v>2231</v>
      </c>
      <c r="L218" s="1009" t="s">
        <v>2226</v>
      </c>
      <c r="M218" s="1006" t="s">
        <v>4037</v>
      </c>
      <c r="N218" s="1009" t="s">
        <v>2354</v>
      </c>
      <c r="O218" s="1006" t="s">
        <v>4128</v>
      </c>
      <c r="P218" s="1009" t="s">
        <v>2244</v>
      </c>
      <c r="Q218" s="1006" t="s">
        <v>4038</v>
      </c>
      <c r="R218" s="1009" t="s">
        <v>2245</v>
      </c>
      <c r="S218" s="1006" t="s">
        <v>4038</v>
      </c>
      <c r="T218" s="1010" t="s">
        <v>2475</v>
      </c>
      <c r="U218" s="1010" t="s">
        <v>2472</v>
      </c>
      <c r="V218" s="1010" t="s">
        <v>2571</v>
      </c>
      <c r="W218" s="1007"/>
    </row>
    <row r="219" spans="1:23" x14ac:dyDescent="0.2">
      <c r="A219" s="1006" t="s">
        <v>4736</v>
      </c>
      <c r="B219" s="1007">
        <v>6</v>
      </c>
      <c r="C219" s="1007">
        <v>9</v>
      </c>
      <c r="D219" s="1007">
        <v>10</v>
      </c>
      <c r="E219" s="1007">
        <v>2</v>
      </c>
      <c r="F219" s="1007">
        <v>4</v>
      </c>
      <c r="G219" s="1007">
        <v>7</v>
      </c>
      <c r="H219" s="1007">
        <v>1</v>
      </c>
      <c r="I219" s="1008" t="s">
        <v>3989</v>
      </c>
      <c r="J219" s="1008" t="s">
        <v>1761</v>
      </c>
      <c r="K219" s="1007" t="s">
        <v>2231</v>
      </c>
      <c r="L219" s="1009" t="s">
        <v>2226</v>
      </c>
      <c r="M219" s="1006" t="s">
        <v>4037</v>
      </c>
      <c r="N219" s="1009" t="s">
        <v>2354</v>
      </c>
      <c r="O219" s="1006" t="s">
        <v>4128</v>
      </c>
      <c r="P219" s="1009" t="s">
        <v>2244</v>
      </c>
      <c r="Q219" s="1006" t="s">
        <v>4038</v>
      </c>
      <c r="R219" s="1009" t="s">
        <v>2245</v>
      </c>
      <c r="S219" s="1006" t="s">
        <v>4038</v>
      </c>
      <c r="T219" s="1010" t="s">
        <v>2475</v>
      </c>
      <c r="U219" s="1010" t="s">
        <v>2472</v>
      </c>
      <c r="V219" s="1010" t="s">
        <v>2571</v>
      </c>
      <c r="W219" s="1007"/>
    </row>
    <row r="220" spans="1:23" x14ac:dyDescent="0.2">
      <c r="A220" s="1006" t="s">
        <v>4737</v>
      </c>
      <c r="B220" s="1007">
        <v>9</v>
      </c>
      <c r="C220" s="1007">
        <v>12</v>
      </c>
      <c r="D220" s="1007">
        <v>15</v>
      </c>
      <c r="E220" s="1007">
        <v>3</v>
      </c>
      <c r="F220" s="1007">
        <v>6</v>
      </c>
      <c r="G220" s="1007">
        <v>11</v>
      </c>
      <c r="H220" s="1007">
        <v>1</v>
      </c>
      <c r="I220" s="1008" t="s">
        <v>3989</v>
      </c>
      <c r="J220" s="1008" t="s">
        <v>1761</v>
      </c>
      <c r="K220" s="1007" t="s">
        <v>2231</v>
      </c>
      <c r="L220" s="1009" t="s">
        <v>2226</v>
      </c>
      <c r="M220" s="1006" t="s">
        <v>4037</v>
      </c>
      <c r="N220" s="1009" t="s">
        <v>2354</v>
      </c>
      <c r="O220" s="1006" t="s">
        <v>4128</v>
      </c>
      <c r="P220" s="1009" t="s">
        <v>2244</v>
      </c>
      <c r="Q220" s="1006" t="s">
        <v>4038</v>
      </c>
      <c r="R220" s="1009" t="s">
        <v>2245</v>
      </c>
      <c r="S220" s="1006" t="s">
        <v>4038</v>
      </c>
      <c r="T220" s="1010" t="s">
        <v>2475</v>
      </c>
      <c r="U220" s="1010" t="s">
        <v>2472</v>
      </c>
      <c r="V220" s="1010" t="s">
        <v>2571</v>
      </c>
      <c r="W220" s="1007"/>
    </row>
    <row r="221" spans="1:23" x14ac:dyDescent="0.2">
      <c r="A221" s="1006" t="s">
        <v>4738</v>
      </c>
      <c r="B221" s="1007">
        <v>12</v>
      </c>
      <c r="C221" s="1007">
        <v>15</v>
      </c>
      <c r="D221" s="1007">
        <v>20</v>
      </c>
      <c r="E221" s="1007">
        <v>4</v>
      </c>
      <c r="F221" s="1007">
        <v>8</v>
      </c>
      <c r="G221" s="1007">
        <v>14</v>
      </c>
      <c r="H221" s="1007">
        <v>1</v>
      </c>
      <c r="I221" s="1008" t="s">
        <v>3989</v>
      </c>
      <c r="J221" s="1008" t="s">
        <v>1761</v>
      </c>
      <c r="K221" s="1007" t="s">
        <v>2231</v>
      </c>
      <c r="L221" s="1009" t="s">
        <v>2226</v>
      </c>
      <c r="M221" s="1006" t="s">
        <v>4037</v>
      </c>
      <c r="N221" s="1009" t="s">
        <v>2354</v>
      </c>
      <c r="O221" s="1006" t="s">
        <v>4128</v>
      </c>
      <c r="P221" s="1009" t="s">
        <v>2244</v>
      </c>
      <c r="Q221" s="1006" t="s">
        <v>4038</v>
      </c>
      <c r="R221" s="1009" t="s">
        <v>2245</v>
      </c>
      <c r="S221" s="1006" t="s">
        <v>4038</v>
      </c>
      <c r="T221" s="1010" t="s">
        <v>2475</v>
      </c>
      <c r="U221" s="1010" t="s">
        <v>2472</v>
      </c>
      <c r="V221" s="1010" t="s">
        <v>2571</v>
      </c>
      <c r="W221" s="1007"/>
    </row>
    <row r="222" spans="1:23" x14ac:dyDescent="0.2">
      <c r="A222" s="1006" t="s">
        <v>4739</v>
      </c>
      <c r="B222" s="1007">
        <v>15</v>
      </c>
      <c r="C222" s="1007">
        <v>19</v>
      </c>
      <c r="D222" s="1007">
        <v>30</v>
      </c>
      <c r="E222" s="1007">
        <v>6</v>
      </c>
      <c r="F222" s="1007">
        <v>12</v>
      </c>
      <c r="G222" s="1007">
        <v>21</v>
      </c>
      <c r="H222" s="1007">
        <v>1</v>
      </c>
      <c r="I222" s="1008" t="s">
        <v>3989</v>
      </c>
      <c r="J222" s="1008" t="s">
        <v>1761</v>
      </c>
      <c r="K222" s="1007" t="s">
        <v>2231</v>
      </c>
      <c r="L222" s="1009" t="s">
        <v>2226</v>
      </c>
      <c r="M222" s="1006" t="s">
        <v>4037</v>
      </c>
      <c r="N222" s="1009" t="s">
        <v>2354</v>
      </c>
      <c r="O222" s="1006" t="s">
        <v>4128</v>
      </c>
      <c r="P222" s="1009" t="s">
        <v>2244</v>
      </c>
      <c r="Q222" s="1006" t="s">
        <v>4038</v>
      </c>
      <c r="R222" s="1009" t="s">
        <v>2245</v>
      </c>
      <c r="S222" s="1006" t="s">
        <v>4038</v>
      </c>
      <c r="T222" s="1010" t="s">
        <v>2475</v>
      </c>
      <c r="U222" s="1010" t="s">
        <v>2472</v>
      </c>
      <c r="V222" s="1010" t="s">
        <v>2571</v>
      </c>
      <c r="W222" s="1007"/>
    </row>
    <row r="223" spans="1:23" x14ac:dyDescent="0.2">
      <c r="A223" s="1006" t="s">
        <v>4740</v>
      </c>
      <c r="B223" s="1007">
        <v>18</v>
      </c>
      <c r="C223" s="1007">
        <v>22</v>
      </c>
      <c r="D223" s="1007">
        <v>40</v>
      </c>
      <c r="E223" s="1007">
        <v>8</v>
      </c>
      <c r="F223" s="1007">
        <v>16</v>
      </c>
      <c r="G223" s="1007">
        <v>28</v>
      </c>
      <c r="H223" s="1007">
        <v>2</v>
      </c>
      <c r="I223" s="1008" t="s">
        <v>3989</v>
      </c>
      <c r="J223" s="1008" t="s">
        <v>1761</v>
      </c>
      <c r="K223" s="1007" t="s">
        <v>2231</v>
      </c>
      <c r="L223" s="1009" t="s">
        <v>2226</v>
      </c>
      <c r="M223" s="1006" t="s">
        <v>4037</v>
      </c>
      <c r="N223" s="1009" t="s">
        <v>2354</v>
      </c>
      <c r="O223" s="1006" t="s">
        <v>4128</v>
      </c>
      <c r="P223" s="1009" t="s">
        <v>2244</v>
      </c>
      <c r="Q223" s="1006" t="s">
        <v>4038</v>
      </c>
      <c r="R223" s="1009" t="s">
        <v>2245</v>
      </c>
      <c r="S223" s="1006" t="s">
        <v>4038</v>
      </c>
      <c r="T223" s="1010" t="s">
        <v>2475</v>
      </c>
      <c r="U223" s="1010" t="s">
        <v>2472</v>
      </c>
      <c r="V223" s="1010" t="s">
        <v>2571</v>
      </c>
      <c r="W223" s="1007"/>
    </row>
    <row r="224" spans="1:23" x14ac:dyDescent="0.2">
      <c r="A224" s="1006" t="s">
        <v>4741</v>
      </c>
      <c r="B224" s="1007">
        <v>22</v>
      </c>
      <c r="C224" s="1007">
        <v>26</v>
      </c>
      <c r="D224" s="1007">
        <v>50</v>
      </c>
      <c r="E224" s="1007">
        <v>10</v>
      </c>
      <c r="F224" s="1007">
        <v>20</v>
      </c>
      <c r="G224" s="1007">
        <v>35</v>
      </c>
      <c r="H224" s="1007">
        <v>2</v>
      </c>
      <c r="I224" s="1008" t="s">
        <v>3989</v>
      </c>
      <c r="J224" s="1008" t="s">
        <v>1761</v>
      </c>
      <c r="K224" s="1007" t="s">
        <v>2231</v>
      </c>
      <c r="L224" s="1009" t="s">
        <v>2226</v>
      </c>
      <c r="M224" s="1006" t="s">
        <v>4037</v>
      </c>
      <c r="N224" s="1009" t="s">
        <v>2354</v>
      </c>
      <c r="O224" s="1006" t="s">
        <v>4128</v>
      </c>
      <c r="P224" s="1009" t="s">
        <v>2244</v>
      </c>
      <c r="Q224" s="1006" t="s">
        <v>4038</v>
      </c>
      <c r="R224" s="1009" t="s">
        <v>2245</v>
      </c>
      <c r="S224" s="1006" t="s">
        <v>4038</v>
      </c>
      <c r="T224" s="1010" t="s">
        <v>2475</v>
      </c>
      <c r="U224" s="1010" t="s">
        <v>2472</v>
      </c>
      <c r="V224" s="1010" t="s">
        <v>2571</v>
      </c>
      <c r="W224" s="1007"/>
    </row>
    <row r="225" spans="1:23" x14ac:dyDescent="0.2">
      <c r="A225" s="1006" t="s">
        <v>4742</v>
      </c>
      <c r="B225" s="1007">
        <v>26</v>
      </c>
      <c r="C225" s="1007">
        <v>32</v>
      </c>
      <c r="D225" s="1007">
        <v>60</v>
      </c>
      <c r="E225" s="1007">
        <v>12</v>
      </c>
      <c r="F225" s="1007">
        <v>24</v>
      </c>
      <c r="G225" s="1007">
        <v>42</v>
      </c>
      <c r="H225" s="1007">
        <v>3</v>
      </c>
      <c r="I225" s="1008" t="s">
        <v>3989</v>
      </c>
      <c r="J225" s="1008" t="s">
        <v>1761</v>
      </c>
      <c r="K225" s="1007" t="s">
        <v>2231</v>
      </c>
      <c r="L225" s="1009" t="s">
        <v>2226</v>
      </c>
      <c r="M225" s="1006" t="s">
        <v>4037</v>
      </c>
      <c r="N225" s="1009" t="s">
        <v>2354</v>
      </c>
      <c r="O225" s="1006" t="s">
        <v>4128</v>
      </c>
      <c r="P225" s="1009" t="s">
        <v>2244</v>
      </c>
      <c r="Q225" s="1006" t="s">
        <v>4038</v>
      </c>
      <c r="R225" s="1009" t="s">
        <v>2245</v>
      </c>
      <c r="S225" s="1006" t="s">
        <v>4038</v>
      </c>
      <c r="T225" s="1010" t="s">
        <v>2475</v>
      </c>
      <c r="U225" s="1010" t="s">
        <v>2472</v>
      </c>
      <c r="V225" s="1010" t="s">
        <v>2571</v>
      </c>
      <c r="W225" s="1007"/>
    </row>
    <row r="226" spans="1:23" x14ac:dyDescent="0.2">
      <c r="A226" s="1012" t="s">
        <v>4728</v>
      </c>
      <c r="B226" s="1013"/>
      <c r="C226" s="1013"/>
      <c r="D226" s="1013"/>
      <c r="E226" s="1013"/>
      <c r="F226" s="1013"/>
      <c r="G226" s="1013"/>
      <c r="H226" s="1013"/>
      <c r="I226" s="1013"/>
      <c r="J226" s="1013"/>
      <c r="K226" s="1013"/>
      <c r="L226" s="1014"/>
      <c r="M226" s="1013"/>
      <c r="N226" s="1013"/>
      <c r="O226" s="1013"/>
      <c r="P226" s="1013"/>
      <c r="Q226" s="1013"/>
      <c r="R226" s="1013"/>
      <c r="S226" s="1013"/>
      <c r="T226" s="1013"/>
      <c r="U226" s="1013"/>
      <c r="V226" s="1013"/>
      <c r="W226" s="1007"/>
    </row>
    <row r="227" spans="1:23" x14ac:dyDescent="0.2">
      <c r="A227" s="1006" t="s">
        <v>4729</v>
      </c>
      <c r="B227" s="1007">
        <v>10</v>
      </c>
      <c r="C227" s="1007">
        <v>10</v>
      </c>
      <c r="D227" s="1007">
        <v>30</v>
      </c>
      <c r="E227" s="1007">
        <v>5</v>
      </c>
      <c r="F227" s="1007">
        <v>10</v>
      </c>
      <c r="G227" s="1007">
        <v>18</v>
      </c>
      <c r="H227" s="1007"/>
      <c r="I227" s="1007"/>
      <c r="J227" s="1007"/>
      <c r="K227" s="1007"/>
      <c r="L227" s="1016"/>
      <c r="M227" s="1007"/>
      <c r="N227" s="1007"/>
      <c r="O227" s="1007"/>
      <c r="P227" s="1007"/>
      <c r="Q227" s="1007"/>
      <c r="R227" s="1007"/>
      <c r="S227" s="1007"/>
      <c r="T227" s="1007"/>
      <c r="U227" s="1007"/>
      <c r="V227" s="1007"/>
      <c r="W227" s="1007"/>
    </row>
    <row r="228" spans="1:23" x14ac:dyDescent="0.2">
      <c r="A228" s="848" t="s">
        <v>4093</v>
      </c>
      <c r="B228" s="1026"/>
      <c r="C228" s="1026"/>
      <c r="D228" s="1026"/>
      <c r="E228" s="1026"/>
      <c r="F228" s="1026"/>
      <c r="G228" s="1026"/>
      <c r="H228" s="1026"/>
      <c r="I228" s="1026"/>
      <c r="J228" s="1026"/>
      <c r="K228" s="1026"/>
      <c r="L228" s="1027"/>
      <c r="M228" s="1026"/>
      <c r="N228" s="1026"/>
      <c r="O228" s="1026"/>
      <c r="P228" s="1026"/>
      <c r="Q228" s="1026"/>
      <c r="R228" s="1026"/>
      <c r="S228" s="1026"/>
      <c r="T228" s="1026"/>
      <c r="U228" s="1026"/>
      <c r="V228" s="1026"/>
      <c r="W228" s="1007"/>
    </row>
    <row r="229" spans="1:23" x14ac:dyDescent="0.2">
      <c r="A229" s="1006" t="s">
        <v>4743</v>
      </c>
      <c r="B229" s="1007">
        <v>1</v>
      </c>
      <c r="C229" s="1007">
        <v>2</v>
      </c>
      <c r="D229" s="1007">
        <v>5</v>
      </c>
      <c r="E229" s="1007">
        <v>1</v>
      </c>
      <c r="F229" s="1007">
        <v>2</v>
      </c>
      <c r="G229" s="1007">
        <v>4</v>
      </c>
      <c r="H229" s="1007">
        <v>1</v>
      </c>
      <c r="I229" s="1008" t="s">
        <v>3989</v>
      </c>
      <c r="J229" s="1008" t="s">
        <v>2431</v>
      </c>
      <c r="K229" s="1007" t="s">
        <v>2226</v>
      </c>
      <c r="L229" s="1009" t="s">
        <v>2354</v>
      </c>
      <c r="M229" s="1006" t="s">
        <v>4037</v>
      </c>
      <c r="N229" s="1009" t="s">
        <v>2231</v>
      </c>
      <c r="O229" s="1006" t="s">
        <v>4128</v>
      </c>
      <c r="P229" s="1009" t="s">
        <v>2244</v>
      </c>
      <c r="Q229" s="1006" t="s">
        <v>4038</v>
      </c>
      <c r="R229" s="1009" t="s">
        <v>2245</v>
      </c>
      <c r="S229" s="1006" t="s">
        <v>4038</v>
      </c>
      <c r="T229" s="1010" t="s">
        <v>2570</v>
      </c>
      <c r="U229" s="952" t="s">
        <v>3914</v>
      </c>
      <c r="V229" s="952" t="s">
        <v>3914</v>
      </c>
      <c r="W229" s="1007"/>
    </row>
    <row r="230" spans="1:23" x14ac:dyDescent="0.2">
      <c r="A230" s="1006" t="s">
        <v>4744</v>
      </c>
      <c r="B230" s="1007">
        <v>2</v>
      </c>
      <c r="C230" s="1007">
        <v>4</v>
      </c>
      <c r="D230" s="1007">
        <v>5</v>
      </c>
      <c r="E230" s="1007">
        <v>2</v>
      </c>
      <c r="F230" s="1007">
        <v>4</v>
      </c>
      <c r="G230" s="1007">
        <v>7</v>
      </c>
      <c r="H230" s="1007">
        <v>1</v>
      </c>
      <c r="I230" s="1008" t="s">
        <v>3989</v>
      </c>
      <c r="J230" s="1008" t="s">
        <v>2431</v>
      </c>
      <c r="K230" s="1007" t="s">
        <v>2226</v>
      </c>
      <c r="L230" s="1009" t="s">
        <v>2354</v>
      </c>
      <c r="M230" s="1006" t="s">
        <v>4037</v>
      </c>
      <c r="N230" s="1009" t="s">
        <v>2231</v>
      </c>
      <c r="O230" s="1006" t="s">
        <v>4128</v>
      </c>
      <c r="P230" s="1009" t="s">
        <v>2244</v>
      </c>
      <c r="Q230" s="1006" t="s">
        <v>4038</v>
      </c>
      <c r="R230" s="1009" t="s">
        <v>2245</v>
      </c>
      <c r="S230" s="1006" t="s">
        <v>4038</v>
      </c>
      <c r="T230" s="1010" t="s">
        <v>2570</v>
      </c>
      <c r="U230" s="952" t="s">
        <v>3914</v>
      </c>
      <c r="V230" s="952" t="s">
        <v>3914</v>
      </c>
      <c r="W230" s="1007"/>
    </row>
    <row r="231" spans="1:23" x14ac:dyDescent="0.2">
      <c r="A231" s="1006" t="s">
        <v>4745</v>
      </c>
      <c r="B231" s="1007">
        <v>3</v>
      </c>
      <c r="C231" s="1007">
        <v>5</v>
      </c>
      <c r="D231" s="1007">
        <v>10</v>
      </c>
      <c r="E231" s="1007">
        <v>3</v>
      </c>
      <c r="F231" s="1007">
        <v>6</v>
      </c>
      <c r="G231" s="1007">
        <v>11</v>
      </c>
      <c r="H231" s="1007">
        <v>1</v>
      </c>
      <c r="I231" s="1008" t="s">
        <v>3989</v>
      </c>
      <c r="J231" s="1008" t="s">
        <v>2431</v>
      </c>
      <c r="K231" s="1007" t="s">
        <v>2226</v>
      </c>
      <c r="L231" s="1009" t="s">
        <v>2354</v>
      </c>
      <c r="M231" s="1006" t="s">
        <v>4037</v>
      </c>
      <c r="N231" s="1009" t="s">
        <v>2231</v>
      </c>
      <c r="O231" s="1006" t="s">
        <v>4128</v>
      </c>
      <c r="P231" s="1009" t="s">
        <v>2244</v>
      </c>
      <c r="Q231" s="1006" t="s">
        <v>4038</v>
      </c>
      <c r="R231" s="1009" t="s">
        <v>2245</v>
      </c>
      <c r="S231" s="1006" t="s">
        <v>4038</v>
      </c>
      <c r="T231" s="1010" t="s">
        <v>2570</v>
      </c>
      <c r="U231" s="952" t="s">
        <v>3914</v>
      </c>
      <c r="V231" s="952" t="s">
        <v>3914</v>
      </c>
      <c r="W231" s="1007"/>
    </row>
    <row r="232" spans="1:23" x14ac:dyDescent="0.2">
      <c r="A232" s="1006" t="s">
        <v>4746</v>
      </c>
      <c r="B232" s="1007">
        <v>4</v>
      </c>
      <c r="C232" s="1007">
        <v>6</v>
      </c>
      <c r="D232" s="1007">
        <v>15</v>
      </c>
      <c r="E232" s="1007">
        <v>4</v>
      </c>
      <c r="F232" s="1007">
        <v>8</v>
      </c>
      <c r="G232" s="1007">
        <v>14</v>
      </c>
      <c r="H232" s="1007">
        <v>1</v>
      </c>
      <c r="I232" s="1008" t="s">
        <v>3989</v>
      </c>
      <c r="J232" s="1008" t="s">
        <v>2431</v>
      </c>
      <c r="K232" s="1007" t="s">
        <v>2226</v>
      </c>
      <c r="L232" s="1009" t="s">
        <v>2354</v>
      </c>
      <c r="M232" s="1006" t="s">
        <v>4037</v>
      </c>
      <c r="N232" s="1009" t="s">
        <v>2231</v>
      </c>
      <c r="O232" s="1006" t="s">
        <v>4128</v>
      </c>
      <c r="P232" s="1009" t="s">
        <v>2244</v>
      </c>
      <c r="Q232" s="1006" t="s">
        <v>4038</v>
      </c>
      <c r="R232" s="1009" t="s">
        <v>2245</v>
      </c>
      <c r="S232" s="1006" t="s">
        <v>4038</v>
      </c>
      <c r="T232" s="1010" t="s">
        <v>2570</v>
      </c>
      <c r="U232" s="952" t="s">
        <v>3914</v>
      </c>
      <c r="V232" s="952" t="s">
        <v>3914</v>
      </c>
      <c r="W232" s="1007"/>
    </row>
    <row r="233" spans="1:23" x14ac:dyDescent="0.2">
      <c r="A233" s="1006" t="s">
        <v>4747</v>
      </c>
      <c r="B233" s="1007">
        <v>5</v>
      </c>
      <c r="C233" s="1007">
        <v>8</v>
      </c>
      <c r="D233" s="1007">
        <v>20</v>
      </c>
      <c r="E233" s="1007">
        <v>6</v>
      </c>
      <c r="F233" s="1007">
        <v>12</v>
      </c>
      <c r="G233" s="1007">
        <v>21</v>
      </c>
      <c r="H233" s="1007">
        <v>1</v>
      </c>
      <c r="I233" s="1008" t="s">
        <v>3989</v>
      </c>
      <c r="J233" s="1008" t="s">
        <v>2431</v>
      </c>
      <c r="K233" s="1007" t="s">
        <v>2226</v>
      </c>
      <c r="L233" s="1009" t="s">
        <v>2354</v>
      </c>
      <c r="M233" s="1006" t="s">
        <v>4037</v>
      </c>
      <c r="N233" s="1009" t="s">
        <v>2231</v>
      </c>
      <c r="O233" s="1006" t="s">
        <v>4128</v>
      </c>
      <c r="P233" s="1009" t="s">
        <v>2244</v>
      </c>
      <c r="Q233" s="1006" t="s">
        <v>4038</v>
      </c>
      <c r="R233" s="1009" t="s">
        <v>2245</v>
      </c>
      <c r="S233" s="1006" t="s">
        <v>4038</v>
      </c>
      <c r="T233" s="1010" t="s">
        <v>2570</v>
      </c>
      <c r="U233" s="952" t="s">
        <v>3914</v>
      </c>
      <c r="V233" s="952" t="s">
        <v>3914</v>
      </c>
      <c r="W233" s="1007"/>
    </row>
    <row r="234" spans="1:23" x14ac:dyDescent="0.2">
      <c r="A234" s="1006" t="s">
        <v>4748</v>
      </c>
      <c r="B234" s="1007">
        <v>6</v>
      </c>
      <c r="C234" s="1007">
        <v>9</v>
      </c>
      <c r="D234" s="1007">
        <v>25</v>
      </c>
      <c r="E234" s="1007">
        <v>8</v>
      </c>
      <c r="F234" s="1007">
        <v>16</v>
      </c>
      <c r="G234" s="1007">
        <v>28</v>
      </c>
      <c r="H234" s="1007">
        <v>1</v>
      </c>
      <c r="I234" s="1008" t="s">
        <v>3989</v>
      </c>
      <c r="J234" s="1008" t="s">
        <v>2431</v>
      </c>
      <c r="K234" s="1007" t="s">
        <v>2226</v>
      </c>
      <c r="L234" s="1009" t="s">
        <v>2354</v>
      </c>
      <c r="M234" s="1006" t="s">
        <v>4037</v>
      </c>
      <c r="N234" s="1009" t="s">
        <v>2231</v>
      </c>
      <c r="O234" s="1006" t="s">
        <v>4128</v>
      </c>
      <c r="P234" s="1009" t="s">
        <v>2244</v>
      </c>
      <c r="Q234" s="1006" t="s">
        <v>4038</v>
      </c>
      <c r="R234" s="1009" t="s">
        <v>2245</v>
      </c>
      <c r="S234" s="1006" t="s">
        <v>4038</v>
      </c>
      <c r="T234" s="1010" t="s">
        <v>2570</v>
      </c>
      <c r="U234" s="952" t="s">
        <v>3914</v>
      </c>
      <c r="V234" s="952" t="s">
        <v>3914</v>
      </c>
      <c r="W234" s="1007"/>
    </row>
    <row r="235" spans="1:23" x14ac:dyDescent="0.2">
      <c r="A235" s="1006" t="s">
        <v>4749</v>
      </c>
      <c r="B235" s="1007">
        <v>7</v>
      </c>
      <c r="C235" s="1007">
        <v>10</v>
      </c>
      <c r="D235" s="1007">
        <v>30</v>
      </c>
      <c r="E235" s="1007">
        <v>10</v>
      </c>
      <c r="F235" s="1007">
        <v>20</v>
      </c>
      <c r="G235" s="1007">
        <v>35</v>
      </c>
      <c r="H235" s="1007">
        <v>2</v>
      </c>
      <c r="I235" s="1008" t="s">
        <v>3989</v>
      </c>
      <c r="J235" s="1008" t="s">
        <v>2431</v>
      </c>
      <c r="K235" s="1007" t="s">
        <v>2226</v>
      </c>
      <c r="L235" s="1009" t="s">
        <v>2354</v>
      </c>
      <c r="M235" s="1006" t="s">
        <v>4037</v>
      </c>
      <c r="N235" s="1009" t="s">
        <v>2231</v>
      </c>
      <c r="O235" s="1006" t="s">
        <v>4128</v>
      </c>
      <c r="P235" s="1009" t="s">
        <v>2244</v>
      </c>
      <c r="Q235" s="1006" t="s">
        <v>4038</v>
      </c>
      <c r="R235" s="1009" t="s">
        <v>2245</v>
      </c>
      <c r="S235" s="1006" t="s">
        <v>4038</v>
      </c>
      <c r="T235" s="1010" t="s">
        <v>2570</v>
      </c>
      <c r="U235" s="952" t="s">
        <v>3914</v>
      </c>
      <c r="V235" s="952" t="s">
        <v>3914</v>
      </c>
      <c r="W235" s="1007"/>
    </row>
    <row r="236" spans="1:23" x14ac:dyDescent="0.2">
      <c r="A236" s="1006" t="s">
        <v>4750</v>
      </c>
      <c r="B236" s="1007">
        <v>8</v>
      </c>
      <c r="C236" s="1007">
        <v>11</v>
      </c>
      <c r="D236" s="1007">
        <v>35</v>
      </c>
      <c r="E236" s="1007">
        <v>12</v>
      </c>
      <c r="F236" s="1007">
        <v>24</v>
      </c>
      <c r="G236" s="1007">
        <v>42</v>
      </c>
      <c r="H236" s="1007">
        <v>3</v>
      </c>
      <c r="I236" s="1008" t="s">
        <v>3989</v>
      </c>
      <c r="J236" s="1008" t="s">
        <v>2431</v>
      </c>
      <c r="K236" s="1007" t="s">
        <v>2226</v>
      </c>
      <c r="L236" s="1009" t="s">
        <v>2354</v>
      </c>
      <c r="M236" s="1006" t="s">
        <v>4037</v>
      </c>
      <c r="N236" s="1009" t="s">
        <v>2231</v>
      </c>
      <c r="O236" s="1006" t="s">
        <v>4128</v>
      </c>
      <c r="P236" s="1009" t="s">
        <v>2244</v>
      </c>
      <c r="Q236" s="1006" t="s">
        <v>4038</v>
      </c>
      <c r="R236" s="1009" t="s">
        <v>2245</v>
      </c>
      <c r="S236" s="1006" t="s">
        <v>4038</v>
      </c>
      <c r="T236" s="1010" t="s">
        <v>2570</v>
      </c>
      <c r="U236" s="952" t="s">
        <v>3914</v>
      </c>
      <c r="V236" s="952" t="s">
        <v>3914</v>
      </c>
      <c r="W236" s="1007"/>
    </row>
    <row r="237" spans="1:23" x14ac:dyDescent="0.2">
      <c r="A237" s="1012" t="s">
        <v>4730</v>
      </c>
      <c r="B237" s="1013"/>
      <c r="C237" s="1013"/>
      <c r="D237" s="1013"/>
      <c r="E237" s="1013"/>
      <c r="F237" s="1013"/>
      <c r="G237" s="1013"/>
      <c r="H237" s="1013"/>
      <c r="I237" s="1013"/>
      <c r="J237" s="1013"/>
      <c r="K237" s="1013"/>
      <c r="L237" s="1014"/>
      <c r="M237" s="1013"/>
      <c r="N237" s="1013"/>
      <c r="O237" s="1013"/>
      <c r="P237" s="1013"/>
      <c r="Q237" s="1013"/>
      <c r="R237" s="1013"/>
      <c r="S237" s="1013"/>
      <c r="T237" s="1013"/>
      <c r="U237" s="1013"/>
      <c r="V237" s="1013"/>
      <c r="W237" s="1007"/>
    </row>
    <row r="238" spans="1:23" x14ac:dyDescent="0.2">
      <c r="A238" s="1006" t="s">
        <v>4731</v>
      </c>
      <c r="B238" s="1007">
        <v>6</v>
      </c>
      <c r="C238" s="1007">
        <v>6</v>
      </c>
      <c r="D238" s="1007">
        <v>20</v>
      </c>
      <c r="E238" s="1007">
        <v>2</v>
      </c>
      <c r="F238" s="1007">
        <v>4</v>
      </c>
      <c r="G238" s="1007">
        <v>7</v>
      </c>
      <c r="H238" s="1007"/>
      <c r="I238" s="1007"/>
      <c r="J238" s="1007"/>
      <c r="K238" s="1007"/>
      <c r="L238" s="1016"/>
      <c r="M238" s="1007"/>
      <c r="N238" s="1007"/>
      <c r="O238" s="1007"/>
      <c r="P238" s="1007"/>
      <c r="Q238" s="1007"/>
      <c r="R238" s="1007"/>
      <c r="S238" s="1007"/>
      <c r="T238" s="1007"/>
      <c r="U238" s="1007"/>
      <c r="V238" s="1007"/>
      <c r="W238" s="1007"/>
    </row>
    <row r="239" spans="1:23" x14ac:dyDescent="0.2">
      <c r="A239" s="848" t="s">
        <v>4098</v>
      </c>
      <c r="B239" s="1026"/>
      <c r="C239" s="1026"/>
      <c r="D239" s="1026"/>
      <c r="E239" s="1026"/>
      <c r="F239" s="1026"/>
      <c r="G239" s="1026"/>
      <c r="H239" s="1026"/>
      <c r="I239" s="1026"/>
      <c r="J239" s="1026"/>
      <c r="K239" s="1026"/>
      <c r="L239" s="1027"/>
      <c r="M239" s="1026"/>
      <c r="N239" s="1026"/>
      <c r="O239" s="1026"/>
      <c r="P239" s="1026"/>
      <c r="Q239" s="1026"/>
      <c r="R239" s="1026"/>
      <c r="S239" s="1026"/>
      <c r="T239" s="1026"/>
      <c r="U239" s="1026"/>
      <c r="V239" s="1026"/>
      <c r="W239" s="1007"/>
    </row>
    <row r="240" spans="1:23" x14ac:dyDescent="0.2">
      <c r="A240" s="1006" t="s">
        <v>4751</v>
      </c>
      <c r="B240" s="1007">
        <v>1</v>
      </c>
      <c r="C240" s="1007">
        <v>2</v>
      </c>
      <c r="D240" s="1007">
        <v>5</v>
      </c>
      <c r="E240" s="1007">
        <v>1</v>
      </c>
      <c r="F240" s="1007">
        <v>2</v>
      </c>
      <c r="G240" s="1007">
        <v>4</v>
      </c>
      <c r="H240" s="1007">
        <v>1</v>
      </c>
      <c r="I240" s="1008" t="s">
        <v>3994</v>
      </c>
      <c r="J240" s="1008" t="s">
        <v>4752</v>
      </c>
      <c r="K240" s="1007" t="s">
        <v>2231</v>
      </c>
      <c r="L240" s="1009" t="s">
        <v>2226</v>
      </c>
      <c r="M240" s="1006" t="s">
        <v>4128</v>
      </c>
      <c r="N240" s="1009" t="s">
        <v>2354</v>
      </c>
      <c r="O240" s="1006" t="s">
        <v>4128</v>
      </c>
      <c r="P240" s="1009" t="s">
        <v>2244</v>
      </c>
      <c r="Q240" s="1006" t="s">
        <v>4038</v>
      </c>
      <c r="R240" s="1009" t="s">
        <v>2245</v>
      </c>
      <c r="S240" s="1006" t="s">
        <v>4037</v>
      </c>
      <c r="T240" s="1010" t="s">
        <v>2472</v>
      </c>
      <c r="U240" s="952" t="s">
        <v>3914</v>
      </c>
      <c r="V240" s="952" t="s">
        <v>3914</v>
      </c>
      <c r="W240" s="1007"/>
    </row>
    <row r="241" spans="1:23" x14ac:dyDescent="0.2">
      <c r="A241" s="1006" t="s">
        <v>4753</v>
      </c>
      <c r="B241" s="1007">
        <v>2</v>
      </c>
      <c r="C241" s="1007">
        <v>4</v>
      </c>
      <c r="D241" s="1007">
        <v>5</v>
      </c>
      <c r="E241" s="1007">
        <v>2</v>
      </c>
      <c r="F241" s="1007">
        <v>4</v>
      </c>
      <c r="G241" s="1007">
        <v>7</v>
      </c>
      <c r="H241" s="1007">
        <v>1</v>
      </c>
      <c r="I241" s="1008" t="s">
        <v>3994</v>
      </c>
      <c r="J241" s="1008" t="s">
        <v>4752</v>
      </c>
      <c r="K241" s="1007" t="s">
        <v>2231</v>
      </c>
      <c r="L241" s="1009" t="s">
        <v>2226</v>
      </c>
      <c r="M241" s="1006" t="s">
        <v>4128</v>
      </c>
      <c r="N241" s="1009" t="s">
        <v>2354</v>
      </c>
      <c r="O241" s="1006" t="s">
        <v>4128</v>
      </c>
      <c r="P241" s="1009" t="s">
        <v>2244</v>
      </c>
      <c r="Q241" s="1006" t="s">
        <v>4038</v>
      </c>
      <c r="R241" s="1009" t="s">
        <v>2245</v>
      </c>
      <c r="S241" s="1006" t="s">
        <v>4037</v>
      </c>
      <c r="T241" s="1010" t="s">
        <v>2472</v>
      </c>
      <c r="U241" s="952" t="s">
        <v>3914</v>
      </c>
      <c r="V241" s="952" t="s">
        <v>3914</v>
      </c>
      <c r="W241" s="1007"/>
    </row>
    <row r="242" spans="1:23" x14ac:dyDescent="0.2">
      <c r="A242" s="1006" t="s">
        <v>4754</v>
      </c>
      <c r="B242" s="1007">
        <v>3</v>
      </c>
      <c r="C242" s="1007">
        <v>5</v>
      </c>
      <c r="D242" s="1007">
        <v>10</v>
      </c>
      <c r="E242" s="1007">
        <v>3</v>
      </c>
      <c r="F242" s="1007">
        <v>6</v>
      </c>
      <c r="G242" s="1007">
        <v>11</v>
      </c>
      <c r="H242" s="1007">
        <v>1</v>
      </c>
      <c r="I242" s="1008" t="s">
        <v>3994</v>
      </c>
      <c r="J242" s="1008" t="s">
        <v>4752</v>
      </c>
      <c r="K242" s="1007" t="s">
        <v>2231</v>
      </c>
      <c r="L242" s="1009" t="s">
        <v>2226</v>
      </c>
      <c r="M242" s="1006" t="s">
        <v>4128</v>
      </c>
      <c r="N242" s="1009" t="s">
        <v>2354</v>
      </c>
      <c r="O242" s="1006" t="s">
        <v>4128</v>
      </c>
      <c r="P242" s="1009" t="s">
        <v>2244</v>
      </c>
      <c r="Q242" s="1006" t="s">
        <v>4038</v>
      </c>
      <c r="R242" s="1009" t="s">
        <v>2245</v>
      </c>
      <c r="S242" s="1006" t="s">
        <v>4037</v>
      </c>
      <c r="T242" s="1010" t="s">
        <v>2472</v>
      </c>
      <c r="U242" s="952" t="s">
        <v>3914</v>
      </c>
      <c r="V242" s="952" t="s">
        <v>3914</v>
      </c>
      <c r="W242" s="1007"/>
    </row>
    <row r="243" spans="1:23" x14ac:dyDescent="0.2">
      <c r="A243" s="1006" t="s">
        <v>4755</v>
      </c>
      <c r="B243" s="1007">
        <v>4</v>
      </c>
      <c r="C243" s="1007">
        <v>6</v>
      </c>
      <c r="D243" s="1007">
        <v>15</v>
      </c>
      <c r="E243" s="1007">
        <v>4</v>
      </c>
      <c r="F243" s="1007">
        <v>8</v>
      </c>
      <c r="G243" s="1007">
        <v>14</v>
      </c>
      <c r="H243" s="1007">
        <v>1</v>
      </c>
      <c r="I243" s="1008" t="s">
        <v>3994</v>
      </c>
      <c r="J243" s="1008" t="s">
        <v>4752</v>
      </c>
      <c r="K243" s="1007" t="s">
        <v>2231</v>
      </c>
      <c r="L243" s="1009" t="s">
        <v>2226</v>
      </c>
      <c r="M243" s="1006" t="s">
        <v>4128</v>
      </c>
      <c r="N243" s="1009" t="s">
        <v>2354</v>
      </c>
      <c r="O243" s="1006" t="s">
        <v>4128</v>
      </c>
      <c r="P243" s="1009" t="s">
        <v>2244</v>
      </c>
      <c r="Q243" s="1006" t="s">
        <v>4038</v>
      </c>
      <c r="R243" s="1009" t="s">
        <v>2245</v>
      </c>
      <c r="S243" s="1006" t="s">
        <v>4037</v>
      </c>
      <c r="T243" s="1010" t="s">
        <v>2472</v>
      </c>
      <c r="U243" s="952" t="s">
        <v>3914</v>
      </c>
      <c r="V243" s="952" t="s">
        <v>3914</v>
      </c>
      <c r="W243" s="1007"/>
    </row>
    <row r="244" spans="1:23" x14ac:dyDescent="0.2">
      <c r="A244" s="1006" t="s">
        <v>4756</v>
      </c>
      <c r="B244" s="1007">
        <v>5</v>
      </c>
      <c r="C244" s="1007">
        <v>8</v>
      </c>
      <c r="D244" s="1007">
        <v>20</v>
      </c>
      <c r="E244" s="1007">
        <v>6</v>
      </c>
      <c r="F244" s="1007">
        <v>12</v>
      </c>
      <c r="G244" s="1007">
        <v>21</v>
      </c>
      <c r="H244" s="1007">
        <v>1</v>
      </c>
      <c r="I244" s="1008" t="s">
        <v>3994</v>
      </c>
      <c r="J244" s="1008" t="s">
        <v>4752</v>
      </c>
      <c r="K244" s="1007" t="s">
        <v>2231</v>
      </c>
      <c r="L244" s="1009" t="s">
        <v>2226</v>
      </c>
      <c r="M244" s="1006" t="s">
        <v>4128</v>
      </c>
      <c r="N244" s="1009" t="s">
        <v>2354</v>
      </c>
      <c r="O244" s="1006" t="s">
        <v>4128</v>
      </c>
      <c r="P244" s="1009" t="s">
        <v>2244</v>
      </c>
      <c r="Q244" s="1006" t="s">
        <v>4038</v>
      </c>
      <c r="R244" s="1009" t="s">
        <v>2245</v>
      </c>
      <c r="S244" s="1006" t="s">
        <v>4037</v>
      </c>
      <c r="T244" s="1010" t="s">
        <v>2472</v>
      </c>
      <c r="U244" s="952" t="s">
        <v>3914</v>
      </c>
      <c r="V244" s="952" t="s">
        <v>3914</v>
      </c>
      <c r="W244" s="1007"/>
    </row>
    <row r="245" spans="1:23" x14ac:dyDescent="0.2">
      <c r="A245" s="1006" t="s">
        <v>4757</v>
      </c>
      <c r="B245" s="1007">
        <v>6</v>
      </c>
      <c r="C245" s="1007">
        <v>9</v>
      </c>
      <c r="D245" s="1007">
        <v>25</v>
      </c>
      <c r="E245" s="1007">
        <v>8</v>
      </c>
      <c r="F245" s="1007">
        <v>16</v>
      </c>
      <c r="G245" s="1007">
        <v>28</v>
      </c>
      <c r="H245" s="1007">
        <v>1</v>
      </c>
      <c r="I245" s="1008" t="s">
        <v>3994</v>
      </c>
      <c r="J245" s="1008" t="s">
        <v>4752</v>
      </c>
      <c r="K245" s="1007" t="s">
        <v>2231</v>
      </c>
      <c r="L245" s="1009" t="s">
        <v>2226</v>
      </c>
      <c r="M245" s="1006" t="s">
        <v>4128</v>
      </c>
      <c r="N245" s="1009" t="s">
        <v>2354</v>
      </c>
      <c r="O245" s="1006" t="s">
        <v>4128</v>
      </c>
      <c r="P245" s="1009" t="s">
        <v>2244</v>
      </c>
      <c r="Q245" s="1006" t="s">
        <v>4038</v>
      </c>
      <c r="R245" s="1009" t="s">
        <v>2245</v>
      </c>
      <c r="S245" s="1006" t="s">
        <v>4037</v>
      </c>
      <c r="T245" s="1010" t="s">
        <v>2472</v>
      </c>
      <c r="U245" s="952" t="s">
        <v>3914</v>
      </c>
      <c r="V245" s="952" t="s">
        <v>3914</v>
      </c>
      <c r="W245" s="1007"/>
    </row>
    <row r="246" spans="1:23" x14ac:dyDescent="0.2">
      <c r="A246" s="1006" t="s">
        <v>4758</v>
      </c>
      <c r="B246" s="1007">
        <v>7</v>
      </c>
      <c r="C246" s="1007">
        <v>10</v>
      </c>
      <c r="D246" s="1007">
        <v>30</v>
      </c>
      <c r="E246" s="1007">
        <v>10</v>
      </c>
      <c r="F246" s="1007">
        <v>20</v>
      </c>
      <c r="G246" s="1007">
        <v>35</v>
      </c>
      <c r="H246" s="1007">
        <v>2</v>
      </c>
      <c r="I246" s="1008" t="s">
        <v>3994</v>
      </c>
      <c r="J246" s="1008" t="s">
        <v>4752</v>
      </c>
      <c r="K246" s="1007" t="s">
        <v>2231</v>
      </c>
      <c r="L246" s="1009" t="s">
        <v>2226</v>
      </c>
      <c r="M246" s="1006" t="s">
        <v>4128</v>
      </c>
      <c r="N246" s="1009" t="s">
        <v>2354</v>
      </c>
      <c r="O246" s="1006" t="s">
        <v>4128</v>
      </c>
      <c r="P246" s="1009" t="s">
        <v>2244</v>
      </c>
      <c r="Q246" s="1006" t="s">
        <v>4038</v>
      </c>
      <c r="R246" s="1009" t="s">
        <v>2245</v>
      </c>
      <c r="S246" s="1006" t="s">
        <v>4037</v>
      </c>
      <c r="T246" s="1010" t="s">
        <v>2472</v>
      </c>
      <c r="U246" s="952" t="s">
        <v>3914</v>
      </c>
      <c r="V246" s="952" t="s">
        <v>3914</v>
      </c>
      <c r="W246" s="1007"/>
    </row>
    <row r="247" spans="1:23" x14ac:dyDescent="0.2">
      <c r="A247" s="1006" t="s">
        <v>4759</v>
      </c>
      <c r="B247" s="1007">
        <v>8</v>
      </c>
      <c r="C247" s="1007">
        <v>11</v>
      </c>
      <c r="D247" s="1007">
        <v>35</v>
      </c>
      <c r="E247" s="1007">
        <v>12</v>
      </c>
      <c r="F247" s="1007">
        <v>24</v>
      </c>
      <c r="G247" s="1007">
        <v>42</v>
      </c>
      <c r="H247" s="1007">
        <v>3</v>
      </c>
      <c r="I247" s="1008" t="s">
        <v>3994</v>
      </c>
      <c r="J247" s="1008" t="s">
        <v>4752</v>
      </c>
      <c r="K247" s="1007" t="s">
        <v>2231</v>
      </c>
      <c r="L247" s="1009" t="s">
        <v>2226</v>
      </c>
      <c r="M247" s="1006" t="s">
        <v>4128</v>
      </c>
      <c r="N247" s="1009" t="s">
        <v>2354</v>
      </c>
      <c r="O247" s="1006" t="s">
        <v>4128</v>
      </c>
      <c r="P247" s="1009" t="s">
        <v>2244</v>
      </c>
      <c r="Q247" s="1006" t="s">
        <v>4038</v>
      </c>
      <c r="R247" s="1009" t="s">
        <v>2245</v>
      </c>
      <c r="S247" s="1006" t="s">
        <v>4037</v>
      </c>
      <c r="T247" s="1010" t="s">
        <v>2472</v>
      </c>
      <c r="U247" s="952" t="s">
        <v>3914</v>
      </c>
      <c r="V247" s="952" t="s">
        <v>3914</v>
      </c>
      <c r="W247" s="1007"/>
    </row>
    <row r="248" spans="1:23" x14ac:dyDescent="0.2">
      <c r="A248" s="1012" t="s">
        <v>4730</v>
      </c>
      <c r="B248" s="1013"/>
      <c r="C248" s="1013"/>
      <c r="D248" s="1013"/>
      <c r="E248" s="1013"/>
      <c r="F248" s="1013"/>
      <c r="G248" s="1013"/>
      <c r="H248" s="1013"/>
      <c r="I248" s="1013"/>
      <c r="J248" s="1013"/>
      <c r="K248" s="1013"/>
      <c r="L248" s="1014"/>
      <c r="M248" s="1013"/>
      <c r="N248" s="1013"/>
      <c r="O248" s="1013"/>
      <c r="P248" s="1013"/>
      <c r="Q248" s="1013"/>
      <c r="R248" s="1013"/>
      <c r="S248" s="1013"/>
      <c r="T248" s="1013"/>
      <c r="U248" s="1013"/>
      <c r="V248" s="1013"/>
      <c r="W248" s="1007"/>
    </row>
    <row r="249" spans="1:23" x14ac:dyDescent="0.2">
      <c r="A249" s="1006" t="s">
        <v>4731</v>
      </c>
      <c r="B249" s="1007">
        <v>6</v>
      </c>
      <c r="C249" s="1007">
        <v>6</v>
      </c>
      <c r="D249" s="1007">
        <v>20</v>
      </c>
      <c r="E249" s="1007">
        <v>1</v>
      </c>
      <c r="F249" s="1007">
        <v>2</v>
      </c>
      <c r="G249" s="1007">
        <v>4</v>
      </c>
      <c r="H249" s="1007"/>
      <c r="I249" s="1007"/>
      <c r="J249" s="1007"/>
      <c r="K249" s="1007"/>
      <c r="L249" s="1016"/>
      <c r="M249" s="1007"/>
      <c r="N249" s="1007"/>
      <c r="O249" s="1007"/>
      <c r="P249" s="1007"/>
      <c r="Q249" s="1007"/>
      <c r="R249" s="1007"/>
      <c r="S249" s="1007"/>
      <c r="T249" s="1007"/>
      <c r="U249" s="952" t="s">
        <v>3914</v>
      </c>
      <c r="V249" s="952" t="s">
        <v>3914</v>
      </c>
      <c r="W249" s="1007"/>
    </row>
    <row r="250" spans="1:23" x14ac:dyDescent="0.2">
      <c r="A250" s="841" t="s">
        <v>4101</v>
      </c>
      <c r="B250" s="1030"/>
      <c r="C250" s="1030"/>
      <c r="D250" s="1030"/>
      <c r="E250" s="1030"/>
      <c r="F250" s="1030"/>
      <c r="G250" s="1030"/>
      <c r="H250" s="1030"/>
      <c r="I250" s="1030"/>
      <c r="J250" s="1030"/>
      <c r="K250" s="1030"/>
      <c r="L250" s="1031"/>
      <c r="M250" s="1030"/>
      <c r="N250" s="1030"/>
      <c r="O250" s="1030"/>
      <c r="P250" s="1030"/>
      <c r="Q250" s="1030"/>
      <c r="R250" s="1030"/>
      <c r="S250" s="1030"/>
      <c r="T250" s="1030"/>
      <c r="U250" s="1030"/>
      <c r="V250" s="1030"/>
      <c r="W250" s="1007"/>
    </row>
    <row r="251" spans="1:23" x14ac:dyDescent="0.2">
      <c r="A251" s="848" t="s">
        <v>4106</v>
      </c>
      <c r="B251" s="1026"/>
      <c r="C251" s="1026"/>
      <c r="D251" s="1026"/>
      <c r="E251" s="1026"/>
      <c r="F251" s="1026"/>
      <c r="G251" s="1026"/>
      <c r="H251" s="1026"/>
      <c r="I251" s="1026"/>
      <c r="J251" s="1026"/>
      <c r="K251" s="1026"/>
      <c r="L251" s="1027"/>
      <c r="M251" s="1026"/>
      <c r="N251" s="1026"/>
      <c r="O251" s="1026"/>
      <c r="P251" s="1026"/>
      <c r="Q251" s="1026"/>
      <c r="R251" s="1026"/>
      <c r="S251" s="1026"/>
      <c r="T251" s="1026"/>
      <c r="U251" s="1026"/>
      <c r="V251" s="1026"/>
      <c r="W251" s="1007"/>
    </row>
    <row r="252" spans="1:23" x14ac:dyDescent="0.2">
      <c r="A252" s="1006" t="s">
        <v>4760</v>
      </c>
      <c r="B252" s="1007">
        <v>1</v>
      </c>
      <c r="C252" s="1007">
        <v>2</v>
      </c>
      <c r="D252" s="1007">
        <v>5</v>
      </c>
      <c r="E252" s="1007">
        <v>1</v>
      </c>
      <c r="F252" s="1007">
        <v>2</v>
      </c>
      <c r="G252" s="1007">
        <v>4</v>
      </c>
      <c r="H252" s="1007">
        <v>1</v>
      </c>
      <c r="I252" s="1008" t="s">
        <v>3994</v>
      </c>
      <c r="J252" s="1008" t="s">
        <v>4752</v>
      </c>
      <c r="K252" s="1007" t="s">
        <v>2226</v>
      </c>
      <c r="L252" s="1009" t="s">
        <v>2354</v>
      </c>
      <c r="M252" s="1006" t="s">
        <v>4037</v>
      </c>
      <c r="N252" s="1009" t="s">
        <v>2231</v>
      </c>
      <c r="O252" s="1006" t="s">
        <v>4128</v>
      </c>
      <c r="P252" s="1009" t="s">
        <v>2244</v>
      </c>
      <c r="Q252" s="1006" t="s">
        <v>4038</v>
      </c>
      <c r="R252" s="1009" t="s">
        <v>2245</v>
      </c>
      <c r="S252" s="1006" t="s">
        <v>4038</v>
      </c>
      <c r="T252" s="1010" t="s">
        <v>2472</v>
      </c>
      <c r="U252" s="952" t="s">
        <v>3914</v>
      </c>
      <c r="V252" s="952" t="s">
        <v>3914</v>
      </c>
      <c r="W252" s="1007"/>
    </row>
    <row r="253" spans="1:23" x14ac:dyDescent="0.2">
      <c r="A253" s="1006" t="s">
        <v>4761</v>
      </c>
      <c r="B253" s="1007">
        <v>2</v>
      </c>
      <c r="C253" s="1007">
        <v>4</v>
      </c>
      <c r="D253" s="1007">
        <v>10</v>
      </c>
      <c r="E253" s="1007">
        <v>1</v>
      </c>
      <c r="F253" s="1007">
        <v>2</v>
      </c>
      <c r="G253" s="1007">
        <v>4</v>
      </c>
      <c r="H253" s="1007">
        <v>1</v>
      </c>
      <c r="I253" s="1008" t="s">
        <v>3994</v>
      </c>
      <c r="J253" s="1008" t="s">
        <v>4752</v>
      </c>
      <c r="K253" s="1007" t="s">
        <v>2226</v>
      </c>
      <c r="L253" s="1009" t="s">
        <v>2354</v>
      </c>
      <c r="M253" s="1006" t="s">
        <v>4037</v>
      </c>
      <c r="N253" s="1009" t="s">
        <v>2231</v>
      </c>
      <c r="O253" s="1006" t="s">
        <v>4128</v>
      </c>
      <c r="P253" s="1009" t="s">
        <v>2244</v>
      </c>
      <c r="Q253" s="1006" t="s">
        <v>4038</v>
      </c>
      <c r="R253" s="1009" t="s">
        <v>2245</v>
      </c>
      <c r="S253" s="1006" t="s">
        <v>4038</v>
      </c>
      <c r="T253" s="1010" t="s">
        <v>2472</v>
      </c>
      <c r="U253" s="952" t="s">
        <v>3914</v>
      </c>
      <c r="V253" s="952" t="s">
        <v>3914</v>
      </c>
      <c r="W253" s="1007"/>
    </row>
    <row r="254" spans="1:23" x14ac:dyDescent="0.2">
      <c r="A254" s="1006" t="s">
        <v>4762</v>
      </c>
      <c r="B254" s="1007">
        <v>4</v>
      </c>
      <c r="C254" s="1007">
        <v>6</v>
      </c>
      <c r="D254" s="1007">
        <v>15</v>
      </c>
      <c r="E254" s="1007">
        <v>2</v>
      </c>
      <c r="F254" s="1007">
        <v>4</v>
      </c>
      <c r="G254" s="1007">
        <v>7</v>
      </c>
      <c r="H254" s="1007">
        <v>1</v>
      </c>
      <c r="I254" s="1008" t="s">
        <v>3994</v>
      </c>
      <c r="J254" s="1008" t="s">
        <v>4752</v>
      </c>
      <c r="K254" s="1007" t="s">
        <v>2226</v>
      </c>
      <c r="L254" s="1009" t="s">
        <v>2354</v>
      </c>
      <c r="M254" s="1006" t="s">
        <v>4037</v>
      </c>
      <c r="N254" s="1009" t="s">
        <v>2231</v>
      </c>
      <c r="O254" s="1006" t="s">
        <v>4128</v>
      </c>
      <c r="P254" s="1009" t="s">
        <v>2244</v>
      </c>
      <c r="Q254" s="1006" t="s">
        <v>4038</v>
      </c>
      <c r="R254" s="1009" t="s">
        <v>2245</v>
      </c>
      <c r="S254" s="1006" t="s">
        <v>4038</v>
      </c>
      <c r="T254" s="1010" t="s">
        <v>2472</v>
      </c>
      <c r="U254" s="952" t="s">
        <v>3914</v>
      </c>
      <c r="V254" s="952" t="s">
        <v>3914</v>
      </c>
      <c r="W254" s="1007"/>
    </row>
    <row r="255" spans="1:23" x14ac:dyDescent="0.2">
      <c r="A255" s="1006" t="s">
        <v>4763</v>
      </c>
      <c r="B255" s="1007">
        <v>6</v>
      </c>
      <c r="C255" s="1007">
        <v>9</v>
      </c>
      <c r="D255" s="1007">
        <v>20</v>
      </c>
      <c r="E255" s="1007">
        <v>3</v>
      </c>
      <c r="F255" s="1007">
        <v>6</v>
      </c>
      <c r="G255" s="1007">
        <v>11</v>
      </c>
      <c r="H255" s="1007">
        <v>1</v>
      </c>
      <c r="I255" s="1008" t="s">
        <v>3994</v>
      </c>
      <c r="J255" s="1008" t="s">
        <v>4752</v>
      </c>
      <c r="K255" s="1007" t="s">
        <v>2226</v>
      </c>
      <c r="L255" s="1009" t="s">
        <v>2354</v>
      </c>
      <c r="M255" s="1006" t="s">
        <v>4037</v>
      </c>
      <c r="N255" s="1009" t="s">
        <v>2231</v>
      </c>
      <c r="O255" s="1006" t="s">
        <v>4128</v>
      </c>
      <c r="P255" s="1009" t="s">
        <v>2244</v>
      </c>
      <c r="Q255" s="1006" t="s">
        <v>4038</v>
      </c>
      <c r="R255" s="1009" t="s">
        <v>2245</v>
      </c>
      <c r="S255" s="1006" t="s">
        <v>4038</v>
      </c>
      <c r="T255" s="1010" t="s">
        <v>2472</v>
      </c>
      <c r="U255" s="952" t="s">
        <v>3914</v>
      </c>
      <c r="V255" s="952" t="s">
        <v>3914</v>
      </c>
      <c r="W255" s="1007"/>
    </row>
    <row r="256" spans="1:23" x14ac:dyDescent="0.2">
      <c r="A256" s="1006" t="s">
        <v>4764</v>
      </c>
      <c r="B256" s="1007">
        <v>8</v>
      </c>
      <c r="C256" s="1007">
        <v>11</v>
      </c>
      <c r="D256" s="1007">
        <v>25</v>
      </c>
      <c r="E256" s="1007">
        <v>4</v>
      </c>
      <c r="F256" s="1007">
        <v>8</v>
      </c>
      <c r="G256" s="1007">
        <v>14</v>
      </c>
      <c r="H256" s="1007">
        <v>2</v>
      </c>
      <c r="I256" s="1008" t="s">
        <v>3994</v>
      </c>
      <c r="J256" s="1008" t="s">
        <v>4752</v>
      </c>
      <c r="K256" s="1007" t="s">
        <v>2226</v>
      </c>
      <c r="L256" s="1009" t="s">
        <v>2354</v>
      </c>
      <c r="M256" s="1006" t="s">
        <v>4037</v>
      </c>
      <c r="N256" s="1009" t="s">
        <v>2231</v>
      </c>
      <c r="O256" s="1006" t="s">
        <v>4128</v>
      </c>
      <c r="P256" s="1009" t="s">
        <v>2244</v>
      </c>
      <c r="Q256" s="1006" t="s">
        <v>4038</v>
      </c>
      <c r="R256" s="1009" t="s">
        <v>2245</v>
      </c>
      <c r="S256" s="1006" t="s">
        <v>4038</v>
      </c>
      <c r="T256" s="1010" t="s">
        <v>2472</v>
      </c>
      <c r="U256" s="952" t="s">
        <v>3914</v>
      </c>
      <c r="V256" s="952" t="s">
        <v>3914</v>
      </c>
      <c r="W256" s="1007"/>
    </row>
    <row r="257" spans="1:23" x14ac:dyDescent="0.2">
      <c r="A257" s="1006" t="s">
        <v>4765</v>
      </c>
      <c r="B257" s="1007">
        <v>10</v>
      </c>
      <c r="C257" s="1007">
        <v>13</v>
      </c>
      <c r="D257" s="1007">
        <v>30</v>
      </c>
      <c r="E257" s="1007">
        <v>5</v>
      </c>
      <c r="F257" s="1007">
        <v>10</v>
      </c>
      <c r="G257" s="1007">
        <v>18</v>
      </c>
      <c r="H257" s="1007">
        <v>2</v>
      </c>
      <c r="I257" s="1008" t="s">
        <v>3994</v>
      </c>
      <c r="J257" s="1008" t="s">
        <v>4752</v>
      </c>
      <c r="K257" s="1007" t="s">
        <v>2226</v>
      </c>
      <c r="L257" s="1009" t="s">
        <v>2354</v>
      </c>
      <c r="M257" s="1006" t="s">
        <v>4037</v>
      </c>
      <c r="N257" s="1009" t="s">
        <v>2231</v>
      </c>
      <c r="O257" s="1006" t="s">
        <v>4128</v>
      </c>
      <c r="P257" s="1009" t="s">
        <v>2244</v>
      </c>
      <c r="Q257" s="1006" t="s">
        <v>4038</v>
      </c>
      <c r="R257" s="1009" t="s">
        <v>2245</v>
      </c>
      <c r="S257" s="1006" t="s">
        <v>4038</v>
      </c>
      <c r="T257" s="1010" t="s">
        <v>2472</v>
      </c>
      <c r="U257" s="952" t="s">
        <v>3914</v>
      </c>
      <c r="V257" s="952" t="s">
        <v>3914</v>
      </c>
      <c r="W257" s="1007"/>
    </row>
    <row r="258" spans="1:23" x14ac:dyDescent="0.2">
      <c r="A258" s="1006" t="s">
        <v>4766</v>
      </c>
      <c r="B258" s="1007">
        <v>12</v>
      </c>
      <c r="C258" s="1007">
        <v>15</v>
      </c>
      <c r="D258" s="1007">
        <v>35</v>
      </c>
      <c r="E258" s="1007">
        <v>6</v>
      </c>
      <c r="F258" s="1007">
        <v>12</v>
      </c>
      <c r="G258" s="1007">
        <v>21</v>
      </c>
      <c r="H258" s="1007">
        <v>3</v>
      </c>
      <c r="I258" s="1008" t="s">
        <v>3994</v>
      </c>
      <c r="J258" s="1008" t="s">
        <v>4752</v>
      </c>
      <c r="K258" s="1007" t="s">
        <v>2226</v>
      </c>
      <c r="L258" s="1009" t="s">
        <v>2354</v>
      </c>
      <c r="M258" s="1006" t="s">
        <v>4037</v>
      </c>
      <c r="N258" s="1009" t="s">
        <v>2231</v>
      </c>
      <c r="O258" s="1006" t="s">
        <v>4128</v>
      </c>
      <c r="P258" s="1009" t="s">
        <v>2244</v>
      </c>
      <c r="Q258" s="1006" t="s">
        <v>4038</v>
      </c>
      <c r="R258" s="1009" t="s">
        <v>2245</v>
      </c>
      <c r="S258" s="1006" t="s">
        <v>4038</v>
      </c>
      <c r="T258" s="1010" t="s">
        <v>2472</v>
      </c>
      <c r="U258" s="952" t="s">
        <v>3914</v>
      </c>
      <c r="V258" s="952" t="s">
        <v>3914</v>
      </c>
      <c r="W258" s="1007"/>
    </row>
    <row r="259" spans="1:23" x14ac:dyDescent="0.2">
      <c r="A259" s="1006" t="s">
        <v>4767</v>
      </c>
      <c r="B259" s="1007">
        <v>14</v>
      </c>
      <c r="C259" s="1007">
        <v>18</v>
      </c>
      <c r="D259" s="1007">
        <v>40</v>
      </c>
      <c r="E259" s="1007">
        <v>7</v>
      </c>
      <c r="F259" s="1007">
        <v>14</v>
      </c>
      <c r="G259" s="1007">
        <v>25</v>
      </c>
      <c r="H259" s="1007">
        <v>3</v>
      </c>
      <c r="I259" s="1008" t="s">
        <v>3994</v>
      </c>
      <c r="J259" s="1008" t="s">
        <v>4752</v>
      </c>
      <c r="K259" s="1007" t="s">
        <v>2226</v>
      </c>
      <c r="L259" s="1009" t="s">
        <v>2354</v>
      </c>
      <c r="M259" s="1006" t="s">
        <v>4037</v>
      </c>
      <c r="N259" s="1009" t="s">
        <v>2231</v>
      </c>
      <c r="O259" s="1006" t="s">
        <v>4128</v>
      </c>
      <c r="P259" s="1009" t="s">
        <v>2244</v>
      </c>
      <c r="Q259" s="1006" t="s">
        <v>4038</v>
      </c>
      <c r="R259" s="1009" t="s">
        <v>2245</v>
      </c>
      <c r="S259" s="1006" t="s">
        <v>4038</v>
      </c>
      <c r="T259" s="1010" t="s">
        <v>2472</v>
      </c>
      <c r="U259" s="952" t="s">
        <v>3914</v>
      </c>
      <c r="V259" s="952" t="s">
        <v>3914</v>
      </c>
      <c r="W259" s="1007"/>
    </row>
    <row r="260" spans="1:23" x14ac:dyDescent="0.2">
      <c r="A260" s="848" t="s">
        <v>4111</v>
      </c>
      <c r="B260" s="1026"/>
      <c r="C260" s="1026"/>
      <c r="D260" s="1026"/>
      <c r="E260" s="1026"/>
      <c r="F260" s="1026"/>
      <c r="G260" s="1026"/>
      <c r="H260" s="1026"/>
      <c r="I260" s="1026"/>
      <c r="J260" s="1026"/>
      <c r="K260" s="1026"/>
      <c r="L260" s="1027"/>
      <c r="M260" s="1026"/>
      <c r="N260" s="1026"/>
      <c r="O260" s="1026"/>
      <c r="P260" s="1026"/>
      <c r="Q260" s="1026"/>
      <c r="R260" s="1026"/>
      <c r="S260" s="1026"/>
      <c r="T260" s="1026"/>
      <c r="U260" s="1026"/>
      <c r="V260" s="1026"/>
      <c r="W260" s="1007"/>
    </row>
    <row r="261" spans="1:23" x14ac:dyDescent="0.2">
      <c r="A261" s="1006" t="s">
        <v>4768</v>
      </c>
      <c r="B261" s="1007">
        <v>6</v>
      </c>
      <c r="C261" s="1007">
        <v>9</v>
      </c>
      <c r="D261" s="1007">
        <v>25</v>
      </c>
      <c r="E261" s="1007">
        <v>2</v>
      </c>
      <c r="F261" s="1007">
        <v>4</v>
      </c>
      <c r="G261" s="1007">
        <v>7</v>
      </c>
      <c r="H261" s="1007">
        <v>1</v>
      </c>
      <c r="I261" s="1008" t="s">
        <v>3989</v>
      </c>
      <c r="J261" s="1008" t="s">
        <v>4752</v>
      </c>
      <c r="K261" s="1007" t="s">
        <v>2245</v>
      </c>
      <c r="L261" s="1009" t="s">
        <v>2226</v>
      </c>
      <c r="M261" s="1006" t="s">
        <v>4037</v>
      </c>
      <c r="N261" s="1009" t="s">
        <v>2354</v>
      </c>
      <c r="O261" s="1006" t="s">
        <v>4037</v>
      </c>
      <c r="P261" s="1009" t="s">
        <v>2231</v>
      </c>
      <c r="Q261" s="1006" t="s">
        <v>4038</v>
      </c>
      <c r="R261" s="1009" t="s">
        <v>2244</v>
      </c>
      <c r="S261" s="1006" t="s">
        <v>4037</v>
      </c>
      <c r="T261" s="1010" t="s">
        <v>2472</v>
      </c>
      <c r="U261" s="1010" t="s">
        <v>2570</v>
      </c>
      <c r="V261" s="1010" t="s">
        <v>2475</v>
      </c>
      <c r="W261" s="1007"/>
    </row>
    <row r="262" spans="1:23" x14ac:dyDescent="0.2">
      <c r="A262" s="848" t="s">
        <v>4116</v>
      </c>
      <c r="B262" s="1026"/>
      <c r="C262" s="1026"/>
      <c r="D262" s="1026"/>
      <c r="E262" s="1026"/>
      <c r="F262" s="1026"/>
      <c r="G262" s="1026"/>
      <c r="H262" s="1026"/>
      <c r="I262" s="1026"/>
      <c r="J262" s="1026"/>
      <c r="K262" s="1026"/>
      <c r="L262" s="1027"/>
      <c r="M262" s="1026"/>
      <c r="N262" s="1026"/>
      <c r="O262" s="1026"/>
      <c r="P262" s="1026"/>
      <c r="Q262" s="1026"/>
      <c r="R262" s="1026"/>
      <c r="S262" s="1026"/>
      <c r="T262" s="1026"/>
      <c r="U262" s="1026"/>
      <c r="V262" s="1026"/>
      <c r="W262" s="1007"/>
    </row>
    <row r="263" spans="1:23" x14ac:dyDescent="0.2">
      <c r="A263" s="1006" t="s">
        <v>4769</v>
      </c>
      <c r="B263" s="1007">
        <v>3</v>
      </c>
      <c r="C263" s="1007">
        <v>5</v>
      </c>
      <c r="D263" s="1007">
        <v>10</v>
      </c>
      <c r="E263" s="1007">
        <v>1</v>
      </c>
      <c r="F263" s="1007">
        <v>2</v>
      </c>
      <c r="G263" s="1007">
        <v>4</v>
      </c>
      <c r="H263" s="1007">
        <v>1</v>
      </c>
      <c r="I263" s="1008" t="s">
        <v>3994</v>
      </c>
      <c r="J263" s="1008" t="s">
        <v>4752</v>
      </c>
      <c r="K263" s="1007" t="s">
        <v>2244</v>
      </c>
      <c r="L263" s="1009" t="s">
        <v>2354</v>
      </c>
      <c r="M263" s="1006" t="s">
        <v>4037</v>
      </c>
      <c r="N263" s="1009" t="s">
        <v>2231</v>
      </c>
      <c r="O263" s="1006" t="s">
        <v>4038</v>
      </c>
      <c r="P263" s="1009" t="s">
        <v>2236</v>
      </c>
      <c r="Q263" s="1006" t="s">
        <v>4128</v>
      </c>
      <c r="R263" s="1009" t="s">
        <v>2245</v>
      </c>
      <c r="S263" s="1006" t="s">
        <v>4128</v>
      </c>
      <c r="T263" s="1010" t="s">
        <v>2472</v>
      </c>
      <c r="U263" s="1010" t="s">
        <v>2479</v>
      </c>
      <c r="V263" s="1010" t="s">
        <v>2570</v>
      </c>
      <c r="W263" s="1007"/>
    </row>
    <row r="264" spans="1:23" x14ac:dyDescent="0.2">
      <c r="A264" s="1006" t="s">
        <v>4770</v>
      </c>
      <c r="B264" s="1007">
        <v>6</v>
      </c>
      <c r="C264" s="1007">
        <v>9</v>
      </c>
      <c r="D264" s="1007">
        <v>25</v>
      </c>
      <c r="E264" s="1007">
        <v>3</v>
      </c>
      <c r="F264" s="1007">
        <v>6</v>
      </c>
      <c r="G264" s="1007">
        <v>11</v>
      </c>
      <c r="H264" s="1007">
        <v>1</v>
      </c>
      <c r="I264" s="1008" t="s">
        <v>3994</v>
      </c>
      <c r="J264" s="1008" t="s">
        <v>4752</v>
      </c>
      <c r="K264" s="1007" t="s">
        <v>2244</v>
      </c>
      <c r="L264" s="1009" t="s">
        <v>2354</v>
      </c>
      <c r="M264" s="1006" t="s">
        <v>4037</v>
      </c>
      <c r="N264" s="1009" t="s">
        <v>2231</v>
      </c>
      <c r="O264" s="1006" t="s">
        <v>4038</v>
      </c>
      <c r="P264" s="1009" t="s">
        <v>2236</v>
      </c>
      <c r="Q264" s="1006" t="s">
        <v>4128</v>
      </c>
      <c r="R264" s="1009" t="s">
        <v>2245</v>
      </c>
      <c r="S264" s="1006" t="s">
        <v>4128</v>
      </c>
      <c r="T264" s="1010" t="s">
        <v>2472</v>
      </c>
      <c r="U264" s="1010" t="s">
        <v>2479</v>
      </c>
      <c r="V264" s="1010" t="s">
        <v>2570</v>
      </c>
      <c r="W264" s="1007"/>
    </row>
    <row r="265" spans="1:23" x14ac:dyDescent="0.2">
      <c r="A265" s="841" t="s">
        <v>4121</v>
      </c>
      <c r="B265" s="1030"/>
      <c r="C265" s="1030"/>
      <c r="D265" s="1030"/>
      <c r="E265" s="1030"/>
      <c r="F265" s="1030"/>
      <c r="G265" s="1030"/>
      <c r="H265" s="1030"/>
      <c r="I265" s="1030"/>
      <c r="J265" s="1030"/>
      <c r="K265" s="1030"/>
      <c r="L265" s="1031"/>
      <c r="M265" s="1030"/>
      <c r="N265" s="1030"/>
      <c r="O265" s="1030"/>
      <c r="P265" s="1030"/>
      <c r="Q265" s="1030"/>
      <c r="R265" s="1030"/>
      <c r="S265" s="1030"/>
      <c r="T265" s="1030"/>
      <c r="U265" s="1030"/>
      <c r="V265" s="1030"/>
      <c r="W265" s="1007"/>
    </row>
    <row r="266" spans="1:23" x14ac:dyDescent="0.2">
      <c r="A266" s="848" t="s">
        <v>4126</v>
      </c>
      <c r="B266" s="1026"/>
      <c r="C266" s="1026"/>
      <c r="D266" s="1026"/>
      <c r="E266" s="1026"/>
      <c r="F266" s="1026"/>
      <c r="G266" s="1026"/>
      <c r="H266" s="1026"/>
      <c r="I266" s="1026"/>
      <c r="J266" s="1026"/>
      <c r="K266" s="1026"/>
      <c r="L266" s="1027"/>
      <c r="M266" s="1026"/>
      <c r="N266" s="1026"/>
      <c r="O266" s="1026"/>
      <c r="P266" s="1026"/>
      <c r="Q266" s="1026"/>
      <c r="R266" s="1026"/>
      <c r="S266" s="1026"/>
      <c r="T266" s="1026"/>
      <c r="U266" s="1026"/>
      <c r="V266" s="1026"/>
      <c r="W266" s="1007"/>
    </row>
    <row r="267" spans="1:23" x14ac:dyDescent="0.2">
      <c r="A267" s="1006" t="s">
        <v>4771</v>
      </c>
      <c r="B267" s="1007">
        <v>1</v>
      </c>
      <c r="C267" s="1007">
        <v>2</v>
      </c>
      <c r="D267" s="1007">
        <v>5</v>
      </c>
      <c r="E267" s="1007">
        <v>1</v>
      </c>
      <c r="F267" s="1007">
        <v>2</v>
      </c>
      <c r="G267" s="1007">
        <v>4</v>
      </c>
      <c r="H267" s="1007">
        <v>1</v>
      </c>
      <c r="I267" s="1008" t="s">
        <v>3989</v>
      </c>
      <c r="J267" s="1008" t="s">
        <v>1761</v>
      </c>
      <c r="K267" s="1007" t="s">
        <v>2244</v>
      </c>
      <c r="L267" s="1009" t="s">
        <v>2226</v>
      </c>
      <c r="M267" s="1006" t="s">
        <v>4038</v>
      </c>
      <c r="N267" s="1009" t="s">
        <v>2354</v>
      </c>
      <c r="O267" s="1006" t="s">
        <v>4772</v>
      </c>
      <c r="P267" s="1009" t="s">
        <v>2231</v>
      </c>
      <c r="Q267" s="1006" t="s">
        <v>4037</v>
      </c>
      <c r="R267" s="1009" t="s">
        <v>2245</v>
      </c>
      <c r="S267" s="1006" t="s">
        <v>4128</v>
      </c>
      <c r="T267" s="1010" t="s">
        <v>2475</v>
      </c>
      <c r="U267" s="1010" t="s">
        <v>2472</v>
      </c>
      <c r="V267" s="1010" t="s">
        <v>2479</v>
      </c>
      <c r="W267" s="1007"/>
    </row>
    <row r="268" spans="1:23" x14ac:dyDescent="0.2">
      <c r="A268" s="1006" t="s">
        <v>4773</v>
      </c>
      <c r="B268" s="1007">
        <v>2</v>
      </c>
      <c r="C268" s="1007">
        <v>4</v>
      </c>
      <c r="D268" s="1007">
        <v>10</v>
      </c>
      <c r="E268" s="1007">
        <v>1</v>
      </c>
      <c r="F268" s="1007">
        <v>2</v>
      </c>
      <c r="G268" s="1007">
        <v>4</v>
      </c>
      <c r="H268" s="1007">
        <v>1</v>
      </c>
      <c r="I268" s="1008" t="s">
        <v>3989</v>
      </c>
      <c r="J268" s="1008" t="s">
        <v>1761</v>
      </c>
      <c r="K268" s="1007" t="s">
        <v>2244</v>
      </c>
      <c r="L268" s="1009" t="s">
        <v>2226</v>
      </c>
      <c r="M268" s="1006" t="s">
        <v>4038</v>
      </c>
      <c r="N268" s="1009" t="s">
        <v>2354</v>
      </c>
      <c r="O268" s="1006" t="s">
        <v>4772</v>
      </c>
      <c r="P268" s="1009" t="s">
        <v>2231</v>
      </c>
      <c r="Q268" s="1006" t="s">
        <v>4037</v>
      </c>
      <c r="R268" s="1009" t="s">
        <v>2245</v>
      </c>
      <c r="S268" s="1006" t="s">
        <v>4128</v>
      </c>
      <c r="T268" s="1010" t="s">
        <v>2475</v>
      </c>
      <c r="U268" s="1010" t="s">
        <v>2472</v>
      </c>
      <c r="V268" s="1010" t="s">
        <v>2479</v>
      </c>
      <c r="W268" s="1007"/>
    </row>
    <row r="269" spans="1:23" x14ac:dyDescent="0.2">
      <c r="A269" s="1006" t="s">
        <v>4774</v>
      </c>
      <c r="B269" s="1007">
        <v>3</v>
      </c>
      <c r="C269" s="1007">
        <v>5</v>
      </c>
      <c r="D269" s="1007">
        <v>10</v>
      </c>
      <c r="E269" s="1007">
        <v>2</v>
      </c>
      <c r="F269" s="1007">
        <v>4</v>
      </c>
      <c r="G269" s="1007">
        <v>7</v>
      </c>
      <c r="H269" s="1007">
        <v>1</v>
      </c>
      <c r="I269" s="1008" t="s">
        <v>3989</v>
      </c>
      <c r="J269" s="1008" t="s">
        <v>1761</v>
      </c>
      <c r="K269" s="1007" t="s">
        <v>2244</v>
      </c>
      <c r="L269" s="1009" t="s">
        <v>2226</v>
      </c>
      <c r="M269" s="1006" t="s">
        <v>4038</v>
      </c>
      <c r="N269" s="1009" t="s">
        <v>2354</v>
      </c>
      <c r="O269" s="1006" t="s">
        <v>4772</v>
      </c>
      <c r="P269" s="1009" t="s">
        <v>2231</v>
      </c>
      <c r="Q269" s="1006" t="s">
        <v>4037</v>
      </c>
      <c r="R269" s="1009" t="s">
        <v>2245</v>
      </c>
      <c r="S269" s="1006" t="s">
        <v>4128</v>
      </c>
      <c r="T269" s="1010" t="s">
        <v>2475</v>
      </c>
      <c r="U269" s="1010" t="s">
        <v>2472</v>
      </c>
      <c r="V269" s="1010" t="s">
        <v>2479</v>
      </c>
      <c r="W269" s="1007"/>
    </row>
    <row r="270" spans="1:23" x14ac:dyDescent="0.2">
      <c r="A270" s="1006" t="s">
        <v>4775</v>
      </c>
      <c r="B270" s="1007">
        <v>4</v>
      </c>
      <c r="C270" s="1007">
        <v>6</v>
      </c>
      <c r="D270" s="1007">
        <v>15</v>
      </c>
      <c r="E270" s="1007">
        <v>3</v>
      </c>
      <c r="F270" s="1007">
        <v>6</v>
      </c>
      <c r="G270" s="1007">
        <v>11</v>
      </c>
      <c r="H270" s="1007">
        <v>1</v>
      </c>
      <c r="I270" s="1008" t="s">
        <v>3989</v>
      </c>
      <c r="J270" s="1008" t="s">
        <v>1761</v>
      </c>
      <c r="K270" s="1007" t="s">
        <v>2244</v>
      </c>
      <c r="L270" s="1009" t="s">
        <v>2226</v>
      </c>
      <c r="M270" s="1006" t="s">
        <v>4038</v>
      </c>
      <c r="N270" s="1009" t="s">
        <v>2354</v>
      </c>
      <c r="O270" s="1006" t="s">
        <v>4772</v>
      </c>
      <c r="P270" s="1009" t="s">
        <v>2231</v>
      </c>
      <c r="Q270" s="1006" t="s">
        <v>4037</v>
      </c>
      <c r="R270" s="1009" t="s">
        <v>2245</v>
      </c>
      <c r="S270" s="1006" t="s">
        <v>4128</v>
      </c>
      <c r="T270" s="1010" t="s">
        <v>2475</v>
      </c>
      <c r="U270" s="1010" t="s">
        <v>2472</v>
      </c>
      <c r="V270" s="1010" t="s">
        <v>2479</v>
      </c>
      <c r="W270" s="1007"/>
    </row>
    <row r="271" spans="1:23" x14ac:dyDescent="0.2">
      <c r="A271" s="1006" t="s">
        <v>4776</v>
      </c>
      <c r="B271" s="1007">
        <v>5</v>
      </c>
      <c r="C271" s="1007">
        <v>8</v>
      </c>
      <c r="D271" s="1007">
        <v>20</v>
      </c>
      <c r="E271" s="1007">
        <v>4</v>
      </c>
      <c r="F271" s="1007">
        <v>8</v>
      </c>
      <c r="G271" s="1007">
        <v>14</v>
      </c>
      <c r="H271" s="1007">
        <v>1</v>
      </c>
      <c r="I271" s="1008" t="s">
        <v>3989</v>
      </c>
      <c r="J271" s="1008" t="s">
        <v>1761</v>
      </c>
      <c r="K271" s="1007" t="s">
        <v>2244</v>
      </c>
      <c r="L271" s="1009" t="s">
        <v>2226</v>
      </c>
      <c r="M271" s="1006" t="s">
        <v>4038</v>
      </c>
      <c r="N271" s="1009" t="s">
        <v>2354</v>
      </c>
      <c r="O271" s="1006" t="s">
        <v>4772</v>
      </c>
      <c r="P271" s="1009" t="s">
        <v>2231</v>
      </c>
      <c r="Q271" s="1006" t="s">
        <v>4037</v>
      </c>
      <c r="R271" s="1009" t="s">
        <v>2245</v>
      </c>
      <c r="S271" s="1006" t="s">
        <v>4128</v>
      </c>
      <c r="T271" s="1010" t="s">
        <v>2475</v>
      </c>
      <c r="U271" s="1010" t="s">
        <v>2472</v>
      </c>
      <c r="V271" s="1010" t="s">
        <v>2479</v>
      </c>
      <c r="W271" s="1007"/>
    </row>
    <row r="272" spans="1:23" x14ac:dyDescent="0.2">
      <c r="A272" s="1006" t="s">
        <v>4777</v>
      </c>
      <c r="B272" s="1007">
        <v>6</v>
      </c>
      <c r="C272" s="1007">
        <v>9</v>
      </c>
      <c r="D272" s="1007">
        <v>25</v>
      </c>
      <c r="E272" s="1007">
        <v>5</v>
      </c>
      <c r="F272" s="1007">
        <v>10</v>
      </c>
      <c r="G272" s="1007">
        <v>18</v>
      </c>
      <c r="H272" s="1007">
        <v>2</v>
      </c>
      <c r="I272" s="1008" t="s">
        <v>3989</v>
      </c>
      <c r="J272" s="1008" t="s">
        <v>1761</v>
      </c>
      <c r="K272" s="1007" t="s">
        <v>2244</v>
      </c>
      <c r="L272" s="1009" t="s">
        <v>2226</v>
      </c>
      <c r="M272" s="1006" t="s">
        <v>4038</v>
      </c>
      <c r="N272" s="1009" t="s">
        <v>2354</v>
      </c>
      <c r="O272" s="1006" t="s">
        <v>4772</v>
      </c>
      <c r="P272" s="1009" t="s">
        <v>2231</v>
      </c>
      <c r="Q272" s="1006" t="s">
        <v>4037</v>
      </c>
      <c r="R272" s="1009" t="s">
        <v>2245</v>
      </c>
      <c r="S272" s="1006" t="s">
        <v>4128</v>
      </c>
      <c r="T272" s="1010" t="s">
        <v>2475</v>
      </c>
      <c r="U272" s="1010" t="s">
        <v>2472</v>
      </c>
      <c r="V272" s="1010" t="s">
        <v>2479</v>
      </c>
      <c r="W272" s="1007"/>
    </row>
    <row r="273" spans="1:23" x14ac:dyDescent="0.2">
      <c r="A273" s="1006" t="s">
        <v>4778</v>
      </c>
      <c r="B273" s="1007">
        <v>8</v>
      </c>
      <c r="C273" s="1007">
        <v>11</v>
      </c>
      <c r="D273" s="1007">
        <v>30</v>
      </c>
      <c r="E273" s="1007">
        <v>6</v>
      </c>
      <c r="F273" s="1007">
        <v>12</v>
      </c>
      <c r="G273" s="1007">
        <v>21</v>
      </c>
      <c r="H273" s="1007">
        <v>2</v>
      </c>
      <c r="I273" s="1008" t="s">
        <v>3989</v>
      </c>
      <c r="J273" s="1008" t="s">
        <v>1761</v>
      </c>
      <c r="K273" s="1007" t="s">
        <v>2244</v>
      </c>
      <c r="L273" s="1009" t="s">
        <v>2226</v>
      </c>
      <c r="M273" s="1006" t="s">
        <v>4038</v>
      </c>
      <c r="N273" s="1009" t="s">
        <v>2354</v>
      </c>
      <c r="O273" s="1006" t="s">
        <v>4772</v>
      </c>
      <c r="P273" s="1009" t="s">
        <v>2231</v>
      </c>
      <c r="Q273" s="1006" t="s">
        <v>4037</v>
      </c>
      <c r="R273" s="1009" t="s">
        <v>2245</v>
      </c>
      <c r="S273" s="1006" t="s">
        <v>4128</v>
      </c>
      <c r="T273" s="1010" t="s">
        <v>2475</v>
      </c>
      <c r="U273" s="1010" t="s">
        <v>2472</v>
      </c>
      <c r="V273" s="1010" t="s">
        <v>2479</v>
      </c>
      <c r="W273" s="1007"/>
    </row>
    <row r="274" spans="1:23" x14ac:dyDescent="0.2">
      <c r="A274" s="1006" t="s">
        <v>4779</v>
      </c>
      <c r="B274" s="1007">
        <v>10</v>
      </c>
      <c r="C274" s="1007">
        <v>13</v>
      </c>
      <c r="D274" s="1007">
        <v>35</v>
      </c>
      <c r="E274" s="1007">
        <v>8</v>
      </c>
      <c r="F274" s="1007">
        <v>16</v>
      </c>
      <c r="G274" s="1007">
        <v>28</v>
      </c>
      <c r="H274" s="1007">
        <v>2</v>
      </c>
      <c r="I274" s="1008" t="s">
        <v>3989</v>
      </c>
      <c r="J274" s="1008" t="s">
        <v>1761</v>
      </c>
      <c r="K274" s="1007" t="s">
        <v>2244</v>
      </c>
      <c r="L274" s="1009" t="s">
        <v>2226</v>
      </c>
      <c r="M274" s="1006" t="s">
        <v>4038</v>
      </c>
      <c r="N274" s="1009" t="s">
        <v>2354</v>
      </c>
      <c r="O274" s="1006" t="s">
        <v>4772</v>
      </c>
      <c r="P274" s="1009" t="s">
        <v>2231</v>
      </c>
      <c r="Q274" s="1006" t="s">
        <v>4037</v>
      </c>
      <c r="R274" s="1009" t="s">
        <v>2245</v>
      </c>
      <c r="S274" s="1006" t="s">
        <v>4128</v>
      </c>
      <c r="T274" s="1010" t="s">
        <v>2475</v>
      </c>
      <c r="U274" s="1010" t="s">
        <v>2472</v>
      </c>
      <c r="V274" s="1010" t="s">
        <v>2479</v>
      </c>
      <c r="W274" s="1007"/>
    </row>
    <row r="275" spans="1:23" x14ac:dyDescent="0.2">
      <c r="A275" s="1006" t="s">
        <v>4780</v>
      </c>
      <c r="B275" s="1007">
        <v>14</v>
      </c>
      <c r="C275" s="1007">
        <v>18</v>
      </c>
      <c r="D275" s="1007">
        <v>40</v>
      </c>
      <c r="E275" s="1007">
        <v>10</v>
      </c>
      <c r="F275" s="1007">
        <v>20</v>
      </c>
      <c r="G275" s="1007">
        <v>35</v>
      </c>
      <c r="H275" s="1007">
        <v>3</v>
      </c>
      <c r="I275" s="1008" t="s">
        <v>3989</v>
      </c>
      <c r="J275" s="1008" t="s">
        <v>1761</v>
      </c>
      <c r="K275" s="1007" t="s">
        <v>2244</v>
      </c>
      <c r="L275" s="1009" t="s">
        <v>2226</v>
      </c>
      <c r="M275" s="1006" t="s">
        <v>4038</v>
      </c>
      <c r="N275" s="1009" t="s">
        <v>2354</v>
      </c>
      <c r="O275" s="1006" t="s">
        <v>4772</v>
      </c>
      <c r="P275" s="1009" t="s">
        <v>2231</v>
      </c>
      <c r="Q275" s="1006" t="s">
        <v>4037</v>
      </c>
      <c r="R275" s="1009" t="s">
        <v>2245</v>
      </c>
      <c r="S275" s="1006" t="s">
        <v>4128</v>
      </c>
      <c r="T275" s="1010" t="s">
        <v>2475</v>
      </c>
      <c r="U275" s="1010" t="s">
        <v>2472</v>
      </c>
      <c r="V275" s="1010" t="s">
        <v>2479</v>
      </c>
      <c r="W275" s="1007"/>
    </row>
    <row r="276" spans="1:23" x14ac:dyDescent="0.2">
      <c r="A276" s="1006" t="s">
        <v>4781</v>
      </c>
      <c r="B276" s="1007">
        <v>18</v>
      </c>
      <c r="C276" s="1007">
        <v>22</v>
      </c>
      <c r="D276" s="1007">
        <v>45</v>
      </c>
      <c r="E276" s="1007">
        <v>12</v>
      </c>
      <c r="F276" s="1007">
        <v>24</v>
      </c>
      <c r="G276" s="1007">
        <v>42</v>
      </c>
      <c r="H276" s="1007">
        <v>3</v>
      </c>
      <c r="I276" s="1008" t="s">
        <v>3989</v>
      </c>
      <c r="J276" s="1008" t="s">
        <v>1761</v>
      </c>
      <c r="K276" s="1007" t="s">
        <v>2244</v>
      </c>
      <c r="L276" s="1009" t="s">
        <v>2226</v>
      </c>
      <c r="M276" s="1006" t="s">
        <v>4038</v>
      </c>
      <c r="N276" s="1009" t="s">
        <v>2354</v>
      </c>
      <c r="O276" s="1006" t="s">
        <v>4772</v>
      </c>
      <c r="P276" s="1009" t="s">
        <v>2231</v>
      </c>
      <c r="Q276" s="1006" t="s">
        <v>4037</v>
      </c>
      <c r="R276" s="1009" t="s">
        <v>2245</v>
      </c>
      <c r="S276" s="1006" t="s">
        <v>4128</v>
      </c>
      <c r="T276" s="1010" t="s">
        <v>2475</v>
      </c>
      <c r="U276" s="1010" t="s">
        <v>2472</v>
      </c>
      <c r="V276" s="1010" t="s">
        <v>2479</v>
      </c>
      <c r="W276" s="1007"/>
    </row>
    <row r="277" spans="1:23" x14ac:dyDescent="0.2">
      <c r="A277" s="1006" t="s">
        <v>4782</v>
      </c>
      <c r="B277" s="1007">
        <v>22</v>
      </c>
      <c r="C277" s="1007">
        <v>26</v>
      </c>
      <c r="D277" s="1007">
        <v>50</v>
      </c>
      <c r="E277" s="1007">
        <v>14</v>
      </c>
      <c r="F277" s="1007">
        <v>28</v>
      </c>
      <c r="G277" s="1007">
        <v>49</v>
      </c>
      <c r="H277" s="1007">
        <v>3</v>
      </c>
      <c r="I277" s="1008" t="s">
        <v>3989</v>
      </c>
      <c r="J277" s="1008" t="s">
        <v>1761</v>
      </c>
      <c r="K277" s="1007" t="s">
        <v>2244</v>
      </c>
      <c r="L277" s="1009" t="s">
        <v>2226</v>
      </c>
      <c r="M277" s="1006" t="s">
        <v>4038</v>
      </c>
      <c r="N277" s="1009" t="s">
        <v>2354</v>
      </c>
      <c r="O277" s="1006" t="s">
        <v>4772</v>
      </c>
      <c r="P277" s="1009" t="s">
        <v>2231</v>
      </c>
      <c r="Q277" s="1006" t="s">
        <v>4037</v>
      </c>
      <c r="R277" s="1009" t="s">
        <v>2245</v>
      </c>
      <c r="S277" s="1006" t="s">
        <v>4128</v>
      </c>
      <c r="T277" s="1010" t="s">
        <v>2475</v>
      </c>
      <c r="U277" s="1010" t="s">
        <v>2472</v>
      </c>
      <c r="V277" s="1010" t="s">
        <v>2479</v>
      </c>
      <c r="W277" s="1007"/>
    </row>
    <row r="278" spans="1:23" x14ac:dyDescent="0.2">
      <c r="A278" s="1012" t="s">
        <v>4783</v>
      </c>
      <c r="B278" s="1013"/>
      <c r="C278" s="1013"/>
      <c r="D278" s="1013"/>
      <c r="E278" s="1013"/>
      <c r="F278" s="1013"/>
      <c r="G278" s="1013"/>
      <c r="H278" s="1013"/>
      <c r="I278" s="1013"/>
      <c r="J278" s="1013"/>
      <c r="K278" s="1013"/>
      <c r="L278" s="1014"/>
      <c r="M278" s="1013"/>
      <c r="N278" s="1013"/>
      <c r="O278" s="1013"/>
      <c r="P278" s="1013"/>
      <c r="Q278" s="1013"/>
      <c r="R278" s="1013"/>
      <c r="S278" s="1013"/>
      <c r="T278" s="1013"/>
      <c r="U278" s="1013"/>
      <c r="V278" s="1013"/>
      <c r="W278" s="1007"/>
    </row>
    <row r="279" spans="1:23" x14ac:dyDescent="0.2">
      <c r="A279" s="1006" t="s">
        <v>3788</v>
      </c>
      <c r="B279" s="1007">
        <v>4</v>
      </c>
      <c r="C279" s="1007">
        <v>4</v>
      </c>
      <c r="D279" s="1007">
        <v>10</v>
      </c>
      <c r="E279" s="1007">
        <v>1</v>
      </c>
      <c r="F279" s="1007">
        <v>2</v>
      </c>
      <c r="G279" s="1007">
        <v>4</v>
      </c>
      <c r="H279" s="1007"/>
      <c r="I279" s="1007"/>
      <c r="J279" s="1007"/>
      <c r="K279" s="1007"/>
      <c r="L279" s="1016"/>
      <c r="M279" s="1007"/>
      <c r="N279" s="1007"/>
      <c r="O279" s="1007"/>
      <c r="P279" s="1007"/>
      <c r="Q279" s="1007"/>
      <c r="R279" s="1007"/>
      <c r="S279" s="1007"/>
      <c r="T279" s="1007"/>
      <c r="U279" s="1007"/>
      <c r="V279" s="1007"/>
      <c r="W279" s="1007"/>
    </row>
    <row r="280" spans="1:23" x14ac:dyDescent="0.2">
      <c r="A280" s="1012" t="s">
        <v>4784</v>
      </c>
      <c r="B280" s="1013"/>
      <c r="C280" s="1013"/>
      <c r="D280" s="1013"/>
      <c r="E280" s="1013"/>
      <c r="F280" s="1013"/>
      <c r="G280" s="1013"/>
      <c r="H280" s="1013"/>
      <c r="I280" s="1013"/>
      <c r="J280" s="1013"/>
      <c r="K280" s="1013"/>
      <c r="L280" s="1014"/>
      <c r="M280" s="1013"/>
      <c r="N280" s="1013"/>
      <c r="O280" s="1013"/>
      <c r="P280" s="1013"/>
      <c r="Q280" s="1013"/>
      <c r="R280" s="1013"/>
      <c r="S280" s="1013"/>
      <c r="T280" s="1013"/>
      <c r="U280" s="1013"/>
      <c r="V280" s="1013"/>
      <c r="W280" s="1007"/>
    </row>
    <row r="281" spans="1:23" x14ac:dyDescent="0.2">
      <c r="A281" s="1006" t="s">
        <v>4785</v>
      </c>
      <c r="B281" s="1007">
        <v>8</v>
      </c>
      <c r="C281" s="1007">
        <v>8</v>
      </c>
      <c r="D281" s="1007">
        <v>20</v>
      </c>
      <c r="E281" s="1007">
        <v>1</v>
      </c>
      <c r="F281" s="1007">
        <v>2</v>
      </c>
      <c r="G281" s="1007">
        <v>4</v>
      </c>
      <c r="H281" s="1007"/>
      <c r="I281" s="1007"/>
      <c r="J281" s="1007"/>
      <c r="K281" s="1007"/>
      <c r="L281" s="1016"/>
      <c r="M281" s="1007"/>
      <c r="N281" s="1007"/>
      <c r="O281" s="1007"/>
      <c r="P281" s="1007"/>
      <c r="Q281" s="1007"/>
      <c r="R281" s="1007"/>
      <c r="S281" s="1007"/>
      <c r="T281" s="1007"/>
      <c r="U281" s="1007"/>
      <c r="V281" s="1007"/>
      <c r="W281" s="1007"/>
    </row>
    <row r="282" spans="1:23" x14ac:dyDescent="0.2">
      <c r="A282" s="848" t="s">
        <v>4129</v>
      </c>
      <c r="B282" s="1026"/>
      <c r="C282" s="1026"/>
      <c r="D282" s="1026"/>
      <c r="E282" s="1026"/>
      <c r="F282" s="1026"/>
      <c r="G282" s="1026"/>
      <c r="H282" s="1026"/>
      <c r="I282" s="1026"/>
      <c r="J282" s="1026"/>
      <c r="K282" s="1026"/>
      <c r="L282" s="1027"/>
      <c r="M282" s="1026"/>
      <c r="N282" s="1026"/>
      <c r="O282" s="1026"/>
      <c r="P282" s="1026"/>
      <c r="Q282" s="1026"/>
      <c r="R282" s="1026"/>
      <c r="S282" s="1026"/>
      <c r="T282" s="1026"/>
      <c r="U282" s="1026"/>
      <c r="V282" s="1026"/>
      <c r="W282" s="1007"/>
    </row>
    <row r="283" spans="1:23" x14ac:dyDescent="0.2">
      <c r="A283" s="1006" t="s">
        <v>4786</v>
      </c>
      <c r="B283" s="1007">
        <v>2</v>
      </c>
      <c r="C283" s="1007">
        <v>4</v>
      </c>
      <c r="D283" s="1007">
        <v>10</v>
      </c>
      <c r="E283" s="1007">
        <v>2</v>
      </c>
      <c r="F283" s="1007">
        <v>4</v>
      </c>
      <c r="G283" s="1007">
        <v>7</v>
      </c>
      <c r="H283" s="1007">
        <v>1</v>
      </c>
      <c r="I283" s="1008" t="s">
        <v>3994</v>
      </c>
      <c r="J283" s="1008" t="s">
        <v>1761</v>
      </c>
      <c r="K283" s="1007" t="s">
        <v>2244</v>
      </c>
      <c r="L283" s="1009" t="s">
        <v>2226</v>
      </c>
      <c r="M283" s="1006" t="s">
        <v>4038</v>
      </c>
      <c r="N283" s="1009" t="s">
        <v>2354</v>
      </c>
      <c r="O283" s="1006" t="s">
        <v>4772</v>
      </c>
      <c r="P283" s="1009" t="s">
        <v>2231</v>
      </c>
      <c r="Q283" s="1006" t="s">
        <v>4037</v>
      </c>
      <c r="R283" s="1009" t="s">
        <v>2245</v>
      </c>
      <c r="S283" s="1006" t="s">
        <v>4128</v>
      </c>
      <c r="T283" s="1010" t="s">
        <v>2475</v>
      </c>
      <c r="U283" s="1010" t="s">
        <v>2472</v>
      </c>
      <c r="V283" s="1010" t="s">
        <v>2479</v>
      </c>
      <c r="W283" s="1007"/>
    </row>
    <row r="284" spans="1:23" x14ac:dyDescent="0.2">
      <c r="A284" s="1006" t="s">
        <v>4787</v>
      </c>
      <c r="B284" s="1007">
        <v>4</v>
      </c>
      <c r="C284" s="1007">
        <v>6</v>
      </c>
      <c r="D284" s="1007">
        <v>15</v>
      </c>
      <c r="E284" s="1007">
        <v>3</v>
      </c>
      <c r="F284" s="1007">
        <v>6</v>
      </c>
      <c r="G284" s="1007">
        <v>11</v>
      </c>
      <c r="H284" s="1007">
        <v>1</v>
      </c>
      <c r="I284" s="1008" t="s">
        <v>3994</v>
      </c>
      <c r="J284" s="1008" t="s">
        <v>1761</v>
      </c>
      <c r="K284" s="1007" t="s">
        <v>2244</v>
      </c>
      <c r="L284" s="1009" t="s">
        <v>2226</v>
      </c>
      <c r="M284" s="1006" t="s">
        <v>4038</v>
      </c>
      <c r="N284" s="1009" t="s">
        <v>2354</v>
      </c>
      <c r="O284" s="1006" t="s">
        <v>4772</v>
      </c>
      <c r="P284" s="1009" t="s">
        <v>2231</v>
      </c>
      <c r="Q284" s="1006" t="s">
        <v>4037</v>
      </c>
      <c r="R284" s="1009" t="s">
        <v>2245</v>
      </c>
      <c r="S284" s="1006" t="s">
        <v>4128</v>
      </c>
      <c r="T284" s="1010" t="s">
        <v>2475</v>
      </c>
      <c r="U284" s="1010" t="s">
        <v>2472</v>
      </c>
      <c r="V284" s="1010" t="s">
        <v>2479</v>
      </c>
      <c r="W284" s="1007"/>
    </row>
    <row r="285" spans="1:23" x14ac:dyDescent="0.2">
      <c r="A285" s="1006" t="s">
        <v>4788</v>
      </c>
      <c r="B285" s="1007">
        <v>6</v>
      </c>
      <c r="C285" s="1007">
        <v>9</v>
      </c>
      <c r="D285" s="1007">
        <v>20</v>
      </c>
      <c r="E285" s="1007">
        <v>4</v>
      </c>
      <c r="F285" s="1007">
        <v>8</v>
      </c>
      <c r="G285" s="1007">
        <v>14</v>
      </c>
      <c r="H285" s="1007">
        <v>1</v>
      </c>
      <c r="I285" s="1008" t="s">
        <v>3994</v>
      </c>
      <c r="J285" s="1008" t="s">
        <v>1761</v>
      </c>
      <c r="K285" s="1007" t="s">
        <v>2244</v>
      </c>
      <c r="L285" s="1009" t="s">
        <v>2226</v>
      </c>
      <c r="M285" s="1006" t="s">
        <v>4038</v>
      </c>
      <c r="N285" s="1009" t="s">
        <v>2354</v>
      </c>
      <c r="O285" s="1006" t="s">
        <v>4772</v>
      </c>
      <c r="P285" s="1009" t="s">
        <v>2231</v>
      </c>
      <c r="Q285" s="1006" t="s">
        <v>4037</v>
      </c>
      <c r="R285" s="1009" t="s">
        <v>2245</v>
      </c>
      <c r="S285" s="1006" t="s">
        <v>4128</v>
      </c>
      <c r="T285" s="1010" t="s">
        <v>2475</v>
      </c>
      <c r="U285" s="1010" t="s">
        <v>2472</v>
      </c>
      <c r="V285" s="1010" t="s">
        <v>2479</v>
      </c>
      <c r="W285" s="1007"/>
    </row>
    <row r="286" spans="1:23" x14ac:dyDescent="0.2">
      <c r="A286" s="1006" t="s">
        <v>4789</v>
      </c>
      <c r="B286" s="1007">
        <v>8</v>
      </c>
      <c r="C286" s="1007">
        <v>11</v>
      </c>
      <c r="D286" s="1007">
        <v>25</v>
      </c>
      <c r="E286" s="1007">
        <v>5</v>
      </c>
      <c r="F286" s="1007">
        <v>10</v>
      </c>
      <c r="G286" s="1007">
        <v>18</v>
      </c>
      <c r="H286" s="1007">
        <v>1</v>
      </c>
      <c r="I286" s="1008" t="s">
        <v>3994</v>
      </c>
      <c r="J286" s="1008" t="s">
        <v>1761</v>
      </c>
      <c r="K286" s="1007" t="s">
        <v>2244</v>
      </c>
      <c r="L286" s="1009" t="s">
        <v>2226</v>
      </c>
      <c r="M286" s="1006" t="s">
        <v>4038</v>
      </c>
      <c r="N286" s="1009" t="s">
        <v>2354</v>
      </c>
      <c r="O286" s="1006" t="s">
        <v>4772</v>
      </c>
      <c r="P286" s="1009" t="s">
        <v>2231</v>
      </c>
      <c r="Q286" s="1006" t="s">
        <v>4037</v>
      </c>
      <c r="R286" s="1009" t="s">
        <v>2245</v>
      </c>
      <c r="S286" s="1006" t="s">
        <v>4128</v>
      </c>
      <c r="T286" s="1010" t="s">
        <v>2475</v>
      </c>
      <c r="U286" s="1010" t="s">
        <v>2472</v>
      </c>
      <c r="V286" s="1010" t="s">
        <v>2479</v>
      </c>
      <c r="W286" s="1007"/>
    </row>
    <row r="287" spans="1:23" x14ac:dyDescent="0.2">
      <c r="A287" s="1006" t="s">
        <v>4790</v>
      </c>
      <c r="B287" s="1007">
        <v>10</v>
      </c>
      <c r="C287" s="1007">
        <v>13</v>
      </c>
      <c r="D287" s="1007">
        <v>35</v>
      </c>
      <c r="E287" s="1007">
        <v>6</v>
      </c>
      <c r="F287" s="1007">
        <v>12</v>
      </c>
      <c r="G287" s="1007">
        <v>21</v>
      </c>
      <c r="H287" s="1007">
        <v>2</v>
      </c>
      <c r="I287" s="1008" t="s">
        <v>3994</v>
      </c>
      <c r="J287" s="1008" t="s">
        <v>1761</v>
      </c>
      <c r="K287" s="1007" t="s">
        <v>2244</v>
      </c>
      <c r="L287" s="1009" t="s">
        <v>2226</v>
      </c>
      <c r="M287" s="1006" t="s">
        <v>4038</v>
      </c>
      <c r="N287" s="1009" t="s">
        <v>2354</v>
      </c>
      <c r="O287" s="1006" t="s">
        <v>4772</v>
      </c>
      <c r="P287" s="1009" t="s">
        <v>2231</v>
      </c>
      <c r="Q287" s="1006" t="s">
        <v>4037</v>
      </c>
      <c r="R287" s="1009" t="s">
        <v>2245</v>
      </c>
      <c r="S287" s="1006" t="s">
        <v>4128</v>
      </c>
      <c r="T287" s="1010" t="s">
        <v>2475</v>
      </c>
      <c r="U287" s="1010" t="s">
        <v>2472</v>
      </c>
      <c r="V287" s="1010" t="s">
        <v>2479</v>
      </c>
      <c r="W287" s="1007"/>
    </row>
    <row r="288" spans="1:23" x14ac:dyDescent="0.2">
      <c r="A288" s="1006" t="s">
        <v>4791</v>
      </c>
      <c r="B288" s="1007">
        <v>12</v>
      </c>
      <c r="C288" s="1007">
        <v>15</v>
      </c>
      <c r="D288" s="1007">
        <v>45</v>
      </c>
      <c r="E288" s="1007">
        <v>8</v>
      </c>
      <c r="F288" s="1007">
        <v>16</v>
      </c>
      <c r="G288" s="1007">
        <v>28</v>
      </c>
      <c r="H288" s="1007">
        <v>2</v>
      </c>
      <c r="I288" s="1008" t="s">
        <v>3994</v>
      </c>
      <c r="J288" s="1008" t="s">
        <v>1761</v>
      </c>
      <c r="K288" s="1007" t="s">
        <v>2244</v>
      </c>
      <c r="L288" s="1009" t="s">
        <v>2226</v>
      </c>
      <c r="M288" s="1006" t="s">
        <v>4038</v>
      </c>
      <c r="N288" s="1009" t="s">
        <v>2354</v>
      </c>
      <c r="O288" s="1006" t="s">
        <v>4772</v>
      </c>
      <c r="P288" s="1009" t="s">
        <v>2231</v>
      </c>
      <c r="Q288" s="1006" t="s">
        <v>4037</v>
      </c>
      <c r="R288" s="1009" t="s">
        <v>2245</v>
      </c>
      <c r="S288" s="1006" t="s">
        <v>4128</v>
      </c>
      <c r="T288" s="1010" t="s">
        <v>2475</v>
      </c>
      <c r="U288" s="1010" t="s">
        <v>2472</v>
      </c>
      <c r="V288" s="1010" t="s">
        <v>2479</v>
      </c>
      <c r="W288" s="1007"/>
    </row>
    <row r="289" spans="1:23" x14ac:dyDescent="0.2">
      <c r="A289" s="1006" t="s">
        <v>4792</v>
      </c>
      <c r="B289" s="1007">
        <v>16</v>
      </c>
      <c r="C289" s="1007">
        <v>20</v>
      </c>
      <c r="D289" s="1007">
        <v>55</v>
      </c>
      <c r="E289" s="1007">
        <v>10</v>
      </c>
      <c r="F289" s="1007">
        <v>20</v>
      </c>
      <c r="G289" s="1007">
        <v>35</v>
      </c>
      <c r="H289" s="1007">
        <v>2</v>
      </c>
      <c r="I289" s="1008" t="s">
        <v>3994</v>
      </c>
      <c r="J289" s="1008" t="s">
        <v>1761</v>
      </c>
      <c r="K289" s="1007" t="s">
        <v>2244</v>
      </c>
      <c r="L289" s="1009" t="s">
        <v>2226</v>
      </c>
      <c r="M289" s="1006" t="s">
        <v>4038</v>
      </c>
      <c r="N289" s="1009" t="s">
        <v>2354</v>
      </c>
      <c r="O289" s="1006" t="s">
        <v>4772</v>
      </c>
      <c r="P289" s="1009" t="s">
        <v>2231</v>
      </c>
      <c r="Q289" s="1006" t="s">
        <v>4037</v>
      </c>
      <c r="R289" s="1009" t="s">
        <v>2245</v>
      </c>
      <c r="S289" s="1006" t="s">
        <v>4128</v>
      </c>
      <c r="T289" s="1010" t="s">
        <v>2475</v>
      </c>
      <c r="U289" s="1010" t="s">
        <v>2472</v>
      </c>
      <c r="V289" s="1010" t="s">
        <v>2479</v>
      </c>
      <c r="W289" s="1007"/>
    </row>
    <row r="290" spans="1:23" x14ac:dyDescent="0.2">
      <c r="A290" s="1006" t="s">
        <v>4793</v>
      </c>
      <c r="B290" s="1007">
        <v>20</v>
      </c>
      <c r="C290" s="1007">
        <v>24</v>
      </c>
      <c r="D290" s="1007">
        <v>70</v>
      </c>
      <c r="E290" s="1007">
        <v>12</v>
      </c>
      <c r="F290" s="1007">
        <v>24</v>
      </c>
      <c r="G290" s="1007">
        <v>42</v>
      </c>
      <c r="H290" s="1007">
        <v>3</v>
      </c>
      <c r="I290" s="1008" t="s">
        <v>3994</v>
      </c>
      <c r="J290" s="1008" t="s">
        <v>1761</v>
      </c>
      <c r="K290" s="1007" t="s">
        <v>2244</v>
      </c>
      <c r="L290" s="1009" t="s">
        <v>2226</v>
      </c>
      <c r="M290" s="1006" t="s">
        <v>4038</v>
      </c>
      <c r="N290" s="1009" t="s">
        <v>2354</v>
      </c>
      <c r="O290" s="1006" t="s">
        <v>4772</v>
      </c>
      <c r="P290" s="1009" t="s">
        <v>2231</v>
      </c>
      <c r="Q290" s="1006" t="s">
        <v>4037</v>
      </c>
      <c r="R290" s="1009" t="s">
        <v>2245</v>
      </c>
      <c r="S290" s="1006" t="s">
        <v>4128</v>
      </c>
      <c r="T290" s="1010" t="s">
        <v>2475</v>
      </c>
      <c r="U290" s="1010" t="s">
        <v>2472</v>
      </c>
      <c r="V290" s="1010" t="s">
        <v>2479</v>
      </c>
      <c r="W290" s="1007"/>
    </row>
    <row r="291" spans="1:23" x14ac:dyDescent="0.2">
      <c r="A291" s="848" t="s">
        <v>4134</v>
      </c>
      <c r="B291" s="1026"/>
      <c r="C291" s="1026"/>
      <c r="D291" s="1026"/>
      <c r="E291" s="1026"/>
      <c r="F291" s="1026"/>
      <c r="G291" s="1026"/>
      <c r="H291" s="1026"/>
      <c r="I291" s="1026"/>
      <c r="J291" s="1026"/>
      <c r="K291" s="1026"/>
      <c r="L291" s="1027"/>
      <c r="M291" s="1026"/>
      <c r="N291" s="1026"/>
      <c r="O291" s="1026"/>
      <c r="P291" s="1026"/>
      <c r="Q291" s="1026"/>
      <c r="R291" s="1026"/>
      <c r="S291" s="1026"/>
      <c r="T291" s="1026"/>
      <c r="U291" s="1026"/>
      <c r="V291" s="1026"/>
      <c r="W291" s="1007"/>
    </row>
    <row r="292" spans="1:23" x14ac:dyDescent="0.2">
      <c r="A292" s="1006" t="s">
        <v>4794</v>
      </c>
      <c r="B292" s="1007">
        <v>1</v>
      </c>
      <c r="C292" s="1007">
        <v>2</v>
      </c>
      <c r="D292" s="1007">
        <v>5</v>
      </c>
      <c r="E292" s="1007">
        <v>1</v>
      </c>
      <c r="F292" s="1007">
        <v>2</v>
      </c>
      <c r="G292" s="1007">
        <v>4</v>
      </c>
      <c r="H292" s="1007">
        <v>1</v>
      </c>
      <c r="I292" s="1008" t="s">
        <v>3989</v>
      </c>
      <c r="J292" s="1008" t="s">
        <v>1761</v>
      </c>
      <c r="K292" s="1007" t="s">
        <v>2244</v>
      </c>
      <c r="L292" s="1009" t="s">
        <v>2226</v>
      </c>
      <c r="M292" s="1006" t="s">
        <v>4037</v>
      </c>
      <c r="N292" s="1009" t="s">
        <v>2354</v>
      </c>
      <c r="O292" s="1006" t="s">
        <v>4038</v>
      </c>
      <c r="P292" s="1009" t="s">
        <v>2231</v>
      </c>
      <c r="Q292" s="1006" t="s">
        <v>4037</v>
      </c>
      <c r="R292" s="1009" t="s">
        <v>2245</v>
      </c>
      <c r="S292" s="1006" t="s">
        <v>4128</v>
      </c>
      <c r="T292" s="1010" t="s">
        <v>2479</v>
      </c>
      <c r="U292" s="1010" t="s">
        <v>2570</v>
      </c>
      <c r="V292" s="1010" t="s">
        <v>2571</v>
      </c>
      <c r="W292" s="1007"/>
    </row>
    <row r="293" spans="1:23" x14ac:dyDescent="0.2">
      <c r="A293" s="1006" t="s">
        <v>4795</v>
      </c>
      <c r="B293" s="1007">
        <v>2</v>
      </c>
      <c r="C293" s="1007">
        <v>4</v>
      </c>
      <c r="D293" s="1007">
        <v>10</v>
      </c>
      <c r="E293" s="1007">
        <v>1</v>
      </c>
      <c r="F293" s="1007">
        <v>2</v>
      </c>
      <c r="G293" s="1007">
        <v>4</v>
      </c>
      <c r="H293" s="1007">
        <v>1</v>
      </c>
      <c r="I293" s="1008" t="s">
        <v>3989</v>
      </c>
      <c r="J293" s="1008" t="s">
        <v>1761</v>
      </c>
      <c r="K293" s="1007" t="s">
        <v>2244</v>
      </c>
      <c r="L293" s="1009" t="s">
        <v>2226</v>
      </c>
      <c r="M293" s="1006" t="s">
        <v>4037</v>
      </c>
      <c r="N293" s="1009" t="s">
        <v>2354</v>
      </c>
      <c r="O293" s="1006" t="s">
        <v>4038</v>
      </c>
      <c r="P293" s="1009" t="s">
        <v>2231</v>
      </c>
      <c r="Q293" s="1006" t="s">
        <v>4037</v>
      </c>
      <c r="R293" s="1009" t="s">
        <v>2245</v>
      </c>
      <c r="S293" s="1006" t="s">
        <v>4128</v>
      </c>
      <c r="T293" s="1010" t="s">
        <v>2479</v>
      </c>
      <c r="U293" s="1010" t="s">
        <v>2570</v>
      </c>
      <c r="V293" s="1010" t="s">
        <v>2571</v>
      </c>
      <c r="W293" s="1007"/>
    </row>
    <row r="294" spans="1:23" x14ac:dyDescent="0.2">
      <c r="A294" s="1006" t="s">
        <v>4796</v>
      </c>
      <c r="B294" s="1007">
        <v>3</v>
      </c>
      <c r="C294" s="1007">
        <v>5</v>
      </c>
      <c r="D294" s="1007">
        <v>15</v>
      </c>
      <c r="E294" s="1007">
        <v>2</v>
      </c>
      <c r="F294" s="1007">
        <v>4</v>
      </c>
      <c r="G294" s="1007">
        <v>7</v>
      </c>
      <c r="H294" s="1007">
        <v>1</v>
      </c>
      <c r="I294" s="1008" t="s">
        <v>3989</v>
      </c>
      <c r="J294" s="1008" t="s">
        <v>1761</v>
      </c>
      <c r="K294" s="1007" t="s">
        <v>2244</v>
      </c>
      <c r="L294" s="1009" t="s">
        <v>2226</v>
      </c>
      <c r="M294" s="1006" t="s">
        <v>4037</v>
      </c>
      <c r="N294" s="1009" t="s">
        <v>2354</v>
      </c>
      <c r="O294" s="1006" t="s">
        <v>4038</v>
      </c>
      <c r="P294" s="1009" t="s">
        <v>2231</v>
      </c>
      <c r="Q294" s="1006" t="s">
        <v>4037</v>
      </c>
      <c r="R294" s="1009" t="s">
        <v>2245</v>
      </c>
      <c r="S294" s="1006" t="s">
        <v>4128</v>
      </c>
      <c r="T294" s="1010" t="s">
        <v>2479</v>
      </c>
      <c r="U294" s="1010" t="s">
        <v>2570</v>
      </c>
      <c r="V294" s="1010" t="s">
        <v>2571</v>
      </c>
      <c r="W294" s="1007"/>
    </row>
    <row r="295" spans="1:23" x14ac:dyDescent="0.2">
      <c r="A295" s="1006" t="s">
        <v>4797</v>
      </c>
      <c r="B295" s="1007">
        <v>4</v>
      </c>
      <c r="C295" s="1007">
        <v>6</v>
      </c>
      <c r="D295" s="1007">
        <v>20</v>
      </c>
      <c r="E295" s="1007">
        <v>3</v>
      </c>
      <c r="F295" s="1007">
        <v>6</v>
      </c>
      <c r="G295" s="1007">
        <v>11</v>
      </c>
      <c r="H295" s="1007">
        <v>1</v>
      </c>
      <c r="I295" s="1008" t="s">
        <v>3989</v>
      </c>
      <c r="J295" s="1008" t="s">
        <v>1761</v>
      </c>
      <c r="K295" s="1007" t="s">
        <v>2244</v>
      </c>
      <c r="L295" s="1009" t="s">
        <v>2226</v>
      </c>
      <c r="M295" s="1006" t="s">
        <v>4037</v>
      </c>
      <c r="N295" s="1009" t="s">
        <v>2354</v>
      </c>
      <c r="O295" s="1006" t="s">
        <v>4038</v>
      </c>
      <c r="P295" s="1009" t="s">
        <v>2231</v>
      </c>
      <c r="Q295" s="1006" t="s">
        <v>4037</v>
      </c>
      <c r="R295" s="1009" t="s">
        <v>2245</v>
      </c>
      <c r="S295" s="1006" t="s">
        <v>4128</v>
      </c>
      <c r="T295" s="1010" t="s">
        <v>2479</v>
      </c>
      <c r="U295" s="1010" t="s">
        <v>2570</v>
      </c>
      <c r="V295" s="1010" t="s">
        <v>2571</v>
      </c>
      <c r="W295" s="1007"/>
    </row>
    <row r="296" spans="1:23" x14ac:dyDescent="0.2">
      <c r="A296" s="1006" t="s">
        <v>4798</v>
      </c>
      <c r="B296" s="1007">
        <v>6</v>
      </c>
      <c r="C296" s="1007">
        <v>9</v>
      </c>
      <c r="D296" s="1007">
        <v>25</v>
      </c>
      <c r="E296" s="1007">
        <v>4</v>
      </c>
      <c r="F296" s="1007">
        <v>8</v>
      </c>
      <c r="G296" s="1007">
        <v>14</v>
      </c>
      <c r="H296" s="1007">
        <v>2</v>
      </c>
      <c r="I296" s="1008" t="s">
        <v>3989</v>
      </c>
      <c r="J296" s="1008" t="s">
        <v>1761</v>
      </c>
      <c r="K296" s="1007" t="s">
        <v>2244</v>
      </c>
      <c r="L296" s="1009" t="s">
        <v>2226</v>
      </c>
      <c r="M296" s="1006" t="s">
        <v>4037</v>
      </c>
      <c r="N296" s="1009" t="s">
        <v>2354</v>
      </c>
      <c r="O296" s="1006" t="s">
        <v>4038</v>
      </c>
      <c r="P296" s="1009" t="s">
        <v>2231</v>
      </c>
      <c r="Q296" s="1006" t="s">
        <v>4037</v>
      </c>
      <c r="R296" s="1009" t="s">
        <v>2245</v>
      </c>
      <c r="S296" s="1006" t="s">
        <v>4128</v>
      </c>
      <c r="T296" s="1010" t="s">
        <v>2479</v>
      </c>
      <c r="U296" s="1010" t="s">
        <v>2570</v>
      </c>
      <c r="V296" s="1010" t="s">
        <v>2571</v>
      </c>
      <c r="W296" s="1007"/>
    </row>
    <row r="297" spans="1:23" x14ac:dyDescent="0.2">
      <c r="A297" s="1006" t="s">
        <v>4799</v>
      </c>
      <c r="B297" s="1007">
        <v>8</v>
      </c>
      <c r="C297" s="1007">
        <v>11</v>
      </c>
      <c r="D297" s="1007">
        <v>30</v>
      </c>
      <c r="E297" s="1007">
        <v>5</v>
      </c>
      <c r="F297" s="1007">
        <v>10</v>
      </c>
      <c r="G297" s="1007">
        <v>18</v>
      </c>
      <c r="H297" s="1007">
        <v>2</v>
      </c>
      <c r="I297" s="1008" t="s">
        <v>3989</v>
      </c>
      <c r="J297" s="1008" t="s">
        <v>1761</v>
      </c>
      <c r="K297" s="1007" t="s">
        <v>2244</v>
      </c>
      <c r="L297" s="1009" t="s">
        <v>2226</v>
      </c>
      <c r="M297" s="1006" t="s">
        <v>4037</v>
      </c>
      <c r="N297" s="1009" t="s">
        <v>2354</v>
      </c>
      <c r="O297" s="1006" t="s">
        <v>4038</v>
      </c>
      <c r="P297" s="1009" t="s">
        <v>2231</v>
      </c>
      <c r="Q297" s="1006" t="s">
        <v>4037</v>
      </c>
      <c r="R297" s="1009" t="s">
        <v>2245</v>
      </c>
      <c r="S297" s="1006" t="s">
        <v>4128</v>
      </c>
      <c r="T297" s="1010" t="s">
        <v>2479</v>
      </c>
      <c r="U297" s="1010" t="s">
        <v>2570</v>
      </c>
      <c r="V297" s="1010" t="s">
        <v>2571</v>
      </c>
      <c r="W297" s="1007"/>
    </row>
    <row r="298" spans="1:23" x14ac:dyDescent="0.2">
      <c r="A298" s="1006" t="s">
        <v>4800</v>
      </c>
      <c r="B298" s="1007">
        <v>10</v>
      </c>
      <c r="C298" s="1007">
        <v>13</v>
      </c>
      <c r="D298" s="1007">
        <v>40</v>
      </c>
      <c r="E298" s="1007">
        <v>6</v>
      </c>
      <c r="F298" s="1007">
        <v>12</v>
      </c>
      <c r="G298" s="1007">
        <v>21</v>
      </c>
      <c r="H298" s="1007">
        <v>2</v>
      </c>
      <c r="I298" s="1008" t="s">
        <v>3989</v>
      </c>
      <c r="J298" s="1008" t="s">
        <v>1761</v>
      </c>
      <c r="K298" s="1007" t="s">
        <v>2244</v>
      </c>
      <c r="L298" s="1009" t="s">
        <v>2226</v>
      </c>
      <c r="M298" s="1006" t="s">
        <v>4037</v>
      </c>
      <c r="N298" s="1009" t="s">
        <v>2354</v>
      </c>
      <c r="O298" s="1006" t="s">
        <v>4038</v>
      </c>
      <c r="P298" s="1009" t="s">
        <v>2231</v>
      </c>
      <c r="Q298" s="1006" t="s">
        <v>4037</v>
      </c>
      <c r="R298" s="1009" t="s">
        <v>2245</v>
      </c>
      <c r="S298" s="1006" t="s">
        <v>4128</v>
      </c>
      <c r="T298" s="1010" t="s">
        <v>2479</v>
      </c>
      <c r="U298" s="1010" t="s">
        <v>2570</v>
      </c>
      <c r="V298" s="1010" t="s">
        <v>2571</v>
      </c>
      <c r="W298" s="1007"/>
    </row>
    <row r="299" spans="1:23" x14ac:dyDescent="0.2">
      <c r="A299" s="1006" t="s">
        <v>4801</v>
      </c>
      <c r="B299" s="1007">
        <v>12</v>
      </c>
      <c r="C299" s="1007">
        <v>15</v>
      </c>
      <c r="D299" s="1007">
        <v>50</v>
      </c>
      <c r="E299" s="1007">
        <v>8</v>
      </c>
      <c r="F299" s="1007">
        <v>16</v>
      </c>
      <c r="G299" s="1007">
        <v>28</v>
      </c>
      <c r="H299" s="1007">
        <v>3</v>
      </c>
      <c r="I299" s="1008" t="s">
        <v>3989</v>
      </c>
      <c r="J299" s="1008" t="s">
        <v>1761</v>
      </c>
      <c r="K299" s="1007" t="s">
        <v>2244</v>
      </c>
      <c r="L299" s="1009" t="s">
        <v>2226</v>
      </c>
      <c r="M299" s="1006" t="s">
        <v>4037</v>
      </c>
      <c r="N299" s="1009" t="s">
        <v>2354</v>
      </c>
      <c r="O299" s="1006" t="s">
        <v>4038</v>
      </c>
      <c r="P299" s="1009" t="s">
        <v>2231</v>
      </c>
      <c r="Q299" s="1006" t="s">
        <v>4037</v>
      </c>
      <c r="R299" s="1009" t="s">
        <v>2245</v>
      </c>
      <c r="S299" s="1006" t="s">
        <v>4128</v>
      </c>
      <c r="T299" s="1010" t="s">
        <v>2479</v>
      </c>
      <c r="U299" s="1010" t="s">
        <v>2570</v>
      </c>
      <c r="V299" s="1010" t="s">
        <v>2571</v>
      </c>
      <c r="W299" s="1007"/>
    </row>
    <row r="300" spans="1:23" x14ac:dyDescent="0.2">
      <c r="A300" s="1006" t="s">
        <v>4802</v>
      </c>
      <c r="B300" s="1007">
        <v>16</v>
      </c>
      <c r="C300" s="1007">
        <v>20</v>
      </c>
      <c r="D300" s="1007">
        <v>60</v>
      </c>
      <c r="E300" s="1007">
        <v>10</v>
      </c>
      <c r="F300" s="1007">
        <v>20</v>
      </c>
      <c r="G300" s="1007">
        <v>35</v>
      </c>
      <c r="H300" s="1007">
        <v>3</v>
      </c>
      <c r="I300" s="1008" t="s">
        <v>3989</v>
      </c>
      <c r="J300" s="1008" t="s">
        <v>1761</v>
      </c>
      <c r="K300" s="1007" t="s">
        <v>2244</v>
      </c>
      <c r="L300" s="1009" t="s">
        <v>2226</v>
      </c>
      <c r="M300" s="1006" t="s">
        <v>4037</v>
      </c>
      <c r="N300" s="1009" t="s">
        <v>2354</v>
      </c>
      <c r="O300" s="1006" t="s">
        <v>4038</v>
      </c>
      <c r="P300" s="1009" t="s">
        <v>2231</v>
      </c>
      <c r="Q300" s="1006" t="s">
        <v>4037</v>
      </c>
      <c r="R300" s="1009" t="s">
        <v>2245</v>
      </c>
      <c r="S300" s="1006" t="s">
        <v>4128</v>
      </c>
      <c r="T300" s="1010" t="s">
        <v>2479</v>
      </c>
      <c r="U300" s="1010" t="s">
        <v>2570</v>
      </c>
      <c r="V300" s="1010" t="s">
        <v>2571</v>
      </c>
      <c r="W300" s="1007"/>
    </row>
    <row r="301" spans="1:23" x14ac:dyDescent="0.2">
      <c r="A301" s="1012" t="s">
        <v>4803</v>
      </c>
      <c r="B301" s="1013"/>
      <c r="C301" s="1013"/>
      <c r="D301" s="1013"/>
      <c r="E301" s="1013"/>
      <c r="F301" s="1013"/>
      <c r="G301" s="1013"/>
      <c r="H301" s="1013"/>
      <c r="I301" s="1013"/>
      <c r="J301" s="1013"/>
      <c r="K301" s="1013"/>
      <c r="L301" s="1014"/>
      <c r="M301" s="1013"/>
      <c r="N301" s="1013"/>
      <c r="O301" s="1013"/>
      <c r="P301" s="1013"/>
      <c r="Q301" s="1013"/>
      <c r="R301" s="1013"/>
      <c r="S301" s="1013"/>
      <c r="T301" s="1013"/>
      <c r="U301" s="1013"/>
      <c r="V301" s="1013"/>
      <c r="W301" s="1007"/>
    </row>
    <row r="302" spans="1:23" x14ac:dyDescent="0.2">
      <c r="A302" s="1006" t="s">
        <v>4804</v>
      </c>
      <c r="B302" s="1007">
        <v>2</v>
      </c>
      <c r="C302" s="1007">
        <v>2</v>
      </c>
      <c r="D302" s="1007">
        <v>10</v>
      </c>
      <c r="E302" s="1007">
        <v>1</v>
      </c>
      <c r="F302" s="1007">
        <v>2</v>
      </c>
      <c r="G302" s="1007">
        <v>4</v>
      </c>
      <c r="H302" s="1007"/>
      <c r="I302" s="1007"/>
      <c r="J302" s="1007"/>
      <c r="K302" s="1007"/>
      <c r="L302" s="1016"/>
      <c r="M302" s="1007"/>
      <c r="N302" s="1007"/>
      <c r="O302" s="1007"/>
      <c r="P302" s="1007"/>
      <c r="Q302" s="1007"/>
      <c r="R302" s="1007"/>
      <c r="S302" s="1007"/>
      <c r="T302" s="1007"/>
      <c r="U302" s="1007"/>
      <c r="V302" s="1007"/>
      <c r="W302" s="1007"/>
    </row>
    <row r="303" spans="1:23" x14ac:dyDescent="0.2">
      <c r="A303" s="848" t="s">
        <v>4139</v>
      </c>
      <c r="B303" s="1026"/>
      <c r="C303" s="1026"/>
      <c r="D303" s="1026"/>
      <c r="E303" s="1026"/>
      <c r="F303" s="1026"/>
      <c r="G303" s="1026"/>
      <c r="H303" s="1026"/>
      <c r="I303" s="1026"/>
      <c r="J303" s="1026"/>
      <c r="K303" s="1026"/>
      <c r="L303" s="1027"/>
      <c r="M303" s="1026"/>
      <c r="N303" s="1026"/>
      <c r="O303" s="1026"/>
      <c r="P303" s="1026"/>
      <c r="Q303" s="1026"/>
      <c r="R303" s="1026"/>
      <c r="S303" s="1026"/>
      <c r="T303" s="1026"/>
      <c r="U303" s="1026"/>
      <c r="V303" s="1026"/>
      <c r="W303" s="1007"/>
    </row>
    <row r="304" spans="1:23" x14ac:dyDescent="0.2">
      <c r="A304" s="1006" t="s">
        <v>4805</v>
      </c>
      <c r="B304" s="1007">
        <v>2</v>
      </c>
      <c r="C304" s="1007">
        <v>4</v>
      </c>
      <c r="D304" s="1007">
        <v>10</v>
      </c>
      <c r="E304" s="1007">
        <v>2</v>
      </c>
      <c r="F304" s="1007">
        <v>4</v>
      </c>
      <c r="G304" s="1007">
        <v>4</v>
      </c>
      <c r="H304" s="1007">
        <v>1</v>
      </c>
      <c r="I304" s="1008" t="s">
        <v>3994</v>
      </c>
      <c r="J304" s="1008" t="s">
        <v>1761</v>
      </c>
      <c r="K304" s="1007" t="s">
        <v>2244</v>
      </c>
      <c r="L304" s="1009" t="s">
        <v>2226</v>
      </c>
      <c r="M304" s="1006" t="s">
        <v>4037</v>
      </c>
      <c r="N304" s="1009" t="s">
        <v>2354</v>
      </c>
      <c r="O304" s="1006" t="s">
        <v>4038</v>
      </c>
      <c r="P304" s="1009" t="s">
        <v>2231</v>
      </c>
      <c r="Q304" s="1006" t="s">
        <v>4037</v>
      </c>
      <c r="R304" s="1009" t="s">
        <v>2245</v>
      </c>
      <c r="S304" s="1006" t="s">
        <v>4128</v>
      </c>
      <c r="T304" s="1010" t="s">
        <v>2479</v>
      </c>
      <c r="U304" s="1010" t="s">
        <v>2570</v>
      </c>
      <c r="V304" s="1010" t="s">
        <v>2571</v>
      </c>
      <c r="W304" s="1007"/>
    </row>
    <row r="305" spans="1:23" x14ac:dyDescent="0.2">
      <c r="A305" s="1006" t="s">
        <v>4806</v>
      </c>
      <c r="B305" s="1007">
        <v>4</v>
      </c>
      <c r="C305" s="1007">
        <v>6</v>
      </c>
      <c r="D305" s="1007">
        <v>15</v>
      </c>
      <c r="E305" s="1007">
        <v>3</v>
      </c>
      <c r="F305" s="1007">
        <v>6</v>
      </c>
      <c r="G305" s="1007">
        <v>6</v>
      </c>
      <c r="H305" s="1007">
        <v>1</v>
      </c>
      <c r="I305" s="1008" t="s">
        <v>3994</v>
      </c>
      <c r="J305" s="1008" t="s">
        <v>1761</v>
      </c>
      <c r="K305" s="1007" t="s">
        <v>2244</v>
      </c>
      <c r="L305" s="1009" t="s">
        <v>2226</v>
      </c>
      <c r="M305" s="1006" t="s">
        <v>4037</v>
      </c>
      <c r="N305" s="1009" t="s">
        <v>2354</v>
      </c>
      <c r="O305" s="1006" t="s">
        <v>4038</v>
      </c>
      <c r="P305" s="1009" t="s">
        <v>2231</v>
      </c>
      <c r="Q305" s="1006" t="s">
        <v>4037</v>
      </c>
      <c r="R305" s="1009" t="s">
        <v>2245</v>
      </c>
      <c r="S305" s="1006" t="s">
        <v>4128</v>
      </c>
      <c r="T305" s="1010" t="s">
        <v>2479</v>
      </c>
      <c r="U305" s="1010" t="s">
        <v>2570</v>
      </c>
      <c r="V305" s="1010" t="s">
        <v>2571</v>
      </c>
      <c r="W305" s="1007"/>
    </row>
    <row r="306" spans="1:23" x14ac:dyDescent="0.2">
      <c r="A306" s="1006" t="s">
        <v>4807</v>
      </c>
      <c r="B306" s="1007">
        <v>6</v>
      </c>
      <c r="C306" s="1007">
        <v>9</v>
      </c>
      <c r="D306" s="1007">
        <v>20</v>
      </c>
      <c r="E306" s="1007">
        <v>4</v>
      </c>
      <c r="F306" s="1007">
        <v>8</v>
      </c>
      <c r="G306" s="1007">
        <v>8</v>
      </c>
      <c r="H306" s="1007">
        <v>1</v>
      </c>
      <c r="I306" s="1008" t="s">
        <v>3994</v>
      </c>
      <c r="J306" s="1008" t="s">
        <v>1761</v>
      </c>
      <c r="K306" s="1007" t="s">
        <v>2244</v>
      </c>
      <c r="L306" s="1009" t="s">
        <v>2226</v>
      </c>
      <c r="M306" s="1006" t="s">
        <v>4037</v>
      </c>
      <c r="N306" s="1009" t="s">
        <v>2354</v>
      </c>
      <c r="O306" s="1006" t="s">
        <v>4038</v>
      </c>
      <c r="P306" s="1009" t="s">
        <v>2231</v>
      </c>
      <c r="Q306" s="1006" t="s">
        <v>4037</v>
      </c>
      <c r="R306" s="1009" t="s">
        <v>2245</v>
      </c>
      <c r="S306" s="1006" t="s">
        <v>4128</v>
      </c>
      <c r="T306" s="1010" t="s">
        <v>2479</v>
      </c>
      <c r="U306" s="1010" t="s">
        <v>2570</v>
      </c>
      <c r="V306" s="1010" t="s">
        <v>2571</v>
      </c>
      <c r="W306" s="1007"/>
    </row>
    <row r="307" spans="1:23" x14ac:dyDescent="0.2">
      <c r="A307" s="1006" t="s">
        <v>4808</v>
      </c>
      <c r="B307" s="1007">
        <v>8</v>
      </c>
      <c r="C307" s="1007">
        <v>11</v>
      </c>
      <c r="D307" s="1007">
        <v>30</v>
      </c>
      <c r="E307" s="1007">
        <v>5</v>
      </c>
      <c r="F307" s="1007">
        <v>10</v>
      </c>
      <c r="G307" s="1007">
        <v>10</v>
      </c>
      <c r="H307" s="1007">
        <v>2</v>
      </c>
      <c r="I307" s="1008" t="s">
        <v>3994</v>
      </c>
      <c r="J307" s="1008" t="s">
        <v>1761</v>
      </c>
      <c r="K307" s="1007" t="s">
        <v>2244</v>
      </c>
      <c r="L307" s="1009" t="s">
        <v>2226</v>
      </c>
      <c r="M307" s="1006" t="s">
        <v>4037</v>
      </c>
      <c r="N307" s="1009" t="s">
        <v>2354</v>
      </c>
      <c r="O307" s="1006" t="s">
        <v>4038</v>
      </c>
      <c r="P307" s="1009" t="s">
        <v>2231</v>
      </c>
      <c r="Q307" s="1006" t="s">
        <v>4037</v>
      </c>
      <c r="R307" s="1009" t="s">
        <v>2245</v>
      </c>
      <c r="S307" s="1006" t="s">
        <v>4128</v>
      </c>
      <c r="T307" s="1010" t="s">
        <v>2479</v>
      </c>
      <c r="U307" s="1010" t="s">
        <v>2570</v>
      </c>
      <c r="V307" s="1010" t="s">
        <v>2571</v>
      </c>
      <c r="W307" s="1007"/>
    </row>
    <row r="308" spans="1:23" x14ac:dyDescent="0.2">
      <c r="A308" s="1006" t="s">
        <v>4809</v>
      </c>
      <c r="B308" s="1007">
        <v>12</v>
      </c>
      <c r="C308" s="1007">
        <v>15</v>
      </c>
      <c r="D308" s="1007">
        <v>45</v>
      </c>
      <c r="E308" s="1007">
        <v>6</v>
      </c>
      <c r="F308" s="1007">
        <v>12</v>
      </c>
      <c r="G308" s="1007">
        <v>12</v>
      </c>
      <c r="H308" s="1007">
        <v>2</v>
      </c>
      <c r="I308" s="1008" t="s">
        <v>3994</v>
      </c>
      <c r="J308" s="1008" t="s">
        <v>1761</v>
      </c>
      <c r="K308" s="1007" t="s">
        <v>2244</v>
      </c>
      <c r="L308" s="1009" t="s">
        <v>2226</v>
      </c>
      <c r="M308" s="1006" t="s">
        <v>4037</v>
      </c>
      <c r="N308" s="1009" t="s">
        <v>2354</v>
      </c>
      <c r="O308" s="1006" t="s">
        <v>4038</v>
      </c>
      <c r="P308" s="1009" t="s">
        <v>2231</v>
      </c>
      <c r="Q308" s="1006" t="s">
        <v>4037</v>
      </c>
      <c r="R308" s="1009" t="s">
        <v>2245</v>
      </c>
      <c r="S308" s="1006" t="s">
        <v>4128</v>
      </c>
      <c r="T308" s="1010" t="s">
        <v>2479</v>
      </c>
      <c r="U308" s="1010" t="s">
        <v>2570</v>
      </c>
      <c r="V308" s="1010" t="s">
        <v>2571</v>
      </c>
      <c r="W308" s="1007"/>
    </row>
    <row r="309" spans="1:23" x14ac:dyDescent="0.2">
      <c r="A309" s="1006" t="s">
        <v>4810</v>
      </c>
      <c r="B309" s="1007">
        <v>16</v>
      </c>
      <c r="C309" s="1007">
        <v>20</v>
      </c>
      <c r="D309" s="1007">
        <v>65</v>
      </c>
      <c r="E309" s="1007">
        <v>8</v>
      </c>
      <c r="F309" s="1007">
        <v>16</v>
      </c>
      <c r="G309" s="1007">
        <v>16</v>
      </c>
      <c r="H309" s="1007">
        <v>3</v>
      </c>
      <c r="I309" s="1008" t="s">
        <v>3994</v>
      </c>
      <c r="J309" s="1008" t="s">
        <v>1761</v>
      </c>
      <c r="K309" s="1007" t="s">
        <v>2244</v>
      </c>
      <c r="L309" s="1009" t="s">
        <v>2226</v>
      </c>
      <c r="M309" s="1006" t="s">
        <v>4037</v>
      </c>
      <c r="N309" s="1009" t="s">
        <v>2354</v>
      </c>
      <c r="O309" s="1006" t="s">
        <v>4038</v>
      </c>
      <c r="P309" s="1009" t="s">
        <v>2231</v>
      </c>
      <c r="Q309" s="1006" t="s">
        <v>4037</v>
      </c>
      <c r="R309" s="1009" t="s">
        <v>2245</v>
      </c>
      <c r="S309" s="1006" t="s">
        <v>4128</v>
      </c>
      <c r="T309" s="1010" t="s">
        <v>2479</v>
      </c>
      <c r="U309" s="1010" t="s">
        <v>2570</v>
      </c>
      <c r="V309" s="1010" t="s">
        <v>2571</v>
      </c>
      <c r="W309" s="1007"/>
    </row>
    <row r="310" spans="1:23" x14ac:dyDescent="0.2">
      <c r="A310" s="1012" t="s">
        <v>4803</v>
      </c>
      <c r="B310" s="1013"/>
      <c r="C310" s="1013"/>
      <c r="D310" s="1013"/>
      <c r="E310" s="1013"/>
      <c r="F310" s="1013"/>
      <c r="G310" s="1013"/>
      <c r="H310" s="1013"/>
      <c r="I310" s="1013"/>
      <c r="J310" s="1013"/>
      <c r="K310" s="1013"/>
      <c r="L310" s="1014"/>
      <c r="M310" s="1013"/>
      <c r="N310" s="1013"/>
      <c r="O310" s="1013"/>
      <c r="P310" s="1013"/>
      <c r="Q310" s="1013"/>
      <c r="R310" s="1013"/>
      <c r="S310" s="1013"/>
      <c r="T310" s="1013"/>
      <c r="U310" s="1013"/>
      <c r="V310" s="1013"/>
      <c r="W310" s="1007"/>
    </row>
    <row r="311" spans="1:23" x14ac:dyDescent="0.2">
      <c r="A311" s="1006" t="s">
        <v>4804</v>
      </c>
      <c r="B311" s="1007">
        <v>2</v>
      </c>
      <c r="C311" s="1007">
        <v>2</v>
      </c>
      <c r="D311" s="1007">
        <v>10</v>
      </c>
      <c r="E311" s="1007">
        <v>1</v>
      </c>
      <c r="F311" s="1007">
        <v>2</v>
      </c>
      <c r="G311" s="1007">
        <v>4</v>
      </c>
      <c r="H311" s="1007"/>
      <c r="I311" s="1007"/>
      <c r="J311" s="1007"/>
      <c r="K311" s="1007"/>
      <c r="L311" s="1016"/>
      <c r="M311" s="1007"/>
      <c r="N311" s="1007"/>
      <c r="O311" s="1007"/>
      <c r="P311" s="1007"/>
      <c r="Q311" s="1007"/>
      <c r="R311" s="1007"/>
      <c r="S311" s="1007"/>
      <c r="T311" s="1007"/>
      <c r="U311" s="1007"/>
      <c r="V311" s="1007"/>
      <c r="W311" s="1007"/>
    </row>
    <row r="312" spans="1:23" x14ac:dyDescent="0.2">
      <c r="A312" s="848" t="s">
        <v>4144</v>
      </c>
      <c r="B312" s="1026"/>
      <c r="C312" s="1026"/>
      <c r="D312" s="1026"/>
      <c r="E312" s="1026"/>
      <c r="F312" s="1026"/>
      <c r="G312" s="1026"/>
      <c r="H312" s="1026"/>
      <c r="I312" s="1026"/>
      <c r="J312" s="1026"/>
      <c r="K312" s="1026"/>
      <c r="L312" s="1027"/>
      <c r="M312" s="1026"/>
      <c r="N312" s="1026"/>
      <c r="O312" s="1026"/>
      <c r="P312" s="1026"/>
      <c r="Q312" s="1026"/>
      <c r="R312" s="1026"/>
      <c r="S312" s="1026"/>
      <c r="T312" s="1026"/>
      <c r="U312" s="1026"/>
      <c r="V312" s="1026"/>
      <c r="W312" s="1007"/>
    </row>
    <row r="313" spans="1:23" x14ac:dyDescent="0.2">
      <c r="A313" s="1006" t="s">
        <v>4811</v>
      </c>
      <c r="B313" s="1007">
        <v>1</v>
      </c>
      <c r="C313" s="1007">
        <v>2</v>
      </c>
      <c r="D313" s="1007">
        <v>5</v>
      </c>
      <c r="E313" s="1007">
        <v>1</v>
      </c>
      <c r="F313" s="1007">
        <v>2</v>
      </c>
      <c r="G313" s="1007">
        <v>4</v>
      </c>
      <c r="H313" s="1007">
        <v>1</v>
      </c>
      <c r="I313" s="1008" t="s">
        <v>3989</v>
      </c>
      <c r="J313" s="1008" t="s">
        <v>2431</v>
      </c>
      <c r="K313" s="1007" t="s">
        <v>2244</v>
      </c>
      <c r="L313" s="1009" t="s">
        <v>2354</v>
      </c>
      <c r="M313" s="1006" t="s">
        <v>4037</v>
      </c>
      <c r="N313" s="1009" t="s">
        <v>2231</v>
      </c>
      <c r="O313" s="1006" t="s">
        <v>4037</v>
      </c>
      <c r="P313" s="1009" t="s">
        <v>2236</v>
      </c>
      <c r="Q313" s="1006" t="s">
        <v>4037</v>
      </c>
      <c r="R313" s="1009" t="s">
        <v>2245</v>
      </c>
      <c r="S313" s="1006" t="s">
        <v>4038</v>
      </c>
      <c r="T313" s="1010" t="s">
        <v>2570</v>
      </c>
      <c r="U313" s="1010" t="s">
        <v>2575</v>
      </c>
      <c r="V313" s="1010" t="s">
        <v>2475</v>
      </c>
      <c r="W313" s="1007"/>
    </row>
    <row r="314" spans="1:23" x14ac:dyDescent="0.2">
      <c r="A314" s="1006" t="s">
        <v>4812</v>
      </c>
      <c r="B314" s="1007">
        <v>2</v>
      </c>
      <c r="C314" s="1007">
        <v>4</v>
      </c>
      <c r="D314" s="1007">
        <v>5</v>
      </c>
      <c r="E314" s="1007">
        <v>2</v>
      </c>
      <c r="F314" s="1007">
        <v>4</v>
      </c>
      <c r="G314" s="1007">
        <v>7</v>
      </c>
      <c r="H314" s="1007">
        <v>1</v>
      </c>
      <c r="I314" s="1008" t="s">
        <v>3989</v>
      </c>
      <c r="J314" s="1008" t="s">
        <v>2431</v>
      </c>
      <c r="K314" s="1007" t="s">
        <v>2244</v>
      </c>
      <c r="L314" s="1009" t="s">
        <v>2354</v>
      </c>
      <c r="M314" s="1006" t="s">
        <v>4037</v>
      </c>
      <c r="N314" s="1009" t="s">
        <v>2231</v>
      </c>
      <c r="O314" s="1006" t="s">
        <v>4037</v>
      </c>
      <c r="P314" s="1009" t="s">
        <v>2236</v>
      </c>
      <c r="Q314" s="1006" t="s">
        <v>4037</v>
      </c>
      <c r="R314" s="1009" t="s">
        <v>2245</v>
      </c>
      <c r="S314" s="1006" t="s">
        <v>4038</v>
      </c>
      <c r="T314" s="1010" t="s">
        <v>2570</v>
      </c>
      <c r="U314" s="1010" t="s">
        <v>2575</v>
      </c>
      <c r="V314" s="1010" t="s">
        <v>2475</v>
      </c>
      <c r="W314" s="1007"/>
    </row>
    <row r="315" spans="1:23" x14ac:dyDescent="0.2">
      <c r="A315" s="1006" t="s">
        <v>4813</v>
      </c>
      <c r="B315" s="1007">
        <v>3</v>
      </c>
      <c r="C315" s="1007">
        <v>5</v>
      </c>
      <c r="D315" s="1007">
        <v>10</v>
      </c>
      <c r="E315" s="1007">
        <v>3</v>
      </c>
      <c r="F315" s="1007">
        <v>6</v>
      </c>
      <c r="G315" s="1007">
        <v>11</v>
      </c>
      <c r="H315" s="1007">
        <v>1</v>
      </c>
      <c r="I315" s="1008" t="s">
        <v>3989</v>
      </c>
      <c r="J315" s="1008" t="s">
        <v>2431</v>
      </c>
      <c r="K315" s="1007" t="s">
        <v>2244</v>
      </c>
      <c r="L315" s="1009" t="s">
        <v>2354</v>
      </c>
      <c r="M315" s="1006" t="s">
        <v>4037</v>
      </c>
      <c r="N315" s="1009" t="s">
        <v>2231</v>
      </c>
      <c r="O315" s="1006" t="s">
        <v>4037</v>
      </c>
      <c r="P315" s="1009" t="s">
        <v>2236</v>
      </c>
      <c r="Q315" s="1006" t="s">
        <v>4037</v>
      </c>
      <c r="R315" s="1009" t="s">
        <v>2245</v>
      </c>
      <c r="S315" s="1006" t="s">
        <v>4038</v>
      </c>
      <c r="T315" s="1010" t="s">
        <v>2570</v>
      </c>
      <c r="U315" s="1010" t="s">
        <v>2575</v>
      </c>
      <c r="V315" s="1010" t="s">
        <v>2475</v>
      </c>
      <c r="W315" s="1007"/>
    </row>
    <row r="316" spans="1:23" x14ac:dyDescent="0.2">
      <c r="A316" s="1006" t="s">
        <v>4814</v>
      </c>
      <c r="B316" s="1007">
        <v>4</v>
      </c>
      <c r="C316" s="1007">
        <v>6</v>
      </c>
      <c r="D316" s="1007">
        <v>15</v>
      </c>
      <c r="E316" s="1007">
        <v>4</v>
      </c>
      <c r="F316" s="1007">
        <v>8</v>
      </c>
      <c r="G316" s="1007">
        <v>14</v>
      </c>
      <c r="H316" s="1007">
        <v>1</v>
      </c>
      <c r="I316" s="1008" t="s">
        <v>3989</v>
      </c>
      <c r="J316" s="1008" t="s">
        <v>2431</v>
      </c>
      <c r="K316" s="1007" t="s">
        <v>2244</v>
      </c>
      <c r="L316" s="1009" t="s">
        <v>2354</v>
      </c>
      <c r="M316" s="1006" t="s">
        <v>4037</v>
      </c>
      <c r="N316" s="1009" t="s">
        <v>2231</v>
      </c>
      <c r="O316" s="1006" t="s">
        <v>4037</v>
      </c>
      <c r="P316" s="1009" t="s">
        <v>2236</v>
      </c>
      <c r="Q316" s="1006" t="s">
        <v>4037</v>
      </c>
      <c r="R316" s="1009" t="s">
        <v>2245</v>
      </c>
      <c r="S316" s="1006" t="s">
        <v>4038</v>
      </c>
      <c r="T316" s="1010" t="s">
        <v>2570</v>
      </c>
      <c r="U316" s="1010" t="s">
        <v>2575</v>
      </c>
      <c r="V316" s="1010" t="s">
        <v>2475</v>
      </c>
      <c r="W316" s="1007"/>
    </row>
    <row r="317" spans="1:23" x14ac:dyDescent="0.2">
      <c r="A317" s="1006" t="s">
        <v>4815</v>
      </c>
      <c r="B317" s="1007">
        <v>5</v>
      </c>
      <c r="C317" s="1007">
        <v>8</v>
      </c>
      <c r="D317" s="1007">
        <v>20</v>
      </c>
      <c r="E317" s="1007">
        <v>5</v>
      </c>
      <c r="F317" s="1007">
        <v>10</v>
      </c>
      <c r="G317" s="1007">
        <v>18</v>
      </c>
      <c r="H317" s="1007">
        <v>2</v>
      </c>
      <c r="I317" s="1008" t="s">
        <v>3989</v>
      </c>
      <c r="J317" s="1008" t="s">
        <v>2431</v>
      </c>
      <c r="K317" s="1007" t="s">
        <v>2244</v>
      </c>
      <c r="L317" s="1009" t="s">
        <v>2354</v>
      </c>
      <c r="M317" s="1006" t="s">
        <v>4037</v>
      </c>
      <c r="N317" s="1009" t="s">
        <v>2231</v>
      </c>
      <c r="O317" s="1006" t="s">
        <v>4037</v>
      </c>
      <c r="P317" s="1009" t="s">
        <v>2236</v>
      </c>
      <c r="Q317" s="1006" t="s">
        <v>4037</v>
      </c>
      <c r="R317" s="1009" t="s">
        <v>2245</v>
      </c>
      <c r="S317" s="1006" t="s">
        <v>4038</v>
      </c>
      <c r="T317" s="1010" t="s">
        <v>2570</v>
      </c>
      <c r="U317" s="1010" t="s">
        <v>2575</v>
      </c>
      <c r="V317" s="1010" t="s">
        <v>2475</v>
      </c>
      <c r="W317" s="1007"/>
    </row>
    <row r="318" spans="1:23" x14ac:dyDescent="0.2">
      <c r="A318" s="1006" t="s">
        <v>4816</v>
      </c>
      <c r="B318" s="1007">
        <v>6</v>
      </c>
      <c r="C318" s="1007">
        <v>9</v>
      </c>
      <c r="D318" s="1007">
        <v>25</v>
      </c>
      <c r="E318" s="1007">
        <v>6</v>
      </c>
      <c r="F318" s="1007">
        <v>12</v>
      </c>
      <c r="G318" s="1007">
        <v>21</v>
      </c>
      <c r="H318" s="1007">
        <v>2</v>
      </c>
      <c r="I318" s="1008" t="s">
        <v>3989</v>
      </c>
      <c r="J318" s="1008" t="s">
        <v>2431</v>
      </c>
      <c r="K318" s="1007" t="s">
        <v>2244</v>
      </c>
      <c r="L318" s="1009" t="s">
        <v>2354</v>
      </c>
      <c r="M318" s="1006" t="s">
        <v>4037</v>
      </c>
      <c r="N318" s="1009" t="s">
        <v>2231</v>
      </c>
      <c r="O318" s="1006" t="s">
        <v>4037</v>
      </c>
      <c r="P318" s="1009" t="s">
        <v>2236</v>
      </c>
      <c r="Q318" s="1006" t="s">
        <v>4037</v>
      </c>
      <c r="R318" s="1009" t="s">
        <v>2245</v>
      </c>
      <c r="S318" s="1006" t="s">
        <v>4038</v>
      </c>
      <c r="T318" s="1010" t="s">
        <v>2570</v>
      </c>
      <c r="U318" s="1010" t="s">
        <v>2575</v>
      </c>
      <c r="V318" s="1010" t="s">
        <v>2475</v>
      </c>
      <c r="W318" s="1007"/>
    </row>
    <row r="319" spans="1:23" x14ac:dyDescent="0.2">
      <c r="A319" s="1006" t="s">
        <v>4817</v>
      </c>
      <c r="B319" s="1007">
        <v>8</v>
      </c>
      <c r="C319" s="1007">
        <v>11</v>
      </c>
      <c r="D319" s="1007">
        <v>30</v>
      </c>
      <c r="E319" s="1007">
        <v>7</v>
      </c>
      <c r="F319" s="1007">
        <v>14</v>
      </c>
      <c r="G319" s="1007">
        <v>25</v>
      </c>
      <c r="H319" s="1007">
        <v>3</v>
      </c>
      <c r="I319" s="1008" t="s">
        <v>3989</v>
      </c>
      <c r="J319" s="1008" t="s">
        <v>2431</v>
      </c>
      <c r="K319" s="1007" t="s">
        <v>2244</v>
      </c>
      <c r="L319" s="1009" t="s">
        <v>2354</v>
      </c>
      <c r="M319" s="1006" t="s">
        <v>4037</v>
      </c>
      <c r="N319" s="1009" t="s">
        <v>2231</v>
      </c>
      <c r="O319" s="1006" t="s">
        <v>4037</v>
      </c>
      <c r="P319" s="1009" t="s">
        <v>2236</v>
      </c>
      <c r="Q319" s="1006" t="s">
        <v>4037</v>
      </c>
      <c r="R319" s="1009" t="s">
        <v>2245</v>
      </c>
      <c r="S319" s="1006" t="s">
        <v>4038</v>
      </c>
      <c r="T319" s="1010" t="s">
        <v>2570</v>
      </c>
      <c r="U319" s="1010" t="s">
        <v>2575</v>
      </c>
      <c r="V319" s="1010" t="s">
        <v>2475</v>
      </c>
      <c r="W319" s="1007"/>
    </row>
    <row r="320" spans="1:23" x14ac:dyDescent="0.2">
      <c r="A320" s="1006" t="s">
        <v>4818</v>
      </c>
      <c r="B320" s="1007">
        <v>10</v>
      </c>
      <c r="C320" s="1007">
        <v>13</v>
      </c>
      <c r="D320" s="1007">
        <v>35</v>
      </c>
      <c r="E320" s="1007">
        <v>8</v>
      </c>
      <c r="F320" s="1007">
        <v>16</v>
      </c>
      <c r="G320" s="1007">
        <v>28</v>
      </c>
      <c r="H320" s="1007">
        <v>3</v>
      </c>
      <c r="I320" s="1008" t="s">
        <v>3989</v>
      </c>
      <c r="J320" s="1008" t="s">
        <v>2431</v>
      </c>
      <c r="K320" s="1007" t="s">
        <v>2244</v>
      </c>
      <c r="L320" s="1009" t="s">
        <v>2354</v>
      </c>
      <c r="M320" s="1006" t="s">
        <v>4037</v>
      </c>
      <c r="N320" s="1009" t="s">
        <v>2231</v>
      </c>
      <c r="O320" s="1006" t="s">
        <v>4037</v>
      </c>
      <c r="P320" s="1009" t="s">
        <v>2236</v>
      </c>
      <c r="Q320" s="1006" t="s">
        <v>4037</v>
      </c>
      <c r="R320" s="1009" t="s">
        <v>2245</v>
      </c>
      <c r="S320" s="1006" t="s">
        <v>4038</v>
      </c>
      <c r="T320" s="1010" t="s">
        <v>2570</v>
      </c>
      <c r="U320" s="1010" t="s">
        <v>2575</v>
      </c>
      <c r="V320" s="1010" t="s">
        <v>2475</v>
      </c>
      <c r="W320" s="1007"/>
    </row>
    <row r="321" spans="1:23" x14ac:dyDescent="0.2">
      <c r="A321" s="848" t="s">
        <v>4149</v>
      </c>
      <c r="B321" s="1026"/>
      <c r="C321" s="1026"/>
      <c r="D321" s="1026"/>
      <c r="E321" s="1026"/>
      <c r="F321" s="1026"/>
      <c r="G321" s="1026"/>
      <c r="H321" s="1026"/>
      <c r="I321" s="1026"/>
      <c r="J321" s="1026"/>
      <c r="K321" s="1026"/>
      <c r="L321" s="1027"/>
      <c r="M321" s="1026"/>
      <c r="N321" s="1026"/>
      <c r="O321" s="1026"/>
      <c r="P321" s="1026"/>
      <c r="Q321" s="1026"/>
      <c r="R321" s="1026"/>
      <c r="S321" s="1026"/>
      <c r="T321" s="1026"/>
      <c r="U321" s="1026"/>
      <c r="V321" s="1026"/>
      <c r="W321" s="1007"/>
    </row>
    <row r="322" spans="1:23" x14ac:dyDescent="0.2">
      <c r="A322" s="1006" t="s">
        <v>4819</v>
      </c>
      <c r="B322" s="1007">
        <v>2</v>
      </c>
      <c r="C322" s="1007">
        <v>4</v>
      </c>
      <c r="D322" s="1007">
        <v>5</v>
      </c>
      <c r="E322" s="1007">
        <v>1</v>
      </c>
      <c r="F322" s="1007">
        <v>2</v>
      </c>
      <c r="G322" s="1007">
        <v>4</v>
      </c>
      <c r="H322" s="1007">
        <v>1</v>
      </c>
      <c r="I322" s="1008" t="s">
        <v>3989</v>
      </c>
      <c r="J322" s="1008" t="s">
        <v>4752</v>
      </c>
      <c r="K322" s="1007" t="s">
        <v>2226</v>
      </c>
      <c r="L322" s="1009" t="s">
        <v>2354</v>
      </c>
      <c r="M322" s="1006" t="s">
        <v>4037</v>
      </c>
      <c r="N322" s="1009" t="s">
        <v>2231</v>
      </c>
      <c r="O322" s="1006" t="s">
        <v>4037</v>
      </c>
      <c r="P322" s="1009" t="s">
        <v>2236</v>
      </c>
      <c r="Q322" s="1006" t="s">
        <v>4037</v>
      </c>
      <c r="R322" s="1009" t="s">
        <v>2244</v>
      </c>
      <c r="S322" s="1006" t="s">
        <v>4038</v>
      </c>
      <c r="T322" s="1010" t="s">
        <v>2472</v>
      </c>
      <c r="U322" s="1010" t="s">
        <v>2570</v>
      </c>
      <c r="V322" s="1010" t="s">
        <v>2571</v>
      </c>
      <c r="W322" s="1007"/>
    </row>
    <row r="323" spans="1:23" x14ac:dyDescent="0.2">
      <c r="A323" s="1006" t="s">
        <v>4820</v>
      </c>
      <c r="B323" s="1007">
        <v>3</v>
      </c>
      <c r="C323" s="1007">
        <v>5</v>
      </c>
      <c r="D323" s="1007">
        <v>10</v>
      </c>
      <c r="E323" s="1007">
        <v>2</v>
      </c>
      <c r="F323" s="1007">
        <v>4</v>
      </c>
      <c r="G323" s="1007">
        <v>7</v>
      </c>
      <c r="H323" s="1007">
        <v>1</v>
      </c>
      <c r="I323" s="1008" t="s">
        <v>3989</v>
      </c>
      <c r="J323" s="1008" t="s">
        <v>4752</v>
      </c>
      <c r="K323" s="1007" t="s">
        <v>2226</v>
      </c>
      <c r="L323" s="1009" t="s">
        <v>2354</v>
      </c>
      <c r="M323" s="1006" t="s">
        <v>4037</v>
      </c>
      <c r="N323" s="1009" t="s">
        <v>2231</v>
      </c>
      <c r="O323" s="1006" t="s">
        <v>4037</v>
      </c>
      <c r="P323" s="1009" t="s">
        <v>2236</v>
      </c>
      <c r="Q323" s="1006" t="s">
        <v>4037</v>
      </c>
      <c r="R323" s="1009" t="s">
        <v>2244</v>
      </c>
      <c r="S323" s="1006" t="s">
        <v>4038</v>
      </c>
      <c r="T323" s="1010" t="s">
        <v>2472</v>
      </c>
      <c r="U323" s="1010" t="s">
        <v>2570</v>
      </c>
      <c r="V323" s="1010" t="s">
        <v>2571</v>
      </c>
      <c r="W323" s="1007"/>
    </row>
    <row r="324" spans="1:23" x14ac:dyDescent="0.2">
      <c r="A324" s="1006" t="s">
        <v>4821</v>
      </c>
      <c r="B324" s="1007">
        <v>4</v>
      </c>
      <c r="C324" s="1007">
        <v>6</v>
      </c>
      <c r="D324" s="1007">
        <v>10</v>
      </c>
      <c r="E324" s="1007">
        <v>3</v>
      </c>
      <c r="F324" s="1007">
        <v>6</v>
      </c>
      <c r="G324" s="1007">
        <v>11</v>
      </c>
      <c r="H324" s="1007">
        <v>1</v>
      </c>
      <c r="I324" s="1008" t="s">
        <v>3989</v>
      </c>
      <c r="J324" s="1008" t="s">
        <v>4752</v>
      </c>
      <c r="K324" s="1007" t="s">
        <v>2226</v>
      </c>
      <c r="L324" s="1009" t="s">
        <v>2354</v>
      </c>
      <c r="M324" s="1006" t="s">
        <v>4037</v>
      </c>
      <c r="N324" s="1009" t="s">
        <v>2231</v>
      </c>
      <c r="O324" s="1006" t="s">
        <v>4037</v>
      </c>
      <c r="P324" s="1009" t="s">
        <v>2236</v>
      </c>
      <c r="Q324" s="1006" t="s">
        <v>4037</v>
      </c>
      <c r="R324" s="1009" t="s">
        <v>2244</v>
      </c>
      <c r="S324" s="1006" t="s">
        <v>4038</v>
      </c>
      <c r="T324" s="1010" t="s">
        <v>2472</v>
      </c>
      <c r="U324" s="1010" t="s">
        <v>2570</v>
      </c>
      <c r="V324" s="1010" t="s">
        <v>2571</v>
      </c>
      <c r="W324" s="1007"/>
    </row>
    <row r="325" spans="1:23" x14ac:dyDescent="0.2">
      <c r="A325" s="1006" t="s">
        <v>4822</v>
      </c>
      <c r="B325" s="1007">
        <v>5</v>
      </c>
      <c r="C325" s="1007">
        <v>8</v>
      </c>
      <c r="D325" s="1007">
        <v>15</v>
      </c>
      <c r="E325" s="1007">
        <v>4</v>
      </c>
      <c r="F325" s="1007">
        <v>8</v>
      </c>
      <c r="G325" s="1007">
        <v>14</v>
      </c>
      <c r="H325" s="1007">
        <v>1</v>
      </c>
      <c r="I325" s="1008" t="s">
        <v>3989</v>
      </c>
      <c r="J325" s="1008" t="s">
        <v>4752</v>
      </c>
      <c r="K325" s="1007" t="s">
        <v>2226</v>
      </c>
      <c r="L325" s="1009" t="s">
        <v>2354</v>
      </c>
      <c r="M325" s="1006" t="s">
        <v>4037</v>
      </c>
      <c r="N325" s="1009" t="s">
        <v>2231</v>
      </c>
      <c r="O325" s="1006" t="s">
        <v>4037</v>
      </c>
      <c r="P325" s="1009" t="s">
        <v>2236</v>
      </c>
      <c r="Q325" s="1006" t="s">
        <v>4037</v>
      </c>
      <c r="R325" s="1009" t="s">
        <v>2244</v>
      </c>
      <c r="S325" s="1006" t="s">
        <v>4038</v>
      </c>
      <c r="T325" s="1010" t="s">
        <v>2472</v>
      </c>
      <c r="U325" s="1010" t="s">
        <v>2570</v>
      </c>
      <c r="V325" s="1010" t="s">
        <v>2571</v>
      </c>
      <c r="W325" s="1007"/>
    </row>
    <row r="326" spans="1:23" x14ac:dyDescent="0.2">
      <c r="A326" s="1006" t="s">
        <v>4823</v>
      </c>
      <c r="B326" s="1007">
        <v>6</v>
      </c>
      <c r="C326" s="1007">
        <v>9</v>
      </c>
      <c r="D326" s="1007">
        <v>20</v>
      </c>
      <c r="E326" s="1007">
        <v>5</v>
      </c>
      <c r="F326" s="1007">
        <v>10</v>
      </c>
      <c r="G326" s="1007">
        <v>18</v>
      </c>
      <c r="H326" s="1007">
        <v>1</v>
      </c>
      <c r="I326" s="1008" t="s">
        <v>3989</v>
      </c>
      <c r="J326" s="1008" t="s">
        <v>4752</v>
      </c>
      <c r="K326" s="1007" t="s">
        <v>2226</v>
      </c>
      <c r="L326" s="1009" t="s">
        <v>2354</v>
      </c>
      <c r="M326" s="1006" t="s">
        <v>4037</v>
      </c>
      <c r="N326" s="1009" t="s">
        <v>2231</v>
      </c>
      <c r="O326" s="1006" t="s">
        <v>4037</v>
      </c>
      <c r="P326" s="1009" t="s">
        <v>2236</v>
      </c>
      <c r="Q326" s="1006" t="s">
        <v>4037</v>
      </c>
      <c r="R326" s="1009" t="s">
        <v>2244</v>
      </c>
      <c r="S326" s="1006" t="s">
        <v>4038</v>
      </c>
      <c r="T326" s="1010" t="s">
        <v>2472</v>
      </c>
      <c r="U326" s="1010" t="s">
        <v>2570</v>
      </c>
      <c r="V326" s="1010" t="s">
        <v>2571</v>
      </c>
      <c r="W326" s="1007"/>
    </row>
    <row r="327" spans="1:23" x14ac:dyDescent="0.2">
      <c r="A327" s="1006" t="s">
        <v>4824</v>
      </c>
      <c r="B327" s="1007">
        <v>8</v>
      </c>
      <c r="C327" s="1007">
        <v>11</v>
      </c>
      <c r="D327" s="1007">
        <v>25</v>
      </c>
      <c r="E327" s="1007">
        <v>6</v>
      </c>
      <c r="F327" s="1007">
        <v>12</v>
      </c>
      <c r="G327" s="1007">
        <v>21</v>
      </c>
      <c r="H327" s="1007">
        <v>2</v>
      </c>
      <c r="I327" s="1008" t="s">
        <v>3989</v>
      </c>
      <c r="J327" s="1008" t="s">
        <v>4752</v>
      </c>
      <c r="K327" s="1007" t="s">
        <v>2226</v>
      </c>
      <c r="L327" s="1009" t="s">
        <v>2354</v>
      </c>
      <c r="M327" s="1006" t="s">
        <v>4037</v>
      </c>
      <c r="N327" s="1009" t="s">
        <v>2231</v>
      </c>
      <c r="O327" s="1006" t="s">
        <v>4037</v>
      </c>
      <c r="P327" s="1009" t="s">
        <v>2236</v>
      </c>
      <c r="Q327" s="1006" t="s">
        <v>4037</v>
      </c>
      <c r="R327" s="1009" t="s">
        <v>2244</v>
      </c>
      <c r="S327" s="1006" t="s">
        <v>4038</v>
      </c>
      <c r="T327" s="1010" t="s">
        <v>2472</v>
      </c>
      <c r="U327" s="1010" t="s">
        <v>2570</v>
      </c>
      <c r="V327" s="1010" t="s">
        <v>2571</v>
      </c>
      <c r="W327" s="1007"/>
    </row>
    <row r="328" spans="1:23" x14ac:dyDescent="0.2">
      <c r="A328" s="1006" t="s">
        <v>4825</v>
      </c>
      <c r="B328" s="1007">
        <v>10</v>
      </c>
      <c r="C328" s="1007">
        <v>13</v>
      </c>
      <c r="D328" s="1007">
        <v>30</v>
      </c>
      <c r="E328" s="1007">
        <v>7</v>
      </c>
      <c r="F328" s="1007">
        <v>14</v>
      </c>
      <c r="G328" s="1007">
        <v>25</v>
      </c>
      <c r="H328" s="1007">
        <v>2</v>
      </c>
      <c r="I328" s="1008" t="s">
        <v>3989</v>
      </c>
      <c r="J328" s="1008" t="s">
        <v>4752</v>
      </c>
      <c r="K328" s="1007" t="s">
        <v>2226</v>
      </c>
      <c r="L328" s="1009" t="s">
        <v>2354</v>
      </c>
      <c r="M328" s="1006" t="s">
        <v>4037</v>
      </c>
      <c r="N328" s="1009" t="s">
        <v>2231</v>
      </c>
      <c r="O328" s="1006" t="s">
        <v>4037</v>
      </c>
      <c r="P328" s="1009" t="s">
        <v>2236</v>
      </c>
      <c r="Q328" s="1006" t="s">
        <v>4037</v>
      </c>
      <c r="R328" s="1009" t="s">
        <v>2244</v>
      </c>
      <c r="S328" s="1006" t="s">
        <v>4038</v>
      </c>
      <c r="T328" s="1010" t="s">
        <v>2472</v>
      </c>
      <c r="U328" s="1010" t="s">
        <v>2570</v>
      </c>
      <c r="V328" s="1010" t="s">
        <v>2571</v>
      </c>
      <c r="W328" s="1007"/>
    </row>
    <row r="329" spans="1:23" x14ac:dyDescent="0.2">
      <c r="A329" s="1006" t="s">
        <v>4826</v>
      </c>
      <c r="B329" s="1007">
        <v>14</v>
      </c>
      <c r="C329" s="1007">
        <v>18</v>
      </c>
      <c r="D329" s="1007">
        <v>35</v>
      </c>
      <c r="E329" s="1007">
        <v>8</v>
      </c>
      <c r="F329" s="1007">
        <v>16</v>
      </c>
      <c r="G329" s="1007">
        <v>28</v>
      </c>
      <c r="H329" s="1007">
        <v>2</v>
      </c>
      <c r="I329" s="1008" t="s">
        <v>3989</v>
      </c>
      <c r="J329" s="1008" t="s">
        <v>4752</v>
      </c>
      <c r="K329" s="1007" t="s">
        <v>2226</v>
      </c>
      <c r="L329" s="1009" t="s">
        <v>2354</v>
      </c>
      <c r="M329" s="1006" t="s">
        <v>4037</v>
      </c>
      <c r="N329" s="1009" t="s">
        <v>2231</v>
      </c>
      <c r="O329" s="1006" t="s">
        <v>4037</v>
      </c>
      <c r="P329" s="1009" t="s">
        <v>2236</v>
      </c>
      <c r="Q329" s="1006" t="s">
        <v>4037</v>
      </c>
      <c r="R329" s="1009" t="s">
        <v>2244</v>
      </c>
      <c r="S329" s="1006" t="s">
        <v>4038</v>
      </c>
      <c r="T329" s="1010" t="s">
        <v>2472</v>
      </c>
      <c r="U329" s="1010" t="s">
        <v>2570</v>
      </c>
      <c r="V329" s="1010" t="s">
        <v>2571</v>
      </c>
      <c r="W329" s="1007"/>
    </row>
    <row r="330" spans="1:23" x14ac:dyDescent="0.2">
      <c r="A330" s="1006" t="s">
        <v>4827</v>
      </c>
      <c r="B330" s="1007">
        <v>18</v>
      </c>
      <c r="C330" s="1007">
        <v>22</v>
      </c>
      <c r="D330" s="1007">
        <v>40</v>
      </c>
      <c r="E330" s="1007">
        <v>10</v>
      </c>
      <c r="F330" s="1007">
        <v>20</v>
      </c>
      <c r="G330" s="1007">
        <v>35</v>
      </c>
      <c r="H330" s="1007">
        <v>3</v>
      </c>
      <c r="I330" s="1008" t="s">
        <v>3989</v>
      </c>
      <c r="J330" s="1008" t="s">
        <v>4752</v>
      </c>
      <c r="K330" s="1007" t="s">
        <v>2226</v>
      </c>
      <c r="L330" s="1009" t="s">
        <v>2354</v>
      </c>
      <c r="M330" s="1006" t="s">
        <v>4037</v>
      </c>
      <c r="N330" s="1009" t="s">
        <v>2231</v>
      </c>
      <c r="O330" s="1006" t="s">
        <v>4037</v>
      </c>
      <c r="P330" s="1009" t="s">
        <v>2236</v>
      </c>
      <c r="Q330" s="1006" t="s">
        <v>4037</v>
      </c>
      <c r="R330" s="1009" t="s">
        <v>2244</v>
      </c>
      <c r="S330" s="1006" t="s">
        <v>4038</v>
      </c>
      <c r="T330" s="1010" t="s">
        <v>2472</v>
      </c>
      <c r="U330" s="1010" t="s">
        <v>2570</v>
      </c>
      <c r="V330" s="1010" t="s">
        <v>2571</v>
      </c>
      <c r="W330" s="1007"/>
    </row>
    <row r="331" spans="1:23" x14ac:dyDescent="0.2">
      <c r="A331" s="1006" t="s">
        <v>4828</v>
      </c>
      <c r="B331" s="1007">
        <v>22</v>
      </c>
      <c r="C331" s="1007">
        <v>26</v>
      </c>
      <c r="D331" s="1007">
        <v>50</v>
      </c>
      <c r="E331" s="1007">
        <v>12</v>
      </c>
      <c r="F331" s="1007">
        <v>24</v>
      </c>
      <c r="G331" s="1007">
        <v>42</v>
      </c>
      <c r="H331" s="1007">
        <v>3</v>
      </c>
      <c r="I331" s="1008" t="s">
        <v>3989</v>
      </c>
      <c r="J331" s="1008" t="s">
        <v>4752</v>
      </c>
      <c r="K331" s="1007" t="s">
        <v>2226</v>
      </c>
      <c r="L331" s="1009" t="s">
        <v>2354</v>
      </c>
      <c r="M331" s="1006" t="s">
        <v>4037</v>
      </c>
      <c r="N331" s="1009" t="s">
        <v>2231</v>
      </c>
      <c r="O331" s="1006" t="s">
        <v>4037</v>
      </c>
      <c r="P331" s="1009" t="s">
        <v>2236</v>
      </c>
      <c r="Q331" s="1006" t="s">
        <v>4037</v>
      </c>
      <c r="R331" s="1009" t="s">
        <v>2244</v>
      </c>
      <c r="S331" s="1006" t="s">
        <v>4038</v>
      </c>
      <c r="T331" s="1010" t="s">
        <v>2472</v>
      </c>
      <c r="U331" s="1010" t="s">
        <v>2570</v>
      </c>
      <c r="V331" s="1010" t="s">
        <v>2571</v>
      </c>
      <c r="W331" s="1007"/>
    </row>
    <row r="332" spans="1:23" x14ac:dyDescent="0.2">
      <c r="A332" s="841" t="s">
        <v>4154</v>
      </c>
      <c r="B332" s="1030"/>
      <c r="C332" s="1030"/>
      <c r="D332" s="1030"/>
      <c r="E332" s="1030"/>
      <c r="F332" s="1030"/>
      <c r="G332" s="1030"/>
      <c r="H332" s="1030"/>
      <c r="I332" s="1030"/>
      <c r="J332" s="1030"/>
      <c r="K332" s="1030"/>
      <c r="L332" s="1031"/>
      <c r="M332" s="1030"/>
      <c r="N332" s="1030"/>
      <c r="O332" s="1030"/>
      <c r="P332" s="1030"/>
      <c r="Q332" s="1030"/>
      <c r="R332" s="1030"/>
      <c r="S332" s="1030"/>
      <c r="T332" s="1030"/>
      <c r="U332" s="1030"/>
      <c r="V332" s="1030"/>
      <c r="W332" s="1007"/>
    </row>
    <row r="333" spans="1:23" x14ac:dyDescent="0.2">
      <c r="A333" s="848" t="s">
        <v>4157</v>
      </c>
      <c r="B333" s="1026"/>
      <c r="C333" s="1026"/>
      <c r="D333" s="1026"/>
      <c r="E333" s="1026"/>
      <c r="F333" s="1026"/>
      <c r="G333" s="1026"/>
      <c r="H333" s="1026"/>
      <c r="I333" s="1026"/>
      <c r="J333" s="1026"/>
      <c r="K333" s="1026"/>
      <c r="L333" s="1027"/>
      <c r="M333" s="1026"/>
      <c r="N333" s="1026"/>
      <c r="O333" s="1026"/>
      <c r="P333" s="1026"/>
      <c r="Q333" s="1026"/>
      <c r="R333" s="1026"/>
      <c r="S333" s="1026"/>
      <c r="T333" s="1026"/>
      <c r="U333" s="1026"/>
      <c r="V333" s="1026"/>
      <c r="W333" s="1007"/>
    </row>
    <row r="334" spans="1:23" x14ac:dyDescent="0.2">
      <c r="A334" s="1006" t="s">
        <v>4829</v>
      </c>
      <c r="B334" s="1007">
        <v>1</v>
      </c>
      <c r="C334" s="1007">
        <v>2</v>
      </c>
      <c r="D334" s="1007">
        <v>5</v>
      </c>
      <c r="E334" s="1007">
        <v>1</v>
      </c>
      <c r="F334" s="1007">
        <v>2</v>
      </c>
      <c r="G334" s="1007">
        <v>4</v>
      </c>
      <c r="H334" s="1007">
        <v>1</v>
      </c>
      <c r="I334" s="1008" t="s">
        <v>3994</v>
      </c>
      <c r="J334" s="1008" t="s">
        <v>1761</v>
      </c>
      <c r="K334" s="1007" t="s">
        <v>2236</v>
      </c>
      <c r="L334" s="1009" t="s">
        <v>2354</v>
      </c>
      <c r="M334" s="1006" t="s">
        <v>4037</v>
      </c>
      <c r="N334" s="1009" t="s">
        <v>2231</v>
      </c>
      <c r="O334" s="1006" t="s">
        <v>4772</v>
      </c>
      <c r="P334" s="1009" t="s">
        <v>2244</v>
      </c>
      <c r="Q334" s="1006" t="s">
        <v>4037</v>
      </c>
      <c r="R334" s="1009" t="s">
        <v>2245</v>
      </c>
      <c r="S334" s="1006" t="s">
        <v>4128</v>
      </c>
      <c r="T334" s="1010" t="s">
        <v>2479</v>
      </c>
      <c r="U334" s="1010" t="s">
        <v>2575</v>
      </c>
      <c r="V334" s="952" t="s">
        <v>3914</v>
      </c>
      <c r="W334" s="952" t="s">
        <v>3914</v>
      </c>
    </row>
    <row r="335" spans="1:23" x14ac:dyDescent="0.2">
      <c r="A335" s="1006" t="s">
        <v>4830</v>
      </c>
      <c r="B335" s="1007">
        <v>2</v>
      </c>
      <c r="C335" s="1007">
        <v>4</v>
      </c>
      <c r="D335" s="1007">
        <v>10</v>
      </c>
      <c r="E335" s="1007">
        <v>1</v>
      </c>
      <c r="F335" s="1007">
        <v>2</v>
      </c>
      <c r="G335" s="1007">
        <v>4</v>
      </c>
      <c r="H335" s="1007">
        <v>1</v>
      </c>
      <c r="I335" s="1008" t="s">
        <v>3994</v>
      </c>
      <c r="J335" s="1008" t="s">
        <v>1761</v>
      </c>
      <c r="K335" s="1007" t="s">
        <v>2236</v>
      </c>
      <c r="L335" s="1009" t="s">
        <v>2354</v>
      </c>
      <c r="M335" s="1006" t="s">
        <v>4037</v>
      </c>
      <c r="N335" s="1009" t="s">
        <v>2231</v>
      </c>
      <c r="O335" s="1006" t="s">
        <v>4772</v>
      </c>
      <c r="P335" s="1009" t="s">
        <v>2244</v>
      </c>
      <c r="Q335" s="1006" t="s">
        <v>4037</v>
      </c>
      <c r="R335" s="1009" t="s">
        <v>2245</v>
      </c>
      <c r="S335" s="1006" t="s">
        <v>4128</v>
      </c>
      <c r="T335" s="1010" t="s">
        <v>2479</v>
      </c>
      <c r="U335" s="1010" t="s">
        <v>2575</v>
      </c>
      <c r="V335" s="952" t="s">
        <v>3914</v>
      </c>
      <c r="W335" s="952" t="s">
        <v>3914</v>
      </c>
    </row>
    <row r="336" spans="1:23" x14ac:dyDescent="0.2">
      <c r="A336" s="1006" t="s">
        <v>4831</v>
      </c>
      <c r="B336" s="1007">
        <v>4</v>
      </c>
      <c r="C336" s="1007">
        <v>6</v>
      </c>
      <c r="D336" s="1007">
        <v>15</v>
      </c>
      <c r="E336" s="1007">
        <v>2</v>
      </c>
      <c r="F336" s="1007">
        <v>4</v>
      </c>
      <c r="G336" s="1007">
        <v>7</v>
      </c>
      <c r="H336" s="1007">
        <v>1</v>
      </c>
      <c r="I336" s="1008" t="s">
        <v>3994</v>
      </c>
      <c r="J336" s="1008" t="s">
        <v>1761</v>
      </c>
      <c r="K336" s="1007" t="s">
        <v>2236</v>
      </c>
      <c r="L336" s="1009" t="s">
        <v>2354</v>
      </c>
      <c r="M336" s="1006" t="s">
        <v>4037</v>
      </c>
      <c r="N336" s="1009" t="s">
        <v>2231</v>
      </c>
      <c r="O336" s="1006" t="s">
        <v>4772</v>
      </c>
      <c r="P336" s="1009" t="s">
        <v>2244</v>
      </c>
      <c r="Q336" s="1006" t="s">
        <v>4037</v>
      </c>
      <c r="R336" s="1009" t="s">
        <v>2245</v>
      </c>
      <c r="S336" s="1006" t="s">
        <v>4128</v>
      </c>
      <c r="T336" s="1010" t="s">
        <v>2479</v>
      </c>
      <c r="U336" s="1010" t="s">
        <v>2575</v>
      </c>
      <c r="V336" s="952" t="s">
        <v>3914</v>
      </c>
      <c r="W336" s="952" t="s">
        <v>3914</v>
      </c>
    </row>
    <row r="337" spans="1:23" x14ac:dyDescent="0.2">
      <c r="A337" s="1006" t="s">
        <v>4832</v>
      </c>
      <c r="B337" s="1007">
        <v>6</v>
      </c>
      <c r="C337" s="1007">
        <v>9</v>
      </c>
      <c r="D337" s="1007">
        <v>20</v>
      </c>
      <c r="E337" s="1007">
        <v>3</v>
      </c>
      <c r="F337" s="1007">
        <v>6</v>
      </c>
      <c r="G337" s="1007">
        <v>11</v>
      </c>
      <c r="H337" s="1007">
        <v>1</v>
      </c>
      <c r="I337" s="1008" t="s">
        <v>3994</v>
      </c>
      <c r="J337" s="1008" t="s">
        <v>1761</v>
      </c>
      <c r="K337" s="1007" t="s">
        <v>2236</v>
      </c>
      <c r="L337" s="1009" t="s">
        <v>2354</v>
      </c>
      <c r="M337" s="1006" t="s">
        <v>4037</v>
      </c>
      <c r="N337" s="1009" t="s">
        <v>2231</v>
      </c>
      <c r="O337" s="1006" t="s">
        <v>4772</v>
      </c>
      <c r="P337" s="1009" t="s">
        <v>2244</v>
      </c>
      <c r="Q337" s="1006" t="s">
        <v>4037</v>
      </c>
      <c r="R337" s="1009" t="s">
        <v>2245</v>
      </c>
      <c r="S337" s="1006" t="s">
        <v>4128</v>
      </c>
      <c r="T337" s="1010" t="s">
        <v>2479</v>
      </c>
      <c r="U337" s="1010" t="s">
        <v>2575</v>
      </c>
      <c r="V337" s="952" t="s">
        <v>3914</v>
      </c>
      <c r="W337" s="952" t="s">
        <v>3914</v>
      </c>
    </row>
    <row r="338" spans="1:23" x14ac:dyDescent="0.2">
      <c r="A338" s="1006" t="s">
        <v>4833</v>
      </c>
      <c r="B338" s="1007">
        <v>8</v>
      </c>
      <c r="C338" s="1007">
        <v>11</v>
      </c>
      <c r="D338" s="1007">
        <v>25</v>
      </c>
      <c r="E338" s="1007">
        <v>4</v>
      </c>
      <c r="F338" s="1007">
        <v>8</v>
      </c>
      <c r="G338" s="1007">
        <v>14</v>
      </c>
      <c r="H338" s="1007">
        <v>2</v>
      </c>
      <c r="I338" s="1008" t="s">
        <v>3994</v>
      </c>
      <c r="J338" s="1008" t="s">
        <v>1761</v>
      </c>
      <c r="K338" s="1007" t="s">
        <v>2236</v>
      </c>
      <c r="L338" s="1009" t="s">
        <v>2354</v>
      </c>
      <c r="M338" s="1006" t="s">
        <v>4037</v>
      </c>
      <c r="N338" s="1009" t="s">
        <v>2231</v>
      </c>
      <c r="O338" s="1006" t="s">
        <v>4772</v>
      </c>
      <c r="P338" s="1009" t="s">
        <v>2244</v>
      </c>
      <c r="Q338" s="1006" t="s">
        <v>4037</v>
      </c>
      <c r="R338" s="1009" t="s">
        <v>2245</v>
      </c>
      <c r="S338" s="1006" t="s">
        <v>4128</v>
      </c>
      <c r="T338" s="1010" t="s">
        <v>2479</v>
      </c>
      <c r="U338" s="1010" t="s">
        <v>2575</v>
      </c>
      <c r="V338" s="952" t="s">
        <v>3914</v>
      </c>
      <c r="W338" s="952" t="s">
        <v>3914</v>
      </c>
    </row>
    <row r="339" spans="1:23" x14ac:dyDescent="0.2">
      <c r="A339" s="1006" t="s">
        <v>4834</v>
      </c>
      <c r="B339" s="1007">
        <v>12</v>
      </c>
      <c r="C339" s="1007">
        <v>15</v>
      </c>
      <c r="D339" s="1007">
        <v>30</v>
      </c>
      <c r="E339" s="1007">
        <v>5</v>
      </c>
      <c r="F339" s="1007">
        <v>10</v>
      </c>
      <c r="G339" s="1007">
        <v>18</v>
      </c>
      <c r="H339" s="1007">
        <v>2</v>
      </c>
      <c r="I339" s="1008" t="s">
        <v>3994</v>
      </c>
      <c r="J339" s="1008" t="s">
        <v>1761</v>
      </c>
      <c r="K339" s="1007" t="s">
        <v>2236</v>
      </c>
      <c r="L339" s="1009" t="s">
        <v>2354</v>
      </c>
      <c r="M339" s="1006" t="s">
        <v>4037</v>
      </c>
      <c r="N339" s="1009" t="s">
        <v>2231</v>
      </c>
      <c r="O339" s="1006" t="s">
        <v>4772</v>
      </c>
      <c r="P339" s="1009" t="s">
        <v>2244</v>
      </c>
      <c r="Q339" s="1006" t="s">
        <v>4037</v>
      </c>
      <c r="R339" s="1009" t="s">
        <v>2245</v>
      </c>
      <c r="S339" s="1006" t="s">
        <v>4128</v>
      </c>
      <c r="T339" s="1010" t="s">
        <v>2479</v>
      </c>
      <c r="U339" s="1010" t="s">
        <v>2575</v>
      </c>
      <c r="V339" s="952" t="s">
        <v>3914</v>
      </c>
      <c r="W339" s="952" t="s">
        <v>3914</v>
      </c>
    </row>
    <row r="340" spans="1:23" x14ac:dyDescent="0.2">
      <c r="A340" s="1006" t="s">
        <v>4835</v>
      </c>
      <c r="B340" s="1007">
        <v>14</v>
      </c>
      <c r="C340" s="1007">
        <v>18</v>
      </c>
      <c r="D340" s="1007">
        <v>35</v>
      </c>
      <c r="E340" s="1007">
        <v>6</v>
      </c>
      <c r="F340" s="1007">
        <v>12</v>
      </c>
      <c r="G340" s="1007">
        <v>21</v>
      </c>
      <c r="H340" s="1007">
        <v>2</v>
      </c>
      <c r="I340" s="1008" t="s">
        <v>3994</v>
      </c>
      <c r="J340" s="1008" t="s">
        <v>1761</v>
      </c>
      <c r="K340" s="1007" t="s">
        <v>2236</v>
      </c>
      <c r="L340" s="1009" t="s">
        <v>2354</v>
      </c>
      <c r="M340" s="1006" t="s">
        <v>4037</v>
      </c>
      <c r="N340" s="1009" t="s">
        <v>2231</v>
      </c>
      <c r="O340" s="1006" t="s">
        <v>4772</v>
      </c>
      <c r="P340" s="1009" t="s">
        <v>2244</v>
      </c>
      <c r="Q340" s="1006" t="s">
        <v>4037</v>
      </c>
      <c r="R340" s="1009" t="s">
        <v>2245</v>
      </c>
      <c r="S340" s="1006" t="s">
        <v>4128</v>
      </c>
      <c r="T340" s="1010" t="s">
        <v>2479</v>
      </c>
      <c r="U340" s="1010" t="s">
        <v>2575</v>
      </c>
      <c r="V340" s="952" t="s">
        <v>3914</v>
      </c>
      <c r="W340" s="952" t="s">
        <v>3914</v>
      </c>
    </row>
    <row r="341" spans="1:23" x14ac:dyDescent="0.2">
      <c r="A341" s="1006" t="s">
        <v>4836</v>
      </c>
      <c r="B341" s="1007">
        <v>18</v>
      </c>
      <c r="C341" s="1007">
        <v>22</v>
      </c>
      <c r="D341" s="1007">
        <v>40</v>
      </c>
      <c r="E341" s="1007">
        <v>8</v>
      </c>
      <c r="F341" s="1007">
        <v>16</v>
      </c>
      <c r="G341" s="1007">
        <v>28</v>
      </c>
      <c r="H341" s="1007">
        <v>3</v>
      </c>
      <c r="I341" s="1008" t="s">
        <v>3994</v>
      </c>
      <c r="J341" s="1008" t="s">
        <v>1761</v>
      </c>
      <c r="K341" s="1007" t="s">
        <v>2236</v>
      </c>
      <c r="L341" s="1009" t="s">
        <v>2354</v>
      </c>
      <c r="M341" s="1006" t="s">
        <v>4037</v>
      </c>
      <c r="N341" s="1009" t="s">
        <v>2231</v>
      </c>
      <c r="O341" s="1006" t="s">
        <v>4772</v>
      </c>
      <c r="P341" s="1009" t="s">
        <v>2244</v>
      </c>
      <c r="Q341" s="1006" t="s">
        <v>4037</v>
      </c>
      <c r="R341" s="1009" t="s">
        <v>2245</v>
      </c>
      <c r="S341" s="1006" t="s">
        <v>4128</v>
      </c>
      <c r="T341" s="1010" t="s">
        <v>2479</v>
      </c>
      <c r="U341" s="1010" t="s">
        <v>2575</v>
      </c>
      <c r="V341" s="952" t="s">
        <v>3914</v>
      </c>
      <c r="W341" s="952" t="s">
        <v>3914</v>
      </c>
    </row>
    <row r="342" spans="1:23" x14ac:dyDescent="0.2">
      <c r="A342" s="848" t="s">
        <v>4162</v>
      </c>
      <c r="B342" s="1026"/>
      <c r="C342" s="1026"/>
      <c r="D342" s="1026"/>
      <c r="E342" s="1026"/>
      <c r="F342" s="1026"/>
      <c r="G342" s="1026"/>
      <c r="H342" s="1026"/>
      <c r="I342" s="1026"/>
      <c r="J342" s="1026"/>
      <c r="K342" s="1026"/>
      <c r="L342" s="1027"/>
      <c r="M342" s="1026"/>
      <c r="N342" s="1026"/>
      <c r="O342" s="1026"/>
      <c r="P342" s="1026"/>
      <c r="Q342" s="1026"/>
      <c r="R342" s="1026"/>
      <c r="S342" s="1026"/>
      <c r="T342" s="1026"/>
      <c r="U342" s="1026"/>
      <c r="V342" s="1026"/>
      <c r="W342" s="1007"/>
    </row>
    <row r="343" spans="1:23" x14ac:dyDescent="0.2">
      <c r="A343" s="1006" t="s">
        <v>4837</v>
      </c>
      <c r="B343" s="1007">
        <v>1</v>
      </c>
      <c r="C343" s="1007">
        <v>2</v>
      </c>
      <c r="D343" s="1007">
        <v>5</v>
      </c>
      <c r="E343" s="1007">
        <v>1</v>
      </c>
      <c r="F343" s="1007">
        <v>2</v>
      </c>
      <c r="G343" s="1007">
        <v>4</v>
      </c>
      <c r="H343" s="1007">
        <v>1</v>
      </c>
      <c r="I343" s="1008" t="s">
        <v>3994</v>
      </c>
      <c r="J343" s="1008" t="s">
        <v>2431</v>
      </c>
      <c r="K343" s="1007" t="s">
        <v>2354</v>
      </c>
      <c r="L343" s="1009" t="s">
        <v>2236</v>
      </c>
      <c r="M343" s="1006" t="s">
        <v>4037</v>
      </c>
      <c r="N343" s="1009" t="s">
        <v>2231</v>
      </c>
      <c r="O343" s="1006" t="s">
        <v>4772</v>
      </c>
      <c r="P343" s="1009" t="s">
        <v>2244</v>
      </c>
      <c r="Q343" s="1006" t="s">
        <v>4037</v>
      </c>
      <c r="R343" s="1009" t="s">
        <v>2245</v>
      </c>
      <c r="S343" s="1006" t="s">
        <v>4128</v>
      </c>
      <c r="T343" s="1010" t="s">
        <v>2479</v>
      </c>
      <c r="U343" s="1010" t="s">
        <v>2570</v>
      </c>
      <c r="V343" s="1010" t="s">
        <v>2575</v>
      </c>
      <c r="W343" s="1007"/>
    </row>
    <row r="344" spans="1:23" x14ac:dyDescent="0.2">
      <c r="A344" s="1006" t="s">
        <v>4838</v>
      </c>
      <c r="B344" s="1007">
        <v>2</v>
      </c>
      <c r="C344" s="1007">
        <v>4</v>
      </c>
      <c r="D344" s="1007">
        <v>5</v>
      </c>
      <c r="E344" s="1007">
        <v>1</v>
      </c>
      <c r="F344" s="1007">
        <v>2</v>
      </c>
      <c r="G344" s="1007">
        <v>4</v>
      </c>
      <c r="H344" s="1007">
        <v>1</v>
      </c>
      <c r="I344" s="1008" t="s">
        <v>3994</v>
      </c>
      <c r="J344" s="1008" t="s">
        <v>2431</v>
      </c>
      <c r="K344" s="1007" t="s">
        <v>2354</v>
      </c>
      <c r="L344" s="1009" t="s">
        <v>2236</v>
      </c>
      <c r="M344" s="1006" t="s">
        <v>4037</v>
      </c>
      <c r="N344" s="1009" t="s">
        <v>2231</v>
      </c>
      <c r="O344" s="1006" t="s">
        <v>4772</v>
      </c>
      <c r="P344" s="1009" t="s">
        <v>2244</v>
      </c>
      <c r="Q344" s="1006" t="s">
        <v>4037</v>
      </c>
      <c r="R344" s="1009" t="s">
        <v>2245</v>
      </c>
      <c r="S344" s="1006" t="s">
        <v>4128</v>
      </c>
      <c r="T344" s="1010" t="s">
        <v>2479</v>
      </c>
      <c r="U344" s="1010" t="s">
        <v>2570</v>
      </c>
      <c r="V344" s="1010" t="s">
        <v>2575</v>
      </c>
      <c r="W344" s="1007"/>
    </row>
    <row r="345" spans="1:23" x14ac:dyDescent="0.2">
      <c r="A345" s="1006" t="s">
        <v>4839</v>
      </c>
      <c r="B345" s="1007">
        <v>3</v>
      </c>
      <c r="C345" s="1007">
        <v>5</v>
      </c>
      <c r="D345" s="1007">
        <v>10</v>
      </c>
      <c r="E345" s="1007">
        <v>2</v>
      </c>
      <c r="F345" s="1007">
        <v>4</v>
      </c>
      <c r="G345" s="1007">
        <v>7</v>
      </c>
      <c r="H345" s="1007">
        <v>1</v>
      </c>
      <c r="I345" s="1008" t="s">
        <v>3994</v>
      </c>
      <c r="J345" s="1008" t="s">
        <v>2431</v>
      </c>
      <c r="K345" s="1007" t="s">
        <v>2354</v>
      </c>
      <c r="L345" s="1009" t="s">
        <v>2236</v>
      </c>
      <c r="M345" s="1006" t="s">
        <v>4037</v>
      </c>
      <c r="N345" s="1009" t="s">
        <v>2231</v>
      </c>
      <c r="O345" s="1006" t="s">
        <v>4772</v>
      </c>
      <c r="P345" s="1009" t="s">
        <v>2244</v>
      </c>
      <c r="Q345" s="1006" t="s">
        <v>4037</v>
      </c>
      <c r="R345" s="1009" t="s">
        <v>2245</v>
      </c>
      <c r="S345" s="1006" t="s">
        <v>4128</v>
      </c>
      <c r="T345" s="1010" t="s">
        <v>2479</v>
      </c>
      <c r="U345" s="1010" t="s">
        <v>2570</v>
      </c>
      <c r="V345" s="1010" t="s">
        <v>2575</v>
      </c>
      <c r="W345" s="1007"/>
    </row>
    <row r="346" spans="1:23" x14ac:dyDescent="0.2">
      <c r="A346" s="1006" t="s">
        <v>4840</v>
      </c>
      <c r="B346" s="1007">
        <v>4</v>
      </c>
      <c r="C346" s="1007">
        <v>6</v>
      </c>
      <c r="D346" s="1007">
        <v>10</v>
      </c>
      <c r="E346" s="1007">
        <v>2</v>
      </c>
      <c r="F346" s="1007">
        <v>4</v>
      </c>
      <c r="G346" s="1007">
        <v>7</v>
      </c>
      <c r="H346" s="1007">
        <v>1</v>
      </c>
      <c r="I346" s="1008" t="s">
        <v>3994</v>
      </c>
      <c r="J346" s="1008" t="s">
        <v>2431</v>
      </c>
      <c r="K346" s="1007" t="s">
        <v>2354</v>
      </c>
      <c r="L346" s="1009" t="s">
        <v>2236</v>
      </c>
      <c r="M346" s="1006" t="s">
        <v>4037</v>
      </c>
      <c r="N346" s="1009" t="s">
        <v>2231</v>
      </c>
      <c r="O346" s="1006" t="s">
        <v>4772</v>
      </c>
      <c r="P346" s="1009" t="s">
        <v>2244</v>
      </c>
      <c r="Q346" s="1006" t="s">
        <v>4037</v>
      </c>
      <c r="R346" s="1009" t="s">
        <v>2245</v>
      </c>
      <c r="S346" s="1006" t="s">
        <v>4128</v>
      </c>
      <c r="T346" s="1010" t="s">
        <v>2479</v>
      </c>
      <c r="U346" s="1010" t="s">
        <v>2570</v>
      </c>
      <c r="V346" s="1010" t="s">
        <v>2575</v>
      </c>
      <c r="W346" s="1007"/>
    </row>
    <row r="347" spans="1:23" x14ac:dyDescent="0.2">
      <c r="A347" s="1006" t="s">
        <v>4841</v>
      </c>
      <c r="B347" s="1007">
        <v>5</v>
      </c>
      <c r="C347" s="1007">
        <v>8</v>
      </c>
      <c r="D347" s="1007">
        <v>15</v>
      </c>
      <c r="E347" s="1007">
        <v>3</v>
      </c>
      <c r="F347" s="1007">
        <v>6</v>
      </c>
      <c r="G347" s="1007">
        <v>11</v>
      </c>
      <c r="H347" s="1007">
        <v>2</v>
      </c>
      <c r="I347" s="1008" t="s">
        <v>3994</v>
      </c>
      <c r="J347" s="1008" t="s">
        <v>2431</v>
      </c>
      <c r="K347" s="1007" t="s">
        <v>2354</v>
      </c>
      <c r="L347" s="1009" t="s">
        <v>2236</v>
      </c>
      <c r="M347" s="1006" t="s">
        <v>4037</v>
      </c>
      <c r="N347" s="1009" t="s">
        <v>2231</v>
      </c>
      <c r="O347" s="1006" t="s">
        <v>4772</v>
      </c>
      <c r="P347" s="1009" t="s">
        <v>2244</v>
      </c>
      <c r="Q347" s="1006" t="s">
        <v>4037</v>
      </c>
      <c r="R347" s="1009" t="s">
        <v>2245</v>
      </c>
      <c r="S347" s="1006" t="s">
        <v>4128</v>
      </c>
      <c r="T347" s="1010" t="s">
        <v>2479</v>
      </c>
      <c r="U347" s="1010" t="s">
        <v>2570</v>
      </c>
      <c r="V347" s="1010" t="s">
        <v>2575</v>
      </c>
      <c r="W347" s="1007"/>
    </row>
    <row r="348" spans="1:23" x14ac:dyDescent="0.2">
      <c r="A348" s="1006" t="s">
        <v>4842</v>
      </c>
      <c r="B348" s="1007">
        <v>6</v>
      </c>
      <c r="C348" s="1007">
        <v>9</v>
      </c>
      <c r="D348" s="1007">
        <v>20</v>
      </c>
      <c r="E348" s="1007">
        <v>3</v>
      </c>
      <c r="F348" s="1007">
        <v>6</v>
      </c>
      <c r="G348" s="1007">
        <v>11</v>
      </c>
      <c r="H348" s="1007">
        <v>2</v>
      </c>
      <c r="I348" s="1008" t="s">
        <v>3994</v>
      </c>
      <c r="J348" s="1008" t="s">
        <v>2431</v>
      </c>
      <c r="K348" s="1007" t="s">
        <v>2354</v>
      </c>
      <c r="L348" s="1009" t="s">
        <v>2236</v>
      </c>
      <c r="M348" s="1006" t="s">
        <v>4037</v>
      </c>
      <c r="N348" s="1009" t="s">
        <v>2231</v>
      </c>
      <c r="O348" s="1006" t="s">
        <v>4772</v>
      </c>
      <c r="P348" s="1009" t="s">
        <v>2244</v>
      </c>
      <c r="Q348" s="1006" t="s">
        <v>4037</v>
      </c>
      <c r="R348" s="1009" t="s">
        <v>2245</v>
      </c>
      <c r="S348" s="1006" t="s">
        <v>4128</v>
      </c>
      <c r="T348" s="1010" t="s">
        <v>2479</v>
      </c>
      <c r="U348" s="1010" t="s">
        <v>2570</v>
      </c>
      <c r="V348" s="1010" t="s">
        <v>2575</v>
      </c>
      <c r="W348" s="1007"/>
    </row>
    <row r="349" spans="1:23" x14ac:dyDescent="0.2">
      <c r="A349" s="1006" t="s">
        <v>4843</v>
      </c>
      <c r="B349" s="1007">
        <v>7</v>
      </c>
      <c r="C349" s="1007">
        <v>10</v>
      </c>
      <c r="D349" s="1007">
        <v>25</v>
      </c>
      <c r="E349" s="1007">
        <v>4</v>
      </c>
      <c r="F349" s="1007">
        <v>8</v>
      </c>
      <c r="G349" s="1007">
        <v>14</v>
      </c>
      <c r="H349" s="1007">
        <v>3</v>
      </c>
      <c r="I349" s="1008" t="s">
        <v>3994</v>
      </c>
      <c r="J349" s="1008" t="s">
        <v>2431</v>
      </c>
      <c r="K349" s="1007" t="s">
        <v>2354</v>
      </c>
      <c r="L349" s="1009" t="s">
        <v>2236</v>
      </c>
      <c r="M349" s="1006" t="s">
        <v>4037</v>
      </c>
      <c r="N349" s="1009" t="s">
        <v>2231</v>
      </c>
      <c r="O349" s="1006" t="s">
        <v>4772</v>
      </c>
      <c r="P349" s="1009" t="s">
        <v>2244</v>
      </c>
      <c r="Q349" s="1006" t="s">
        <v>4037</v>
      </c>
      <c r="R349" s="1009" t="s">
        <v>2245</v>
      </c>
      <c r="S349" s="1006" t="s">
        <v>4128</v>
      </c>
      <c r="T349" s="1010" t="s">
        <v>2479</v>
      </c>
      <c r="U349" s="1010" t="s">
        <v>2570</v>
      </c>
      <c r="V349" s="1010" t="s">
        <v>2575</v>
      </c>
      <c r="W349" s="1007"/>
    </row>
    <row r="350" spans="1:23" x14ac:dyDescent="0.2">
      <c r="A350" s="848" t="s">
        <v>4166</v>
      </c>
      <c r="B350" s="1026"/>
      <c r="C350" s="1026"/>
      <c r="D350" s="1026"/>
      <c r="E350" s="1026"/>
      <c r="F350" s="1026"/>
      <c r="G350" s="1026"/>
      <c r="H350" s="1026"/>
      <c r="I350" s="1026"/>
      <c r="J350" s="1026"/>
      <c r="K350" s="1026"/>
      <c r="L350" s="1027"/>
      <c r="M350" s="1026"/>
      <c r="N350" s="1026"/>
      <c r="O350" s="1026"/>
      <c r="P350" s="1026"/>
      <c r="Q350" s="1026"/>
      <c r="R350" s="1026"/>
      <c r="S350" s="1026"/>
      <c r="T350" s="1026"/>
      <c r="U350" s="1026"/>
      <c r="V350" s="1026"/>
      <c r="W350" s="1007"/>
    </row>
    <row r="351" spans="1:23" x14ac:dyDescent="0.2">
      <c r="A351" s="1006" t="s">
        <v>4844</v>
      </c>
      <c r="B351" s="1007">
        <v>1</v>
      </c>
      <c r="C351" s="1007">
        <v>2</v>
      </c>
      <c r="D351" s="1007">
        <v>5</v>
      </c>
      <c r="E351" s="1007">
        <v>1</v>
      </c>
      <c r="F351" s="1007">
        <v>2</v>
      </c>
      <c r="G351" s="1007">
        <v>4</v>
      </c>
      <c r="H351" s="1007">
        <v>1</v>
      </c>
      <c r="I351" s="1008" t="s">
        <v>3989</v>
      </c>
      <c r="J351" s="1008" t="s">
        <v>1761</v>
      </c>
      <c r="K351" s="1007" t="s">
        <v>2236</v>
      </c>
      <c r="L351" s="1009" t="s">
        <v>2354</v>
      </c>
      <c r="M351" s="1006" t="s">
        <v>4037</v>
      </c>
      <c r="N351" s="1009" t="s">
        <v>2231</v>
      </c>
      <c r="O351" s="1006" t="s">
        <v>4037</v>
      </c>
      <c r="P351" s="1009" t="s">
        <v>2244</v>
      </c>
      <c r="Q351" s="1006" t="s">
        <v>4128</v>
      </c>
      <c r="R351" s="1009" t="s">
        <v>2245</v>
      </c>
      <c r="S351" s="1006" t="s">
        <v>4037</v>
      </c>
      <c r="T351" s="1010" t="s">
        <v>2479</v>
      </c>
      <c r="U351" s="1010" t="s">
        <v>2570</v>
      </c>
      <c r="V351" s="1010" t="s">
        <v>2575</v>
      </c>
      <c r="W351" s="1010"/>
    </row>
    <row r="352" spans="1:23" x14ac:dyDescent="0.2">
      <c r="A352" s="1006" t="s">
        <v>4845</v>
      </c>
      <c r="B352" s="1007">
        <v>2</v>
      </c>
      <c r="C352" s="1007">
        <v>4</v>
      </c>
      <c r="D352" s="1007">
        <v>5</v>
      </c>
      <c r="E352" s="1007">
        <v>1</v>
      </c>
      <c r="F352" s="1007">
        <v>2</v>
      </c>
      <c r="G352" s="1007">
        <v>4</v>
      </c>
      <c r="H352" s="1007">
        <v>1</v>
      </c>
      <c r="I352" s="1008" t="s">
        <v>3989</v>
      </c>
      <c r="J352" s="1008" t="s">
        <v>1761</v>
      </c>
      <c r="K352" s="1007" t="s">
        <v>2236</v>
      </c>
      <c r="L352" s="1009" t="s">
        <v>2354</v>
      </c>
      <c r="M352" s="1006" t="s">
        <v>4037</v>
      </c>
      <c r="N352" s="1009" t="s">
        <v>2231</v>
      </c>
      <c r="O352" s="1006" t="s">
        <v>4037</v>
      </c>
      <c r="P352" s="1009" t="s">
        <v>2244</v>
      </c>
      <c r="Q352" s="1006" t="s">
        <v>4128</v>
      </c>
      <c r="R352" s="1009" t="s">
        <v>2245</v>
      </c>
      <c r="S352" s="1006" t="s">
        <v>4037</v>
      </c>
      <c r="T352" s="1010" t="s">
        <v>2479</v>
      </c>
      <c r="U352" s="1010" t="s">
        <v>2570</v>
      </c>
      <c r="V352" s="1010" t="s">
        <v>2575</v>
      </c>
      <c r="W352" s="1007"/>
    </row>
    <row r="353" spans="1:23" x14ac:dyDescent="0.2">
      <c r="A353" s="1006" t="s">
        <v>4846</v>
      </c>
      <c r="B353" s="1007">
        <v>3</v>
      </c>
      <c r="C353" s="1007">
        <v>5</v>
      </c>
      <c r="D353" s="1007">
        <v>10</v>
      </c>
      <c r="E353" s="1007">
        <v>2</v>
      </c>
      <c r="F353" s="1007">
        <v>4</v>
      </c>
      <c r="G353" s="1007">
        <v>7</v>
      </c>
      <c r="H353" s="1007">
        <v>1</v>
      </c>
      <c r="I353" s="1008" t="s">
        <v>3989</v>
      </c>
      <c r="J353" s="1008" t="s">
        <v>1761</v>
      </c>
      <c r="K353" s="1007" t="s">
        <v>2236</v>
      </c>
      <c r="L353" s="1009" t="s">
        <v>2354</v>
      </c>
      <c r="M353" s="1006" t="s">
        <v>4037</v>
      </c>
      <c r="N353" s="1009" t="s">
        <v>2231</v>
      </c>
      <c r="O353" s="1006" t="s">
        <v>4037</v>
      </c>
      <c r="P353" s="1009" t="s">
        <v>2244</v>
      </c>
      <c r="Q353" s="1006" t="s">
        <v>4128</v>
      </c>
      <c r="R353" s="1009" t="s">
        <v>2245</v>
      </c>
      <c r="S353" s="1006" t="s">
        <v>4037</v>
      </c>
      <c r="T353" s="1010" t="s">
        <v>2479</v>
      </c>
      <c r="U353" s="1010" t="s">
        <v>2570</v>
      </c>
      <c r="V353" s="1010" t="s">
        <v>2575</v>
      </c>
      <c r="W353" s="1007"/>
    </row>
    <row r="354" spans="1:23" x14ac:dyDescent="0.2">
      <c r="A354" s="1006" t="s">
        <v>4847</v>
      </c>
      <c r="B354" s="1007">
        <v>4</v>
      </c>
      <c r="C354" s="1007">
        <v>6</v>
      </c>
      <c r="D354" s="1007">
        <v>10</v>
      </c>
      <c r="E354" s="1007">
        <v>2</v>
      </c>
      <c r="F354" s="1007">
        <v>4</v>
      </c>
      <c r="G354" s="1007">
        <v>7</v>
      </c>
      <c r="H354" s="1007">
        <v>1</v>
      </c>
      <c r="I354" s="1008" t="s">
        <v>3989</v>
      </c>
      <c r="J354" s="1008" t="s">
        <v>1761</v>
      </c>
      <c r="K354" s="1007" t="s">
        <v>2236</v>
      </c>
      <c r="L354" s="1009" t="s">
        <v>2354</v>
      </c>
      <c r="M354" s="1006" t="s">
        <v>4037</v>
      </c>
      <c r="N354" s="1009" t="s">
        <v>2231</v>
      </c>
      <c r="O354" s="1006" t="s">
        <v>4037</v>
      </c>
      <c r="P354" s="1009" t="s">
        <v>2244</v>
      </c>
      <c r="Q354" s="1006" t="s">
        <v>4128</v>
      </c>
      <c r="R354" s="1009" t="s">
        <v>2245</v>
      </c>
      <c r="S354" s="1006" t="s">
        <v>4037</v>
      </c>
      <c r="T354" s="1010" t="s">
        <v>2479</v>
      </c>
      <c r="U354" s="1010" t="s">
        <v>2570</v>
      </c>
      <c r="V354" s="1010" t="s">
        <v>2575</v>
      </c>
      <c r="W354" s="1007"/>
    </row>
    <row r="355" spans="1:23" x14ac:dyDescent="0.2">
      <c r="A355" s="1006" t="s">
        <v>4848</v>
      </c>
      <c r="B355" s="1007">
        <v>5</v>
      </c>
      <c r="C355" s="1007">
        <v>8</v>
      </c>
      <c r="D355" s="1007">
        <v>15</v>
      </c>
      <c r="E355" s="1007">
        <v>3</v>
      </c>
      <c r="F355" s="1007">
        <v>6</v>
      </c>
      <c r="G355" s="1007">
        <v>11</v>
      </c>
      <c r="H355" s="1007">
        <v>2</v>
      </c>
      <c r="I355" s="1008" t="s">
        <v>3989</v>
      </c>
      <c r="J355" s="1008" t="s">
        <v>1761</v>
      </c>
      <c r="K355" s="1007" t="s">
        <v>2236</v>
      </c>
      <c r="L355" s="1009" t="s">
        <v>2354</v>
      </c>
      <c r="M355" s="1006" t="s">
        <v>4037</v>
      </c>
      <c r="N355" s="1009" t="s">
        <v>2231</v>
      </c>
      <c r="O355" s="1006" t="s">
        <v>4037</v>
      </c>
      <c r="P355" s="1009" t="s">
        <v>2244</v>
      </c>
      <c r="Q355" s="1006" t="s">
        <v>4128</v>
      </c>
      <c r="R355" s="1009" t="s">
        <v>2245</v>
      </c>
      <c r="S355" s="1006" t="s">
        <v>4037</v>
      </c>
      <c r="T355" s="1010" t="s">
        <v>2479</v>
      </c>
      <c r="U355" s="1010" t="s">
        <v>2570</v>
      </c>
      <c r="V355" s="1010" t="s">
        <v>2575</v>
      </c>
      <c r="W355" s="1007"/>
    </row>
    <row r="356" spans="1:23" x14ac:dyDescent="0.2">
      <c r="A356" s="1006" t="s">
        <v>4849</v>
      </c>
      <c r="B356" s="1007">
        <v>6</v>
      </c>
      <c r="C356" s="1007">
        <v>9</v>
      </c>
      <c r="D356" s="1007">
        <v>20</v>
      </c>
      <c r="E356" s="1007">
        <v>3</v>
      </c>
      <c r="F356" s="1007">
        <v>6</v>
      </c>
      <c r="G356" s="1007">
        <v>11</v>
      </c>
      <c r="H356" s="1007">
        <v>2</v>
      </c>
      <c r="I356" s="1008" t="s">
        <v>3989</v>
      </c>
      <c r="J356" s="1008" t="s">
        <v>1761</v>
      </c>
      <c r="K356" s="1007" t="s">
        <v>2236</v>
      </c>
      <c r="L356" s="1009" t="s">
        <v>2354</v>
      </c>
      <c r="M356" s="1006" t="s">
        <v>4037</v>
      </c>
      <c r="N356" s="1009" t="s">
        <v>2231</v>
      </c>
      <c r="O356" s="1006" t="s">
        <v>4037</v>
      </c>
      <c r="P356" s="1009" t="s">
        <v>2244</v>
      </c>
      <c r="Q356" s="1006" t="s">
        <v>4128</v>
      </c>
      <c r="R356" s="1009" t="s">
        <v>2245</v>
      </c>
      <c r="S356" s="1006" t="s">
        <v>4037</v>
      </c>
      <c r="T356" s="1010" t="s">
        <v>2479</v>
      </c>
      <c r="U356" s="1010" t="s">
        <v>2570</v>
      </c>
      <c r="V356" s="1010" t="s">
        <v>2575</v>
      </c>
      <c r="W356" s="1007"/>
    </row>
    <row r="357" spans="1:23" x14ac:dyDescent="0.2">
      <c r="A357" s="1006" t="s">
        <v>4850</v>
      </c>
      <c r="B357" s="1007">
        <v>8</v>
      </c>
      <c r="C357" s="1007">
        <v>11</v>
      </c>
      <c r="D357" s="1007">
        <v>25</v>
      </c>
      <c r="E357" s="1007">
        <v>4</v>
      </c>
      <c r="F357" s="1007">
        <v>8</v>
      </c>
      <c r="G357" s="1007">
        <v>14</v>
      </c>
      <c r="H357" s="1007">
        <v>2</v>
      </c>
      <c r="I357" s="1008" t="s">
        <v>3989</v>
      </c>
      <c r="J357" s="1008" t="s">
        <v>1761</v>
      </c>
      <c r="K357" s="1007" t="s">
        <v>2236</v>
      </c>
      <c r="L357" s="1009" t="s">
        <v>2354</v>
      </c>
      <c r="M357" s="1006" t="s">
        <v>4037</v>
      </c>
      <c r="N357" s="1009" t="s">
        <v>2231</v>
      </c>
      <c r="O357" s="1006" t="s">
        <v>4037</v>
      </c>
      <c r="P357" s="1009" t="s">
        <v>2244</v>
      </c>
      <c r="Q357" s="1006" t="s">
        <v>4128</v>
      </c>
      <c r="R357" s="1009" t="s">
        <v>2245</v>
      </c>
      <c r="S357" s="1006" t="s">
        <v>4037</v>
      </c>
      <c r="T357" s="1010" t="s">
        <v>2479</v>
      </c>
      <c r="U357" s="1010" t="s">
        <v>2570</v>
      </c>
      <c r="V357" s="1010" t="s">
        <v>2575</v>
      </c>
      <c r="W357" s="1007"/>
    </row>
    <row r="358" spans="1:23" x14ac:dyDescent="0.2">
      <c r="A358" s="1006" t="s">
        <v>4851</v>
      </c>
      <c r="B358" s="1007">
        <v>10</v>
      </c>
      <c r="C358" s="1007">
        <v>13</v>
      </c>
      <c r="D358" s="1007">
        <v>30</v>
      </c>
      <c r="E358" s="1007">
        <v>5</v>
      </c>
      <c r="F358" s="1007">
        <v>10</v>
      </c>
      <c r="G358" s="1007">
        <v>18</v>
      </c>
      <c r="H358" s="1007">
        <v>3</v>
      </c>
      <c r="I358" s="1008" t="s">
        <v>3989</v>
      </c>
      <c r="J358" s="1008" t="s">
        <v>1761</v>
      </c>
      <c r="K358" s="1007" t="s">
        <v>2236</v>
      </c>
      <c r="L358" s="1009" t="s">
        <v>2354</v>
      </c>
      <c r="M358" s="1006" t="s">
        <v>4037</v>
      </c>
      <c r="N358" s="1009" t="s">
        <v>2231</v>
      </c>
      <c r="O358" s="1006" t="s">
        <v>4037</v>
      </c>
      <c r="P358" s="1009" t="s">
        <v>2244</v>
      </c>
      <c r="Q358" s="1006" t="s">
        <v>4128</v>
      </c>
      <c r="R358" s="1009" t="s">
        <v>2245</v>
      </c>
      <c r="S358" s="1006" t="s">
        <v>4037</v>
      </c>
      <c r="T358" s="1010" t="s">
        <v>2479</v>
      </c>
      <c r="U358" s="1010" t="s">
        <v>2570</v>
      </c>
      <c r="V358" s="1010" t="s">
        <v>2575</v>
      </c>
      <c r="W358" s="1007"/>
    </row>
    <row r="359" spans="1:23" x14ac:dyDescent="0.2">
      <c r="A359" s="1006" t="s">
        <v>4852</v>
      </c>
      <c r="B359" s="1007">
        <v>12</v>
      </c>
      <c r="C359" s="1007">
        <v>15</v>
      </c>
      <c r="D359" s="1007">
        <v>40</v>
      </c>
      <c r="E359" s="1007">
        <v>6</v>
      </c>
      <c r="F359" s="1007">
        <v>12</v>
      </c>
      <c r="G359" s="1007">
        <v>21</v>
      </c>
      <c r="H359" s="1007">
        <v>3</v>
      </c>
      <c r="I359" s="1008" t="s">
        <v>3989</v>
      </c>
      <c r="J359" s="1008" t="s">
        <v>1761</v>
      </c>
      <c r="K359" s="1007" t="s">
        <v>2236</v>
      </c>
      <c r="L359" s="1009" t="s">
        <v>2354</v>
      </c>
      <c r="M359" s="1006" t="s">
        <v>4037</v>
      </c>
      <c r="N359" s="1009" t="s">
        <v>2231</v>
      </c>
      <c r="O359" s="1006" t="s">
        <v>4037</v>
      </c>
      <c r="P359" s="1009" t="s">
        <v>2244</v>
      </c>
      <c r="Q359" s="1006" t="s">
        <v>4128</v>
      </c>
      <c r="R359" s="1009" t="s">
        <v>2245</v>
      </c>
      <c r="S359" s="1006" t="s">
        <v>4037</v>
      </c>
      <c r="T359" s="1010" t="s">
        <v>2479</v>
      </c>
      <c r="U359" s="1010" t="s">
        <v>2570</v>
      </c>
      <c r="V359" s="1010" t="s">
        <v>2575</v>
      </c>
      <c r="W359" s="1007"/>
    </row>
    <row r="360" spans="1:23" x14ac:dyDescent="0.2">
      <c r="A360" s="848" t="s">
        <v>2405</v>
      </c>
      <c r="B360" s="1026"/>
      <c r="C360" s="1026"/>
      <c r="D360" s="1026"/>
      <c r="E360" s="1026"/>
      <c r="F360" s="1026"/>
      <c r="G360" s="1026"/>
      <c r="H360" s="1026"/>
      <c r="I360" s="1026"/>
      <c r="J360" s="1026"/>
      <c r="K360" s="1026"/>
      <c r="L360" s="1027"/>
      <c r="M360" s="1026"/>
      <c r="N360" s="1026"/>
      <c r="O360" s="1026"/>
      <c r="P360" s="1026"/>
      <c r="Q360" s="1026"/>
      <c r="R360" s="1026"/>
      <c r="S360" s="1026"/>
      <c r="T360" s="1026"/>
      <c r="U360" s="1026"/>
      <c r="V360" s="1026"/>
      <c r="W360" s="1007"/>
    </row>
    <row r="361" spans="1:23" x14ac:dyDescent="0.2">
      <c r="A361" s="1006" t="s">
        <v>4853</v>
      </c>
      <c r="B361" s="1007">
        <v>1</v>
      </c>
      <c r="C361" s="1007">
        <v>2</v>
      </c>
      <c r="D361" s="1007">
        <v>5</v>
      </c>
      <c r="E361" s="1007">
        <v>1</v>
      </c>
      <c r="F361" s="1007">
        <v>2</v>
      </c>
      <c r="G361" s="1007">
        <v>4</v>
      </c>
      <c r="H361" s="1007">
        <v>1</v>
      </c>
      <c r="I361" s="1008" t="s">
        <v>3994</v>
      </c>
      <c r="J361" s="1008" t="s">
        <v>2431</v>
      </c>
      <c r="K361" s="1007" t="s">
        <v>2354</v>
      </c>
      <c r="L361" s="1009" t="s">
        <v>2226</v>
      </c>
      <c r="M361" s="1006" t="s">
        <v>4038</v>
      </c>
      <c r="N361" s="1009" t="s">
        <v>2236</v>
      </c>
      <c r="O361" s="1006" t="s">
        <v>4037</v>
      </c>
      <c r="P361" s="1009" t="s">
        <v>2244</v>
      </c>
      <c r="Q361" s="1006" t="s">
        <v>4128</v>
      </c>
      <c r="R361" s="1009" t="s">
        <v>2245</v>
      </c>
      <c r="S361" s="1006" t="s">
        <v>4037</v>
      </c>
      <c r="T361" s="1010" t="s">
        <v>2475</v>
      </c>
      <c r="U361" s="1010" t="s">
        <v>2570</v>
      </c>
      <c r="V361" s="1010" t="s">
        <v>2575</v>
      </c>
      <c r="W361" s="1007"/>
    </row>
    <row r="362" spans="1:23" x14ac:dyDescent="0.2">
      <c r="A362" s="1006" t="s">
        <v>4854</v>
      </c>
      <c r="B362" s="1007">
        <v>2</v>
      </c>
      <c r="C362" s="1007">
        <v>4</v>
      </c>
      <c r="D362" s="1007">
        <v>5</v>
      </c>
      <c r="E362" s="1007">
        <v>1</v>
      </c>
      <c r="F362" s="1007">
        <v>2</v>
      </c>
      <c r="G362" s="1007">
        <v>4</v>
      </c>
      <c r="H362" s="1007">
        <v>1</v>
      </c>
      <c r="I362" s="1008" t="s">
        <v>3994</v>
      </c>
      <c r="J362" s="1008" t="s">
        <v>2431</v>
      </c>
      <c r="K362" s="1007" t="s">
        <v>2354</v>
      </c>
      <c r="L362" s="1009" t="s">
        <v>2226</v>
      </c>
      <c r="M362" s="1006" t="s">
        <v>4038</v>
      </c>
      <c r="N362" s="1009" t="s">
        <v>2236</v>
      </c>
      <c r="O362" s="1006" t="s">
        <v>4037</v>
      </c>
      <c r="P362" s="1009" t="s">
        <v>2244</v>
      </c>
      <c r="Q362" s="1006" t="s">
        <v>4128</v>
      </c>
      <c r="R362" s="1009" t="s">
        <v>2245</v>
      </c>
      <c r="S362" s="1006" t="s">
        <v>4037</v>
      </c>
      <c r="T362" s="1010" t="s">
        <v>2475</v>
      </c>
      <c r="U362" s="1010" t="s">
        <v>2570</v>
      </c>
      <c r="V362" s="1010" t="s">
        <v>2575</v>
      </c>
      <c r="W362" s="1007"/>
    </row>
    <row r="363" spans="1:23" x14ac:dyDescent="0.2">
      <c r="A363" s="1006" t="s">
        <v>4855</v>
      </c>
      <c r="B363" s="1007">
        <v>4</v>
      </c>
      <c r="C363" s="1007">
        <v>6</v>
      </c>
      <c r="D363" s="1007">
        <v>10</v>
      </c>
      <c r="E363" s="1007">
        <v>2</v>
      </c>
      <c r="F363" s="1007">
        <v>4</v>
      </c>
      <c r="G363" s="1007">
        <v>7</v>
      </c>
      <c r="H363" s="1007">
        <v>1</v>
      </c>
      <c r="I363" s="1008" t="s">
        <v>3994</v>
      </c>
      <c r="J363" s="1008" t="s">
        <v>2431</v>
      </c>
      <c r="K363" s="1007" t="s">
        <v>2354</v>
      </c>
      <c r="L363" s="1009" t="s">
        <v>2226</v>
      </c>
      <c r="M363" s="1006" t="s">
        <v>4038</v>
      </c>
      <c r="N363" s="1009" t="s">
        <v>2236</v>
      </c>
      <c r="O363" s="1006" t="s">
        <v>4037</v>
      </c>
      <c r="P363" s="1009" t="s">
        <v>2244</v>
      </c>
      <c r="Q363" s="1006" t="s">
        <v>4128</v>
      </c>
      <c r="R363" s="1009" t="s">
        <v>2245</v>
      </c>
      <c r="S363" s="1006" t="s">
        <v>4037</v>
      </c>
      <c r="T363" s="1010" t="s">
        <v>2475</v>
      </c>
      <c r="U363" s="1010" t="s">
        <v>2570</v>
      </c>
      <c r="V363" s="1010" t="s">
        <v>2575</v>
      </c>
      <c r="W363" s="1007"/>
    </row>
    <row r="364" spans="1:23" x14ac:dyDescent="0.2">
      <c r="A364" s="1006" t="s">
        <v>4856</v>
      </c>
      <c r="B364" s="1007">
        <v>6</v>
      </c>
      <c r="C364" s="1007">
        <v>9</v>
      </c>
      <c r="D364" s="1007">
        <v>15</v>
      </c>
      <c r="E364" s="1007">
        <v>2</v>
      </c>
      <c r="F364" s="1007">
        <v>4</v>
      </c>
      <c r="G364" s="1007">
        <v>7</v>
      </c>
      <c r="H364" s="1007">
        <v>1</v>
      </c>
      <c r="I364" s="1008" t="s">
        <v>3994</v>
      </c>
      <c r="J364" s="1008" t="s">
        <v>2431</v>
      </c>
      <c r="K364" s="1007" t="s">
        <v>2354</v>
      </c>
      <c r="L364" s="1009" t="s">
        <v>2226</v>
      </c>
      <c r="M364" s="1006" t="s">
        <v>4038</v>
      </c>
      <c r="N364" s="1009" t="s">
        <v>2236</v>
      </c>
      <c r="O364" s="1006" t="s">
        <v>4037</v>
      </c>
      <c r="P364" s="1009" t="s">
        <v>2244</v>
      </c>
      <c r="Q364" s="1006" t="s">
        <v>4128</v>
      </c>
      <c r="R364" s="1009" t="s">
        <v>2245</v>
      </c>
      <c r="S364" s="1006" t="s">
        <v>4037</v>
      </c>
      <c r="T364" s="1010" t="s">
        <v>2475</v>
      </c>
      <c r="U364" s="1010" t="s">
        <v>2570</v>
      </c>
      <c r="V364" s="1010" t="s">
        <v>2575</v>
      </c>
      <c r="W364" s="1007"/>
    </row>
    <row r="365" spans="1:23" x14ac:dyDescent="0.2">
      <c r="A365" s="1006" t="s">
        <v>4857</v>
      </c>
      <c r="B365" s="1007">
        <v>8</v>
      </c>
      <c r="C365" s="1007">
        <v>11</v>
      </c>
      <c r="D365" s="1007">
        <v>20</v>
      </c>
      <c r="E365" s="1007">
        <v>3</v>
      </c>
      <c r="F365" s="1007">
        <v>6</v>
      </c>
      <c r="G365" s="1007">
        <v>11</v>
      </c>
      <c r="H365" s="1007">
        <v>2</v>
      </c>
      <c r="I365" s="1008" t="s">
        <v>3994</v>
      </c>
      <c r="J365" s="1008" t="s">
        <v>2431</v>
      </c>
      <c r="K365" s="1007" t="s">
        <v>2354</v>
      </c>
      <c r="L365" s="1009" t="s">
        <v>2226</v>
      </c>
      <c r="M365" s="1006" t="s">
        <v>4038</v>
      </c>
      <c r="N365" s="1009" t="s">
        <v>2236</v>
      </c>
      <c r="O365" s="1006" t="s">
        <v>4037</v>
      </c>
      <c r="P365" s="1009" t="s">
        <v>2244</v>
      </c>
      <c r="Q365" s="1006" t="s">
        <v>4128</v>
      </c>
      <c r="R365" s="1009" t="s">
        <v>2245</v>
      </c>
      <c r="S365" s="1006" t="s">
        <v>4037</v>
      </c>
      <c r="T365" s="1010" t="s">
        <v>2475</v>
      </c>
      <c r="U365" s="1010" t="s">
        <v>2570</v>
      </c>
      <c r="V365" s="1010" t="s">
        <v>2575</v>
      </c>
      <c r="W365" s="1007"/>
    </row>
    <row r="366" spans="1:23" x14ac:dyDescent="0.2">
      <c r="A366" s="1006" t="s">
        <v>4858</v>
      </c>
      <c r="B366" s="1007">
        <v>10</v>
      </c>
      <c r="C366" s="1007">
        <v>13</v>
      </c>
      <c r="D366" s="1007">
        <v>25</v>
      </c>
      <c r="E366" s="1007">
        <v>3</v>
      </c>
      <c r="F366" s="1007">
        <v>6</v>
      </c>
      <c r="G366" s="1007">
        <v>11</v>
      </c>
      <c r="H366" s="1007">
        <v>2</v>
      </c>
      <c r="I366" s="1008" t="s">
        <v>3994</v>
      </c>
      <c r="J366" s="1008" t="s">
        <v>2431</v>
      </c>
      <c r="K366" s="1007" t="s">
        <v>2354</v>
      </c>
      <c r="L366" s="1009" t="s">
        <v>2226</v>
      </c>
      <c r="M366" s="1006" t="s">
        <v>4038</v>
      </c>
      <c r="N366" s="1009" t="s">
        <v>2236</v>
      </c>
      <c r="O366" s="1006" t="s">
        <v>4037</v>
      </c>
      <c r="P366" s="1009" t="s">
        <v>2244</v>
      </c>
      <c r="Q366" s="1006" t="s">
        <v>4128</v>
      </c>
      <c r="R366" s="1009" t="s">
        <v>2245</v>
      </c>
      <c r="S366" s="1006" t="s">
        <v>4037</v>
      </c>
      <c r="T366" s="1010" t="s">
        <v>2475</v>
      </c>
      <c r="U366" s="1010" t="s">
        <v>2570</v>
      </c>
      <c r="V366" s="1010" t="s">
        <v>2575</v>
      </c>
      <c r="W366" s="1007"/>
    </row>
    <row r="367" spans="1:23" x14ac:dyDescent="0.2">
      <c r="A367" s="1006" t="s">
        <v>4859</v>
      </c>
      <c r="B367" s="1007">
        <v>12</v>
      </c>
      <c r="C367" s="1007">
        <v>15</v>
      </c>
      <c r="D367" s="1007">
        <v>30</v>
      </c>
      <c r="E367" s="1007">
        <v>4</v>
      </c>
      <c r="F367" s="1007">
        <v>8</v>
      </c>
      <c r="G367" s="1007">
        <v>14</v>
      </c>
      <c r="H367" s="1007">
        <v>3</v>
      </c>
      <c r="I367" s="1008" t="s">
        <v>3994</v>
      </c>
      <c r="J367" s="1008" t="s">
        <v>2431</v>
      </c>
      <c r="K367" s="1007" t="s">
        <v>2354</v>
      </c>
      <c r="L367" s="1009" t="s">
        <v>2226</v>
      </c>
      <c r="M367" s="1006" t="s">
        <v>4038</v>
      </c>
      <c r="N367" s="1009" t="s">
        <v>2236</v>
      </c>
      <c r="O367" s="1006" t="s">
        <v>4037</v>
      </c>
      <c r="P367" s="1009" t="s">
        <v>2244</v>
      </c>
      <c r="Q367" s="1006" t="s">
        <v>4128</v>
      </c>
      <c r="R367" s="1009" t="s">
        <v>2245</v>
      </c>
      <c r="S367" s="1006" t="s">
        <v>4037</v>
      </c>
      <c r="T367" s="1010" t="s">
        <v>2475</v>
      </c>
      <c r="U367" s="1010" t="s">
        <v>2570</v>
      </c>
      <c r="V367" s="1010" t="s">
        <v>2575</v>
      </c>
      <c r="W367" s="1007"/>
    </row>
    <row r="368" spans="1:23" x14ac:dyDescent="0.2">
      <c r="A368" s="1006" t="s">
        <v>4860</v>
      </c>
      <c r="B368" s="1007">
        <v>14</v>
      </c>
      <c r="C368" s="1007">
        <v>18</v>
      </c>
      <c r="D368" s="1007">
        <v>40</v>
      </c>
      <c r="E368" s="1007">
        <v>5</v>
      </c>
      <c r="F368" s="1007">
        <v>10</v>
      </c>
      <c r="G368" s="1007">
        <v>18</v>
      </c>
      <c r="H368" s="1007">
        <v>3</v>
      </c>
      <c r="I368" s="1008" t="s">
        <v>3994</v>
      </c>
      <c r="J368" s="1008" t="s">
        <v>2431</v>
      </c>
      <c r="K368" s="1007" t="s">
        <v>2354</v>
      </c>
      <c r="L368" s="1009" t="s">
        <v>2226</v>
      </c>
      <c r="M368" s="1006" t="s">
        <v>4038</v>
      </c>
      <c r="N368" s="1009" t="s">
        <v>2236</v>
      </c>
      <c r="O368" s="1006" t="s">
        <v>4037</v>
      </c>
      <c r="P368" s="1009" t="s">
        <v>2244</v>
      </c>
      <c r="Q368" s="1006" t="s">
        <v>4128</v>
      </c>
      <c r="R368" s="1009" t="s">
        <v>2245</v>
      </c>
      <c r="S368" s="1006" t="s">
        <v>4037</v>
      </c>
      <c r="T368" s="1010" t="s">
        <v>2475</v>
      </c>
      <c r="U368" s="1010" t="s">
        <v>2570</v>
      </c>
      <c r="V368" s="1010" t="s">
        <v>2575</v>
      </c>
      <c r="W368" s="1007"/>
    </row>
    <row r="369" spans="1:23" x14ac:dyDescent="0.2">
      <c r="A369" s="1012" t="s">
        <v>4861</v>
      </c>
      <c r="B369" s="1013"/>
      <c r="C369" s="1013"/>
      <c r="D369" s="1013"/>
      <c r="E369" s="1013"/>
      <c r="F369" s="1013"/>
      <c r="G369" s="1013"/>
      <c r="H369" s="1013"/>
      <c r="I369" s="1013"/>
      <c r="J369" s="1013"/>
      <c r="K369" s="1013"/>
      <c r="L369" s="1014"/>
      <c r="M369" s="1013"/>
      <c r="N369" s="1013"/>
      <c r="O369" s="1013"/>
      <c r="P369" s="1013"/>
      <c r="Q369" s="1013"/>
      <c r="R369" s="1013"/>
      <c r="S369" s="1013"/>
      <c r="T369" s="1013"/>
      <c r="U369" s="1013"/>
      <c r="V369" s="1013"/>
      <c r="W369" s="1007"/>
    </row>
    <row r="370" spans="1:23" x14ac:dyDescent="0.2">
      <c r="A370" s="1006" t="s">
        <v>4862</v>
      </c>
      <c r="B370" s="1007">
        <v>4</v>
      </c>
      <c r="C370" s="1007">
        <v>4</v>
      </c>
      <c r="D370" s="1007">
        <v>15</v>
      </c>
      <c r="E370" s="1007">
        <v>2</v>
      </c>
      <c r="F370" s="1007">
        <v>4</v>
      </c>
      <c r="G370" s="1007">
        <v>7</v>
      </c>
      <c r="H370" s="1007"/>
      <c r="I370" s="1007"/>
      <c r="J370" s="1007"/>
      <c r="K370" s="1007"/>
      <c r="L370" s="1016"/>
      <c r="M370" s="1007"/>
      <c r="N370" s="1007"/>
      <c r="O370" s="1007"/>
      <c r="P370" s="1007"/>
      <c r="Q370" s="1007"/>
      <c r="R370" s="1007"/>
      <c r="S370" s="1007"/>
      <c r="T370" s="1007"/>
      <c r="U370" s="1007"/>
      <c r="V370" s="1007"/>
      <c r="W370" s="1007"/>
    </row>
    <row r="371" spans="1:23" x14ac:dyDescent="0.2">
      <c r="A371" s="1032" t="s">
        <v>4863</v>
      </c>
      <c r="B371" s="1033"/>
      <c r="C371" s="1033"/>
      <c r="D371" s="1033"/>
      <c r="E371" s="1033"/>
      <c r="F371" s="1033"/>
      <c r="G371" s="1033"/>
      <c r="H371" s="1033"/>
      <c r="I371" s="1033"/>
      <c r="J371" s="1033"/>
      <c r="K371" s="1033"/>
      <c r="L371" s="1034"/>
      <c r="M371" s="1033"/>
      <c r="N371" s="1033"/>
      <c r="O371" s="1033"/>
      <c r="P371" s="1033"/>
      <c r="Q371" s="1033"/>
      <c r="R371" s="1033"/>
      <c r="S371" s="1033"/>
      <c r="T371" s="1033"/>
      <c r="U371" s="1033"/>
      <c r="V371" s="1033"/>
      <c r="W371" s="1007"/>
    </row>
    <row r="372" spans="1:23" x14ac:dyDescent="0.2">
      <c r="A372" s="1006" t="s">
        <v>4864</v>
      </c>
      <c r="B372" s="1007">
        <v>-1</v>
      </c>
      <c r="C372" s="1007">
        <v>-1</v>
      </c>
      <c r="D372" s="1007">
        <v>-5</v>
      </c>
      <c r="E372" s="1007"/>
      <c r="F372" s="1007"/>
      <c r="G372" s="1007"/>
      <c r="H372" s="1007"/>
      <c r="I372" s="1007"/>
      <c r="J372" s="1007"/>
      <c r="K372" s="1007"/>
      <c r="L372" s="1016"/>
      <c r="M372" s="1007"/>
      <c r="N372" s="1007"/>
      <c r="O372" s="1007"/>
      <c r="P372" s="1007"/>
      <c r="Q372" s="1007"/>
      <c r="R372" s="1007"/>
      <c r="S372" s="1007"/>
      <c r="T372" s="1007"/>
      <c r="U372" s="1007"/>
      <c r="V372" s="1007"/>
      <c r="W372" s="1007"/>
    </row>
    <row r="373" spans="1:23" x14ac:dyDescent="0.2">
      <c r="A373" s="1032" t="s">
        <v>4865</v>
      </c>
      <c r="B373" s="1033"/>
      <c r="C373" s="1033"/>
      <c r="D373" s="1033"/>
      <c r="E373" s="1033"/>
      <c r="F373" s="1033"/>
      <c r="G373" s="1033"/>
      <c r="H373" s="1033"/>
      <c r="I373" s="1033"/>
      <c r="J373" s="1033"/>
      <c r="K373" s="1033"/>
      <c r="L373" s="1034"/>
      <c r="M373" s="1033"/>
      <c r="N373" s="1033"/>
      <c r="O373" s="1033"/>
      <c r="P373" s="1033"/>
      <c r="Q373" s="1033"/>
      <c r="R373" s="1033"/>
      <c r="S373" s="1033"/>
      <c r="T373" s="1033"/>
      <c r="U373" s="1033"/>
      <c r="V373" s="1033"/>
      <c r="W373" s="1007"/>
    </row>
    <row r="374" spans="1:23" x14ac:dyDescent="0.2">
      <c r="A374" s="1006" t="s">
        <v>4287</v>
      </c>
      <c r="B374" s="1007">
        <v>-1</v>
      </c>
      <c r="C374" s="1007">
        <v>-1</v>
      </c>
      <c r="D374" s="1007">
        <v>-10</v>
      </c>
      <c r="E374" s="1007"/>
      <c r="F374" s="1007"/>
      <c r="G374" s="1007"/>
      <c r="H374" s="1007"/>
      <c r="I374" s="1007"/>
      <c r="J374" s="1007"/>
      <c r="K374" s="1007"/>
      <c r="L374" s="1016"/>
      <c r="M374" s="1007"/>
      <c r="N374" s="1007"/>
      <c r="O374" s="1007"/>
      <c r="P374" s="1007"/>
      <c r="Q374" s="1007"/>
      <c r="R374" s="1007"/>
      <c r="S374" s="1007"/>
      <c r="T374" s="1007"/>
      <c r="U374" s="1007"/>
      <c r="V374" s="1007"/>
      <c r="W374" s="1007"/>
    </row>
    <row r="375" spans="1:23" x14ac:dyDescent="0.2">
      <c r="A375" s="841" t="s">
        <v>4176</v>
      </c>
      <c r="B375" s="1030"/>
      <c r="C375" s="1030"/>
      <c r="D375" s="1030"/>
      <c r="E375" s="1030"/>
      <c r="F375" s="1030"/>
      <c r="G375" s="1030"/>
      <c r="H375" s="1030"/>
      <c r="I375" s="1030"/>
      <c r="J375" s="1030"/>
      <c r="K375" s="1030"/>
      <c r="L375" s="1031"/>
      <c r="M375" s="1030"/>
      <c r="N375" s="1030"/>
      <c r="O375" s="1030"/>
      <c r="P375" s="1030"/>
      <c r="Q375" s="1030"/>
      <c r="R375" s="1030"/>
      <c r="S375" s="1030"/>
      <c r="T375" s="1030"/>
      <c r="U375" s="1030"/>
      <c r="V375" s="1030"/>
      <c r="W375" s="1007"/>
    </row>
    <row r="376" spans="1:23" x14ac:dyDescent="0.2">
      <c r="A376" s="848" t="s">
        <v>4181</v>
      </c>
      <c r="B376" s="1026"/>
      <c r="C376" s="1026"/>
      <c r="D376" s="1026"/>
      <c r="E376" s="1026"/>
      <c r="F376" s="1026"/>
      <c r="G376" s="1026"/>
      <c r="H376" s="1026"/>
      <c r="I376" s="1026"/>
      <c r="J376" s="1026"/>
      <c r="K376" s="1026"/>
      <c r="L376" s="1027"/>
      <c r="M376" s="1026"/>
      <c r="N376" s="1026"/>
      <c r="O376" s="1026"/>
      <c r="P376" s="1026"/>
      <c r="Q376" s="1026"/>
      <c r="R376" s="1026"/>
      <c r="S376" s="1026"/>
      <c r="T376" s="1026"/>
      <c r="U376" s="1026"/>
      <c r="V376" s="1026"/>
      <c r="W376" s="1007"/>
    </row>
    <row r="377" spans="1:23" x14ac:dyDescent="0.2">
      <c r="A377" s="1006" t="s">
        <v>4866</v>
      </c>
      <c r="B377" s="1007">
        <v>1</v>
      </c>
      <c r="C377" s="1007">
        <v>2</v>
      </c>
      <c r="D377" s="1007">
        <v>5</v>
      </c>
      <c r="E377" s="1007">
        <v>1</v>
      </c>
      <c r="F377" s="1007">
        <v>2</v>
      </c>
      <c r="G377" s="1007">
        <v>4</v>
      </c>
      <c r="H377" s="1007">
        <v>1</v>
      </c>
      <c r="I377" s="1008" t="s">
        <v>3994</v>
      </c>
      <c r="J377" s="1008" t="s">
        <v>4752</v>
      </c>
      <c r="K377" s="1007" t="s">
        <v>2226</v>
      </c>
      <c r="L377" s="1009" t="s">
        <v>2354</v>
      </c>
      <c r="M377" s="1006" t="s">
        <v>4128</v>
      </c>
      <c r="N377" s="1009" t="s">
        <v>2231</v>
      </c>
      <c r="O377" s="1006" t="s">
        <v>4037</v>
      </c>
      <c r="P377" s="1009" t="s">
        <v>2244</v>
      </c>
      <c r="Q377" s="1006" t="s">
        <v>4038</v>
      </c>
      <c r="R377" s="1009" t="s">
        <v>2245</v>
      </c>
      <c r="S377" s="1006" t="s">
        <v>4038</v>
      </c>
      <c r="T377" s="1010" t="s">
        <v>2472</v>
      </c>
      <c r="U377" s="1010" t="s">
        <v>2479</v>
      </c>
      <c r="V377" s="1010" t="s">
        <v>2570</v>
      </c>
      <c r="W377" s="1007"/>
    </row>
    <row r="378" spans="1:23" x14ac:dyDescent="0.2">
      <c r="A378" s="1006" t="s">
        <v>4867</v>
      </c>
      <c r="B378" s="1007">
        <v>2</v>
      </c>
      <c r="C378" s="1007">
        <v>4</v>
      </c>
      <c r="D378" s="1007">
        <v>10</v>
      </c>
      <c r="E378" s="1007">
        <v>2</v>
      </c>
      <c r="F378" s="1007">
        <v>4</v>
      </c>
      <c r="G378" s="1007">
        <v>7</v>
      </c>
      <c r="H378" s="1007">
        <v>1</v>
      </c>
      <c r="I378" s="1008" t="s">
        <v>3994</v>
      </c>
      <c r="J378" s="1008" t="s">
        <v>4752</v>
      </c>
      <c r="K378" s="1007" t="s">
        <v>2226</v>
      </c>
      <c r="L378" s="1009" t="s">
        <v>2354</v>
      </c>
      <c r="M378" s="1006" t="s">
        <v>4128</v>
      </c>
      <c r="N378" s="1009" t="s">
        <v>2231</v>
      </c>
      <c r="O378" s="1006" t="s">
        <v>4037</v>
      </c>
      <c r="P378" s="1009" t="s">
        <v>2244</v>
      </c>
      <c r="Q378" s="1006" t="s">
        <v>4038</v>
      </c>
      <c r="R378" s="1009" t="s">
        <v>2245</v>
      </c>
      <c r="S378" s="1006" t="s">
        <v>4038</v>
      </c>
      <c r="T378" s="1010" t="s">
        <v>2472</v>
      </c>
      <c r="U378" s="1010" t="s">
        <v>2479</v>
      </c>
      <c r="V378" s="1010" t="s">
        <v>2570</v>
      </c>
      <c r="W378" s="1007"/>
    </row>
    <row r="379" spans="1:23" x14ac:dyDescent="0.2">
      <c r="A379" s="1006" t="s">
        <v>4868</v>
      </c>
      <c r="B379" s="1007">
        <v>4</v>
      </c>
      <c r="C379" s="1007">
        <v>6</v>
      </c>
      <c r="D379" s="1007">
        <v>15</v>
      </c>
      <c r="E379" s="1007">
        <v>3</v>
      </c>
      <c r="F379" s="1007">
        <v>6</v>
      </c>
      <c r="G379" s="1007">
        <v>11</v>
      </c>
      <c r="H379" s="1007">
        <v>1</v>
      </c>
      <c r="I379" s="1008" t="s">
        <v>3994</v>
      </c>
      <c r="J379" s="1008" t="s">
        <v>4752</v>
      </c>
      <c r="K379" s="1007" t="s">
        <v>2226</v>
      </c>
      <c r="L379" s="1009" t="s">
        <v>2354</v>
      </c>
      <c r="M379" s="1006" t="s">
        <v>4128</v>
      </c>
      <c r="N379" s="1009" t="s">
        <v>2231</v>
      </c>
      <c r="O379" s="1006" t="s">
        <v>4037</v>
      </c>
      <c r="P379" s="1009" t="s">
        <v>2244</v>
      </c>
      <c r="Q379" s="1006" t="s">
        <v>4038</v>
      </c>
      <c r="R379" s="1009" t="s">
        <v>2245</v>
      </c>
      <c r="S379" s="1006" t="s">
        <v>4038</v>
      </c>
      <c r="T379" s="1010" t="s">
        <v>2472</v>
      </c>
      <c r="U379" s="1010" t="s">
        <v>2479</v>
      </c>
      <c r="V379" s="1010" t="s">
        <v>2570</v>
      </c>
      <c r="W379" s="1007"/>
    </row>
    <row r="380" spans="1:23" x14ac:dyDescent="0.2">
      <c r="A380" s="1006" t="s">
        <v>4869</v>
      </c>
      <c r="B380" s="1007">
        <v>6</v>
      </c>
      <c r="C380" s="1007">
        <v>9</v>
      </c>
      <c r="D380" s="1007">
        <v>20</v>
      </c>
      <c r="E380" s="1007">
        <v>4</v>
      </c>
      <c r="F380" s="1007">
        <v>8</v>
      </c>
      <c r="G380" s="1007">
        <v>14</v>
      </c>
      <c r="H380" s="1007">
        <v>2</v>
      </c>
      <c r="I380" s="1008" t="s">
        <v>3994</v>
      </c>
      <c r="J380" s="1008" t="s">
        <v>4752</v>
      </c>
      <c r="K380" s="1007" t="s">
        <v>2226</v>
      </c>
      <c r="L380" s="1009" t="s">
        <v>2354</v>
      </c>
      <c r="M380" s="1006" t="s">
        <v>4128</v>
      </c>
      <c r="N380" s="1009" t="s">
        <v>2231</v>
      </c>
      <c r="O380" s="1006" t="s">
        <v>4037</v>
      </c>
      <c r="P380" s="1009" t="s">
        <v>2244</v>
      </c>
      <c r="Q380" s="1006" t="s">
        <v>4038</v>
      </c>
      <c r="R380" s="1009" t="s">
        <v>2245</v>
      </c>
      <c r="S380" s="1006" t="s">
        <v>4038</v>
      </c>
      <c r="T380" s="1010" t="s">
        <v>2472</v>
      </c>
      <c r="U380" s="1010" t="s">
        <v>2479</v>
      </c>
      <c r="V380" s="1010" t="s">
        <v>2570</v>
      </c>
      <c r="W380" s="1007"/>
    </row>
    <row r="381" spans="1:23" x14ac:dyDescent="0.2">
      <c r="A381" s="1006" t="s">
        <v>4870</v>
      </c>
      <c r="B381" s="1007">
        <v>8</v>
      </c>
      <c r="C381" s="1007">
        <v>11</v>
      </c>
      <c r="D381" s="1007">
        <v>25</v>
      </c>
      <c r="E381" s="1007">
        <v>5</v>
      </c>
      <c r="F381" s="1007">
        <v>10</v>
      </c>
      <c r="G381" s="1007">
        <v>18</v>
      </c>
      <c r="H381" s="1007">
        <v>3</v>
      </c>
      <c r="I381" s="1008" t="s">
        <v>3994</v>
      </c>
      <c r="J381" s="1008" t="s">
        <v>4752</v>
      </c>
      <c r="K381" s="1007" t="s">
        <v>2226</v>
      </c>
      <c r="L381" s="1009" t="s">
        <v>2354</v>
      </c>
      <c r="M381" s="1006" t="s">
        <v>4128</v>
      </c>
      <c r="N381" s="1009" t="s">
        <v>2231</v>
      </c>
      <c r="O381" s="1006" t="s">
        <v>4037</v>
      </c>
      <c r="P381" s="1009" t="s">
        <v>2244</v>
      </c>
      <c r="Q381" s="1006" t="s">
        <v>4038</v>
      </c>
      <c r="R381" s="1009" t="s">
        <v>2245</v>
      </c>
      <c r="S381" s="1006" t="s">
        <v>4038</v>
      </c>
      <c r="T381" s="1010" t="s">
        <v>2472</v>
      </c>
      <c r="U381" s="1010" t="s">
        <v>2479</v>
      </c>
      <c r="V381" s="1010" t="s">
        <v>2570</v>
      </c>
      <c r="W381" s="1007"/>
    </row>
    <row r="382" spans="1:23" x14ac:dyDescent="0.2">
      <c r="A382" s="848" t="s">
        <v>4184</v>
      </c>
      <c r="B382" s="1026"/>
      <c r="C382" s="1026"/>
      <c r="D382" s="1026"/>
      <c r="E382" s="1026"/>
      <c r="F382" s="1026"/>
      <c r="G382" s="1026"/>
      <c r="H382" s="1026"/>
      <c r="I382" s="1026"/>
      <c r="J382" s="1026"/>
      <c r="K382" s="1026"/>
      <c r="L382" s="1027"/>
      <c r="M382" s="1026"/>
      <c r="N382" s="1026"/>
      <c r="O382" s="1026"/>
      <c r="P382" s="1026"/>
      <c r="Q382" s="1026"/>
      <c r="R382" s="1026"/>
      <c r="S382" s="1026"/>
      <c r="T382" s="1026"/>
      <c r="U382" s="1026"/>
      <c r="V382" s="1026"/>
      <c r="W382" s="1007"/>
    </row>
    <row r="383" spans="1:23" x14ac:dyDescent="0.2">
      <c r="A383" s="1006" t="s">
        <v>4871</v>
      </c>
      <c r="B383" s="1007">
        <v>2</v>
      </c>
      <c r="C383" s="1007">
        <v>4</v>
      </c>
      <c r="D383" s="1007">
        <v>5</v>
      </c>
      <c r="E383" s="1007">
        <v>1</v>
      </c>
      <c r="F383" s="1007">
        <v>2</v>
      </c>
      <c r="G383" s="1007">
        <v>4</v>
      </c>
      <c r="H383" s="1007">
        <v>1</v>
      </c>
      <c r="I383" s="1008" t="s">
        <v>3994</v>
      </c>
      <c r="J383" s="1008" t="s">
        <v>4752</v>
      </c>
      <c r="K383" s="1007" t="s">
        <v>2354</v>
      </c>
      <c r="L383" s="1009" t="s">
        <v>2226</v>
      </c>
      <c r="M383" s="1006" t="s">
        <v>4037</v>
      </c>
      <c r="N383" s="1009" t="s">
        <v>2231</v>
      </c>
      <c r="O383" s="1006" t="s">
        <v>4038</v>
      </c>
      <c r="P383" s="1009" t="s">
        <v>2244</v>
      </c>
      <c r="Q383" s="1006" t="s">
        <v>4037</v>
      </c>
      <c r="R383" s="1009" t="s">
        <v>2245</v>
      </c>
      <c r="S383" s="1006" t="s">
        <v>4128</v>
      </c>
      <c r="T383" s="1010" t="s">
        <v>2472</v>
      </c>
      <c r="U383" s="1010" t="s">
        <v>2479</v>
      </c>
      <c r="V383" s="1010" t="s">
        <v>2570</v>
      </c>
      <c r="W383" s="1007"/>
    </row>
    <row r="384" spans="1:23" x14ac:dyDescent="0.2">
      <c r="A384" s="1006" t="s">
        <v>4872</v>
      </c>
      <c r="B384" s="1007">
        <v>4</v>
      </c>
      <c r="C384" s="1007">
        <v>6</v>
      </c>
      <c r="D384" s="1007">
        <v>5</v>
      </c>
      <c r="E384" s="1007">
        <v>2</v>
      </c>
      <c r="F384" s="1007">
        <v>4</v>
      </c>
      <c r="G384" s="1007">
        <v>7</v>
      </c>
      <c r="H384" s="1007">
        <v>1</v>
      </c>
      <c r="I384" s="1008" t="s">
        <v>3994</v>
      </c>
      <c r="J384" s="1008" t="s">
        <v>4752</v>
      </c>
      <c r="K384" s="1007" t="s">
        <v>2354</v>
      </c>
      <c r="L384" s="1009" t="s">
        <v>2226</v>
      </c>
      <c r="M384" s="1006" t="s">
        <v>4037</v>
      </c>
      <c r="N384" s="1009" t="s">
        <v>2231</v>
      </c>
      <c r="O384" s="1006" t="s">
        <v>4038</v>
      </c>
      <c r="P384" s="1009" t="s">
        <v>2244</v>
      </c>
      <c r="Q384" s="1006" t="s">
        <v>4037</v>
      </c>
      <c r="R384" s="1009" t="s">
        <v>2245</v>
      </c>
      <c r="S384" s="1006" t="s">
        <v>4128</v>
      </c>
      <c r="T384" s="1010" t="s">
        <v>2472</v>
      </c>
      <c r="U384" s="1010" t="s">
        <v>2479</v>
      </c>
      <c r="V384" s="1010" t="s">
        <v>2570</v>
      </c>
      <c r="W384" s="1007"/>
    </row>
    <row r="385" spans="1:23" x14ac:dyDescent="0.2">
      <c r="A385" s="1006" t="s">
        <v>4873</v>
      </c>
      <c r="B385" s="1007">
        <v>6</v>
      </c>
      <c r="C385" s="1007">
        <v>9</v>
      </c>
      <c r="D385" s="1007">
        <v>10</v>
      </c>
      <c r="E385" s="1007">
        <v>3</v>
      </c>
      <c r="F385" s="1007">
        <v>6</v>
      </c>
      <c r="G385" s="1007">
        <v>11</v>
      </c>
      <c r="H385" s="1007">
        <v>2</v>
      </c>
      <c r="I385" s="1008" t="s">
        <v>3994</v>
      </c>
      <c r="J385" s="1008" t="s">
        <v>4752</v>
      </c>
      <c r="K385" s="1007" t="s">
        <v>2354</v>
      </c>
      <c r="L385" s="1009" t="s">
        <v>2226</v>
      </c>
      <c r="M385" s="1006" t="s">
        <v>4037</v>
      </c>
      <c r="N385" s="1009" t="s">
        <v>2231</v>
      </c>
      <c r="O385" s="1006" t="s">
        <v>4038</v>
      </c>
      <c r="P385" s="1009" t="s">
        <v>2244</v>
      </c>
      <c r="Q385" s="1006" t="s">
        <v>4037</v>
      </c>
      <c r="R385" s="1009" t="s">
        <v>2245</v>
      </c>
      <c r="S385" s="1006" t="s">
        <v>4128</v>
      </c>
      <c r="T385" s="1010" t="s">
        <v>2472</v>
      </c>
      <c r="U385" s="1010" t="s">
        <v>2479</v>
      </c>
      <c r="V385" s="1010" t="s">
        <v>2570</v>
      </c>
      <c r="W385" s="1007"/>
    </row>
    <row r="386" spans="1:23" x14ac:dyDescent="0.2">
      <c r="A386" s="1006" t="s">
        <v>4874</v>
      </c>
      <c r="B386" s="1007">
        <v>9</v>
      </c>
      <c r="C386" s="1007">
        <v>12</v>
      </c>
      <c r="D386" s="1007">
        <v>15</v>
      </c>
      <c r="E386" s="1007">
        <v>4</v>
      </c>
      <c r="F386" s="1007">
        <v>8</v>
      </c>
      <c r="G386" s="1007">
        <v>14</v>
      </c>
      <c r="H386" s="1007">
        <v>2</v>
      </c>
      <c r="I386" s="1008" t="s">
        <v>3994</v>
      </c>
      <c r="J386" s="1008" t="s">
        <v>4752</v>
      </c>
      <c r="K386" s="1007" t="s">
        <v>2354</v>
      </c>
      <c r="L386" s="1009" t="s">
        <v>2226</v>
      </c>
      <c r="M386" s="1006" t="s">
        <v>4037</v>
      </c>
      <c r="N386" s="1009" t="s">
        <v>2231</v>
      </c>
      <c r="O386" s="1006" t="s">
        <v>4038</v>
      </c>
      <c r="P386" s="1009" t="s">
        <v>2244</v>
      </c>
      <c r="Q386" s="1006" t="s">
        <v>4037</v>
      </c>
      <c r="R386" s="1009" t="s">
        <v>2245</v>
      </c>
      <c r="S386" s="1006" t="s">
        <v>4128</v>
      </c>
      <c r="T386" s="1010" t="s">
        <v>2472</v>
      </c>
      <c r="U386" s="1010" t="s">
        <v>2479</v>
      </c>
      <c r="V386" s="1010" t="s">
        <v>2570</v>
      </c>
      <c r="W386" s="1007"/>
    </row>
    <row r="387" spans="1:23" x14ac:dyDescent="0.2">
      <c r="A387" s="1006" t="s">
        <v>4875</v>
      </c>
      <c r="B387" s="1007">
        <v>12</v>
      </c>
      <c r="C387" s="1007">
        <v>15</v>
      </c>
      <c r="D387" s="1007">
        <v>20</v>
      </c>
      <c r="E387" s="1007">
        <v>5</v>
      </c>
      <c r="F387" s="1007">
        <v>10</v>
      </c>
      <c r="G387" s="1007">
        <v>18</v>
      </c>
      <c r="H387" s="1007">
        <v>3</v>
      </c>
      <c r="I387" s="1008" t="s">
        <v>3994</v>
      </c>
      <c r="J387" s="1008" t="s">
        <v>4752</v>
      </c>
      <c r="K387" s="1007" t="s">
        <v>2354</v>
      </c>
      <c r="L387" s="1009" t="s">
        <v>2226</v>
      </c>
      <c r="M387" s="1006" t="s">
        <v>4037</v>
      </c>
      <c r="N387" s="1009" t="s">
        <v>2231</v>
      </c>
      <c r="O387" s="1006" t="s">
        <v>4038</v>
      </c>
      <c r="P387" s="1009" t="s">
        <v>2244</v>
      </c>
      <c r="Q387" s="1006" t="s">
        <v>4037</v>
      </c>
      <c r="R387" s="1009" t="s">
        <v>2245</v>
      </c>
      <c r="S387" s="1006" t="s">
        <v>4128</v>
      </c>
      <c r="T387" s="1010" t="s">
        <v>2472</v>
      </c>
      <c r="U387" s="1010" t="s">
        <v>2479</v>
      </c>
      <c r="V387" s="1010" t="s">
        <v>2570</v>
      </c>
      <c r="W387" s="1007"/>
    </row>
    <row r="388" spans="1:23" x14ac:dyDescent="0.2">
      <c r="A388" s="1006" t="s">
        <v>4876</v>
      </c>
      <c r="B388" s="1007">
        <v>15</v>
      </c>
      <c r="C388" s="1007">
        <v>19</v>
      </c>
      <c r="D388" s="1007">
        <v>25</v>
      </c>
      <c r="E388" s="1007">
        <v>6</v>
      </c>
      <c r="F388" s="1007">
        <v>12</v>
      </c>
      <c r="G388" s="1007">
        <v>21</v>
      </c>
      <c r="H388" s="1007">
        <v>3</v>
      </c>
      <c r="I388" s="1008" t="s">
        <v>3994</v>
      </c>
      <c r="J388" s="1008" t="s">
        <v>4752</v>
      </c>
      <c r="K388" s="1007" t="s">
        <v>2354</v>
      </c>
      <c r="L388" s="1009" t="s">
        <v>2226</v>
      </c>
      <c r="M388" s="1006" t="s">
        <v>4037</v>
      </c>
      <c r="N388" s="1009" t="s">
        <v>2231</v>
      </c>
      <c r="O388" s="1006" t="s">
        <v>4038</v>
      </c>
      <c r="P388" s="1009" t="s">
        <v>2244</v>
      </c>
      <c r="Q388" s="1006" t="s">
        <v>4037</v>
      </c>
      <c r="R388" s="1009" t="s">
        <v>2245</v>
      </c>
      <c r="S388" s="1006" t="s">
        <v>4128</v>
      </c>
      <c r="T388" s="1010" t="s">
        <v>2472</v>
      </c>
      <c r="U388" s="1010" t="s">
        <v>2479</v>
      </c>
      <c r="V388" s="1010" t="s">
        <v>2570</v>
      </c>
      <c r="W388" s="1007"/>
    </row>
    <row r="389" spans="1:23" x14ac:dyDescent="0.2">
      <c r="A389" s="848" t="s">
        <v>4189</v>
      </c>
      <c r="B389" s="1026"/>
      <c r="C389" s="1026"/>
      <c r="D389" s="1026"/>
      <c r="E389" s="1026"/>
      <c r="F389" s="1026"/>
      <c r="G389" s="1026"/>
      <c r="H389" s="1026"/>
      <c r="I389" s="1026"/>
      <c r="J389" s="1026"/>
      <c r="K389" s="1026"/>
      <c r="L389" s="1027"/>
      <c r="M389" s="1026"/>
      <c r="N389" s="1026"/>
      <c r="O389" s="1026"/>
      <c r="P389" s="1026"/>
      <c r="Q389" s="1026"/>
      <c r="R389" s="1026"/>
      <c r="S389" s="1026"/>
      <c r="T389" s="1026"/>
      <c r="U389" s="1026"/>
      <c r="V389" s="1026"/>
      <c r="W389" s="1008" t="s">
        <v>4877</v>
      </c>
    </row>
    <row r="390" spans="1:23" x14ac:dyDescent="0.2">
      <c r="A390" s="1006" t="s">
        <v>4878</v>
      </c>
      <c r="B390" s="1007">
        <v>1</v>
      </c>
      <c r="C390" s="1007">
        <v>2</v>
      </c>
      <c r="D390" s="1007">
        <v>5</v>
      </c>
      <c r="E390" s="1007">
        <v>1</v>
      </c>
      <c r="F390" s="1007">
        <v>2</v>
      </c>
      <c r="G390" s="1007">
        <v>4</v>
      </c>
      <c r="H390" s="1007">
        <v>1</v>
      </c>
      <c r="I390" s="1008" t="s">
        <v>3989</v>
      </c>
      <c r="J390" s="1008" t="s">
        <v>4752</v>
      </c>
      <c r="K390" s="1007" t="s">
        <v>2226</v>
      </c>
      <c r="L390" s="1009" t="s">
        <v>2354</v>
      </c>
      <c r="M390" s="1006" t="s">
        <v>4128</v>
      </c>
      <c r="N390" s="1009" t="s">
        <v>2244</v>
      </c>
      <c r="O390" s="1006" t="s">
        <v>4128</v>
      </c>
      <c r="P390" s="1009" t="s">
        <v>2245</v>
      </c>
      <c r="Q390" s="1006" t="s">
        <v>4037</v>
      </c>
      <c r="R390" s="1007"/>
      <c r="S390" s="1007"/>
      <c r="T390" s="1010" t="s">
        <v>2475</v>
      </c>
      <c r="U390" s="1010" t="s">
        <v>2479</v>
      </c>
      <c r="V390" s="1010" t="s">
        <v>2571</v>
      </c>
      <c r="W390" s="1008"/>
    </row>
    <row r="391" spans="1:23" x14ac:dyDescent="0.2">
      <c r="A391" s="1006" t="s">
        <v>4879</v>
      </c>
      <c r="B391" s="1007">
        <v>2</v>
      </c>
      <c r="C391" s="1007">
        <v>4</v>
      </c>
      <c r="D391" s="1007">
        <v>5</v>
      </c>
      <c r="E391" s="1007">
        <v>2</v>
      </c>
      <c r="F391" s="1007">
        <v>4</v>
      </c>
      <c r="G391" s="1007">
        <v>7</v>
      </c>
      <c r="H391" s="1007">
        <v>1</v>
      </c>
      <c r="I391" s="1008" t="s">
        <v>3989</v>
      </c>
      <c r="J391" s="1008" t="s">
        <v>4752</v>
      </c>
      <c r="K391" s="1007" t="s">
        <v>2226</v>
      </c>
      <c r="L391" s="1009" t="s">
        <v>2354</v>
      </c>
      <c r="M391" s="1006" t="s">
        <v>4128</v>
      </c>
      <c r="N391" s="1009" t="s">
        <v>2244</v>
      </c>
      <c r="O391" s="1006" t="s">
        <v>4128</v>
      </c>
      <c r="P391" s="1009" t="s">
        <v>2245</v>
      </c>
      <c r="Q391" s="1006" t="s">
        <v>4037</v>
      </c>
      <c r="R391" s="1007"/>
      <c r="S391" s="1007"/>
      <c r="T391" s="1010" t="s">
        <v>2475</v>
      </c>
      <c r="U391" s="1010" t="s">
        <v>2479</v>
      </c>
      <c r="V391" s="1010" t="s">
        <v>2571</v>
      </c>
      <c r="W391" s="1008"/>
    </row>
    <row r="392" spans="1:23" x14ac:dyDescent="0.2">
      <c r="A392" s="1006" t="s">
        <v>4880</v>
      </c>
      <c r="B392" s="1007">
        <v>4</v>
      </c>
      <c r="C392" s="1007">
        <v>6</v>
      </c>
      <c r="D392" s="1007">
        <v>5</v>
      </c>
      <c r="E392" s="1007">
        <v>3</v>
      </c>
      <c r="F392" s="1007">
        <v>6</v>
      </c>
      <c r="G392" s="1007">
        <v>11</v>
      </c>
      <c r="H392" s="1007">
        <v>1</v>
      </c>
      <c r="I392" s="1008" t="s">
        <v>3989</v>
      </c>
      <c r="J392" s="1008" t="s">
        <v>4752</v>
      </c>
      <c r="K392" s="1007" t="s">
        <v>2226</v>
      </c>
      <c r="L392" s="1009" t="s">
        <v>2354</v>
      </c>
      <c r="M392" s="1006" t="s">
        <v>4128</v>
      </c>
      <c r="N392" s="1009" t="s">
        <v>2244</v>
      </c>
      <c r="O392" s="1006" t="s">
        <v>4128</v>
      </c>
      <c r="P392" s="1009" t="s">
        <v>2245</v>
      </c>
      <c r="Q392" s="1006" t="s">
        <v>4037</v>
      </c>
      <c r="R392" s="1007"/>
      <c r="S392" s="1007"/>
      <c r="T392" s="1010" t="s">
        <v>2475</v>
      </c>
      <c r="U392" s="1010" t="s">
        <v>2479</v>
      </c>
      <c r="V392" s="1010" t="s">
        <v>2571</v>
      </c>
      <c r="W392" s="1008"/>
    </row>
    <row r="393" spans="1:23" x14ac:dyDescent="0.2">
      <c r="A393" s="1006" t="s">
        <v>4881</v>
      </c>
      <c r="B393" s="1007">
        <v>6</v>
      </c>
      <c r="C393" s="1007">
        <v>9</v>
      </c>
      <c r="D393" s="1007">
        <v>10</v>
      </c>
      <c r="E393" s="1007">
        <v>4</v>
      </c>
      <c r="F393" s="1007">
        <v>8</v>
      </c>
      <c r="G393" s="1007">
        <v>14</v>
      </c>
      <c r="H393" s="1007">
        <v>1</v>
      </c>
      <c r="I393" s="1008" t="s">
        <v>3989</v>
      </c>
      <c r="J393" s="1008" t="s">
        <v>4752</v>
      </c>
      <c r="K393" s="1007" t="s">
        <v>2226</v>
      </c>
      <c r="L393" s="1009" t="s">
        <v>2354</v>
      </c>
      <c r="M393" s="1006" t="s">
        <v>4128</v>
      </c>
      <c r="N393" s="1009" t="s">
        <v>2244</v>
      </c>
      <c r="O393" s="1006" t="s">
        <v>4128</v>
      </c>
      <c r="P393" s="1009" t="s">
        <v>2245</v>
      </c>
      <c r="Q393" s="1006" t="s">
        <v>4037</v>
      </c>
      <c r="R393" s="1007"/>
      <c r="S393" s="1007"/>
      <c r="T393" s="1010" t="s">
        <v>2475</v>
      </c>
      <c r="U393" s="1010" t="s">
        <v>2479</v>
      </c>
      <c r="V393" s="1010" t="s">
        <v>2571</v>
      </c>
      <c r="W393" s="1008"/>
    </row>
    <row r="394" spans="1:23" x14ac:dyDescent="0.2">
      <c r="A394" s="1006" t="s">
        <v>4882</v>
      </c>
      <c r="B394" s="1007">
        <v>8</v>
      </c>
      <c r="C394" s="1007">
        <v>11</v>
      </c>
      <c r="D394" s="1007">
        <v>15</v>
      </c>
      <c r="E394" s="1007">
        <v>5</v>
      </c>
      <c r="F394" s="1007">
        <v>10</v>
      </c>
      <c r="G394" s="1007">
        <v>18</v>
      </c>
      <c r="H394" s="1007">
        <v>2</v>
      </c>
      <c r="I394" s="1008" t="s">
        <v>3989</v>
      </c>
      <c r="J394" s="1008" t="s">
        <v>4752</v>
      </c>
      <c r="K394" s="1007" t="s">
        <v>2226</v>
      </c>
      <c r="L394" s="1009" t="s">
        <v>2354</v>
      </c>
      <c r="M394" s="1006" t="s">
        <v>4128</v>
      </c>
      <c r="N394" s="1009" t="s">
        <v>2244</v>
      </c>
      <c r="O394" s="1006" t="s">
        <v>4128</v>
      </c>
      <c r="P394" s="1009" t="s">
        <v>2245</v>
      </c>
      <c r="Q394" s="1006" t="s">
        <v>4037</v>
      </c>
      <c r="R394" s="1007"/>
      <c r="S394" s="1007"/>
      <c r="T394" s="1010" t="s">
        <v>2475</v>
      </c>
      <c r="U394" s="1010" t="s">
        <v>2479</v>
      </c>
      <c r="V394" s="1010" t="s">
        <v>2571</v>
      </c>
      <c r="W394" s="1008"/>
    </row>
    <row r="395" spans="1:23" x14ac:dyDescent="0.2">
      <c r="A395" s="1006" t="s">
        <v>4883</v>
      </c>
      <c r="B395" s="1007">
        <v>10</v>
      </c>
      <c r="C395" s="1007">
        <v>13</v>
      </c>
      <c r="D395" s="1007">
        <v>20</v>
      </c>
      <c r="E395" s="1007">
        <v>6</v>
      </c>
      <c r="F395" s="1007">
        <v>12</v>
      </c>
      <c r="G395" s="1007">
        <v>21</v>
      </c>
      <c r="H395" s="1007">
        <v>2</v>
      </c>
      <c r="I395" s="1008" t="s">
        <v>3989</v>
      </c>
      <c r="J395" s="1008" t="s">
        <v>4752</v>
      </c>
      <c r="K395" s="1007" t="s">
        <v>2226</v>
      </c>
      <c r="L395" s="1009" t="s">
        <v>2354</v>
      </c>
      <c r="M395" s="1006" t="s">
        <v>4128</v>
      </c>
      <c r="N395" s="1009" t="s">
        <v>2244</v>
      </c>
      <c r="O395" s="1006" t="s">
        <v>4128</v>
      </c>
      <c r="P395" s="1009" t="s">
        <v>2245</v>
      </c>
      <c r="Q395" s="1006" t="s">
        <v>4037</v>
      </c>
      <c r="R395" s="1007"/>
      <c r="S395" s="1007"/>
      <c r="T395" s="1010" t="s">
        <v>2475</v>
      </c>
      <c r="U395" s="1010" t="s">
        <v>2479</v>
      </c>
      <c r="V395" s="1010" t="s">
        <v>2571</v>
      </c>
      <c r="W395" s="1008"/>
    </row>
    <row r="396" spans="1:23" x14ac:dyDescent="0.2">
      <c r="A396" s="1006" t="s">
        <v>4884</v>
      </c>
      <c r="B396" s="1007">
        <v>12</v>
      </c>
      <c r="C396" s="1007">
        <v>15</v>
      </c>
      <c r="D396" s="1007">
        <v>25</v>
      </c>
      <c r="E396" s="1007">
        <v>7</v>
      </c>
      <c r="F396" s="1007">
        <v>14</v>
      </c>
      <c r="G396" s="1007">
        <v>25</v>
      </c>
      <c r="H396" s="1007">
        <v>3</v>
      </c>
      <c r="I396" s="1008" t="s">
        <v>3989</v>
      </c>
      <c r="J396" s="1008" t="s">
        <v>4752</v>
      </c>
      <c r="K396" s="1007" t="s">
        <v>2226</v>
      </c>
      <c r="L396" s="1009" t="s">
        <v>2354</v>
      </c>
      <c r="M396" s="1006" t="s">
        <v>4128</v>
      </c>
      <c r="N396" s="1009" t="s">
        <v>2244</v>
      </c>
      <c r="O396" s="1006" t="s">
        <v>4128</v>
      </c>
      <c r="P396" s="1009" t="s">
        <v>2245</v>
      </c>
      <c r="Q396" s="1006" t="s">
        <v>4037</v>
      </c>
      <c r="R396" s="1007"/>
      <c r="S396" s="1007"/>
      <c r="T396" s="1010" t="s">
        <v>2475</v>
      </c>
      <c r="U396" s="1010" t="s">
        <v>2479</v>
      </c>
      <c r="V396" s="1010" t="s">
        <v>2571</v>
      </c>
      <c r="W396" s="1008"/>
    </row>
    <row r="397" spans="1:23" x14ac:dyDescent="0.2">
      <c r="A397" s="1006" t="s">
        <v>4885</v>
      </c>
      <c r="B397" s="1007">
        <v>14</v>
      </c>
      <c r="C397" s="1007">
        <v>18</v>
      </c>
      <c r="D397" s="1007">
        <v>30</v>
      </c>
      <c r="E397" s="1007">
        <v>8</v>
      </c>
      <c r="F397" s="1007">
        <v>16</v>
      </c>
      <c r="G397" s="1007">
        <v>28</v>
      </c>
      <c r="H397" s="1007">
        <v>3</v>
      </c>
      <c r="I397" s="1008" t="s">
        <v>3989</v>
      </c>
      <c r="J397" s="1008" t="s">
        <v>4752</v>
      </c>
      <c r="K397" s="1007" t="s">
        <v>2226</v>
      </c>
      <c r="L397" s="1009" t="s">
        <v>2354</v>
      </c>
      <c r="M397" s="1006" t="s">
        <v>4128</v>
      </c>
      <c r="N397" s="1009" t="s">
        <v>2244</v>
      </c>
      <c r="O397" s="1006" t="s">
        <v>4128</v>
      </c>
      <c r="P397" s="1009" t="s">
        <v>2245</v>
      </c>
      <c r="Q397" s="1006" t="s">
        <v>4037</v>
      </c>
      <c r="R397" s="1007"/>
      <c r="S397" s="1007"/>
      <c r="T397" s="1010" t="s">
        <v>2475</v>
      </c>
      <c r="U397" s="1010" t="s">
        <v>2479</v>
      </c>
      <c r="V397" s="1010" t="s">
        <v>2571</v>
      </c>
      <c r="W397" s="1008"/>
    </row>
    <row r="398" spans="1:23" x14ac:dyDescent="0.2">
      <c r="A398" s="848" t="s">
        <v>4194</v>
      </c>
      <c r="B398" s="1026"/>
      <c r="C398" s="1026"/>
      <c r="D398" s="1026"/>
      <c r="E398" s="1026"/>
      <c r="F398" s="1026"/>
      <c r="G398" s="1026"/>
      <c r="H398" s="1026"/>
      <c r="I398" s="1026"/>
      <c r="J398" s="1026"/>
      <c r="K398" s="1026"/>
      <c r="L398" s="1027"/>
      <c r="M398" s="1026"/>
      <c r="N398" s="1026"/>
      <c r="O398" s="1026"/>
      <c r="P398" s="1026"/>
      <c r="Q398" s="1026"/>
      <c r="R398" s="1026"/>
      <c r="S398" s="1026"/>
      <c r="T398" s="1026"/>
      <c r="U398" s="1026"/>
      <c r="V398" s="1026"/>
      <c r="W398" s="1008" t="s">
        <v>4877</v>
      </c>
    </row>
    <row r="399" spans="1:23" x14ac:dyDescent="0.2">
      <c r="A399" s="1006" t="s">
        <v>4886</v>
      </c>
      <c r="B399" s="1007">
        <v>1</v>
      </c>
      <c r="C399" s="1007">
        <v>2</v>
      </c>
      <c r="D399" s="1007">
        <v>5</v>
      </c>
      <c r="E399" s="1007">
        <v>1</v>
      </c>
      <c r="F399" s="1007">
        <v>2</v>
      </c>
      <c r="G399" s="1007">
        <v>4</v>
      </c>
      <c r="H399" s="1007">
        <v>1</v>
      </c>
      <c r="I399" s="1008" t="s">
        <v>3989</v>
      </c>
      <c r="J399" s="1008" t="s">
        <v>4752</v>
      </c>
      <c r="K399" s="1007" t="s">
        <v>2236</v>
      </c>
      <c r="L399" s="1009" t="s">
        <v>2354</v>
      </c>
      <c r="M399" s="1006" t="s">
        <v>4128</v>
      </c>
      <c r="N399" s="1009" t="s">
        <v>2244</v>
      </c>
      <c r="O399" s="1006" t="s">
        <v>4128</v>
      </c>
      <c r="P399" s="1009" t="s">
        <v>2245</v>
      </c>
      <c r="Q399" s="1006" t="s">
        <v>4037</v>
      </c>
      <c r="R399" s="1007"/>
      <c r="S399" s="1007"/>
      <c r="T399" s="1010" t="s">
        <v>2475</v>
      </c>
      <c r="U399" s="1010" t="s">
        <v>2479</v>
      </c>
      <c r="V399" s="1010" t="s">
        <v>2571</v>
      </c>
      <c r="W399" s="1008"/>
    </row>
    <row r="400" spans="1:23" x14ac:dyDescent="0.2">
      <c r="A400" s="1006" t="s">
        <v>4887</v>
      </c>
      <c r="B400" s="1007">
        <v>2</v>
      </c>
      <c r="C400" s="1007">
        <v>4</v>
      </c>
      <c r="D400" s="1007">
        <v>5</v>
      </c>
      <c r="E400" s="1007">
        <v>2</v>
      </c>
      <c r="F400" s="1007">
        <v>4</v>
      </c>
      <c r="G400" s="1007">
        <v>7</v>
      </c>
      <c r="H400" s="1007">
        <v>1</v>
      </c>
      <c r="I400" s="1008" t="s">
        <v>3989</v>
      </c>
      <c r="J400" s="1008" t="s">
        <v>4752</v>
      </c>
      <c r="K400" s="1007" t="s">
        <v>2236</v>
      </c>
      <c r="L400" s="1009" t="s">
        <v>2354</v>
      </c>
      <c r="M400" s="1006" t="s">
        <v>4128</v>
      </c>
      <c r="N400" s="1009" t="s">
        <v>2244</v>
      </c>
      <c r="O400" s="1006" t="s">
        <v>4128</v>
      </c>
      <c r="P400" s="1009" t="s">
        <v>2245</v>
      </c>
      <c r="Q400" s="1006" t="s">
        <v>4037</v>
      </c>
      <c r="R400" s="1007"/>
      <c r="S400" s="1007"/>
      <c r="T400" s="1010" t="s">
        <v>2475</v>
      </c>
      <c r="U400" s="1010" t="s">
        <v>2479</v>
      </c>
      <c r="V400" s="1010" t="s">
        <v>2571</v>
      </c>
      <c r="W400" s="1008"/>
    </row>
    <row r="401" spans="1:23" x14ac:dyDescent="0.2">
      <c r="A401" s="1006" t="s">
        <v>4888</v>
      </c>
      <c r="B401" s="1007">
        <v>4</v>
      </c>
      <c r="C401" s="1007">
        <v>6</v>
      </c>
      <c r="D401" s="1007">
        <v>5</v>
      </c>
      <c r="E401" s="1007">
        <v>3</v>
      </c>
      <c r="F401" s="1007">
        <v>6</v>
      </c>
      <c r="G401" s="1007">
        <v>11</v>
      </c>
      <c r="H401" s="1007">
        <v>1</v>
      </c>
      <c r="I401" s="1008" t="s">
        <v>3989</v>
      </c>
      <c r="J401" s="1008" t="s">
        <v>4752</v>
      </c>
      <c r="K401" s="1007" t="s">
        <v>2236</v>
      </c>
      <c r="L401" s="1009" t="s">
        <v>2354</v>
      </c>
      <c r="M401" s="1006" t="s">
        <v>4128</v>
      </c>
      <c r="N401" s="1009" t="s">
        <v>2244</v>
      </c>
      <c r="O401" s="1006" t="s">
        <v>4128</v>
      </c>
      <c r="P401" s="1009" t="s">
        <v>2245</v>
      </c>
      <c r="Q401" s="1006" t="s">
        <v>4037</v>
      </c>
      <c r="R401" s="1007"/>
      <c r="S401" s="1007"/>
      <c r="T401" s="1010" t="s">
        <v>2475</v>
      </c>
      <c r="U401" s="1010" t="s">
        <v>2479</v>
      </c>
      <c r="V401" s="1010" t="s">
        <v>2571</v>
      </c>
      <c r="W401" s="1008"/>
    </row>
    <row r="402" spans="1:23" x14ac:dyDescent="0.2">
      <c r="A402" s="1006" t="s">
        <v>4889</v>
      </c>
      <c r="B402" s="1007">
        <v>6</v>
      </c>
      <c r="C402" s="1007">
        <v>9</v>
      </c>
      <c r="D402" s="1007">
        <v>10</v>
      </c>
      <c r="E402" s="1007">
        <v>4</v>
      </c>
      <c r="F402" s="1007">
        <v>8</v>
      </c>
      <c r="G402" s="1007">
        <v>14</v>
      </c>
      <c r="H402" s="1007">
        <v>1</v>
      </c>
      <c r="I402" s="1008" t="s">
        <v>3989</v>
      </c>
      <c r="J402" s="1008" t="s">
        <v>4752</v>
      </c>
      <c r="K402" s="1007" t="s">
        <v>2236</v>
      </c>
      <c r="L402" s="1009" t="s">
        <v>2354</v>
      </c>
      <c r="M402" s="1006" t="s">
        <v>4128</v>
      </c>
      <c r="N402" s="1009" t="s">
        <v>2244</v>
      </c>
      <c r="O402" s="1006" t="s">
        <v>4128</v>
      </c>
      <c r="P402" s="1009" t="s">
        <v>2245</v>
      </c>
      <c r="Q402" s="1006" t="s">
        <v>4037</v>
      </c>
      <c r="R402" s="1007"/>
      <c r="S402" s="1007"/>
      <c r="T402" s="1010" t="s">
        <v>2475</v>
      </c>
      <c r="U402" s="1010" t="s">
        <v>2479</v>
      </c>
      <c r="V402" s="1010" t="s">
        <v>2571</v>
      </c>
      <c r="W402" s="1008"/>
    </row>
    <row r="403" spans="1:23" x14ac:dyDescent="0.2">
      <c r="A403" s="1006" t="s">
        <v>4890</v>
      </c>
      <c r="B403" s="1007">
        <v>8</v>
      </c>
      <c r="C403" s="1007">
        <v>11</v>
      </c>
      <c r="D403" s="1007">
        <v>15</v>
      </c>
      <c r="E403" s="1007">
        <v>5</v>
      </c>
      <c r="F403" s="1007">
        <v>10</v>
      </c>
      <c r="G403" s="1007">
        <v>18</v>
      </c>
      <c r="H403" s="1007">
        <v>2</v>
      </c>
      <c r="I403" s="1008" t="s">
        <v>3989</v>
      </c>
      <c r="J403" s="1008" t="s">
        <v>4752</v>
      </c>
      <c r="K403" s="1007" t="s">
        <v>2236</v>
      </c>
      <c r="L403" s="1009" t="s">
        <v>2354</v>
      </c>
      <c r="M403" s="1006" t="s">
        <v>4128</v>
      </c>
      <c r="N403" s="1009" t="s">
        <v>2244</v>
      </c>
      <c r="O403" s="1006" t="s">
        <v>4128</v>
      </c>
      <c r="P403" s="1009" t="s">
        <v>2245</v>
      </c>
      <c r="Q403" s="1006" t="s">
        <v>4037</v>
      </c>
      <c r="R403" s="1007"/>
      <c r="S403" s="1007"/>
      <c r="T403" s="1010" t="s">
        <v>2475</v>
      </c>
      <c r="U403" s="1010" t="s">
        <v>2479</v>
      </c>
      <c r="V403" s="1010" t="s">
        <v>2571</v>
      </c>
      <c r="W403" s="1008"/>
    </row>
    <row r="404" spans="1:23" x14ac:dyDescent="0.2">
      <c r="A404" s="1006" t="s">
        <v>4891</v>
      </c>
      <c r="B404" s="1007">
        <v>10</v>
      </c>
      <c r="C404" s="1007">
        <v>13</v>
      </c>
      <c r="D404" s="1007">
        <v>20</v>
      </c>
      <c r="E404" s="1007">
        <v>6</v>
      </c>
      <c r="F404" s="1007">
        <v>12</v>
      </c>
      <c r="G404" s="1007">
        <v>21</v>
      </c>
      <c r="H404" s="1007">
        <v>2</v>
      </c>
      <c r="I404" s="1008" t="s">
        <v>3989</v>
      </c>
      <c r="J404" s="1008" t="s">
        <v>4752</v>
      </c>
      <c r="K404" s="1007" t="s">
        <v>2236</v>
      </c>
      <c r="L404" s="1009" t="s">
        <v>2354</v>
      </c>
      <c r="M404" s="1006" t="s">
        <v>4128</v>
      </c>
      <c r="N404" s="1009" t="s">
        <v>2244</v>
      </c>
      <c r="O404" s="1006" t="s">
        <v>4128</v>
      </c>
      <c r="P404" s="1009" t="s">
        <v>2245</v>
      </c>
      <c r="Q404" s="1006" t="s">
        <v>4037</v>
      </c>
      <c r="R404" s="1007"/>
      <c r="S404" s="1007"/>
      <c r="T404" s="1010" t="s">
        <v>2475</v>
      </c>
      <c r="U404" s="1010" t="s">
        <v>2479</v>
      </c>
      <c r="V404" s="1010" t="s">
        <v>2571</v>
      </c>
      <c r="W404" s="1008"/>
    </row>
    <row r="405" spans="1:23" x14ac:dyDescent="0.2">
      <c r="A405" s="1006" t="s">
        <v>4892</v>
      </c>
      <c r="B405" s="1007">
        <v>12</v>
      </c>
      <c r="C405" s="1007">
        <v>15</v>
      </c>
      <c r="D405" s="1007">
        <v>25</v>
      </c>
      <c r="E405" s="1007">
        <v>7</v>
      </c>
      <c r="F405" s="1007">
        <v>14</v>
      </c>
      <c r="G405" s="1007">
        <v>25</v>
      </c>
      <c r="H405" s="1007">
        <v>3</v>
      </c>
      <c r="I405" s="1008" t="s">
        <v>3989</v>
      </c>
      <c r="J405" s="1008" t="s">
        <v>4752</v>
      </c>
      <c r="K405" s="1007" t="s">
        <v>2236</v>
      </c>
      <c r="L405" s="1009" t="s">
        <v>2354</v>
      </c>
      <c r="M405" s="1006" t="s">
        <v>4128</v>
      </c>
      <c r="N405" s="1009" t="s">
        <v>2244</v>
      </c>
      <c r="O405" s="1006" t="s">
        <v>4128</v>
      </c>
      <c r="P405" s="1009" t="s">
        <v>2245</v>
      </c>
      <c r="Q405" s="1006" t="s">
        <v>4037</v>
      </c>
      <c r="R405" s="1007"/>
      <c r="S405" s="1007"/>
      <c r="T405" s="1010" t="s">
        <v>2475</v>
      </c>
      <c r="U405" s="1010" t="s">
        <v>2479</v>
      </c>
      <c r="V405" s="1010" t="s">
        <v>2571</v>
      </c>
      <c r="W405" s="1008"/>
    </row>
    <row r="406" spans="1:23" x14ac:dyDescent="0.2">
      <c r="A406" s="1006" t="s">
        <v>4893</v>
      </c>
      <c r="B406" s="1007">
        <v>14</v>
      </c>
      <c r="C406" s="1007">
        <v>18</v>
      </c>
      <c r="D406" s="1007">
        <v>30</v>
      </c>
      <c r="E406" s="1007">
        <v>8</v>
      </c>
      <c r="F406" s="1007">
        <v>16</v>
      </c>
      <c r="G406" s="1007">
        <v>28</v>
      </c>
      <c r="H406" s="1007">
        <v>3</v>
      </c>
      <c r="I406" s="1008" t="s">
        <v>3989</v>
      </c>
      <c r="J406" s="1008" t="s">
        <v>4752</v>
      </c>
      <c r="K406" s="1007" t="s">
        <v>2236</v>
      </c>
      <c r="L406" s="1009" t="s">
        <v>2354</v>
      </c>
      <c r="M406" s="1006" t="s">
        <v>4128</v>
      </c>
      <c r="N406" s="1009" t="s">
        <v>2244</v>
      </c>
      <c r="O406" s="1006" t="s">
        <v>4128</v>
      </c>
      <c r="P406" s="1009" t="s">
        <v>2245</v>
      </c>
      <c r="Q406" s="1006" t="s">
        <v>4037</v>
      </c>
      <c r="R406" s="1007"/>
      <c r="S406" s="1007"/>
      <c r="T406" s="1010" t="s">
        <v>2475</v>
      </c>
      <c r="U406" s="1010" t="s">
        <v>2479</v>
      </c>
      <c r="V406" s="1010" t="s">
        <v>2571</v>
      </c>
      <c r="W406" s="1008"/>
    </row>
    <row r="407" spans="1:23" x14ac:dyDescent="0.2">
      <c r="A407" s="848" t="s">
        <v>4199</v>
      </c>
      <c r="B407" s="1026"/>
      <c r="C407" s="1026"/>
      <c r="D407" s="1026"/>
      <c r="E407" s="1026"/>
      <c r="F407" s="1026"/>
      <c r="G407" s="1026"/>
      <c r="H407" s="1026"/>
      <c r="I407" s="1026"/>
      <c r="J407" s="1026"/>
      <c r="K407" s="1026"/>
      <c r="L407" s="1027"/>
      <c r="M407" s="1026"/>
      <c r="N407" s="1026"/>
      <c r="O407" s="1026"/>
      <c r="P407" s="1026"/>
      <c r="Q407" s="1026"/>
      <c r="R407" s="1026"/>
      <c r="S407" s="1026"/>
      <c r="T407" s="1026"/>
      <c r="U407" s="1026"/>
      <c r="V407" s="1026"/>
      <c r="W407" s="1008" t="s">
        <v>4877</v>
      </c>
    </row>
    <row r="408" spans="1:23" x14ac:dyDescent="0.2">
      <c r="A408" s="1006" t="s">
        <v>4894</v>
      </c>
      <c r="B408" s="1007">
        <v>1</v>
      </c>
      <c r="C408" s="1007">
        <v>2</v>
      </c>
      <c r="D408" s="1007">
        <v>5</v>
      </c>
      <c r="E408" s="1007">
        <v>1</v>
      </c>
      <c r="F408" s="1007">
        <v>2</v>
      </c>
      <c r="G408" s="1007">
        <v>4</v>
      </c>
      <c r="H408" s="1007">
        <v>1</v>
      </c>
      <c r="I408" s="1008" t="s">
        <v>3989</v>
      </c>
      <c r="J408" s="1008" t="s">
        <v>4752</v>
      </c>
      <c r="K408" s="1007" t="s">
        <v>2231</v>
      </c>
      <c r="L408" s="1009" t="s">
        <v>2354</v>
      </c>
      <c r="M408" s="1006" t="s">
        <v>4128</v>
      </c>
      <c r="N408" s="1009" t="s">
        <v>2244</v>
      </c>
      <c r="O408" s="1006" t="s">
        <v>4128</v>
      </c>
      <c r="P408" s="1009" t="s">
        <v>2245</v>
      </c>
      <c r="Q408" s="1006" t="s">
        <v>4037</v>
      </c>
      <c r="R408" s="1007"/>
      <c r="S408" s="1007"/>
      <c r="T408" s="1010" t="s">
        <v>2475</v>
      </c>
      <c r="U408" s="1010" t="s">
        <v>2479</v>
      </c>
      <c r="V408" s="1010" t="s">
        <v>2571</v>
      </c>
      <c r="W408" s="1007"/>
    </row>
    <row r="409" spans="1:23" x14ac:dyDescent="0.2">
      <c r="A409" s="1006" t="s">
        <v>4895</v>
      </c>
      <c r="B409" s="1007">
        <v>2</v>
      </c>
      <c r="C409" s="1007">
        <v>4</v>
      </c>
      <c r="D409" s="1007">
        <v>5</v>
      </c>
      <c r="E409" s="1007">
        <v>2</v>
      </c>
      <c r="F409" s="1007">
        <v>4</v>
      </c>
      <c r="G409" s="1007">
        <v>7</v>
      </c>
      <c r="H409" s="1007">
        <v>1</v>
      </c>
      <c r="I409" s="1008" t="s">
        <v>3989</v>
      </c>
      <c r="J409" s="1008" t="s">
        <v>4752</v>
      </c>
      <c r="K409" s="1007" t="s">
        <v>2231</v>
      </c>
      <c r="L409" s="1009" t="s">
        <v>2354</v>
      </c>
      <c r="M409" s="1006" t="s">
        <v>4128</v>
      </c>
      <c r="N409" s="1009" t="s">
        <v>2244</v>
      </c>
      <c r="O409" s="1006" t="s">
        <v>4128</v>
      </c>
      <c r="P409" s="1009" t="s">
        <v>2245</v>
      </c>
      <c r="Q409" s="1006" t="s">
        <v>4037</v>
      </c>
      <c r="R409" s="1007"/>
      <c r="S409" s="1007"/>
      <c r="T409" s="1010" t="s">
        <v>2475</v>
      </c>
      <c r="U409" s="1010" t="s">
        <v>2479</v>
      </c>
      <c r="V409" s="1010" t="s">
        <v>2571</v>
      </c>
      <c r="W409" s="1007"/>
    </row>
    <row r="410" spans="1:23" x14ac:dyDescent="0.2">
      <c r="A410" s="1006" t="s">
        <v>4896</v>
      </c>
      <c r="B410" s="1007">
        <v>4</v>
      </c>
      <c r="C410" s="1007">
        <v>6</v>
      </c>
      <c r="D410" s="1007">
        <v>5</v>
      </c>
      <c r="E410" s="1007">
        <v>3</v>
      </c>
      <c r="F410" s="1007">
        <v>6</v>
      </c>
      <c r="G410" s="1007">
        <v>11</v>
      </c>
      <c r="H410" s="1007">
        <v>1</v>
      </c>
      <c r="I410" s="1008" t="s">
        <v>3989</v>
      </c>
      <c r="J410" s="1008" t="s">
        <v>4752</v>
      </c>
      <c r="K410" s="1007" t="s">
        <v>2231</v>
      </c>
      <c r="L410" s="1009" t="s">
        <v>2354</v>
      </c>
      <c r="M410" s="1006" t="s">
        <v>4128</v>
      </c>
      <c r="N410" s="1009" t="s">
        <v>2244</v>
      </c>
      <c r="O410" s="1006" t="s">
        <v>4128</v>
      </c>
      <c r="P410" s="1009" t="s">
        <v>2245</v>
      </c>
      <c r="Q410" s="1006" t="s">
        <v>4037</v>
      </c>
      <c r="R410" s="1007"/>
      <c r="S410" s="1007"/>
      <c r="T410" s="1010" t="s">
        <v>2475</v>
      </c>
      <c r="U410" s="1010" t="s">
        <v>2479</v>
      </c>
      <c r="V410" s="1010" t="s">
        <v>2571</v>
      </c>
      <c r="W410" s="1007"/>
    </row>
    <row r="411" spans="1:23" x14ac:dyDescent="0.2">
      <c r="A411" s="1006" t="s">
        <v>4897</v>
      </c>
      <c r="B411" s="1007">
        <v>6</v>
      </c>
      <c r="C411" s="1007">
        <v>9</v>
      </c>
      <c r="D411" s="1007">
        <v>10</v>
      </c>
      <c r="E411" s="1007">
        <v>4</v>
      </c>
      <c r="F411" s="1007">
        <v>8</v>
      </c>
      <c r="G411" s="1007">
        <v>14</v>
      </c>
      <c r="H411" s="1007">
        <v>1</v>
      </c>
      <c r="I411" s="1008" t="s">
        <v>3989</v>
      </c>
      <c r="J411" s="1008" t="s">
        <v>4752</v>
      </c>
      <c r="K411" s="1007" t="s">
        <v>2231</v>
      </c>
      <c r="L411" s="1009" t="s">
        <v>2354</v>
      </c>
      <c r="M411" s="1006" t="s">
        <v>4128</v>
      </c>
      <c r="N411" s="1009" t="s">
        <v>2244</v>
      </c>
      <c r="O411" s="1006" t="s">
        <v>4128</v>
      </c>
      <c r="P411" s="1009" t="s">
        <v>2245</v>
      </c>
      <c r="Q411" s="1006" t="s">
        <v>4037</v>
      </c>
      <c r="R411" s="1007"/>
      <c r="S411" s="1007"/>
      <c r="T411" s="1010" t="s">
        <v>2475</v>
      </c>
      <c r="U411" s="1010" t="s">
        <v>2479</v>
      </c>
      <c r="V411" s="1010" t="s">
        <v>2571</v>
      </c>
      <c r="W411" s="1007"/>
    </row>
    <row r="412" spans="1:23" x14ac:dyDescent="0.2">
      <c r="A412" s="1006" t="s">
        <v>4898</v>
      </c>
      <c r="B412" s="1007">
        <v>8</v>
      </c>
      <c r="C412" s="1007">
        <v>11</v>
      </c>
      <c r="D412" s="1007">
        <v>15</v>
      </c>
      <c r="E412" s="1007">
        <v>5</v>
      </c>
      <c r="F412" s="1007">
        <v>10</v>
      </c>
      <c r="G412" s="1007">
        <v>18</v>
      </c>
      <c r="H412" s="1007">
        <v>2</v>
      </c>
      <c r="I412" s="1008" t="s">
        <v>3989</v>
      </c>
      <c r="J412" s="1008" t="s">
        <v>4752</v>
      </c>
      <c r="K412" s="1007" t="s">
        <v>2231</v>
      </c>
      <c r="L412" s="1009" t="s">
        <v>2354</v>
      </c>
      <c r="M412" s="1006" t="s">
        <v>4128</v>
      </c>
      <c r="N412" s="1009" t="s">
        <v>2244</v>
      </c>
      <c r="O412" s="1006" t="s">
        <v>4128</v>
      </c>
      <c r="P412" s="1009" t="s">
        <v>2245</v>
      </c>
      <c r="Q412" s="1006" t="s">
        <v>4037</v>
      </c>
      <c r="R412" s="1007"/>
      <c r="S412" s="1007"/>
      <c r="T412" s="1010" t="s">
        <v>2475</v>
      </c>
      <c r="U412" s="1010" t="s">
        <v>2479</v>
      </c>
      <c r="V412" s="1010" t="s">
        <v>2571</v>
      </c>
      <c r="W412" s="1007"/>
    </row>
    <row r="413" spans="1:23" x14ac:dyDescent="0.2">
      <c r="A413" s="1006" t="s">
        <v>4899</v>
      </c>
      <c r="B413" s="1007">
        <v>10</v>
      </c>
      <c r="C413" s="1007">
        <v>13</v>
      </c>
      <c r="D413" s="1007">
        <v>20</v>
      </c>
      <c r="E413" s="1007">
        <v>6</v>
      </c>
      <c r="F413" s="1007">
        <v>12</v>
      </c>
      <c r="G413" s="1007">
        <v>21</v>
      </c>
      <c r="H413" s="1007">
        <v>2</v>
      </c>
      <c r="I413" s="1008" t="s">
        <v>3989</v>
      </c>
      <c r="J413" s="1008" t="s">
        <v>4752</v>
      </c>
      <c r="K413" s="1007" t="s">
        <v>2231</v>
      </c>
      <c r="L413" s="1009" t="s">
        <v>2354</v>
      </c>
      <c r="M413" s="1006" t="s">
        <v>4128</v>
      </c>
      <c r="N413" s="1009" t="s">
        <v>2244</v>
      </c>
      <c r="O413" s="1006" t="s">
        <v>4128</v>
      </c>
      <c r="P413" s="1009" t="s">
        <v>2245</v>
      </c>
      <c r="Q413" s="1006" t="s">
        <v>4037</v>
      </c>
      <c r="R413" s="1007"/>
      <c r="S413" s="1007"/>
      <c r="T413" s="1010" t="s">
        <v>2475</v>
      </c>
      <c r="U413" s="1010" t="s">
        <v>2479</v>
      </c>
      <c r="V413" s="1010" t="s">
        <v>2571</v>
      </c>
      <c r="W413" s="1007"/>
    </row>
    <row r="414" spans="1:23" x14ac:dyDescent="0.2">
      <c r="A414" s="1006" t="s">
        <v>4900</v>
      </c>
      <c r="B414" s="1007">
        <v>12</v>
      </c>
      <c r="C414" s="1007">
        <v>15</v>
      </c>
      <c r="D414" s="1007">
        <v>25</v>
      </c>
      <c r="E414" s="1007">
        <v>7</v>
      </c>
      <c r="F414" s="1007">
        <v>14</v>
      </c>
      <c r="G414" s="1007">
        <v>25</v>
      </c>
      <c r="H414" s="1007">
        <v>3</v>
      </c>
      <c r="I414" s="1008" t="s">
        <v>3989</v>
      </c>
      <c r="J414" s="1008" t="s">
        <v>4752</v>
      </c>
      <c r="K414" s="1007" t="s">
        <v>2231</v>
      </c>
      <c r="L414" s="1009" t="s">
        <v>2354</v>
      </c>
      <c r="M414" s="1006" t="s">
        <v>4128</v>
      </c>
      <c r="N414" s="1009" t="s">
        <v>2244</v>
      </c>
      <c r="O414" s="1006" t="s">
        <v>4128</v>
      </c>
      <c r="P414" s="1009" t="s">
        <v>2245</v>
      </c>
      <c r="Q414" s="1006" t="s">
        <v>4037</v>
      </c>
      <c r="R414" s="1007"/>
      <c r="S414" s="1007"/>
      <c r="T414" s="1010" t="s">
        <v>2475</v>
      </c>
      <c r="U414" s="1010" t="s">
        <v>2479</v>
      </c>
      <c r="V414" s="1010" t="s">
        <v>2571</v>
      </c>
      <c r="W414" s="1007"/>
    </row>
    <row r="415" spans="1:23" x14ac:dyDescent="0.2">
      <c r="A415" s="1006" t="s">
        <v>4901</v>
      </c>
      <c r="B415" s="1007">
        <v>14</v>
      </c>
      <c r="C415" s="1007">
        <v>18</v>
      </c>
      <c r="D415" s="1007">
        <v>30</v>
      </c>
      <c r="E415" s="1007">
        <v>8</v>
      </c>
      <c r="F415" s="1007">
        <v>16</v>
      </c>
      <c r="G415" s="1007">
        <v>28</v>
      </c>
      <c r="H415" s="1007">
        <v>3</v>
      </c>
      <c r="I415" s="1008" t="s">
        <v>3989</v>
      </c>
      <c r="J415" s="1008" t="s">
        <v>4752</v>
      </c>
      <c r="K415" s="1007" t="s">
        <v>2231</v>
      </c>
      <c r="L415" s="1009" t="s">
        <v>2354</v>
      </c>
      <c r="M415" s="1006" t="s">
        <v>4128</v>
      </c>
      <c r="N415" s="1009" t="s">
        <v>2244</v>
      </c>
      <c r="O415" s="1006" t="s">
        <v>4128</v>
      </c>
      <c r="P415" s="1009" t="s">
        <v>2245</v>
      </c>
      <c r="Q415" s="1006" t="s">
        <v>4037</v>
      </c>
      <c r="R415" s="1007"/>
      <c r="S415" s="1007"/>
      <c r="T415" s="1010" t="s">
        <v>2475</v>
      </c>
      <c r="U415" s="1010" t="s">
        <v>2479</v>
      </c>
      <c r="V415" s="1010" t="s">
        <v>2571</v>
      </c>
      <c r="W415" s="1007"/>
    </row>
    <row r="416" spans="1:23" x14ac:dyDescent="0.2">
      <c r="A416" s="848" t="s">
        <v>4204</v>
      </c>
      <c r="B416" s="1026"/>
      <c r="C416" s="1026"/>
      <c r="D416" s="1026"/>
      <c r="E416" s="1026"/>
      <c r="F416" s="1026"/>
      <c r="G416" s="1026"/>
      <c r="H416" s="1026"/>
      <c r="I416" s="1026"/>
      <c r="J416" s="1026"/>
      <c r="K416" s="1026"/>
      <c r="L416" s="1027"/>
      <c r="M416" s="1026"/>
      <c r="N416" s="1026"/>
      <c r="O416" s="1026"/>
      <c r="P416" s="1026"/>
      <c r="Q416" s="1026"/>
      <c r="R416" s="1026"/>
      <c r="S416" s="1026"/>
      <c r="T416" s="1026"/>
      <c r="U416" s="1026"/>
      <c r="V416" s="1026"/>
      <c r="W416" s="1007"/>
    </row>
    <row r="417" spans="1:23" x14ac:dyDescent="0.2">
      <c r="A417" s="1006" t="s">
        <v>4902</v>
      </c>
      <c r="B417" s="1007">
        <v>1</v>
      </c>
      <c r="C417" s="1007">
        <v>2</v>
      </c>
      <c r="D417" s="1007">
        <v>5</v>
      </c>
      <c r="E417" s="1007">
        <v>1</v>
      </c>
      <c r="F417" s="1007">
        <v>2</v>
      </c>
      <c r="G417" s="1007">
        <v>4</v>
      </c>
      <c r="H417" s="1007">
        <v>1</v>
      </c>
      <c r="I417" s="1008" t="s">
        <v>3994</v>
      </c>
      <c r="J417" s="1008" t="s">
        <v>4752</v>
      </c>
      <c r="K417" s="1007" t="s">
        <v>2354</v>
      </c>
      <c r="L417" s="1009" t="s">
        <v>2231</v>
      </c>
      <c r="M417" s="1006" t="s">
        <v>4038</v>
      </c>
      <c r="N417" s="1009" t="s">
        <v>2236</v>
      </c>
      <c r="O417" s="1006" t="s">
        <v>4037</v>
      </c>
      <c r="P417" s="1009" t="s">
        <v>2244</v>
      </c>
      <c r="Q417" s="1006" t="s">
        <v>4128</v>
      </c>
      <c r="R417" s="1009" t="s">
        <v>2245</v>
      </c>
      <c r="S417" s="1006" t="s">
        <v>4128</v>
      </c>
      <c r="T417" s="1010" t="s">
        <v>2475</v>
      </c>
      <c r="U417" s="1010" t="s">
        <v>2570</v>
      </c>
      <c r="V417" s="1010" t="s">
        <v>2575</v>
      </c>
      <c r="W417" s="1007"/>
    </row>
    <row r="418" spans="1:23" x14ac:dyDescent="0.2">
      <c r="A418" s="1006" t="s">
        <v>4903</v>
      </c>
      <c r="B418" s="1007">
        <v>2</v>
      </c>
      <c r="C418" s="1007">
        <v>4</v>
      </c>
      <c r="D418" s="1007">
        <v>5</v>
      </c>
      <c r="E418" s="1007">
        <v>2</v>
      </c>
      <c r="F418" s="1007">
        <v>4</v>
      </c>
      <c r="G418" s="1007">
        <v>7</v>
      </c>
      <c r="H418" s="1007">
        <v>1</v>
      </c>
      <c r="I418" s="1008" t="s">
        <v>3994</v>
      </c>
      <c r="J418" s="1008" t="s">
        <v>4752</v>
      </c>
      <c r="K418" s="1007" t="s">
        <v>2354</v>
      </c>
      <c r="L418" s="1009" t="s">
        <v>2231</v>
      </c>
      <c r="M418" s="1006" t="s">
        <v>4038</v>
      </c>
      <c r="N418" s="1009" t="s">
        <v>2236</v>
      </c>
      <c r="O418" s="1006" t="s">
        <v>4037</v>
      </c>
      <c r="P418" s="1009" t="s">
        <v>2244</v>
      </c>
      <c r="Q418" s="1006" t="s">
        <v>4128</v>
      </c>
      <c r="R418" s="1009" t="s">
        <v>2245</v>
      </c>
      <c r="S418" s="1006" t="s">
        <v>4128</v>
      </c>
      <c r="T418" s="1010" t="s">
        <v>2475</v>
      </c>
      <c r="U418" s="1010" t="s">
        <v>2570</v>
      </c>
      <c r="V418" s="1010" t="s">
        <v>2575</v>
      </c>
      <c r="W418" s="1007"/>
    </row>
    <row r="419" spans="1:23" x14ac:dyDescent="0.2">
      <c r="A419" s="1006" t="s">
        <v>4904</v>
      </c>
      <c r="B419" s="1007">
        <v>4</v>
      </c>
      <c r="C419" s="1007">
        <v>6</v>
      </c>
      <c r="D419" s="1007">
        <v>10</v>
      </c>
      <c r="E419" s="1007">
        <v>3</v>
      </c>
      <c r="F419" s="1007">
        <v>6</v>
      </c>
      <c r="G419" s="1007">
        <v>11</v>
      </c>
      <c r="H419" s="1007">
        <v>1</v>
      </c>
      <c r="I419" s="1008" t="s">
        <v>3994</v>
      </c>
      <c r="J419" s="1008" t="s">
        <v>4752</v>
      </c>
      <c r="K419" s="1007" t="s">
        <v>2354</v>
      </c>
      <c r="L419" s="1009" t="s">
        <v>2231</v>
      </c>
      <c r="M419" s="1006" t="s">
        <v>4038</v>
      </c>
      <c r="N419" s="1009" t="s">
        <v>2236</v>
      </c>
      <c r="O419" s="1006" t="s">
        <v>4037</v>
      </c>
      <c r="P419" s="1009" t="s">
        <v>2244</v>
      </c>
      <c r="Q419" s="1006" t="s">
        <v>4128</v>
      </c>
      <c r="R419" s="1009" t="s">
        <v>2245</v>
      </c>
      <c r="S419" s="1006" t="s">
        <v>4128</v>
      </c>
      <c r="T419" s="1010" t="s">
        <v>2475</v>
      </c>
      <c r="U419" s="1010" t="s">
        <v>2570</v>
      </c>
      <c r="V419" s="1010" t="s">
        <v>2575</v>
      </c>
      <c r="W419" s="1007"/>
    </row>
    <row r="420" spans="1:23" x14ac:dyDescent="0.2">
      <c r="A420" s="1006" t="s">
        <v>4905</v>
      </c>
      <c r="B420" s="1007">
        <v>6</v>
      </c>
      <c r="C420" s="1007">
        <v>9</v>
      </c>
      <c r="D420" s="1007">
        <v>15</v>
      </c>
      <c r="E420" s="1007">
        <v>4</v>
      </c>
      <c r="F420" s="1007">
        <v>8</v>
      </c>
      <c r="G420" s="1007">
        <v>14</v>
      </c>
      <c r="H420" s="1007">
        <v>1</v>
      </c>
      <c r="I420" s="1008" t="s">
        <v>3994</v>
      </c>
      <c r="J420" s="1008" t="s">
        <v>4752</v>
      </c>
      <c r="K420" s="1007" t="s">
        <v>2354</v>
      </c>
      <c r="L420" s="1009" t="s">
        <v>2231</v>
      </c>
      <c r="M420" s="1006" t="s">
        <v>4038</v>
      </c>
      <c r="N420" s="1009" t="s">
        <v>2236</v>
      </c>
      <c r="O420" s="1006" t="s">
        <v>4037</v>
      </c>
      <c r="P420" s="1009" t="s">
        <v>2244</v>
      </c>
      <c r="Q420" s="1006" t="s">
        <v>4128</v>
      </c>
      <c r="R420" s="1009" t="s">
        <v>2245</v>
      </c>
      <c r="S420" s="1006" t="s">
        <v>4128</v>
      </c>
      <c r="T420" s="1010" t="s">
        <v>2475</v>
      </c>
      <c r="U420" s="1010" t="s">
        <v>2570</v>
      </c>
      <c r="V420" s="1010" t="s">
        <v>2575</v>
      </c>
      <c r="W420" s="1007"/>
    </row>
    <row r="421" spans="1:23" x14ac:dyDescent="0.2">
      <c r="A421" s="1006" t="s">
        <v>4906</v>
      </c>
      <c r="B421" s="1007">
        <v>8</v>
      </c>
      <c r="C421" s="1007">
        <v>11</v>
      </c>
      <c r="D421" s="1007">
        <v>20</v>
      </c>
      <c r="E421" s="1007">
        <v>5</v>
      </c>
      <c r="F421" s="1007">
        <v>10</v>
      </c>
      <c r="G421" s="1007">
        <v>18</v>
      </c>
      <c r="H421" s="1007">
        <v>2</v>
      </c>
      <c r="I421" s="1008" t="s">
        <v>3994</v>
      </c>
      <c r="J421" s="1008" t="s">
        <v>4752</v>
      </c>
      <c r="K421" s="1007" t="s">
        <v>2354</v>
      </c>
      <c r="L421" s="1009" t="s">
        <v>2231</v>
      </c>
      <c r="M421" s="1006" t="s">
        <v>4038</v>
      </c>
      <c r="N421" s="1009" t="s">
        <v>2236</v>
      </c>
      <c r="O421" s="1006" t="s">
        <v>4037</v>
      </c>
      <c r="P421" s="1009" t="s">
        <v>2244</v>
      </c>
      <c r="Q421" s="1006" t="s">
        <v>4128</v>
      </c>
      <c r="R421" s="1009" t="s">
        <v>2245</v>
      </c>
      <c r="S421" s="1006" t="s">
        <v>4128</v>
      </c>
      <c r="T421" s="1010" t="s">
        <v>2475</v>
      </c>
      <c r="U421" s="1010" t="s">
        <v>2570</v>
      </c>
      <c r="V421" s="1010" t="s">
        <v>2575</v>
      </c>
      <c r="W421" s="1007"/>
    </row>
    <row r="422" spans="1:23" x14ac:dyDescent="0.2">
      <c r="A422" s="1006" t="s">
        <v>4907</v>
      </c>
      <c r="B422" s="1007">
        <v>10</v>
      </c>
      <c r="C422" s="1007">
        <v>13</v>
      </c>
      <c r="D422" s="1007">
        <v>25</v>
      </c>
      <c r="E422" s="1007">
        <v>6</v>
      </c>
      <c r="F422" s="1007">
        <v>12</v>
      </c>
      <c r="G422" s="1007">
        <v>21</v>
      </c>
      <c r="H422" s="1007">
        <v>2</v>
      </c>
      <c r="I422" s="1008" t="s">
        <v>3994</v>
      </c>
      <c r="J422" s="1008" t="s">
        <v>4752</v>
      </c>
      <c r="K422" s="1007" t="s">
        <v>2354</v>
      </c>
      <c r="L422" s="1009" t="s">
        <v>2231</v>
      </c>
      <c r="M422" s="1006" t="s">
        <v>4038</v>
      </c>
      <c r="N422" s="1009" t="s">
        <v>2236</v>
      </c>
      <c r="O422" s="1006" t="s">
        <v>4037</v>
      </c>
      <c r="P422" s="1009" t="s">
        <v>2244</v>
      </c>
      <c r="Q422" s="1006" t="s">
        <v>4128</v>
      </c>
      <c r="R422" s="1009" t="s">
        <v>2245</v>
      </c>
      <c r="S422" s="1006" t="s">
        <v>4128</v>
      </c>
      <c r="T422" s="1010" t="s">
        <v>2475</v>
      </c>
      <c r="U422" s="1010" t="s">
        <v>2570</v>
      </c>
      <c r="V422" s="1010" t="s">
        <v>2575</v>
      </c>
      <c r="W422" s="1007"/>
    </row>
    <row r="423" spans="1:23" x14ac:dyDescent="0.2">
      <c r="A423" s="1006" t="s">
        <v>4908</v>
      </c>
      <c r="B423" s="1007">
        <v>14</v>
      </c>
      <c r="C423" s="1007">
        <v>18</v>
      </c>
      <c r="D423" s="1007">
        <v>30</v>
      </c>
      <c r="E423" s="1007">
        <v>7</v>
      </c>
      <c r="F423" s="1007">
        <v>14</v>
      </c>
      <c r="G423" s="1007">
        <v>25</v>
      </c>
      <c r="H423" s="1007">
        <v>3</v>
      </c>
      <c r="I423" s="1008" t="s">
        <v>3994</v>
      </c>
      <c r="J423" s="1008" t="s">
        <v>4752</v>
      </c>
      <c r="K423" s="1007" t="s">
        <v>2354</v>
      </c>
      <c r="L423" s="1009" t="s">
        <v>2231</v>
      </c>
      <c r="M423" s="1006" t="s">
        <v>4038</v>
      </c>
      <c r="N423" s="1009" t="s">
        <v>2236</v>
      </c>
      <c r="O423" s="1006" t="s">
        <v>4037</v>
      </c>
      <c r="P423" s="1009" t="s">
        <v>2244</v>
      </c>
      <c r="Q423" s="1006" t="s">
        <v>4128</v>
      </c>
      <c r="R423" s="1009" t="s">
        <v>2245</v>
      </c>
      <c r="S423" s="1006" t="s">
        <v>4128</v>
      </c>
      <c r="T423" s="1010" t="s">
        <v>2475</v>
      </c>
      <c r="U423" s="1010" t="s">
        <v>2570</v>
      </c>
      <c r="V423" s="1010" t="s">
        <v>2575</v>
      </c>
      <c r="W423" s="1007"/>
    </row>
    <row r="424" spans="1:23" x14ac:dyDescent="0.2">
      <c r="A424" s="1006" t="s">
        <v>4909</v>
      </c>
      <c r="B424" s="1007">
        <v>18</v>
      </c>
      <c r="C424" s="1007">
        <v>22</v>
      </c>
      <c r="D424" s="1007">
        <v>40</v>
      </c>
      <c r="E424" s="1007">
        <v>8</v>
      </c>
      <c r="F424" s="1007">
        <v>16</v>
      </c>
      <c r="G424" s="1007">
        <v>28</v>
      </c>
      <c r="H424" s="1007">
        <v>3</v>
      </c>
      <c r="I424" s="1008" t="s">
        <v>3994</v>
      </c>
      <c r="J424" s="1008" t="s">
        <v>4752</v>
      </c>
      <c r="K424" s="1007" t="s">
        <v>2354</v>
      </c>
      <c r="L424" s="1009" t="s">
        <v>2231</v>
      </c>
      <c r="M424" s="1006" t="s">
        <v>4038</v>
      </c>
      <c r="N424" s="1009" t="s">
        <v>2236</v>
      </c>
      <c r="O424" s="1006" t="s">
        <v>4037</v>
      </c>
      <c r="P424" s="1009" t="s">
        <v>2244</v>
      </c>
      <c r="Q424" s="1006" t="s">
        <v>4128</v>
      </c>
      <c r="R424" s="1009" t="s">
        <v>2245</v>
      </c>
      <c r="S424" s="1006" t="s">
        <v>4128</v>
      </c>
      <c r="T424" s="1010" t="s">
        <v>2475</v>
      </c>
      <c r="U424" s="1010" t="s">
        <v>2570</v>
      </c>
      <c r="V424" s="1010" t="s">
        <v>2575</v>
      </c>
      <c r="W424" s="1007"/>
    </row>
    <row r="425" spans="1:23" x14ac:dyDescent="0.2">
      <c r="A425" s="1012" t="s">
        <v>4910</v>
      </c>
      <c r="B425" s="1013"/>
      <c r="C425" s="1013"/>
      <c r="D425" s="1013"/>
      <c r="E425" s="1013"/>
      <c r="F425" s="1013"/>
      <c r="G425" s="1013"/>
      <c r="H425" s="1013"/>
      <c r="I425" s="1013"/>
      <c r="J425" s="1013"/>
      <c r="K425" s="1013"/>
      <c r="L425" s="1014"/>
      <c r="M425" s="1013"/>
      <c r="N425" s="1013"/>
      <c r="O425" s="1013"/>
      <c r="P425" s="1013"/>
      <c r="Q425" s="1013"/>
      <c r="R425" s="1013"/>
      <c r="S425" s="1013"/>
      <c r="T425" s="1013"/>
      <c r="U425" s="1013"/>
      <c r="V425" s="1013"/>
      <c r="W425" s="1007"/>
    </row>
    <row r="426" spans="1:23" x14ac:dyDescent="0.2">
      <c r="A426" s="1006" t="s">
        <v>4911</v>
      </c>
      <c r="B426" s="1007">
        <v>1</v>
      </c>
      <c r="C426" s="1007">
        <v>1</v>
      </c>
      <c r="D426" s="1007">
        <v>5</v>
      </c>
      <c r="E426" s="1007">
        <v>1</v>
      </c>
      <c r="F426" s="1007">
        <v>2</v>
      </c>
      <c r="G426" s="1007">
        <v>4</v>
      </c>
      <c r="H426" s="1007"/>
      <c r="I426" s="1007"/>
      <c r="J426" s="1007"/>
      <c r="K426" s="1007"/>
      <c r="L426" s="1016"/>
      <c r="M426" s="1007"/>
      <c r="N426" s="1007"/>
      <c r="O426" s="1007"/>
      <c r="P426" s="1007"/>
      <c r="Q426" s="1007"/>
      <c r="R426" s="1007"/>
      <c r="S426" s="1007"/>
      <c r="T426" s="1007"/>
      <c r="U426" s="1007"/>
      <c r="V426" s="1007"/>
      <c r="W426" s="1007"/>
    </row>
    <row r="427" spans="1:23" x14ac:dyDescent="0.2">
      <c r="A427" s="1006" t="s">
        <v>4912</v>
      </c>
      <c r="B427" s="1007">
        <v>1</v>
      </c>
      <c r="C427" s="1007">
        <v>1</v>
      </c>
      <c r="D427" s="1007">
        <v>5</v>
      </c>
      <c r="E427" s="1007">
        <v>1</v>
      </c>
      <c r="F427" s="1007">
        <v>2</v>
      </c>
      <c r="G427" s="1007">
        <v>4</v>
      </c>
      <c r="H427" s="1007"/>
      <c r="I427" s="1007"/>
      <c r="J427" s="1007"/>
      <c r="K427" s="1007"/>
      <c r="L427" s="1016"/>
      <c r="M427" s="1007"/>
      <c r="N427" s="1007"/>
      <c r="O427" s="1007"/>
      <c r="P427" s="1007"/>
      <c r="Q427" s="1007"/>
      <c r="R427" s="1007"/>
      <c r="S427" s="1007"/>
      <c r="T427" s="1007"/>
      <c r="U427" s="1007"/>
      <c r="V427" s="1007"/>
      <c r="W427" s="1007"/>
    </row>
    <row r="428" spans="1:23" x14ac:dyDescent="0.2">
      <c r="A428" s="848" t="s">
        <v>4210</v>
      </c>
      <c r="B428" s="1026"/>
      <c r="C428" s="1026"/>
      <c r="D428" s="1026"/>
      <c r="E428" s="1026"/>
      <c r="F428" s="1026"/>
      <c r="G428" s="1026"/>
      <c r="H428" s="1026"/>
      <c r="I428" s="1026"/>
      <c r="J428" s="1026"/>
      <c r="K428" s="1026"/>
      <c r="L428" s="1027"/>
      <c r="M428" s="1026"/>
      <c r="N428" s="1026"/>
      <c r="O428" s="1026"/>
      <c r="P428" s="1026"/>
      <c r="Q428" s="1026"/>
      <c r="R428" s="1026"/>
      <c r="S428" s="1026"/>
      <c r="T428" s="1026"/>
      <c r="U428" s="1026"/>
      <c r="V428" s="1026"/>
      <c r="W428" s="1007"/>
    </row>
    <row r="429" spans="1:23" x14ac:dyDescent="0.2">
      <c r="A429" s="1006" t="s">
        <v>4913</v>
      </c>
      <c r="B429" s="1007">
        <v>1</v>
      </c>
      <c r="C429" s="1007">
        <v>2</v>
      </c>
      <c r="D429" s="1007">
        <v>5</v>
      </c>
      <c r="E429" s="1007">
        <v>1</v>
      </c>
      <c r="F429" s="1007">
        <v>2</v>
      </c>
      <c r="G429" s="1007">
        <v>4</v>
      </c>
      <c r="H429" s="1007">
        <v>1</v>
      </c>
      <c r="I429" s="1008" t="s">
        <v>3994</v>
      </c>
      <c r="J429" s="1008" t="s">
        <v>4752</v>
      </c>
      <c r="K429" s="1007" t="s">
        <v>2244</v>
      </c>
      <c r="L429" s="1009" t="s">
        <v>2354</v>
      </c>
      <c r="M429" s="1006" t="s">
        <v>4037</v>
      </c>
      <c r="N429" s="1009" t="s">
        <v>2231</v>
      </c>
      <c r="O429" s="1006" t="s">
        <v>4038</v>
      </c>
      <c r="P429" s="1009" t="s">
        <v>2236</v>
      </c>
      <c r="Q429" s="1006" t="s">
        <v>4037</v>
      </c>
      <c r="R429" s="1009" t="s">
        <v>2245</v>
      </c>
      <c r="S429" s="1006" t="s">
        <v>4128</v>
      </c>
      <c r="T429" s="1010" t="s">
        <v>2472</v>
      </c>
      <c r="U429" s="1010" t="s">
        <v>2479</v>
      </c>
      <c r="V429" s="1010" t="s">
        <v>2570</v>
      </c>
      <c r="W429" s="1007"/>
    </row>
    <row r="430" spans="1:23" x14ac:dyDescent="0.2">
      <c r="A430" s="1006" t="s">
        <v>4914</v>
      </c>
      <c r="B430" s="1007">
        <v>2</v>
      </c>
      <c r="C430" s="1007">
        <v>4</v>
      </c>
      <c r="D430" s="1007">
        <v>5</v>
      </c>
      <c r="E430" s="1007">
        <v>2</v>
      </c>
      <c r="F430" s="1007">
        <v>4</v>
      </c>
      <c r="G430" s="1007">
        <v>7</v>
      </c>
      <c r="H430" s="1007">
        <v>1</v>
      </c>
      <c r="I430" s="1008" t="s">
        <v>3994</v>
      </c>
      <c r="J430" s="1008" t="s">
        <v>4752</v>
      </c>
      <c r="K430" s="1007" t="s">
        <v>2244</v>
      </c>
      <c r="L430" s="1009" t="s">
        <v>2354</v>
      </c>
      <c r="M430" s="1006" t="s">
        <v>4037</v>
      </c>
      <c r="N430" s="1009" t="s">
        <v>2231</v>
      </c>
      <c r="O430" s="1006" t="s">
        <v>4038</v>
      </c>
      <c r="P430" s="1009" t="s">
        <v>2236</v>
      </c>
      <c r="Q430" s="1006" t="s">
        <v>4037</v>
      </c>
      <c r="R430" s="1009" t="s">
        <v>2245</v>
      </c>
      <c r="S430" s="1006" t="s">
        <v>4128</v>
      </c>
      <c r="T430" s="1010" t="s">
        <v>2472</v>
      </c>
      <c r="U430" s="1010" t="s">
        <v>2479</v>
      </c>
      <c r="V430" s="1010" t="s">
        <v>2570</v>
      </c>
      <c r="W430" s="1007"/>
    </row>
    <row r="431" spans="1:23" x14ac:dyDescent="0.2">
      <c r="A431" s="1006" t="s">
        <v>4915</v>
      </c>
      <c r="B431" s="1007">
        <v>4</v>
      </c>
      <c r="C431" s="1007">
        <v>6</v>
      </c>
      <c r="D431" s="1007">
        <v>10</v>
      </c>
      <c r="E431" s="1007">
        <v>3</v>
      </c>
      <c r="F431" s="1007">
        <v>6</v>
      </c>
      <c r="G431" s="1007">
        <v>11</v>
      </c>
      <c r="H431" s="1007">
        <v>1</v>
      </c>
      <c r="I431" s="1008" t="s">
        <v>3994</v>
      </c>
      <c r="J431" s="1008" t="s">
        <v>4752</v>
      </c>
      <c r="K431" s="1007" t="s">
        <v>2244</v>
      </c>
      <c r="L431" s="1009" t="s">
        <v>2354</v>
      </c>
      <c r="M431" s="1006" t="s">
        <v>4037</v>
      </c>
      <c r="N431" s="1009" t="s">
        <v>2231</v>
      </c>
      <c r="O431" s="1006" t="s">
        <v>4038</v>
      </c>
      <c r="P431" s="1009" t="s">
        <v>2236</v>
      </c>
      <c r="Q431" s="1006" t="s">
        <v>4037</v>
      </c>
      <c r="R431" s="1009" t="s">
        <v>2245</v>
      </c>
      <c r="S431" s="1006" t="s">
        <v>4128</v>
      </c>
      <c r="T431" s="1010" t="s">
        <v>2472</v>
      </c>
      <c r="U431" s="1010" t="s">
        <v>2479</v>
      </c>
      <c r="V431" s="1010" t="s">
        <v>2570</v>
      </c>
      <c r="W431" s="1007"/>
    </row>
    <row r="432" spans="1:23" x14ac:dyDescent="0.2">
      <c r="A432" s="1006" t="s">
        <v>4916</v>
      </c>
      <c r="B432" s="1007">
        <v>6</v>
      </c>
      <c r="C432" s="1007">
        <v>9</v>
      </c>
      <c r="D432" s="1007">
        <v>15</v>
      </c>
      <c r="E432" s="1007">
        <v>4</v>
      </c>
      <c r="F432" s="1007">
        <v>8</v>
      </c>
      <c r="G432" s="1007">
        <v>14</v>
      </c>
      <c r="H432" s="1007">
        <v>1</v>
      </c>
      <c r="I432" s="1008" t="s">
        <v>3994</v>
      </c>
      <c r="J432" s="1008" t="s">
        <v>4752</v>
      </c>
      <c r="K432" s="1007" t="s">
        <v>2244</v>
      </c>
      <c r="L432" s="1009" t="s">
        <v>2354</v>
      </c>
      <c r="M432" s="1006" t="s">
        <v>4037</v>
      </c>
      <c r="N432" s="1009" t="s">
        <v>2231</v>
      </c>
      <c r="O432" s="1006" t="s">
        <v>4038</v>
      </c>
      <c r="P432" s="1009" t="s">
        <v>2236</v>
      </c>
      <c r="Q432" s="1006" t="s">
        <v>4037</v>
      </c>
      <c r="R432" s="1009" t="s">
        <v>2245</v>
      </c>
      <c r="S432" s="1006" t="s">
        <v>4128</v>
      </c>
      <c r="T432" s="1010" t="s">
        <v>2472</v>
      </c>
      <c r="U432" s="1010" t="s">
        <v>2479</v>
      </c>
      <c r="V432" s="1010" t="s">
        <v>2570</v>
      </c>
      <c r="W432" s="1007"/>
    </row>
    <row r="433" spans="1:23" x14ac:dyDescent="0.2">
      <c r="A433" s="1006" t="s">
        <v>4917</v>
      </c>
      <c r="B433" s="1007">
        <v>8</v>
      </c>
      <c r="C433" s="1007">
        <v>11</v>
      </c>
      <c r="D433" s="1007">
        <v>20</v>
      </c>
      <c r="E433" s="1007">
        <v>5</v>
      </c>
      <c r="F433" s="1007">
        <v>10</v>
      </c>
      <c r="G433" s="1007">
        <v>18</v>
      </c>
      <c r="H433" s="1007">
        <v>2</v>
      </c>
      <c r="I433" s="1008" t="s">
        <v>3994</v>
      </c>
      <c r="J433" s="1008" t="s">
        <v>4752</v>
      </c>
      <c r="K433" s="1007" t="s">
        <v>2244</v>
      </c>
      <c r="L433" s="1009" t="s">
        <v>2354</v>
      </c>
      <c r="M433" s="1006" t="s">
        <v>4037</v>
      </c>
      <c r="N433" s="1009" t="s">
        <v>2231</v>
      </c>
      <c r="O433" s="1006" t="s">
        <v>4038</v>
      </c>
      <c r="P433" s="1009" t="s">
        <v>2236</v>
      </c>
      <c r="Q433" s="1006" t="s">
        <v>4037</v>
      </c>
      <c r="R433" s="1009" t="s">
        <v>2245</v>
      </c>
      <c r="S433" s="1006" t="s">
        <v>4128</v>
      </c>
      <c r="T433" s="1010" t="s">
        <v>2472</v>
      </c>
      <c r="U433" s="1010" t="s">
        <v>2479</v>
      </c>
      <c r="V433" s="1010" t="s">
        <v>2570</v>
      </c>
      <c r="W433" s="1007"/>
    </row>
    <row r="434" spans="1:23" x14ac:dyDescent="0.2">
      <c r="A434" s="1006" t="s">
        <v>4918</v>
      </c>
      <c r="B434" s="1007">
        <v>10</v>
      </c>
      <c r="C434" s="1007">
        <v>13</v>
      </c>
      <c r="D434" s="1007">
        <v>25</v>
      </c>
      <c r="E434" s="1007">
        <v>6</v>
      </c>
      <c r="F434" s="1007">
        <v>12</v>
      </c>
      <c r="G434" s="1007">
        <v>21</v>
      </c>
      <c r="H434" s="1007">
        <v>2</v>
      </c>
      <c r="I434" s="1008" t="s">
        <v>3994</v>
      </c>
      <c r="J434" s="1008" t="s">
        <v>4752</v>
      </c>
      <c r="K434" s="1007" t="s">
        <v>2244</v>
      </c>
      <c r="L434" s="1009" t="s">
        <v>2354</v>
      </c>
      <c r="M434" s="1006" t="s">
        <v>4037</v>
      </c>
      <c r="N434" s="1009" t="s">
        <v>2231</v>
      </c>
      <c r="O434" s="1006" t="s">
        <v>4038</v>
      </c>
      <c r="P434" s="1009" t="s">
        <v>2236</v>
      </c>
      <c r="Q434" s="1006" t="s">
        <v>4037</v>
      </c>
      <c r="R434" s="1009" t="s">
        <v>2245</v>
      </c>
      <c r="S434" s="1006" t="s">
        <v>4128</v>
      </c>
      <c r="T434" s="1010" t="s">
        <v>2472</v>
      </c>
      <c r="U434" s="1010" t="s">
        <v>2479</v>
      </c>
      <c r="V434" s="1010" t="s">
        <v>2570</v>
      </c>
      <c r="W434" s="1007"/>
    </row>
    <row r="435" spans="1:23" x14ac:dyDescent="0.2">
      <c r="A435" s="1006" t="s">
        <v>4919</v>
      </c>
      <c r="B435" s="1007">
        <v>14</v>
      </c>
      <c r="C435" s="1007">
        <v>18</v>
      </c>
      <c r="D435" s="1007">
        <v>30</v>
      </c>
      <c r="E435" s="1007">
        <v>7</v>
      </c>
      <c r="F435" s="1007">
        <v>14</v>
      </c>
      <c r="G435" s="1007">
        <v>25</v>
      </c>
      <c r="H435" s="1007">
        <v>3</v>
      </c>
      <c r="I435" s="1008" t="s">
        <v>3994</v>
      </c>
      <c r="J435" s="1008" t="s">
        <v>4752</v>
      </c>
      <c r="K435" s="1007" t="s">
        <v>2244</v>
      </c>
      <c r="L435" s="1009" t="s">
        <v>2354</v>
      </c>
      <c r="M435" s="1006" t="s">
        <v>4037</v>
      </c>
      <c r="N435" s="1009" t="s">
        <v>2231</v>
      </c>
      <c r="O435" s="1006" t="s">
        <v>4038</v>
      </c>
      <c r="P435" s="1009" t="s">
        <v>2236</v>
      </c>
      <c r="Q435" s="1006" t="s">
        <v>4037</v>
      </c>
      <c r="R435" s="1009" t="s">
        <v>2245</v>
      </c>
      <c r="S435" s="1006" t="s">
        <v>4128</v>
      </c>
      <c r="T435" s="1010" t="s">
        <v>2472</v>
      </c>
      <c r="U435" s="1010" t="s">
        <v>2479</v>
      </c>
      <c r="V435" s="1010" t="s">
        <v>2570</v>
      </c>
      <c r="W435" s="1007"/>
    </row>
    <row r="436" spans="1:23" x14ac:dyDescent="0.2">
      <c r="A436" s="1006" t="s">
        <v>4920</v>
      </c>
      <c r="B436" s="1007">
        <v>18</v>
      </c>
      <c r="C436" s="1007">
        <v>22</v>
      </c>
      <c r="D436" s="1007">
        <v>40</v>
      </c>
      <c r="E436" s="1007">
        <v>8</v>
      </c>
      <c r="F436" s="1007">
        <v>16</v>
      </c>
      <c r="G436" s="1007">
        <v>28</v>
      </c>
      <c r="H436" s="1007">
        <v>3</v>
      </c>
      <c r="I436" s="1008" t="s">
        <v>3994</v>
      </c>
      <c r="J436" s="1008" t="s">
        <v>4752</v>
      </c>
      <c r="K436" s="1007" t="s">
        <v>2244</v>
      </c>
      <c r="L436" s="1009" t="s">
        <v>2354</v>
      </c>
      <c r="M436" s="1006" t="s">
        <v>4037</v>
      </c>
      <c r="N436" s="1009" t="s">
        <v>2231</v>
      </c>
      <c r="O436" s="1006" t="s">
        <v>4038</v>
      </c>
      <c r="P436" s="1009" t="s">
        <v>2236</v>
      </c>
      <c r="Q436" s="1006" t="s">
        <v>4037</v>
      </c>
      <c r="R436" s="1009" t="s">
        <v>2245</v>
      </c>
      <c r="S436" s="1006" t="s">
        <v>4128</v>
      </c>
      <c r="T436" s="1010" t="s">
        <v>2472</v>
      </c>
      <c r="U436" s="1010" t="s">
        <v>2479</v>
      </c>
      <c r="V436" s="1010" t="s">
        <v>2570</v>
      </c>
      <c r="W436" s="1007"/>
    </row>
    <row r="437" spans="1:23" x14ac:dyDescent="0.2">
      <c r="A437" s="848" t="s">
        <v>4216</v>
      </c>
      <c r="B437" s="1026"/>
      <c r="C437" s="1026"/>
      <c r="D437" s="1026"/>
      <c r="E437" s="1026"/>
      <c r="F437" s="1026"/>
      <c r="G437" s="1026"/>
      <c r="H437" s="1026"/>
      <c r="I437" s="1026"/>
      <c r="J437" s="1026"/>
      <c r="K437" s="1026"/>
      <c r="L437" s="1027"/>
      <c r="M437" s="1026"/>
      <c r="N437" s="1026"/>
      <c r="O437" s="1026"/>
      <c r="P437" s="1026"/>
      <c r="Q437" s="1026"/>
      <c r="R437" s="1026"/>
      <c r="S437" s="1026"/>
      <c r="T437" s="1026"/>
      <c r="U437" s="1026"/>
      <c r="V437" s="1026"/>
      <c r="W437" s="1007"/>
    </row>
    <row r="438" spans="1:23" x14ac:dyDescent="0.2">
      <c r="A438" s="1006" t="s">
        <v>4921</v>
      </c>
      <c r="B438" s="1007">
        <v>1</v>
      </c>
      <c r="C438" s="1007">
        <v>2</v>
      </c>
      <c r="D438" s="1007">
        <v>5</v>
      </c>
      <c r="E438" s="1007">
        <v>1</v>
      </c>
      <c r="F438" s="1007">
        <v>2</v>
      </c>
      <c r="G438" s="1007">
        <v>4</v>
      </c>
      <c r="H438" s="1007">
        <v>1</v>
      </c>
      <c r="I438" s="1008" t="s">
        <v>3994</v>
      </c>
      <c r="J438" s="1008" t="s">
        <v>4752</v>
      </c>
      <c r="K438" s="1007" t="s">
        <v>2245</v>
      </c>
      <c r="L438" s="1009" t="s">
        <v>2354</v>
      </c>
      <c r="M438" s="1006" t="s">
        <v>4037</v>
      </c>
      <c r="N438" s="1009" t="s">
        <v>2231</v>
      </c>
      <c r="O438" s="1006" t="s">
        <v>4038</v>
      </c>
      <c r="P438" s="1009" t="s">
        <v>2236</v>
      </c>
      <c r="Q438" s="1006" t="s">
        <v>4037</v>
      </c>
      <c r="R438" s="1009" t="s">
        <v>2244</v>
      </c>
      <c r="S438" s="1006" t="s">
        <v>4128</v>
      </c>
      <c r="T438" s="1010" t="s">
        <v>2472</v>
      </c>
      <c r="U438" s="1010" t="s">
        <v>2475</v>
      </c>
      <c r="V438" s="1010" t="s">
        <v>2570</v>
      </c>
      <c r="W438" s="1007"/>
    </row>
    <row r="439" spans="1:23" x14ac:dyDescent="0.2">
      <c r="A439" s="1006" t="s">
        <v>4922</v>
      </c>
      <c r="B439" s="1007">
        <v>2</v>
      </c>
      <c r="C439" s="1007">
        <v>4</v>
      </c>
      <c r="D439" s="1007">
        <v>5</v>
      </c>
      <c r="E439" s="1007">
        <v>2</v>
      </c>
      <c r="F439" s="1007">
        <v>4</v>
      </c>
      <c r="G439" s="1007">
        <v>7</v>
      </c>
      <c r="H439" s="1007">
        <v>1</v>
      </c>
      <c r="I439" s="1008" t="s">
        <v>3994</v>
      </c>
      <c r="J439" s="1008" t="s">
        <v>4752</v>
      </c>
      <c r="K439" s="1007" t="s">
        <v>2245</v>
      </c>
      <c r="L439" s="1009" t="s">
        <v>2354</v>
      </c>
      <c r="M439" s="1006" t="s">
        <v>4037</v>
      </c>
      <c r="N439" s="1009" t="s">
        <v>2231</v>
      </c>
      <c r="O439" s="1006" t="s">
        <v>4038</v>
      </c>
      <c r="P439" s="1009" t="s">
        <v>2236</v>
      </c>
      <c r="Q439" s="1006" t="s">
        <v>4037</v>
      </c>
      <c r="R439" s="1009" t="s">
        <v>2244</v>
      </c>
      <c r="S439" s="1006" t="s">
        <v>4128</v>
      </c>
      <c r="T439" s="1010" t="s">
        <v>2472</v>
      </c>
      <c r="U439" s="1010" t="s">
        <v>2475</v>
      </c>
      <c r="V439" s="1010" t="s">
        <v>2570</v>
      </c>
      <c r="W439" s="1007"/>
    </row>
    <row r="440" spans="1:23" x14ac:dyDescent="0.2">
      <c r="A440" s="1006" t="s">
        <v>4923</v>
      </c>
      <c r="B440" s="1007">
        <v>4</v>
      </c>
      <c r="C440" s="1007">
        <v>6</v>
      </c>
      <c r="D440" s="1007">
        <v>10</v>
      </c>
      <c r="E440" s="1007">
        <v>3</v>
      </c>
      <c r="F440" s="1007">
        <v>6</v>
      </c>
      <c r="G440" s="1007">
        <v>11</v>
      </c>
      <c r="H440" s="1007">
        <v>1</v>
      </c>
      <c r="I440" s="1008" t="s">
        <v>3994</v>
      </c>
      <c r="J440" s="1008" t="s">
        <v>4752</v>
      </c>
      <c r="K440" s="1007" t="s">
        <v>2245</v>
      </c>
      <c r="L440" s="1009" t="s">
        <v>2354</v>
      </c>
      <c r="M440" s="1006" t="s">
        <v>4037</v>
      </c>
      <c r="N440" s="1009" t="s">
        <v>2231</v>
      </c>
      <c r="O440" s="1006" t="s">
        <v>4038</v>
      </c>
      <c r="P440" s="1009" t="s">
        <v>2236</v>
      </c>
      <c r="Q440" s="1006" t="s">
        <v>4037</v>
      </c>
      <c r="R440" s="1009" t="s">
        <v>2244</v>
      </c>
      <c r="S440" s="1006" t="s">
        <v>4128</v>
      </c>
      <c r="T440" s="1010" t="s">
        <v>2472</v>
      </c>
      <c r="U440" s="1010" t="s">
        <v>2475</v>
      </c>
      <c r="V440" s="1010" t="s">
        <v>2570</v>
      </c>
      <c r="W440" s="1007"/>
    </row>
    <row r="441" spans="1:23" x14ac:dyDescent="0.2">
      <c r="A441" s="1006" t="s">
        <v>4924</v>
      </c>
      <c r="B441" s="1007">
        <v>6</v>
      </c>
      <c r="C441" s="1007">
        <v>9</v>
      </c>
      <c r="D441" s="1007">
        <v>15</v>
      </c>
      <c r="E441" s="1007">
        <v>4</v>
      </c>
      <c r="F441" s="1007">
        <v>8</v>
      </c>
      <c r="G441" s="1007">
        <v>14</v>
      </c>
      <c r="H441" s="1007">
        <v>1</v>
      </c>
      <c r="I441" s="1008" t="s">
        <v>3994</v>
      </c>
      <c r="J441" s="1008" t="s">
        <v>4752</v>
      </c>
      <c r="K441" s="1007" t="s">
        <v>2245</v>
      </c>
      <c r="L441" s="1009" t="s">
        <v>2354</v>
      </c>
      <c r="M441" s="1006" t="s">
        <v>4037</v>
      </c>
      <c r="N441" s="1009" t="s">
        <v>2231</v>
      </c>
      <c r="O441" s="1006" t="s">
        <v>4038</v>
      </c>
      <c r="P441" s="1009" t="s">
        <v>2236</v>
      </c>
      <c r="Q441" s="1006" t="s">
        <v>4037</v>
      </c>
      <c r="R441" s="1009" t="s">
        <v>2244</v>
      </c>
      <c r="S441" s="1006" t="s">
        <v>4128</v>
      </c>
      <c r="T441" s="1010" t="s">
        <v>2472</v>
      </c>
      <c r="U441" s="1010" t="s">
        <v>2475</v>
      </c>
      <c r="V441" s="1010" t="s">
        <v>2570</v>
      </c>
      <c r="W441" s="1007"/>
    </row>
    <row r="442" spans="1:23" x14ac:dyDescent="0.2">
      <c r="A442" s="1006" t="s">
        <v>4925</v>
      </c>
      <c r="B442" s="1007">
        <v>8</v>
      </c>
      <c r="C442" s="1007">
        <v>11</v>
      </c>
      <c r="D442" s="1007">
        <v>20</v>
      </c>
      <c r="E442" s="1007">
        <v>5</v>
      </c>
      <c r="F442" s="1007">
        <v>10</v>
      </c>
      <c r="G442" s="1007">
        <v>18</v>
      </c>
      <c r="H442" s="1007">
        <v>2</v>
      </c>
      <c r="I442" s="1008" t="s">
        <v>3994</v>
      </c>
      <c r="J442" s="1008" t="s">
        <v>4752</v>
      </c>
      <c r="K442" s="1007" t="s">
        <v>2245</v>
      </c>
      <c r="L442" s="1009" t="s">
        <v>2354</v>
      </c>
      <c r="M442" s="1006" t="s">
        <v>4037</v>
      </c>
      <c r="N442" s="1009" t="s">
        <v>2231</v>
      </c>
      <c r="O442" s="1006" t="s">
        <v>4038</v>
      </c>
      <c r="P442" s="1009" t="s">
        <v>2236</v>
      </c>
      <c r="Q442" s="1006" t="s">
        <v>4037</v>
      </c>
      <c r="R442" s="1009" t="s">
        <v>2244</v>
      </c>
      <c r="S442" s="1006" t="s">
        <v>4128</v>
      </c>
      <c r="T442" s="1010" t="s">
        <v>2472</v>
      </c>
      <c r="U442" s="1010" t="s">
        <v>2475</v>
      </c>
      <c r="V442" s="1010" t="s">
        <v>2570</v>
      </c>
      <c r="W442" s="1007"/>
    </row>
    <row r="443" spans="1:23" x14ac:dyDescent="0.2">
      <c r="A443" s="1006" t="s">
        <v>4926</v>
      </c>
      <c r="B443" s="1007">
        <v>10</v>
      </c>
      <c r="C443" s="1007">
        <v>13</v>
      </c>
      <c r="D443" s="1007">
        <v>25</v>
      </c>
      <c r="E443" s="1007">
        <v>6</v>
      </c>
      <c r="F443" s="1007">
        <v>12</v>
      </c>
      <c r="G443" s="1007">
        <v>21</v>
      </c>
      <c r="H443" s="1007">
        <v>2</v>
      </c>
      <c r="I443" s="1008" t="s">
        <v>3994</v>
      </c>
      <c r="J443" s="1008" t="s">
        <v>4752</v>
      </c>
      <c r="K443" s="1007" t="s">
        <v>2245</v>
      </c>
      <c r="L443" s="1009" t="s">
        <v>2354</v>
      </c>
      <c r="M443" s="1006" t="s">
        <v>4037</v>
      </c>
      <c r="N443" s="1009" t="s">
        <v>2231</v>
      </c>
      <c r="O443" s="1006" t="s">
        <v>4038</v>
      </c>
      <c r="P443" s="1009" t="s">
        <v>2236</v>
      </c>
      <c r="Q443" s="1006" t="s">
        <v>4037</v>
      </c>
      <c r="R443" s="1009" t="s">
        <v>2244</v>
      </c>
      <c r="S443" s="1006" t="s">
        <v>4128</v>
      </c>
      <c r="T443" s="1010" t="s">
        <v>2472</v>
      </c>
      <c r="U443" s="1010" t="s">
        <v>2475</v>
      </c>
      <c r="V443" s="1010" t="s">
        <v>2570</v>
      </c>
      <c r="W443" s="1007"/>
    </row>
    <row r="444" spans="1:23" x14ac:dyDescent="0.2">
      <c r="A444" s="1006" t="s">
        <v>4927</v>
      </c>
      <c r="B444" s="1007">
        <v>14</v>
      </c>
      <c r="C444" s="1007">
        <v>18</v>
      </c>
      <c r="D444" s="1007">
        <v>30</v>
      </c>
      <c r="E444" s="1007">
        <v>7</v>
      </c>
      <c r="F444" s="1007">
        <v>14</v>
      </c>
      <c r="G444" s="1007">
        <v>25</v>
      </c>
      <c r="H444" s="1007">
        <v>3</v>
      </c>
      <c r="I444" s="1008" t="s">
        <v>3994</v>
      </c>
      <c r="J444" s="1008" t="s">
        <v>4752</v>
      </c>
      <c r="K444" s="1007" t="s">
        <v>2245</v>
      </c>
      <c r="L444" s="1009" t="s">
        <v>2354</v>
      </c>
      <c r="M444" s="1006" t="s">
        <v>4037</v>
      </c>
      <c r="N444" s="1009" t="s">
        <v>2231</v>
      </c>
      <c r="O444" s="1006" t="s">
        <v>4038</v>
      </c>
      <c r="P444" s="1009" t="s">
        <v>2236</v>
      </c>
      <c r="Q444" s="1006" t="s">
        <v>4037</v>
      </c>
      <c r="R444" s="1009" t="s">
        <v>2244</v>
      </c>
      <c r="S444" s="1006" t="s">
        <v>4128</v>
      </c>
      <c r="T444" s="1010" t="s">
        <v>2472</v>
      </c>
      <c r="U444" s="1010" t="s">
        <v>2475</v>
      </c>
      <c r="V444" s="1010" t="s">
        <v>2570</v>
      </c>
      <c r="W444" s="1007"/>
    </row>
    <row r="445" spans="1:23" x14ac:dyDescent="0.2">
      <c r="A445" s="1006" t="s">
        <v>4928</v>
      </c>
      <c r="B445" s="1007">
        <v>18</v>
      </c>
      <c r="C445" s="1007">
        <v>22</v>
      </c>
      <c r="D445" s="1007">
        <v>40</v>
      </c>
      <c r="E445" s="1007">
        <v>8</v>
      </c>
      <c r="F445" s="1007">
        <v>16</v>
      </c>
      <c r="G445" s="1007">
        <v>28</v>
      </c>
      <c r="H445" s="1007">
        <v>3</v>
      </c>
      <c r="I445" s="1008" t="s">
        <v>3994</v>
      </c>
      <c r="J445" s="1008" t="s">
        <v>4752</v>
      </c>
      <c r="K445" s="1007" t="s">
        <v>2245</v>
      </c>
      <c r="L445" s="1009" t="s">
        <v>2354</v>
      </c>
      <c r="M445" s="1006" t="s">
        <v>4037</v>
      </c>
      <c r="N445" s="1009" t="s">
        <v>2231</v>
      </c>
      <c r="O445" s="1006" t="s">
        <v>4038</v>
      </c>
      <c r="P445" s="1009" t="s">
        <v>2236</v>
      </c>
      <c r="Q445" s="1006" t="s">
        <v>4037</v>
      </c>
      <c r="R445" s="1009" t="s">
        <v>2244</v>
      </c>
      <c r="S445" s="1006" t="s">
        <v>4128</v>
      </c>
      <c r="T445" s="1010" t="s">
        <v>2472</v>
      </c>
      <c r="U445" s="1010" t="s">
        <v>2475</v>
      </c>
      <c r="V445" s="1010" t="s">
        <v>2570</v>
      </c>
      <c r="W445" s="1007"/>
    </row>
    <row r="446" spans="1:23" x14ac:dyDescent="0.2">
      <c r="A446" s="848" t="s">
        <v>4219</v>
      </c>
      <c r="B446" s="1026"/>
      <c r="C446" s="1026"/>
      <c r="D446" s="1026"/>
      <c r="E446" s="1026"/>
      <c r="F446" s="1026"/>
      <c r="G446" s="1026"/>
      <c r="H446" s="1026"/>
      <c r="I446" s="1026"/>
      <c r="J446" s="1026"/>
      <c r="K446" s="1026"/>
      <c r="L446" s="1027"/>
      <c r="M446" s="1026"/>
      <c r="N446" s="1026"/>
      <c r="O446" s="1026"/>
      <c r="P446" s="1026"/>
      <c r="Q446" s="1026"/>
      <c r="R446" s="1026"/>
      <c r="S446" s="1026"/>
      <c r="T446" s="1026"/>
      <c r="U446" s="1026"/>
      <c r="V446" s="1026"/>
      <c r="W446" s="1007"/>
    </row>
    <row r="447" spans="1:23" x14ac:dyDescent="0.2">
      <c r="A447" s="1006" t="s">
        <v>4929</v>
      </c>
      <c r="B447" s="1007">
        <v>2</v>
      </c>
      <c r="C447" s="1007">
        <v>4</v>
      </c>
      <c r="D447" s="1007">
        <v>5</v>
      </c>
      <c r="E447" s="1007">
        <v>1</v>
      </c>
      <c r="F447" s="1007">
        <v>2</v>
      </c>
      <c r="G447" s="1007">
        <v>4</v>
      </c>
      <c r="H447" s="1007">
        <v>1</v>
      </c>
      <c r="I447" s="1008" t="s">
        <v>3994</v>
      </c>
      <c r="J447" s="1008" t="s">
        <v>4752</v>
      </c>
      <c r="K447" s="1007" t="s">
        <v>2244</v>
      </c>
      <c r="L447" s="1009" t="s">
        <v>2226</v>
      </c>
      <c r="M447" s="1006" t="s">
        <v>4772</v>
      </c>
      <c r="N447" s="1009" t="s">
        <v>2354</v>
      </c>
      <c r="O447" s="1006" t="s">
        <v>4772</v>
      </c>
      <c r="P447" s="1009" t="s">
        <v>2231</v>
      </c>
      <c r="Q447" s="1006" t="s">
        <v>4772</v>
      </c>
      <c r="R447" s="1009" t="s">
        <v>2245</v>
      </c>
      <c r="S447" s="1006" t="s">
        <v>4128</v>
      </c>
      <c r="T447" s="1010" t="s">
        <v>2475</v>
      </c>
      <c r="U447" s="1010" t="s">
        <v>2472</v>
      </c>
      <c r="V447" s="1010" t="s">
        <v>2570</v>
      </c>
      <c r="W447" s="1007"/>
    </row>
    <row r="448" spans="1:23" x14ac:dyDescent="0.2">
      <c r="A448" s="1006" t="s">
        <v>4930</v>
      </c>
      <c r="B448" s="1007">
        <v>4</v>
      </c>
      <c r="C448" s="1007">
        <v>6</v>
      </c>
      <c r="D448" s="1007">
        <v>10</v>
      </c>
      <c r="E448" s="1007">
        <v>2</v>
      </c>
      <c r="F448" s="1007">
        <v>4</v>
      </c>
      <c r="G448" s="1007">
        <v>7</v>
      </c>
      <c r="H448" s="1007">
        <v>1</v>
      </c>
      <c r="I448" s="1008" t="s">
        <v>3994</v>
      </c>
      <c r="J448" s="1008" t="s">
        <v>4752</v>
      </c>
      <c r="K448" s="1007" t="s">
        <v>2244</v>
      </c>
      <c r="L448" s="1009" t="s">
        <v>2226</v>
      </c>
      <c r="M448" s="1006" t="s">
        <v>4772</v>
      </c>
      <c r="N448" s="1009" t="s">
        <v>2354</v>
      </c>
      <c r="O448" s="1006" t="s">
        <v>4772</v>
      </c>
      <c r="P448" s="1009" t="s">
        <v>2231</v>
      </c>
      <c r="Q448" s="1006" t="s">
        <v>4772</v>
      </c>
      <c r="R448" s="1009" t="s">
        <v>2245</v>
      </c>
      <c r="S448" s="1006" t="s">
        <v>4128</v>
      </c>
      <c r="T448" s="1010" t="s">
        <v>2475</v>
      </c>
      <c r="U448" s="1010" t="s">
        <v>2472</v>
      </c>
      <c r="V448" s="1010" t="s">
        <v>2570</v>
      </c>
      <c r="W448" s="1007"/>
    </row>
    <row r="449" spans="1:23" x14ac:dyDescent="0.2">
      <c r="A449" s="1006" t="s">
        <v>4931</v>
      </c>
      <c r="B449" s="1007">
        <v>3</v>
      </c>
      <c r="C449" s="1007">
        <v>5</v>
      </c>
      <c r="D449" s="1007">
        <v>5</v>
      </c>
      <c r="E449" s="1007">
        <v>1</v>
      </c>
      <c r="F449" s="1007">
        <v>2</v>
      </c>
      <c r="G449" s="1007">
        <v>4</v>
      </c>
      <c r="H449" s="1007">
        <v>1</v>
      </c>
      <c r="I449" s="1008" t="s">
        <v>3994</v>
      </c>
      <c r="J449" s="1008" t="s">
        <v>4752</v>
      </c>
      <c r="K449" s="1007" t="s">
        <v>2244</v>
      </c>
      <c r="L449" s="1009" t="s">
        <v>2226</v>
      </c>
      <c r="M449" s="1006" t="s">
        <v>4772</v>
      </c>
      <c r="N449" s="1009" t="s">
        <v>2354</v>
      </c>
      <c r="O449" s="1006" t="s">
        <v>4772</v>
      </c>
      <c r="P449" s="1009" t="s">
        <v>2231</v>
      </c>
      <c r="Q449" s="1006" t="s">
        <v>4772</v>
      </c>
      <c r="R449" s="1009" t="s">
        <v>2245</v>
      </c>
      <c r="S449" s="1006" t="s">
        <v>4128</v>
      </c>
      <c r="T449" s="1010" t="s">
        <v>2475</v>
      </c>
      <c r="U449" s="1010" t="s">
        <v>2472</v>
      </c>
      <c r="V449" s="1010" t="s">
        <v>2570</v>
      </c>
      <c r="W449" s="1007"/>
    </row>
    <row r="450" spans="1:23" x14ac:dyDescent="0.2">
      <c r="A450" s="1006" t="s">
        <v>4932</v>
      </c>
      <c r="B450" s="1007">
        <v>3</v>
      </c>
      <c r="C450" s="1007">
        <v>5</v>
      </c>
      <c r="D450" s="1007">
        <v>5</v>
      </c>
      <c r="E450" s="1007">
        <v>1</v>
      </c>
      <c r="F450" s="1007">
        <v>2</v>
      </c>
      <c r="G450" s="1007">
        <v>4</v>
      </c>
      <c r="H450" s="1007">
        <v>1</v>
      </c>
      <c r="I450" s="1008" t="s">
        <v>3994</v>
      </c>
      <c r="J450" s="1008" t="s">
        <v>4752</v>
      </c>
      <c r="K450" s="1007" t="s">
        <v>2244</v>
      </c>
      <c r="L450" s="1009" t="s">
        <v>2226</v>
      </c>
      <c r="M450" s="1006" t="s">
        <v>4772</v>
      </c>
      <c r="N450" s="1009" t="s">
        <v>2354</v>
      </c>
      <c r="O450" s="1006" t="s">
        <v>4772</v>
      </c>
      <c r="P450" s="1009" t="s">
        <v>2231</v>
      </c>
      <c r="Q450" s="1006" t="s">
        <v>4772</v>
      </c>
      <c r="R450" s="1009" t="s">
        <v>2245</v>
      </c>
      <c r="S450" s="1006" t="s">
        <v>4128</v>
      </c>
      <c r="T450" s="1010" t="s">
        <v>2475</v>
      </c>
      <c r="U450" s="1010" t="s">
        <v>2472</v>
      </c>
      <c r="V450" s="1010" t="s">
        <v>2570</v>
      </c>
      <c r="W450" s="1007"/>
    </row>
    <row r="451" spans="1:23" x14ac:dyDescent="0.2">
      <c r="A451" s="1006" t="s">
        <v>4933</v>
      </c>
      <c r="B451" s="1007">
        <v>3</v>
      </c>
      <c r="C451" s="1007">
        <v>5</v>
      </c>
      <c r="D451" s="1007">
        <v>5</v>
      </c>
      <c r="E451" s="1007">
        <v>1</v>
      </c>
      <c r="F451" s="1007">
        <v>2</v>
      </c>
      <c r="G451" s="1007">
        <v>4</v>
      </c>
      <c r="H451" s="1007">
        <v>1</v>
      </c>
      <c r="I451" s="1008" t="s">
        <v>3994</v>
      </c>
      <c r="J451" s="1008" t="s">
        <v>4752</v>
      </c>
      <c r="K451" s="1007" t="s">
        <v>2244</v>
      </c>
      <c r="L451" s="1009" t="s">
        <v>2226</v>
      </c>
      <c r="M451" s="1006" t="s">
        <v>4772</v>
      </c>
      <c r="N451" s="1009" t="s">
        <v>2354</v>
      </c>
      <c r="O451" s="1006" t="s">
        <v>4772</v>
      </c>
      <c r="P451" s="1009" t="s">
        <v>2231</v>
      </c>
      <c r="Q451" s="1006" t="s">
        <v>4772</v>
      </c>
      <c r="R451" s="1009" t="s">
        <v>2245</v>
      </c>
      <c r="S451" s="1006" t="s">
        <v>4128</v>
      </c>
      <c r="T451" s="1010" t="s">
        <v>2475</v>
      </c>
      <c r="U451" s="1010" t="s">
        <v>2472</v>
      </c>
      <c r="V451" s="1010" t="s">
        <v>2570</v>
      </c>
      <c r="W451" s="1007"/>
    </row>
    <row r="452" spans="1:23" x14ac:dyDescent="0.2">
      <c r="A452" s="1006" t="s">
        <v>4934</v>
      </c>
      <c r="B452" s="1007">
        <v>5</v>
      </c>
      <c r="C452" s="1007">
        <v>8</v>
      </c>
      <c r="D452" s="1007">
        <v>15</v>
      </c>
      <c r="E452" s="1007">
        <v>2</v>
      </c>
      <c r="F452" s="1007">
        <v>4</v>
      </c>
      <c r="G452" s="1007">
        <v>7</v>
      </c>
      <c r="H452" s="1007">
        <v>1</v>
      </c>
      <c r="I452" s="1008" t="s">
        <v>3994</v>
      </c>
      <c r="J452" s="1008" t="s">
        <v>4752</v>
      </c>
      <c r="K452" s="1007" t="s">
        <v>2244</v>
      </c>
      <c r="L452" s="1009" t="s">
        <v>2226</v>
      </c>
      <c r="M452" s="1006" t="s">
        <v>4772</v>
      </c>
      <c r="N452" s="1009" t="s">
        <v>2354</v>
      </c>
      <c r="O452" s="1006" t="s">
        <v>4772</v>
      </c>
      <c r="P452" s="1009" t="s">
        <v>2231</v>
      </c>
      <c r="Q452" s="1006" t="s">
        <v>4772</v>
      </c>
      <c r="R452" s="1009" t="s">
        <v>2245</v>
      </c>
      <c r="S452" s="1006" t="s">
        <v>4128</v>
      </c>
      <c r="T452" s="1010" t="s">
        <v>2475</v>
      </c>
      <c r="U452" s="1010" t="s">
        <v>2472</v>
      </c>
      <c r="V452" s="1010" t="s">
        <v>2570</v>
      </c>
      <c r="W452" s="1007"/>
    </row>
    <row r="453" spans="1:23" x14ac:dyDescent="0.2">
      <c r="A453" s="1006" t="s">
        <v>4935</v>
      </c>
      <c r="B453" s="1007">
        <v>8</v>
      </c>
      <c r="C453" s="1007">
        <v>11</v>
      </c>
      <c r="D453" s="1007">
        <v>25</v>
      </c>
      <c r="E453" s="1007">
        <v>2</v>
      </c>
      <c r="F453" s="1007">
        <v>4</v>
      </c>
      <c r="G453" s="1007">
        <v>7</v>
      </c>
      <c r="H453" s="1007">
        <v>2</v>
      </c>
      <c r="I453" s="1008" t="s">
        <v>3994</v>
      </c>
      <c r="J453" s="1008" t="s">
        <v>4752</v>
      </c>
      <c r="K453" s="1007" t="s">
        <v>2244</v>
      </c>
      <c r="L453" s="1009" t="s">
        <v>2226</v>
      </c>
      <c r="M453" s="1006" t="s">
        <v>4772</v>
      </c>
      <c r="N453" s="1009" t="s">
        <v>2354</v>
      </c>
      <c r="O453" s="1006" t="s">
        <v>4772</v>
      </c>
      <c r="P453" s="1009" t="s">
        <v>2231</v>
      </c>
      <c r="Q453" s="1006" t="s">
        <v>4772</v>
      </c>
      <c r="R453" s="1009" t="s">
        <v>2245</v>
      </c>
      <c r="S453" s="1006" t="s">
        <v>4128</v>
      </c>
      <c r="T453" s="1010" t="s">
        <v>2475</v>
      </c>
      <c r="U453" s="1010" t="s">
        <v>2472</v>
      </c>
      <c r="V453" s="1010" t="s">
        <v>2570</v>
      </c>
      <c r="W453" s="1007"/>
    </row>
    <row r="454" spans="1:23" x14ac:dyDescent="0.2">
      <c r="A454" s="841" t="s">
        <v>4223</v>
      </c>
      <c r="B454" s="1030"/>
      <c r="C454" s="1030"/>
      <c r="D454" s="1030"/>
      <c r="E454" s="1030"/>
      <c r="F454" s="1030"/>
      <c r="G454" s="1030"/>
      <c r="H454" s="1030"/>
      <c r="I454" s="1030"/>
      <c r="J454" s="1030"/>
      <c r="K454" s="1030"/>
      <c r="L454" s="1031"/>
      <c r="M454" s="1030"/>
      <c r="N454" s="1030"/>
      <c r="O454" s="1030"/>
      <c r="P454" s="1030"/>
      <c r="Q454" s="1030"/>
      <c r="R454" s="1030"/>
      <c r="S454" s="1030"/>
      <c r="T454" s="1030"/>
      <c r="U454" s="1030"/>
      <c r="V454" s="1030"/>
      <c r="W454" s="1007"/>
    </row>
    <row r="455" spans="1:23" x14ac:dyDescent="0.2">
      <c r="A455" s="848" t="s">
        <v>4228</v>
      </c>
      <c r="B455" s="1026"/>
      <c r="C455" s="1026"/>
      <c r="D455" s="1026"/>
      <c r="E455" s="1026"/>
      <c r="F455" s="1026"/>
      <c r="G455" s="1026"/>
      <c r="H455" s="1026"/>
      <c r="I455" s="1026"/>
      <c r="J455" s="1026"/>
      <c r="K455" s="1026"/>
      <c r="L455" s="1027"/>
      <c r="M455" s="1026"/>
      <c r="N455" s="1026"/>
      <c r="O455" s="1026"/>
      <c r="P455" s="1026"/>
      <c r="Q455" s="1026"/>
      <c r="R455" s="1026"/>
      <c r="S455" s="1026"/>
      <c r="T455" s="1026"/>
      <c r="U455" s="1026"/>
      <c r="V455" s="1026"/>
      <c r="W455" s="1007"/>
    </row>
    <row r="456" spans="1:23" x14ac:dyDescent="0.2">
      <c r="A456" s="1006" t="s">
        <v>4936</v>
      </c>
      <c r="B456" s="1007">
        <v>1</v>
      </c>
      <c r="C456" s="1007">
        <v>2</v>
      </c>
      <c r="D456" s="1007">
        <v>5</v>
      </c>
      <c r="E456" s="1007">
        <v>1</v>
      </c>
      <c r="F456" s="1007">
        <v>2</v>
      </c>
      <c r="G456" s="1007">
        <v>4</v>
      </c>
      <c r="H456" s="1007">
        <v>1</v>
      </c>
      <c r="I456" s="1008" t="s">
        <v>3989</v>
      </c>
      <c r="J456" s="1008" t="s">
        <v>1761</v>
      </c>
      <c r="K456" s="1007" t="s">
        <v>2244</v>
      </c>
      <c r="L456" s="1009" t="s">
        <v>2354</v>
      </c>
      <c r="M456" s="1006" t="s">
        <v>4037</v>
      </c>
      <c r="N456" s="1009" t="s">
        <v>2231</v>
      </c>
      <c r="O456" s="1006" t="s">
        <v>4038</v>
      </c>
      <c r="P456" s="1009" t="s">
        <v>2236</v>
      </c>
      <c r="Q456" s="1006" t="s">
        <v>4038</v>
      </c>
      <c r="R456" s="1009" t="s">
        <v>2245</v>
      </c>
      <c r="S456" s="1006" t="s">
        <v>4128</v>
      </c>
      <c r="T456" s="1010" t="s">
        <v>2479</v>
      </c>
      <c r="U456" s="1010" t="s">
        <v>2570</v>
      </c>
      <c r="V456" s="1010" t="s">
        <v>2571</v>
      </c>
      <c r="W456" s="1007"/>
    </row>
    <row r="457" spans="1:23" x14ac:dyDescent="0.2">
      <c r="A457" s="848" t="s">
        <v>4234</v>
      </c>
      <c r="B457" s="1026"/>
      <c r="C457" s="1026"/>
      <c r="D457" s="1026"/>
      <c r="E457" s="1026"/>
      <c r="F457" s="1026"/>
      <c r="G457" s="1026"/>
      <c r="H457" s="1026"/>
      <c r="I457" s="1026"/>
      <c r="J457" s="1026"/>
      <c r="K457" s="1026"/>
      <c r="L457" s="1027"/>
      <c r="M457" s="1026"/>
      <c r="N457" s="1026"/>
      <c r="O457" s="1026"/>
      <c r="P457" s="1026"/>
      <c r="Q457" s="1026"/>
      <c r="R457" s="1026"/>
      <c r="S457" s="1026"/>
      <c r="T457" s="1026"/>
      <c r="U457" s="1026"/>
      <c r="V457" s="1026"/>
      <c r="W457" s="1007"/>
    </row>
    <row r="458" spans="1:23" x14ac:dyDescent="0.2">
      <c r="A458" s="1006" t="s">
        <v>4937</v>
      </c>
      <c r="B458" s="1007">
        <v>2</v>
      </c>
      <c r="C458" s="1007">
        <v>4</v>
      </c>
      <c r="D458" s="1007">
        <v>5</v>
      </c>
      <c r="E458" s="1007">
        <v>1</v>
      </c>
      <c r="F458" s="1007">
        <v>2</v>
      </c>
      <c r="G458" s="1007">
        <v>4</v>
      </c>
      <c r="H458" s="1007">
        <v>1</v>
      </c>
      <c r="I458" s="1008" t="s">
        <v>3994</v>
      </c>
      <c r="J458" s="1008" t="s">
        <v>1761</v>
      </c>
      <c r="K458" s="1007" t="s">
        <v>2244</v>
      </c>
      <c r="L458" s="1009" t="s">
        <v>2354</v>
      </c>
      <c r="M458" s="1006" t="s">
        <v>4037</v>
      </c>
      <c r="N458" s="1009" t="s">
        <v>2231</v>
      </c>
      <c r="O458" s="1006" t="s">
        <v>4038</v>
      </c>
      <c r="P458" s="1009" t="s">
        <v>2236</v>
      </c>
      <c r="Q458" s="1006" t="s">
        <v>4038</v>
      </c>
      <c r="R458" s="1009" t="s">
        <v>2245</v>
      </c>
      <c r="S458" s="1006" t="s">
        <v>4128</v>
      </c>
      <c r="T458" s="1010" t="s">
        <v>4752</v>
      </c>
      <c r="U458" s="1007"/>
      <c r="V458" s="1007"/>
      <c r="W458" s="1007"/>
    </row>
    <row r="459" spans="1:23" x14ac:dyDescent="0.2">
      <c r="A459" s="848" t="s">
        <v>4240</v>
      </c>
      <c r="B459" s="1026"/>
      <c r="C459" s="1026"/>
      <c r="D459" s="1026"/>
      <c r="E459" s="1026"/>
      <c r="F459" s="1026"/>
      <c r="G459" s="1026"/>
      <c r="H459" s="1026"/>
      <c r="I459" s="1026"/>
      <c r="J459" s="1026"/>
      <c r="K459" s="1026"/>
      <c r="L459" s="1027"/>
      <c r="M459" s="1026"/>
      <c r="N459" s="1026"/>
      <c r="O459" s="1026"/>
      <c r="P459" s="1026"/>
      <c r="Q459" s="1026"/>
      <c r="R459" s="1026"/>
      <c r="S459" s="1026"/>
      <c r="T459" s="1026"/>
      <c r="U459" s="1026"/>
      <c r="V459" s="1026"/>
      <c r="W459" s="1007"/>
    </row>
    <row r="460" spans="1:23" x14ac:dyDescent="0.2">
      <c r="A460" s="1006" t="s">
        <v>4938</v>
      </c>
      <c r="B460" s="1007">
        <v>2</v>
      </c>
      <c r="C460" s="1007">
        <v>4</v>
      </c>
      <c r="D460" s="1007">
        <v>5</v>
      </c>
      <c r="E460" s="1007">
        <v>1</v>
      </c>
      <c r="F460" s="1007">
        <v>2</v>
      </c>
      <c r="G460" s="1007">
        <v>4</v>
      </c>
      <c r="H460" s="1007">
        <v>1</v>
      </c>
      <c r="I460" s="1008" t="s">
        <v>3994</v>
      </c>
      <c r="J460" s="1008" t="s">
        <v>4752</v>
      </c>
      <c r="K460" s="1007" t="s">
        <v>2244</v>
      </c>
      <c r="L460" s="1009" t="s">
        <v>2354</v>
      </c>
      <c r="M460" s="1006" t="s">
        <v>4128</v>
      </c>
      <c r="N460" s="1009" t="s">
        <v>2231</v>
      </c>
      <c r="O460" s="1006" t="s">
        <v>4038</v>
      </c>
      <c r="P460" s="1009" t="s">
        <v>2236</v>
      </c>
      <c r="Q460" s="1006" t="s">
        <v>4037</v>
      </c>
      <c r="R460" s="1009" t="s">
        <v>2245</v>
      </c>
      <c r="S460" s="1006" t="s">
        <v>4128</v>
      </c>
      <c r="T460" s="1010" t="s">
        <v>2570</v>
      </c>
      <c r="U460" s="1010" t="s">
        <v>2571</v>
      </c>
      <c r="V460" s="1010" t="s">
        <v>2575</v>
      </c>
      <c r="W460" s="1007"/>
    </row>
    <row r="461" spans="1:23" x14ac:dyDescent="0.2">
      <c r="A461" s="1006" t="s">
        <v>4939</v>
      </c>
      <c r="B461" s="1007">
        <v>4</v>
      </c>
      <c r="C461" s="1007">
        <v>6</v>
      </c>
      <c r="D461" s="1007">
        <v>5</v>
      </c>
      <c r="E461" s="1007">
        <v>1</v>
      </c>
      <c r="F461" s="1007">
        <v>2</v>
      </c>
      <c r="G461" s="1007">
        <v>4</v>
      </c>
      <c r="H461" s="1007">
        <v>1</v>
      </c>
      <c r="I461" s="1008" t="s">
        <v>3994</v>
      </c>
      <c r="J461" s="1008" t="s">
        <v>4752</v>
      </c>
      <c r="K461" s="1007" t="s">
        <v>2244</v>
      </c>
      <c r="L461" s="1009" t="s">
        <v>2354</v>
      </c>
      <c r="M461" s="1006" t="s">
        <v>4128</v>
      </c>
      <c r="N461" s="1009" t="s">
        <v>2231</v>
      </c>
      <c r="O461" s="1006" t="s">
        <v>4038</v>
      </c>
      <c r="P461" s="1009" t="s">
        <v>2236</v>
      </c>
      <c r="Q461" s="1006" t="s">
        <v>4037</v>
      </c>
      <c r="R461" s="1009" t="s">
        <v>2245</v>
      </c>
      <c r="S461" s="1006" t="s">
        <v>4128</v>
      </c>
      <c r="T461" s="1010" t="s">
        <v>2570</v>
      </c>
      <c r="U461" s="1010" t="s">
        <v>2571</v>
      </c>
      <c r="V461" s="1010" t="s">
        <v>2575</v>
      </c>
      <c r="W461" s="1007"/>
    </row>
    <row r="462" spans="1:23" x14ac:dyDescent="0.2">
      <c r="A462" s="1006" t="s">
        <v>4940</v>
      </c>
      <c r="B462" s="1007">
        <v>6</v>
      </c>
      <c r="C462" s="1007">
        <v>9</v>
      </c>
      <c r="D462" s="1007">
        <v>10</v>
      </c>
      <c r="E462" s="1007">
        <v>2</v>
      </c>
      <c r="F462" s="1007">
        <v>4</v>
      </c>
      <c r="G462" s="1007">
        <v>7</v>
      </c>
      <c r="H462" s="1007">
        <v>1</v>
      </c>
      <c r="I462" s="1008" t="s">
        <v>3994</v>
      </c>
      <c r="J462" s="1008" t="s">
        <v>4752</v>
      </c>
      <c r="K462" s="1007" t="s">
        <v>2244</v>
      </c>
      <c r="L462" s="1009" t="s">
        <v>2354</v>
      </c>
      <c r="M462" s="1006" t="s">
        <v>4128</v>
      </c>
      <c r="N462" s="1009" t="s">
        <v>2231</v>
      </c>
      <c r="O462" s="1006" t="s">
        <v>4038</v>
      </c>
      <c r="P462" s="1009" t="s">
        <v>2236</v>
      </c>
      <c r="Q462" s="1006" t="s">
        <v>4037</v>
      </c>
      <c r="R462" s="1009" t="s">
        <v>2245</v>
      </c>
      <c r="S462" s="1006" t="s">
        <v>4128</v>
      </c>
      <c r="T462" s="1010" t="s">
        <v>2570</v>
      </c>
      <c r="U462" s="1010" t="s">
        <v>2571</v>
      </c>
      <c r="V462" s="1010" t="s">
        <v>2575</v>
      </c>
      <c r="W462" s="1007"/>
    </row>
    <row r="463" spans="1:23" x14ac:dyDescent="0.2">
      <c r="A463" s="1006" t="s">
        <v>4941</v>
      </c>
      <c r="B463" s="1007">
        <v>8</v>
      </c>
      <c r="C463" s="1007">
        <v>11</v>
      </c>
      <c r="D463" s="1007">
        <v>15</v>
      </c>
      <c r="E463" s="1007">
        <v>3</v>
      </c>
      <c r="F463" s="1007">
        <v>6</v>
      </c>
      <c r="G463" s="1007">
        <v>11</v>
      </c>
      <c r="H463" s="1007">
        <v>2</v>
      </c>
      <c r="I463" s="1008" t="s">
        <v>3994</v>
      </c>
      <c r="J463" s="1008" t="s">
        <v>4752</v>
      </c>
      <c r="K463" s="1007" t="s">
        <v>2244</v>
      </c>
      <c r="L463" s="1009" t="s">
        <v>2354</v>
      </c>
      <c r="M463" s="1006" t="s">
        <v>4128</v>
      </c>
      <c r="N463" s="1009" t="s">
        <v>2231</v>
      </c>
      <c r="O463" s="1006" t="s">
        <v>4038</v>
      </c>
      <c r="P463" s="1009" t="s">
        <v>2236</v>
      </c>
      <c r="Q463" s="1006" t="s">
        <v>4037</v>
      </c>
      <c r="R463" s="1009" t="s">
        <v>2245</v>
      </c>
      <c r="S463" s="1006" t="s">
        <v>4128</v>
      </c>
      <c r="T463" s="1010" t="s">
        <v>2570</v>
      </c>
      <c r="U463" s="1010" t="s">
        <v>2571</v>
      </c>
      <c r="V463" s="1010" t="s">
        <v>2575</v>
      </c>
      <c r="W463" s="1007"/>
    </row>
    <row r="464" spans="1:23" x14ac:dyDescent="0.2">
      <c r="A464" s="1006" t="s">
        <v>4942</v>
      </c>
      <c r="B464" s="1007">
        <v>10</v>
      </c>
      <c r="C464" s="1007">
        <v>13</v>
      </c>
      <c r="D464" s="1007">
        <v>20</v>
      </c>
      <c r="E464" s="1007">
        <v>4</v>
      </c>
      <c r="F464" s="1007">
        <v>8</v>
      </c>
      <c r="G464" s="1007">
        <v>14</v>
      </c>
      <c r="H464" s="1007">
        <v>3</v>
      </c>
      <c r="I464" s="1008" t="s">
        <v>3994</v>
      </c>
      <c r="J464" s="1008" t="s">
        <v>4752</v>
      </c>
      <c r="K464" s="1007" t="s">
        <v>2244</v>
      </c>
      <c r="L464" s="1009" t="s">
        <v>2354</v>
      </c>
      <c r="M464" s="1006" t="s">
        <v>4128</v>
      </c>
      <c r="N464" s="1009" t="s">
        <v>2231</v>
      </c>
      <c r="O464" s="1006" t="s">
        <v>4038</v>
      </c>
      <c r="P464" s="1009" t="s">
        <v>2236</v>
      </c>
      <c r="Q464" s="1006" t="s">
        <v>4037</v>
      </c>
      <c r="R464" s="1009" t="s">
        <v>2245</v>
      </c>
      <c r="S464" s="1006" t="s">
        <v>4128</v>
      </c>
      <c r="T464" s="1010" t="s">
        <v>2570</v>
      </c>
      <c r="U464" s="1010" t="s">
        <v>2571</v>
      </c>
      <c r="V464" s="1010" t="s">
        <v>2575</v>
      </c>
      <c r="W464" s="1007"/>
    </row>
    <row r="465" spans="1:23" x14ac:dyDescent="0.2">
      <c r="A465" s="1012" t="s">
        <v>4943</v>
      </c>
      <c r="B465" s="1013"/>
      <c r="C465" s="1013"/>
      <c r="D465" s="1013"/>
      <c r="E465" s="1013"/>
      <c r="F465" s="1013"/>
      <c r="G465" s="1013"/>
      <c r="H465" s="1013"/>
      <c r="I465" s="1013"/>
      <c r="J465" s="1013"/>
      <c r="K465" s="1013"/>
      <c r="L465" s="1014"/>
      <c r="M465" s="1013"/>
      <c r="N465" s="1013"/>
      <c r="O465" s="1013"/>
      <c r="P465" s="1013"/>
      <c r="Q465" s="1013"/>
      <c r="R465" s="1013"/>
      <c r="S465" s="1013"/>
      <c r="T465" s="1013"/>
      <c r="U465" s="1013"/>
      <c r="V465" s="1013"/>
      <c r="W465" s="1007"/>
    </row>
    <row r="466" spans="1:23" x14ac:dyDescent="0.2">
      <c r="A466" s="1006" t="s">
        <v>4944</v>
      </c>
      <c r="B466" s="1007">
        <v>2</v>
      </c>
      <c r="C466" s="1007">
        <v>2</v>
      </c>
      <c r="D466" s="1007">
        <v>10</v>
      </c>
      <c r="E466" s="1007">
        <v>1</v>
      </c>
      <c r="F466" s="1007">
        <v>2</v>
      </c>
      <c r="G466" s="1007">
        <v>4</v>
      </c>
      <c r="H466" s="1007"/>
      <c r="I466" s="1007"/>
      <c r="J466" s="1007"/>
      <c r="K466" s="1007"/>
      <c r="L466" s="1016"/>
      <c r="M466" s="1007"/>
      <c r="N466" s="1007"/>
      <c r="O466" s="1007"/>
      <c r="P466" s="1007"/>
      <c r="Q466" s="1007"/>
      <c r="R466" s="1007"/>
      <c r="S466" s="1007"/>
      <c r="T466" s="1007"/>
      <c r="U466" s="1007"/>
      <c r="V466" s="1007"/>
      <c r="W466" s="1007"/>
    </row>
    <row r="467" spans="1:23" x14ac:dyDescent="0.2">
      <c r="A467" s="1012" t="s">
        <v>4945</v>
      </c>
      <c r="B467" s="1013"/>
      <c r="C467" s="1013"/>
      <c r="D467" s="1013"/>
      <c r="E467" s="1013"/>
      <c r="F467" s="1013"/>
      <c r="G467" s="1013"/>
      <c r="H467" s="1013"/>
      <c r="I467" s="1013"/>
      <c r="J467" s="1013"/>
      <c r="K467" s="1013"/>
      <c r="L467" s="1014"/>
      <c r="M467" s="1013"/>
      <c r="N467" s="1013"/>
      <c r="O467" s="1013"/>
      <c r="P467" s="1013"/>
      <c r="Q467" s="1013"/>
      <c r="R467" s="1013"/>
      <c r="S467" s="1013"/>
      <c r="T467" s="1013"/>
      <c r="U467" s="1013"/>
      <c r="V467" s="1013"/>
      <c r="W467" s="1007"/>
    </row>
    <row r="468" spans="1:23" x14ac:dyDescent="0.2">
      <c r="A468" s="1006" t="s">
        <v>4946</v>
      </c>
      <c r="B468" s="1007">
        <v>1</v>
      </c>
      <c r="C468" s="1007">
        <v>1</v>
      </c>
      <c r="D468" s="1007">
        <v>5</v>
      </c>
      <c r="E468" s="1007">
        <v>1</v>
      </c>
      <c r="F468" s="1007">
        <v>2</v>
      </c>
      <c r="G468" s="1007">
        <v>4</v>
      </c>
      <c r="H468" s="1007"/>
      <c r="I468" s="1007"/>
      <c r="J468" s="1007"/>
      <c r="K468" s="1007"/>
      <c r="L468" s="1016"/>
      <c r="M468" s="1007"/>
      <c r="N468" s="1007"/>
      <c r="O468" s="1007"/>
      <c r="P468" s="1007"/>
      <c r="Q468" s="1007"/>
      <c r="R468" s="1007"/>
      <c r="S468" s="1007"/>
      <c r="T468" s="1007"/>
      <c r="U468" s="1007"/>
      <c r="V468" s="1007"/>
      <c r="W468" s="1007"/>
    </row>
    <row r="469" spans="1:23" x14ac:dyDescent="0.2">
      <c r="A469" s="1006" t="s">
        <v>4947</v>
      </c>
      <c r="B469" s="1007">
        <v>2</v>
      </c>
      <c r="C469" s="1007">
        <v>2</v>
      </c>
      <c r="D469" s="1007">
        <v>10</v>
      </c>
      <c r="E469" s="1007">
        <v>2</v>
      </c>
      <c r="F469" s="1007">
        <v>4</v>
      </c>
      <c r="G469" s="1007">
        <v>7</v>
      </c>
      <c r="H469" s="1007"/>
      <c r="I469" s="1007"/>
      <c r="J469" s="1007"/>
      <c r="K469" s="1007"/>
      <c r="L469" s="1016"/>
      <c r="M469" s="1007"/>
      <c r="N469" s="1007"/>
      <c r="O469" s="1007"/>
      <c r="P469" s="1007"/>
      <c r="Q469" s="1007"/>
      <c r="R469" s="1007"/>
      <c r="S469" s="1007"/>
      <c r="T469" s="1007"/>
      <c r="U469" s="1007"/>
      <c r="V469" s="1007"/>
      <c r="W469" s="1007"/>
    </row>
    <row r="470" spans="1:23" x14ac:dyDescent="0.2">
      <c r="A470" s="1006" t="s">
        <v>4948</v>
      </c>
      <c r="B470" s="1007">
        <v>4</v>
      </c>
      <c r="C470" s="1007">
        <v>4</v>
      </c>
      <c r="D470" s="1007">
        <v>15</v>
      </c>
      <c r="E470" s="1007">
        <v>3</v>
      </c>
      <c r="F470" s="1007">
        <v>6</v>
      </c>
      <c r="G470" s="1007">
        <v>11</v>
      </c>
      <c r="H470" s="1007"/>
      <c r="I470" s="1007"/>
      <c r="J470" s="1007"/>
      <c r="K470" s="1007"/>
      <c r="L470" s="1016"/>
      <c r="M470" s="1007"/>
      <c r="N470" s="1007"/>
      <c r="O470" s="1007"/>
      <c r="P470" s="1007"/>
      <c r="Q470" s="1007"/>
      <c r="R470" s="1007"/>
      <c r="S470" s="1007"/>
      <c r="T470" s="1007"/>
      <c r="U470" s="1007"/>
      <c r="V470" s="1007"/>
      <c r="W470" s="1007"/>
    </row>
    <row r="471" spans="1:23" x14ac:dyDescent="0.2">
      <c r="A471" s="1006" t="s">
        <v>4949</v>
      </c>
      <c r="B471" s="1007">
        <v>6</v>
      </c>
      <c r="C471" s="1007">
        <v>6</v>
      </c>
      <c r="D471" s="1007">
        <v>20</v>
      </c>
      <c r="E471" s="1007">
        <v>4</v>
      </c>
      <c r="F471" s="1007">
        <v>8</v>
      </c>
      <c r="G471" s="1007">
        <v>14</v>
      </c>
      <c r="H471" s="1007"/>
      <c r="I471" s="1007"/>
      <c r="J471" s="1007"/>
      <c r="K471" s="1007"/>
      <c r="L471" s="1016"/>
      <c r="M471" s="1007"/>
      <c r="N471" s="1007"/>
      <c r="O471" s="1007"/>
      <c r="P471" s="1007"/>
      <c r="Q471" s="1007"/>
      <c r="R471" s="1007"/>
      <c r="S471" s="1007"/>
      <c r="T471" s="1007"/>
      <c r="U471" s="1007"/>
      <c r="V471" s="1007"/>
      <c r="W471" s="1007"/>
    </row>
    <row r="472" spans="1:23" x14ac:dyDescent="0.2">
      <c r="A472" s="848" t="s">
        <v>4246</v>
      </c>
      <c r="B472" s="1026"/>
      <c r="C472" s="1026"/>
      <c r="D472" s="1026"/>
      <c r="E472" s="1026"/>
      <c r="F472" s="1026"/>
      <c r="G472" s="1026"/>
      <c r="H472" s="1026"/>
      <c r="I472" s="1026"/>
      <c r="J472" s="1026"/>
      <c r="K472" s="1026"/>
      <c r="L472" s="1027"/>
      <c r="M472" s="1026"/>
      <c r="N472" s="1026"/>
      <c r="O472" s="1026"/>
      <c r="P472" s="1026"/>
      <c r="Q472" s="1026"/>
      <c r="R472" s="1026"/>
      <c r="S472" s="1026"/>
      <c r="T472" s="1026"/>
      <c r="U472" s="1026"/>
      <c r="V472" s="1026"/>
      <c r="W472" s="1007"/>
    </row>
    <row r="473" spans="1:23" x14ac:dyDescent="0.2">
      <c r="A473" s="1006" t="s">
        <v>4950</v>
      </c>
      <c r="B473" s="1007">
        <v>5</v>
      </c>
      <c r="C473" s="1007">
        <v>8</v>
      </c>
      <c r="D473" s="1007">
        <v>10</v>
      </c>
      <c r="E473" s="1007">
        <v>1</v>
      </c>
      <c r="F473" s="1007">
        <v>2</v>
      </c>
      <c r="G473" s="1007">
        <v>4</v>
      </c>
      <c r="H473" s="1007">
        <v>1</v>
      </c>
      <c r="I473" s="1008" t="s">
        <v>3989</v>
      </c>
      <c r="J473" s="1008" t="s">
        <v>1761</v>
      </c>
      <c r="K473" s="1007" t="s">
        <v>2244</v>
      </c>
      <c r="L473" s="1009" t="s">
        <v>2354</v>
      </c>
      <c r="M473" s="1006" t="s">
        <v>4037</v>
      </c>
      <c r="N473" s="1009" t="s">
        <v>2231</v>
      </c>
      <c r="O473" s="1006" t="s">
        <v>4038</v>
      </c>
      <c r="P473" s="1009" t="s">
        <v>2236</v>
      </c>
      <c r="Q473" s="1006" t="s">
        <v>4038</v>
      </c>
      <c r="R473" s="1009" t="s">
        <v>2245</v>
      </c>
      <c r="S473" s="1006" t="s">
        <v>4128</v>
      </c>
      <c r="T473" s="1010" t="s">
        <v>2570</v>
      </c>
      <c r="U473" s="1010" t="s">
        <v>2571</v>
      </c>
      <c r="V473" s="1007"/>
      <c r="W473" s="1007"/>
    </row>
    <row r="474" spans="1:23" x14ac:dyDescent="0.2">
      <c r="A474" s="848" t="s">
        <v>4249</v>
      </c>
      <c r="B474" s="1026"/>
      <c r="C474" s="1026"/>
      <c r="D474" s="1026"/>
      <c r="E474" s="1026"/>
      <c r="F474" s="1026"/>
      <c r="G474" s="1026"/>
      <c r="H474" s="1026"/>
      <c r="I474" s="1026"/>
      <c r="J474" s="1026"/>
      <c r="K474" s="1026"/>
      <c r="L474" s="1027"/>
      <c r="M474" s="1026"/>
      <c r="N474" s="1026"/>
      <c r="O474" s="1026"/>
      <c r="P474" s="1026"/>
      <c r="Q474" s="1026"/>
      <c r="R474" s="1026"/>
      <c r="S474" s="1026"/>
      <c r="T474" s="1026"/>
      <c r="U474" s="1026"/>
      <c r="V474" s="1026"/>
      <c r="W474" s="1007"/>
    </row>
    <row r="475" spans="1:23" x14ac:dyDescent="0.2">
      <c r="A475" s="1006" t="s">
        <v>4951</v>
      </c>
      <c r="B475" s="1007">
        <v>1</v>
      </c>
      <c r="C475" s="1007">
        <v>2</v>
      </c>
      <c r="D475" s="1007">
        <v>5</v>
      </c>
      <c r="E475" s="1007">
        <v>1</v>
      </c>
      <c r="F475" s="1007">
        <v>2</v>
      </c>
      <c r="G475" s="1007">
        <v>4</v>
      </c>
      <c r="H475" s="1007">
        <v>1</v>
      </c>
      <c r="I475" s="1008" t="s">
        <v>3989</v>
      </c>
      <c r="J475" s="1008" t="s">
        <v>2431</v>
      </c>
      <c r="K475" s="1007" t="s">
        <v>2244</v>
      </c>
      <c r="L475" s="1009" t="s">
        <v>2354</v>
      </c>
      <c r="M475" s="1006" t="s">
        <v>4038</v>
      </c>
      <c r="N475" s="1009" t="s">
        <v>2231</v>
      </c>
      <c r="O475" s="1006" t="s">
        <v>4772</v>
      </c>
      <c r="P475" s="1009" t="s">
        <v>2236</v>
      </c>
      <c r="Q475" s="1006" t="s">
        <v>4038</v>
      </c>
      <c r="R475" s="1009" t="s">
        <v>2245</v>
      </c>
      <c r="S475" s="1006" t="s">
        <v>4128</v>
      </c>
      <c r="T475" s="1010" t="s">
        <v>2475</v>
      </c>
      <c r="U475" s="1010" t="s">
        <v>2472</v>
      </c>
      <c r="V475" s="1010" t="s">
        <v>2575</v>
      </c>
      <c r="W475" s="1007"/>
    </row>
    <row r="476" spans="1:23" x14ac:dyDescent="0.2">
      <c r="A476" s="1006" t="s">
        <v>4952</v>
      </c>
      <c r="B476" s="1007">
        <v>2</v>
      </c>
      <c r="C476" s="1007">
        <v>4</v>
      </c>
      <c r="D476" s="1007">
        <v>10</v>
      </c>
      <c r="E476" s="1007">
        <v>2</v>
      </c>
      <c r="F476" s="1007">
        <v>4</v>
      </c>
      <c r="G476" s="1007">
        <v>7</v>
      </c>
      <c r="H476" s="1007">
        <v>1</v>
      </c>
      <c r="I476" s="1008" t="s">
        <v>3989</v>
      </c>
      <c r="J476" s="1008" t="s">
        <v>2431</v>
      </c>
      <c r="K476" s="1007" t="s">
        <v>2244</v>
      </c>
      <c r="L476" s="1009" t="s">
        <v>2354</v>
      </c>
      <c r="M476" s="1006" t="s">
        <v>4038</v>
      </c>
      <c r="N476" s="1009" t="s">
        <v>2231</v>
      </c>
      <c r="O476" s="1006" t="s">
        <v>4772</v>
      </c>
      <c r="P476" s="1009" t="s">
        <v>2236</v>
      </c>
      <c r="Q476" s="1006" t="s">
        <v>4038</v>
      </c>
      <c r="R476" s="1009" t="s">
        <v>2245</v>
      </c>
      <c r="S476" s="1006" t="s">
        <v>4128</v>
      </c>
      <c r="T476" s="1010" t="s">
        <v>2475</v>
      </c>
      <c r="U476" s="1010" t="s">
        <v>2472</v>
      </c>
      <c r="V476" s="1010" t="s">
        <v>2575</v>
      </c>
      <c r="W476" s="1007"/>
    </row>
    <row r="477" spans="1:23" x14ac:dyDescent="0.2">
      <c r="A477" s="1006" t="s">
        <v>4953</v>
      </c>
      <c r="B477" s="1007">
        <v>4</v>
      </c>
      <c r="C477" s="1007">
        <v>6</v>
      </c>
      <c r="D477" s="1007">
        <v>15</v>
      </c>
      <c r="E477" s="1007">
        <v>3</v>
      </c>
      <c r="F477" s="1007">
        <v>6</v>
      </c>
      <c r="G477" s="1007">
        <v>11</v>
      </c>
      <c r="H477" s="1007">
        <v>2</v>
      </c>
      <c r="I477" s="1008" t="s">
        <v>3989</v>
      </c>
      <c r="J477" s="1008" t="s">
        <v>2431</v>
      </c>
      <c r="K477" s="1007" t="s">
        <v>2244</v>
      </c>
      <c r="L477" s="1009" t="s">
        <v>2354</v>
      </c>
      <c r="M477" s="1006" t="s">
        <v>4038</v>
      </c>
      <c r="N477" s="1009" t="s">
        <v>2231</v>
      </c>
      <c r="O477" s="1006" t="s">
        <v>4772</v>
      </c>
      <c r="P477" s="1009" t="s">
        <v>2236</v>
      </c>
      <c r="Q477" s="1006" t="s">
        <v>4038</v>
      </c>
      <c r="R477" s="1009" t="s">
        <v>2245</v>
      </c>
      <c r="S477" s="1006" t="s">
        <v>4128</v>
      </c>
      <c r="T477" s="1010" t="s">
        <v>2475</v>
      </c>
      <c r="U477" s="1010" t="s">
        <v>2472</v>
      </c>
      <c r="V477" s="1010" t="s">
        <v>2575</v>
      </c>
      <c r="W477" s="1007"/>
    </row>
    <row r="478" spans="1:23" x14ac:dyDescent="0.2">
      <c r="A478" s="1006" t="s">
        <v>4954</v>
      </c>
      <c r="B478" s="1007">
        <v>6</v>
      </c>
      <c r="C478" s="1007">
        <v>9</v>
      </c>
      <c r="D478" s="1007">
        <v>20</v>
      </c>
      <c r="E478" s="1007">
        <v>4</v>
      </c>
      <c r="F478" s="1007">
        <v>8</v>
      </c>
      <c r="G478" s="1007">
        <v>14</v>
      </c>
      <c r="H478" s="1007">
        <v>2</v>
      </c>
      <c r="I478" s="1008" t="s">
        <v>3989</v>
      </c>
      <c r="J478" s="1008" t="s">
        <v>2431</v>
      </c>
      <c r="K478" s="1007" t="s">
        <v>2244</v>
      </c>
      <c r="L478" s="1009" t="s">
        <v>2354</v>
      </c>
      <c r="M478" s="1006" t="s">
        <v>4038</v>
      </c>
      <c r="N478" s="1009" t="s">
        <v>2231</v>
      </c>
      <c r="O478" s="1006" t="s">
        <v>4772</v>
      </c>
      <c r="P478" s="1009" t="s">
        <v>2236</v>
      </c>
      <c r="Q478" s="1006" t="s">
        <v>4038</v>
      </c>
      <c r="R478" s="1009" t="s">
        <v>2245</v>
      </c>
      <c r="S478" s="1006" t="s">
        <v>4128</v>
      </c>
      <c r="T478" s="1010" t="s">
        <v>2475</v>
      </c>
      <c r="U478" s="1010" t="s">
        <v>2472</v>
      </c>
      <c r="V478" s="1010" t="s">
        <v>2575</v>
      </c>
      <c r="W478" s="1007"/>
    </row>
    <row r="479" spans="1:23" x14ac:dyDescent="0.2">
      <c r="A479" s="1006" t="s">
        <v>4955</v>
      </c>
      <c r="B479" s="1007">
        <v>8</v>
      </c>
      <c r="C479" s="1007">
        <v>11</v>
      </c>
      <c r="D479" s="1007">
        <v>25</v>
      </c>
      <c r="E479" s="1007">
        <v>6</v>
      </c>
      <c r="F479" s="1007">
        <v>12</v>
      </c>
      <c r="G479" s="1007">
        <v>21</v>
      </c>
      <c r="H479" s="1007">
        <v>2</v>
      </c>
      <c r="I479" s="1008" t="s">
        <v>3989</v>
      </c>
      <c r="J479" s="1008" t="s">
        <v>2431</v>
      </c>
      <c r="K479" s="1007" t="s">
        <v>2244</v>
      </c>
      <c r="L479" s="1009" t="s">
        <v>2354</v>
      </c>
      <c r="M479" s="1006" t="s">
        <v>4038</v>
      </c>
      <c r="N479" s="1009" t="s">
        <v>2231</v>
      </c>
      <c r="O479" s="1006" t="s">
        <v>4772</v>
      </c>
      <c r="P479" s="1009" t="s">
        <v>2236</v>
      </c>
      <c r="Q479" s="1006" t="s">
        <v>4038</v>
      </c>
      <c r="R479" s="1009" t="s">
        <v>2245</v>
      </c>
      <c r="S479" s="1006" t="s">
        <v>4128</v>
      </c>
      <c r="T479" s="1010" t="s">
        <v>2475</v>
      </c>
      <c r="U479" s="1010" t="s">
        <v>2472</v>
      </c>
      <c r="V479" s="1010" t="s">
        <v>2575</v>
      </c>
      <c r="W479" s="1007"/>
    </row>
    <row r="480" spans="1:23" x14ac:dyDescent="0.2">
      <c r="A480" s="1006" t="s">
        <v>4956</v>
      </c>
      <c r="B480" s="1007">
        <v>10</v>
      </c>
      <c r="C480" s="1007">
        <v>13</v>
      </c>
      <c r="D480" s="1007">
        <v>30</v>
      </c>
      <c r="E480" s="1007">
        <v>8</v>
      </c>
      <c r="F480" s="1007">
        <v>16</v>
      </c>
      <c r="G480" s="1007">
        <v>28</v>
      </c>
      <c r="H480" s="1007">
        <v>3</v>
      </c>
      <c r="I480" s="1008" t="s">
        <v>3989</v>
      </c>
      <c r="J480" s="1008" t="s">
        <v>2431</v>
      </c>
      <c r="K480" s="1007" t="s">
        <v>2244</v>
      </c>
      <c r="L480" s="1009" t="s">
        <v>2354</v>
      </c>
      <c r="M480" s="1006" t="s">
        <v>4038</v>
      </c>
      <c r="N480" s="1009" t="s">
        <v>2231</v>
      </c>
      <c r="O480" s="1006" t="s">
        <v>4772</v>
      </c>
      <c r="P480" s="1009" t="s">
        <v>2236</v>
      </c>
      <c r="Q480" s="1006" t="s">
        <v>4038</v>
      </c>
      <c r="R480" s="1009" t="s">
        <v>2245</v>
      </c>
      <c r="S480" s="1006" t="s">
        <v>4128</v>
      </c>
      <c r="T480" s="1010" t="s">
        <v>2475</v>
      </c>
      <c r="U480" s="1010" t="s">
        <v>2472</v>
      </c>
      <c r="V480" s="1010" t="s">
        <v>2575</v>
      </c>
      <c r="W480" s="1007"/>
    </row>
    <row r="481" spans="1:23" x14ac:dyDescent="0.2">
      <c r="A481" s="848" t="s">
        <v>4254</v>
      </c>
      <c r="B481" s="1026"/>
      <c r="C481" s="1026"/>
      <c r="D481" s="1026"/>
      <c r="E481" s="1026"/>
      <c r="F481" s="1026"/>
      <c r="G481" s="1026"/>
      <c r="H481" s="1026"/>
      <c r="I481" s="1026"/>
      <c r="J481" s="1026"/>
      <c r="K481" s="1026"/>
      <c r="L481" s="1027"/>
      <c r="M481" s="1026"/>
      <c r="N481" s="1026"/>
      <c r="O481" s="1026"/>
      <c r="P481" s="1026"/>
      <c r="Q481" s="1026"/>
      <c r="R481" s="1026"/>
      <c r="S481" s="1026"/>
      <c r="T481" s="1026"/>
      <c r="U481" s="1026"/>
      <c r="V481" s="1026"/>
      <c r="W481" s="1007"/>
    </row>
    <row r="482" spans="1:23" x14ac:dyDescent="0.2">
      <c r="A482" s="1006" t="s">
        <v>4957</v>
      </c>
      <c r="B482" s="1007">
        <v>2</v>
      </c>
      <c r="C482" s="1007">
        <v>4</v>
      </c>
      <c r="D482" s="1007">
        <v>5</v>
      </c>
      <c r="E482" s="1007">
        <v>1</v>
      </c>
      <c r="F482" s="1007">
        <v>2</v>
      </c>
      <c r="G482" s="1007">
        <v>4</v>
      </c>
      <c r="H482" s="1007">
        <v>1</v>
      </c>
      <c r="I482" s="1008" t="s">
        <v>3989</v>
      </c>
      <c r="J482" s="1008" t="s">
        <v>1761</v>
      </c>
      <c r="K482" s="1007" t="s">
        <v>2236</v>
      </c>
      <c r="L482" s="1009" t="s">
        <v>2354</v>
      </c>
      <c r="M482" s="1006" t="s">
        <v>4037</v>
      </c>
      <c r="N482" s="1009" t="s">
        <v>2231</v>
      </c>
      <c r="O482" s="1006" t="s">
        <v>4128</v>
      </c>
      <c r="P482" s="1009" t="s">
        <v>2244</v>
      </c>
      <c r="Q482" s="1006" t="s">
        <v>4037</v>
      </c>
      <c r="R482" s="1009" t="s">
        <v>2245</v>
      </c>
      <c r="S482" s="1006" t="s">
        <v>4037</v>
      </c>
      <c r="T482" s="1010" t="s">
        <v>2575</v>
      </c>
      <c r="U482" s="952" t="s">
        <v>3914</v>
      </c>
      <c r="V482" s="952" t="s">
        <v>3914</v>
      </c>
      <c r="W482" s="1007"/>
    </row>
    <row r="483" spans="1:23" x14ac:dyDescent="0.2">
      <c r="A483" s="1006" t="s">
        <v>4958</v>
      </c>
      <c r="B483" s="1007">
        <v>3</v>
      </c>
      <c r="C483" s="1007">
        <v>5</v>
      </c>
      <c r="D483" s="1007">
        <v>10</v>
      </c>
      <c r="E483" s="1007">
        <v>2</v>
      </c>
      <c r="F483" s="1007">
        <v>4</v>
      </c>
      <c r="G483" s="1007">
        <v>7</v>
      </c>
      <c r="H483" s="1007">
        <v>1</v>
      </c>
      <c r="I483" s="1008" t="s">
        <v>3989</v>
      </c>
      <c r="J483" s="1008" t="s">
        <v>1761</v>
      </c>
      <c r="K483" s="1007" t="s">
        <v>2236</v>
      </c>
      <c r="L483" s="1009" t="s">
        <v>2354</v>
      </c>
      <c r="M483" s="1006" t="s">
        <v>4037</v>
      </c>
      <c r="N483" s="1009" t="s">
        <v>2231</v>
      </c>
      <c r="O483" s="1006" t="s">
        <v>4128</v>
      </c>
      <c r="P483" s="1009" t="s">
        <v>2244</v>
      </c>
      <c r="Q483" s="1006" t="s">
        <v>4037</v>
      </c>
      <c r="R483" s="1009" t="s">
        <v>2245</v>
      </c>
      <c r="S483" s="1006" t="s">
        <v>4037</v>
      </c>
      <c r="T483" s="1010" t="s">
        <v>2575</v>
      </c>
      <c r="U483" s="952" t="s">
        <v>3914</v>
      </c>
      <c r="V483" s="952" t="s">
        <v>3914</v>
      </c>
      <c r="W483" s="1007"/>
    </row>
    <row r="484" spans="1:23" x14ac:dyDescent="0.2">
      <c r="A484" s="1006" t="s">
        <v>4959</v>
      </c>
      <c r="B484" s="1007">
        <v>4</v>
      </c>
      <c r="C484" s="1007">
        <v>6</v>
      </c>
      <c r="D484" s="1007">
        <v>10</v>
      </c>
      <c r="E484" s="1007">
        <v>3</v>
      </c>
      <c r="F484" s="1007">
        <v>6</v>
      </c>
      <c r="G484" s="1007">
        <v>11</v>
      </c>
      <c r="H484" s="1007">
        <v>1</v>
      </c>
      <c r="I484" s="1008" t="s">
        <v>3989</v>
      </c>
      <c r="J484" s="1008" t="s">
        <v>1761</v>
      </c>
      <c r="K484" s="1007" t="s">
        <v>2236</v>
      </c>
      <c r="L484" s="1009" t="s">
        <v>2354</v>
      </c>
      <c r="M484" s="1006" t="s">
        <v>4037</v>
      </c>
      <c r="N484" s="1009" t="s">
        <v>2231</v>
      </c>
      <c r="O484" s="1006" t="s">
        <v>4128</v>
      </c>
      <c r="P484" s="1009" t="s">
        <v>2244</v>
      </c>
      <c r="Q484" s="1006" t="s">
        <v>4037</v>
      </c>
      <c r="R484" s="1009" t="s">
        <v>2245</v>
      </c>
      <c r="S484" s="1006" t="s">
        <v>4037</v>
      </c>
      <c r="T484" s="1010" t="s">
        <v>2575</v>
      </c>
      <c r="U484" s="952" t="s">
        <v>3914</v>
      </c>
      <c r="V484" s="952" t="s">
        <v>3914</v>
      </c>
      <c r="W484" s="1007"/>
    </row>
    <row r="485" spans="1:23" x14ac:dyDescent="0.2">
      <c r="A485" s="1006" t="s">
        <v>4960</v>
      </c>
      <c r="B485" s="1007">
        <v>5</v>
      </c>
      <c r="C485" s="1007">
        <v>8</v>
      </c>
      <c r="D485" s="1007">
        <v>15</v>
      </c>
      <c r="E485" s="1007">
        <v>4</v>
      </c>
      <c r="F485" s="1007">
        <v>8</v>
      </c>
      <c r="G485" s="1007">
        <v>14</v>
      </c>
      <c r="H485" s="1007">
        <v>1</v>
      </c>
      <c r="I485" s="1008" t="s">
        <v>3989</v>
      </c>
      <c r="J485" s="1008" t="s">
        <v>1761</v>
      </c>
      <c r="K485" s="1007" t="s">
        <v>2236</v>
      </c>
      <c r="L485" s="1009" t="s">
        <v>2354</v>
      </c>
      <c r="M485" s="1006" t="s">
        <v>4037</v>
      </c>
      <c r="N485" s="1009" t="s">
        <v>2231</v>
      </c>
      <c r="O485" s="1006" t="s">
        <v>4128</v>
      </c>
      <c r="P485" s="1009" t="s">
        <v>2244</v>
      </c>
      <c r="Q485" s="1006" t="s">
        <v>4037</v>
      </c>
      <c r="R485" s="1009" t="s">
        <v>2245</v>
      </c>
      <c r="S485" s="1006" t="s">
        <v>4037</v>
      </c>
      <c r="T485" s="1010" t="s">
        <v>2575</v>
      </c>
      <c r="U485" s="952" t="s">
        <v>3914</v>
      </c>
      <c r="V485" s="952" t="s">
        <v>3914</v>
      </c>
      <c r="W485" s="1007"/>
    </row>
    <row r="486" spans="1:23" x14ac:dyDescent="0.2">
      <c r="A486" s="1006" t="s">
        <v>4961</v>
      </c>
      <c r="B486" s="1007">
        <v>6</v>
      </c>
      <c r="C486" s="1007">
        <v>9</v>
      </c>
      <c r="D486" s="1007">
        <v>20</v>
      </c>
      <c r="E486" s="1007">
        <v>5</v>
      </c>
      <c r="F486" s="1007">
        <v>10</v>
      </c>
      <c r="G486" s="1007">
        <v>18</v>
      </c>
      <c r="H486" s="1007">
        <v>1</v>
      </c>
      <c r="I486" s="1008" t="s">
        <v>3989</v>
      </c>
      <c r="J486" s="1008" t="s">
        <v>1761</v>
      </c>
      <c r="K486" s="1007" t="s">
        <v>2236</v>
      </c>
      <c r="L486" s="1009" t="s">
        <v>2354</v>
      </c>
      <c r="M486" s="1006" t="s">
        <v>4037</v>
      </c>
      <c r="N486" s="1009" t="s">
        <v>2231</v>
      </c>
      <c r="O486" s="1006" t="s">
        <v>4128</v>
      </c>
      <c r="P486" s="1009" t="s">
        <v>2244</v>
      </c>
      <c r="Q486" s="1006" t="s">
        <v>4037</v>
      </c>
      <c r="R486" s="1009" t="s">
        <v>2245</v>
      </c>
      <c r="S486" s="1006" t="s">
        <v>4037</v>
      </c>
      <c r="T486" s="1010" t="s">
        <v>2575</v>
      </c>
      <c r="U486" s="952" t="s">
        <v>3914</v>
      </c>
      <c r="V486" s="952" t="s">
        <v>3914</v>
      </c>
      <c r="W486" s="1007"/>
    </row>
    <row r="487" spans="1:23" x14ac:dyDescent="0.2">
      <c r="A487" s="1006" t="s">
        <v>4962</v>
      </c>
      <c r="B487" s="1007">
        <v>8</v>
      </c>
      <c r="C487" s="1007">
        <v>11</v>
      </c>
      <c r="D487" s="1007">
        <v>25</v>
      </c>
      <c r="E487" s="1007">
        <v>6</v>
      </c>
      <c r="F487" s="1007">
        <v>12</v>
      </c>
      <c r="G487" s="1007">
        <v>21</v>
      </c>
      <c r="H487" s="1007">
        <v>2</v>
      </c>
      <c r="I487" s="1008" t="s">
        <v>3989</v>
      </c>
      <c r="J487" s="1008" t="s">
        <v>1761</v>
      </c>
      <c r="K487" s="1007" t="s">
        <v>2236</v>
      </c>
      <c r="L487" s="1009" t="s">
        <v>2354</v>
      </c>
      <c r="M487" s="1006" t="s">
        <v>4037</v>
      </c>
      <c r="N487" s="1009" t="s">
        <v>2231</v>
      </c>
      <c r="O487" s="1006" t="s">
        <v>4128</v>
      </c>
      <c r="P487" s="1009" t="s">
        <v>2244</v>
      </c>
      <c r="Q487" s="1006" t="s">
        <v>4037</v>
      </c>
      <c r="R487" s="1009" t="s">
        <v>2245</v>
      </c>
      <c r="S487" s="1006" t="s">
        <v>4037</v>
      </c>
      <c r="T487" s="1010" t="s">
        <v>2575</v>
      </c>
      <c r="U487" s="952" t="s">
        <v>3914</v>
      </c>
      <c r="V487" s="952" t="s">
        <v>3914</v>
      </c>
      <c r="W487" s="1007"/>
    </row>
    <row r="488" spans="1:23" x14ac:dyDescent="0.2">
      <c r="A488" s="1006" t="s">
        <v>4963</v>
      </c>
      <c r="B488" s="1007">
        <v>10</v>
      </c>
      <c r="C488" s="1007">
        <v>13</v>
      </c>
      <c r="D488" s="1007">
        <v>30</v>
      </c>
      <c r="E488" s="1007">
        <v>7</v>
      </c>
      <c r="F488" s="1007">
        <v>14</v>
      </c>
      <c r="G488" s="1007">
        <v>25</v>
      </c>
      <c r="H488" s="1007">
        <v>2</v>
      </c>
      <c r="I488" s="1008" t="s">
        <v>3989</v>
      </c>
      <c r="J488" s="1008" t="s">
        <v>1761</v>
      </c>
      <c r="K488" s="1007" t="s">
        <v>2236</v>
      </c>
      <c r="L488" s="1009" t="s">
        <v>2354</v>
      </c>
      <c r="M488" s="1006" t="s">
        <v>4037</v>
      </c>
      <c r="N488" s="1009" t="s">
        <v>2231</v>
      </c>
      <c r="O488" s="1006" t="s">
        <v>4128</v>
      </c>
      <c r="P488" s="1009" t="s">
        <v>2244</v>
      </c>
      <c r="Q488" s="1006" t="s">
        <v>4037</v>
      </c>
      <c r="R488" s="1009" t="s">
        <v>2245</v>
      </c>
      <c r="S488" s="1006" t="s">
        <v>4037</v>
      </c>
      <c r="T488" s="1010" t="s">
        <v>2575</v>
      </c>
      <c r="U488" s="952" t="s">
        <v>3914</v>
      </c>
      <c r="V488" s="952" t="s">
        <v>3914</v>
      </c>
      <c r="W488" s="1007"/>
    </row>
    <row r="489" spans="1:23" x14ac:dyDescent="0.2">
      <c r="A489" s="1006" t="s">
        <v>4964</v>
      </c>
      <c r="B489" s="1007">
        <v>14</v>
      </c>
      <c r="C489" s="1007">
        <v>18</v>
      </c>
      <c r="D489" s="1007">
        <v>35</v>
      </c>
      <c r="E489" s="1007">
        <v>8</v>
      </c>
      <c r="F489" s="1007">
        <v>16</v>
      </c>
      <c r="G489" s="1007">
        <v>28</v>
      </c>
      <c r="H489" s="1007">
        <v>3</v>
      </c>
      <c r="I489" s="1008" t="s">
        <v>3989</v>
      </c>
      <c r="J489" s="1008" t="s">
        <v>1761</v>
      </c>
      <c r="K489" s="1007" t="s">
        <v>2236</v>
      </c>
      <c r="L489" s="1009" t="s">
        <v>2354</v>
      </c>
      <c r="M489" s="1006" t="s">
        <v>4037</v>
      </c>
      <c r="N489" s="1009" t="s">
        <v>2231</v>
      </c>
      <c r="O489" s="1006" t="s">
        <v>4128</v>
      </c>
      <c r="P489" s="1009" t="s">
        <v>2244</v>
      </c>
      <c r="Q489" s="1006" t="s">
        <v>4037</v>
      </c>
      <c r="R489" s="1009" t="s">
        <v>2245</v>
      </c>
      <c r="S489" s="1006" t="s">
        <v>4037</v>
      </c>
      <c r="T489" s="1010" t="s">
        <v>2575</v>
      </c>
      <c r="U489" s="952" t="s">
        <v>3914</v>
      </c>
      <c r="V489" s="952" t="s">
        <v>3914</v>
      </c>
      <c r="W489" s="1007"/>
    </row>
    <row r="490" spans="1:23" x14ac:dyDescent="0.2">
      <c r="A490" s="1006" t="s">
        <v>4965</v>
      </c>
      <c r="B490" s="1007">
        <v>18</v>
      </c>
      <c r="C490" s="1007">
        <v>22</v>
      </c>
      <c r="D490" s="1007">
        <v>40</v>
      </c>
      <c r="E490" s="1007">
        <v>10</v>
      </c>
      <c r="F490" s="1007">
        <v>20</v>
      </c>
      <c r="G490" s="1007">
        <v>35</v>
      </c>
      <c r="H490" s="1007">
        <v>3</v>
      </c>
      <c r="I490" s="1008" t="s">
        <v>3989</v>
      </c>
      <c r="J490" s="1008" t="s">
        <v>1761</v>
      </c>
      <c r="K490" s="1007" t="s">
        <v>2236</v>
      </c>
      <c r="L490" s="1009" t="s">
        <v>2354</v>
      </c>
      <c r="M490" s="1006" t="s">
        <v>4037</v>
      </c>
      <c r="N490" s="1009" t="s">
        <v>2231</v>
      </c>
      <c r="O490" s="1006" t="s">
        <v>4128</v>
      </c>
      <c r="P490" s="1009" t="s">
        <v>2244</v>
      </c>
      <c r="Q490" s="1006" t="s">
        <v>4037</v>
      </c>
      <c r="R490" s="1009" t="s">
        <v>2245</v>
      </c>
      <c r="S490" s="1006" t="s">
        <v>4037</v>
      </c>
      <c r="T490" s="1010" t="s">
        <v>2575</v>
      </c>
      <c r="U490" s="952" t="s">
        <v>3914</v>
      </c>
      <c r="V490" s="952" t="s">
        <v>3914</v>
      </c>
      <c r="W490" s="1007"/>
    </row>
    <row r="491" spans="1:23" x14ac:dyDescent="0.2">
      <c r="A491" s="1012" t="s">
        <v>4966</v>
      </c>
      <c r="B491" s="1013"/>
      <c r="C491" s="1013"/>
      <c r="D491" s="1013"/>
      <c r="E491" s="1013"/>
      <c r="F491" s="1013"/>
      <c r="G491" s="1013"/>
      <c r="H491" s="1013"/>
      <c r="I491" s="1013"/>
      <c r="J491" s="1013"/>
      <c r="K491" s="1013"/>
      <c r="L491" s="1014"/>
      <c r="M491" s="1013"/>
      <c r="N491" s="1013"/>
      <c r="O491" s="1013"/>
      <c r="P491" s="1013"/>
      <c r="Q491" s="1013"/>
      <c r="R491" s="1013"/>
      <c r="S491" s="1013"/>
      <c r="T491" s="1013"/>
      <c r="U491" s="1013"/>
      <c r="V491" s="1013"/>
      <c r="W491" s="1007"/>
    </row>
    <row r="492" spans="1:23" x14ac:dyDescent="0.2">
      <c r="A492" s="1006" t="s">
        <v>4967</v>
      </c>
      <c r="B492" s="1007">
        <v>1</v>
      </c>
      <c r="C492" s="1007">
        <v>1</v>
      </c>
      <c r="D492" s="1007">
        <v>5</v>
      </c>
      <c r="E492" s="1007">
        <v>1</v>
      </c>
      <c r="F492" s="1007">
        <v>2</v>
      </c>
      <c r="G492" s="1007">
        <v>4</v>
      </c>
      <c r="H492" s="1007"/>
      <c r="I492" s="1007"/>
      <c r="J492" s="1007"/>
      <c r="K492" s="1007"/>
      <c r="L492" s="1016"/>
      <c r="M492" s="1007"/>
      <c r="N492" s="1007"/>
      <c r="O492" s="1007"/>
      <c r="P492" s="1007"/>
      <c r="Q492" s="1007"/>
      <c r="R492" s="1007"/>
      <c r="S492" s="1007"/>
      <c r="T492" s="1007"/>
      <c r="U492" s="1007"/>
      <c r="V492" s="1007"/>
      <c r="W492" s="1007"/>
    </row>
    <row r="493" spans="1:23" x14ac:dyDescent="0.2">
      <c r="A493" s="848" t="s">
        <v>4258</v>
      </c>
      <c r="B493" s="1026"/>
      <c r="C493" s="1026"/>
      <c r="D493" s="1026"/>
      <c r="E493" s="1026"/>
      <c r="F493" s="1026"/>
      <c r="G493" s="1026"/>
      <c r="H493" s="1026"/>
      <c r="I493" s="1026"/>
      <c r="J493" s="1026"/>
      <c r="K493" s="1026"/>
      <c r="L493" s="1027"/>
      <c r="M493" s="1026"/>
      <c r="N493" s="1026"/>
      <c r="O493" s="1026"/>
      <c r="P493" s="1026"/>
      <c r="Q493" s="1026"/>
      <c r="R493" s="1026"/>
      <c r="S493" s="1026"/>
      <c r="T493" s="1026"/>
      <c r="U493" s="1026"/>
      <c r="V493" s="1026"/>
      <c r="W493" s="1007"/>
    </row>
    <row r="494" spans="1:23" x14ac:dyDescent="0.2">
      <c r="A494" s="1006" t="s">
        <v>4968</v>
      </c>
      <c r="B494" s="1007">
        <v>1</v>
      </c>
      <c r="C494" s="1007">
        <v>2</v>
      </c>
      <c r="D494" s="1007">
        <v>5</v>
      </c>
      <c r="E494" s="1007">
        <v>1</v>
      </c>
      <c r="F494" s="1007">
        <v>2</v>
      </c>
      <c r="G494" s="1007">
        <v>4</v>
      </c>
      <c r="H494" s="1007">
        <v>1</v>
      </c>
      <c r="I494" s="1008" t="s">
        <v>3989</v>
      </c>
      <c r="J494" s="1008" t="s">
        <v>1761</v>
      </c>
      <c r="K494" s="1007" t="s">
        <v>2244</v>
      </c>
      <c r="L494" s="1009" t="s">
        <v>2354</v>
      </c>
      <c r="M494" s="1006" t="s">
        <v>4128</v>
      </c>
      <c r="N494" s="1009" t="s">
        <v>2231</v>
      </c>
      <c r="O494" s="1006" t="s">
        <v>4038</v>
      </c>
      <c r="P494" s="1009" t="s">
        <v>2236</v>
      </c>
      <c r="Q494" s="1006" t="s">
        <v>4128</v>
      </c>
      <c r="R494" s="1009" t="s">
        <v>2245</v>
      </c>
      <c r="S494" s="1006" t="s">
        <v>4128</v>
      </c>
      <c r="T494" s="1010" t="s">
        <v>2475</v>
      </c>
      <c r="U494" s="1010" t="s">
        <v>2570</v>
      </c>
      <c r="V494" s="1010" t="s">
        <v>2575</v>
      </c>
      <c r="W494" s="1007"/>
    </row>
    <row r="495" spans="1:23" x14ac:dyDescent="0.2">
      <c r="A495" s="848" t="s">
        <v>2556</v>
      </c>
      <c r="B495" s="1026"/>
      <c r="C495" s="1026"/>
      <c r="D495" s="1026"/>
      <c r="E495" s="1026"/>
      <c r="F495" s="1026"/>
      <c r="G495" s="1026"/>
      <c r="H495" s="1026"/>
      <c r="I495" s="1026"/>
      <c r="J495" s="1026"/>
      <c r="K495" s="1026"/>
      <c r="L495" s="1027"/>
      <c r="M495" s="1026"/>
      <c r="N495" s="1026"/>
      <c r="O495" s="1026"/>
      <c r="P495" s="1026"/>
      <c r="Q495" s="1026"/>
      <c r="R495" s="1026"/>
      <c r="S495" s="1026"/>
      <c r="T495" s="1026"/>
      <c r="U495" s="1026"/>
      <c r="V495" s="1026"/>
      <c r="W495" s="1007"/>
    </row>
    <row r="496" spans="1:23" x14ac:dyDescent="0.2">
      <c r="A496" s="1006" t="s">
        <v>4969</v>
      </c>
      <c r="B496" s="1007">
        <v>2</v>
      </c>
      <c r="C496" s="1007">
        <v>4</v>
      </c>
      <c r="D496" s="1007">
        <v>5</v>
      </c>
      <c r="E496" s="1007">
        <v>1</v>
      </c>
      <c r="F496" s="1007">
        <v>2</v>
      </c>
      <c r="G496" s="1007">
        <v>4</v>
      </c>
      <c r="H496" s="1007">
        <v>1</v>
      </c>
      <c r="I496" s="1008" t="s">
        <v>3994</v>
      </c>
      <c r="J496" s="1008" t="s">
        <v>2431</v>
      </c>
      <c r="K496" s="1007" t="s">
        <v>2354</v>
      </c>
      <c r="L496" s="1009" t="s">
        <v>2231</v>
      </c>
      <c r="M496" s="1006" t="s">
        <v>4038</v>
      </c>
      <c r="N496" s="1009" t="s">
        <v>2236</v>
      </c>
      <c r="O496" s="1006" t="s">
        <v>4038</v>
      </c>
      <c r="P496" s="1009" t="s">
        <v>2244</v>
      </c>
      <c r="Q496" s="1006" t="s">
        <v>4038</v>
      </c>
      <c r="R496" s="1009" t="s">
        <v>2245</v>
      </c>
      <c r="S496" s="1006" t="s">
        <v>4128</v>
      </c>
      <c r="T496" s="1010" t="s">
        <v>2575</v>
      </c>
      <c r="U496" s="952" t="s">
        <v>3914</v>
      </c>
      <c r="V496" s="952" t="s">
        <v>3914</v>
      </c>
      <c r="W496" s="1007"/>
    </row>
    <row r="497" spans="1:23" x14ac:dyDescent="0.2">
      <c r="A497" s="1006" t="s">
        <v>4970</v>
      </c>
      <c r="B497" s="1007">
        <v>3</v>
      </c>
      <c r="C497" s="1007">
        <v>5</v>
      </c>
      <c r="D497" s="1007">
        <v>5</v>
      </c>
      <c r="E497" s="1007">
        <v>1</v>
      </c>
      <c r="F497" s="1007">
        <v>2</v>
      </c>
      <c r="G497" s="1007">
        <v>4</v>
      </c>
      <c r="H497" s="1007">
        <v>1</v>
      </c>
      <c r="I497" s="1008" t="s">
        <v>3994</v>
      </c>
      <c r="J497" s="1008" t="s">
        <v>2431</v>
      </c>
      <c r="K497" s="1007" t="s">
        <v>2354</v>
      </c>
      <c r="L497" s="1009" t="s">
        <v>2231</v>
      </c>
      <c r="M497" s="1006" t="s">
        <v>4038</v>
      </c>
      <c r="N497" s="1009" t="s">
        <v>2236</v>
      </c>
      <c r="O497" s="1006" t="s">
        <v>4038</v>
      </c>
      <c r="P497" s="1009" t="s">
        <v>2244</v>
      </c>
      <c r="Q497" s="1006" t="s">
        <v>4038</v>
      </c>
      <c r="R497" s="1009" t="s">
        <v>2245</v>
      </c>
      <c r="S497" s="1006" t="s">
        <v>4128</v>
      </c>
      <c r="T497" s="1010" t="s">
        <v>2575</v>
      </c>
      <c r="U497" s="952" t="s">
        <v>3914</v>
      </c>
      <c r="V497" s="952" t="s">
        <v>3914</v>
      </c>
      <c r="W497" s="1007"/>
    </row>
    <row r="498" spans="1:23" x14ac:dyDescent="0.2">
      <c r="A498" s="1006" t="s">
        <v>4971</v>
      </c>
      <c r="B498" s="1007">
        <v>4</v>
      </c>
      <c r="C498" s="1007">
        <v>6</v>
      </c>
      <c r="D498" s="1007">
        <v>10</v>
      </c>
      <c r="E498" s="1007">
        <v>2</v>
      </c>
      <c r="F498" s="1007">
        <v>4</v>
      </c>
      <c r="G498" s="1007">
        <v>7</v>
      </c>
      <c r="H498" s="1007">
        <v>1</v>
      </c>
      <c r="I498" s="1008" t="s">
        <v>3994</v>
      </c>
      <c r="J498" s="1008" t="s">
        <v>2431</v>
      </c>
      <c r="K498" s="1007" t="s">
        <v>2354</v>
      </c>
      <c r="L498" s="1009" t="s">
        <v>2231</v>
      </c>
      <c r="M498" s="1006" t="s">
        <v>4038</v>
      </c>
      <c r="N498" s="1009" t="s">
        <v>2236</v>
      </c>
      <c r="O498" s="1006" t="s">
        <v>4038</v>
      </c>
      <c r="P498" s="1009" t="s">
        <v>2244</v>
      </c>
      <c r="Q498" s="1006" t="s">
        <v>4038</v>
      </c>
      <c r="R498" s="1009" t="s">
        <v>2245</v>
      </c>
      <c r="S498" s="1006" t="s">
        <v>4128</v>
      </c>
      <c r="T498" s="1010" t="s">
        <v>2575</v>
      </c>
      <c r="U498" s="952" t="s">
        <v>3914</v>
      </c>
      <c r="V498" s="952" t="s">
        <v>3914</v>
      </c>
      <c r="W498" s="1007"/>
    </row>
    <row r="499" spans="1:23" x14ac:dyDescent="0.2">
      <c r="A499" s="1006" t="s">
        <v>4972</v>
      </c>
      <c r="B499" s="1007">
        <v>5</v>
      </c>
      <c r="C499" s="1007">
        <v>8</v>
      </c>
      <c r="D499" s="1007">
        <v>15</v>
      </c>
      <c r="E499" s="1007">
        <v>3</v>
      </c>
      <c r="F499" s="1007">
        <v>6</v>
      </c>
      <c r="G499" s="1007">
        <v>11</v>
      </c>
      <c r="H499" s="1007">
        <v>1</v>
      </c>
      <c r="I499" s="1008" t="s">
        <v>3994</v>
      </c>
      <c r="J499" s="1008" t="s">
        <v>2431</v>
      </c>
      <c r="K499" s="1007" t="s">
        <v>2354</v>
      </c>
      <c r="L499" s="1009" t="s">
        <v>2231</v>
      </c>
      <c r="M499" s="1006" t="s">
        <v>4038</v>
      </c>
      <c r="N499" s="1009" t="s">
        <v>2236</v>
      </c>
      <c r="O499" s="1006" t="s">
        <v>4038</v>
      </c>
      <c r="P499" s="1009" t="s">
        <v>2244</v>
      </c>
      <c r="Q499" s="1006" t="s">
        <v>4038</v>
      </c>
      <c r="R499" s="1009" t="s">
        <v>2245</v>
      </c>
      <c r="S499" s="1006" t="s">
        <v>4128</v>
      </c>
      <c r="T499" s="1010" t="s">
        <v>2575</v>
      </c>
      <c r="U499" s="952" t="s">
        <v>3914</v>
      </c>
      <c r="V499" s="952" t="s">
        <v>3914</v>
      </c>
      <c r="W499" s="1007"/>
    </row>
    <row r="500" spans="1:23" x14ac:dyDescent="0.2">
      <c r="A500" s="1006" t="s">
        <v>4973</v>
      </c>
      <c r="B500" s="1007">
        <v>8</v>
      </c>
      <c r="C500" s="1007">
        <v>11</v>
      </c>
      <c r="D500" s="1007">
        <v>20</v>
      </c>
      <c r="E500" s="1007">
        <v>4</v>
      </c>
      <c r="F500" s="1007">
        <v>8</v>
      </c>
      <c r="G500" s="1007">
        <v>14</v>
      </c>
      <c r="H500" s="1007">
        <v>1</v>
      </c>
      <c r="I500" s="1008" t="s">
        <v>3994</v>
      </c>
      <c r="J500" s="1008" t="s">
        <v>2431</v>
      </c>
      <c r="K500" s="1007" t="s">
        <v>2354</v>
      </c>
      <c r="L500" s="1009" t="s">
        <v>2231</v>
      </c>
      <c r="M500" s="1006" t="s">
        <v>4038</v>
      </c>
      <c r="N500" s="1009" t="s">
        <v>2236</v>
      </c>
      <c r="O500" s="1006" t="s">
        <v>4038</v>
      </c>
      <c r="P500" s="1009" t="s">
        <v>2244</v>
      </c>
      <c r="Q500" s="1006" t="s">
        <v>4038</v>
      </c>
      <c r="R500" s="1009" t="s">
        <v>2245</v>
      </c>
      <c r="S500" s="1006" t="s">
        <v>4128</v>
      </c>
      <c r="T500" s="1010" t="s">
        <v>2575</v>
      </c>
      <c r="U500" s="952" t="s">
        <v>3914</v>
      </c>
      <c r="V500" s="952" t="s">
        <v>3914</v>
      </c>
      <c r="W500" s="1007"/>
    </row>
    <row r="501" spans="1:23" x14ac:dyDescent="0.2">
      <c r="A501" s="1006" t="s">
        <v>4974</v>
      </c>
      <c r="B501" s="1007">
        <v>12</v>
      </c>
      <c r="C501" s="1007">
        <v>15</v>
      </c>
      <c r="D501" s="1007">
        <v>25</v>
      </c>
      <c r="E501" s="1007">
        <v>5</v>
      </c>
      <c r="F501" s="1007">
        <v>10</v>
      </c>
      <c r="G501" s="1007">
        <v>18</v>
      </c>
      <c r="H501" s="1007">
        <v>1</v>
      </c>
      <c r="I501" s="1008" t="s">
        <v>3994</v>
      </c>
      <c r="J501" s="1008" t="s">
        <v>2431</v>
      </c>
      <c r="K501" s="1007" t="s">
        <v>2354</v>
      </c>
      <c r="L501" s="1009" t="s">
        <v>2231</v>
      </c>
      <c r="M501" s="1006" t="s">
        <v>4038</v>
      </c>
      <c r="N501" s="1009" t="s">
        <v>2236</v>
      </c>
      <c r="O501" s="1006" t="s">
        <v>4038</v>
      </c>
      <c r="P501" s="1009" t="s">
        <v>2244</v>
      </c>
      <c r="Q501" s="1006" t="s">
        <v>4038</v>
      </c>
      <c r="R501" s="1009" t="s">
        <v>2245</v>
      </c>
      <c r="S501" s="1006" t="s">
        <v>4128</v>
      </c>
      <c r="T501" s="1010" t="s">
        <v>2575</v>
      </c>
      <c r="U501" s="952" t="s">
        <v>3914</v>
      </c>
      <c r="V501" s="952" t="s">
        <v>3914</v>
      </c>
      <c r="W501" s="1007"/>
    </row>
    <row r="502" spans="1:23" x14ac:dyDescent="0.2">
      <c r="A502" s="1006" t="s">
        <v>4975</v>
      </c>
      <c r="B502" s="1007">
        <v>14</v>
      </c>
      <c r="C502" s="1007">
        <v>18</v>
      </c>
      <c r="D502" s="1007">
        <v>30</v>
      </c>
      <c r="E502" s="1007">
        <v>8</v>
      </c>
      <c r="F502" s="1007">
        <v>16</v>
      </c>
      <c r="G502" s="1007">
        <v>28</v>
      </c>
      <c r="H502" s="1007">
        <v>2</v>
      </c>
      <c r="I502" s="1008" t="s">
        <v>3994</v>
      </c>
      <c r="J502" s="1008" t="s">
        <v>2431</v>
      </c>
      <c r="K502" s="1007" t="s">
        <v>2354</v>
      </c>
      <c r="L502" s="1009" t="s">
        <v>2231</v>
      </c>
      <c r="M502" s="1006" t="s">
        <v>4038</v>
      </c>
      <c r="N502" s="1009" t="s">
        <v>2236</v>
      </c>
      <c r="O502" s="1006" t="s">
        <v>4038</v>
      </c>
      <c r="P502" s="1009" t="s">
        <v>2244</v>
      </c>
      <c r="Q502" s="1006" t="s">
        <v>4038</v>
      </c>
      <c r="R502" s="1009" t="s">
        <v>2245</v>
      </c>
      <c r="S502" s="1006" t="s">
        <v>4128</v>
      </c>
      <c r="T502" s="1010" t="s">
        <v>2575</v>
      </c>
      <c r="U502" s="952" t="s">
        <v>3914</v>
      </c>
      <c r="V502" s="952" t="s">
        <v>3914</v>
      </c>
      <c r="W502" s="1007"/>
    </row>
    <row r="503" spans="1:23" x14ac:dyDescent="0.2">
      <c r="A503" s="1006" t="s">
        <v>4976</v>
      </c>
      <c r="B503" s="1007">
        <v>18</v>
      </c>
      <c r="C503" s="1007">
        <v>22</v>
      </c>
      <c r="D503" s="1007">
        <v>35</v>
      </c>
      <c r="E503" s="1007">
        <v>10</v>
      </c>
      <c r="F503" s="1007">
        <v>20</v>
      </c>
      <c r="G503" s="1007">
        <v>35</v>
      </c>
      <c r="H503" s="1007">
        <v>2</v>
      </c>
      <c r="I503" s="1008" t="s">
        <v>3994</v>
      </c>
      <c r="J503" s="1008" t="s">
        <v>2431</v>
      </c>
      <c r="K503" s="1007" t="s">
        <v>2354</v>
      </c>
      <c r="L503" s="1009" t="s">
        <v>2231</v>
      </c>
      <c r="M503" s="1006" t="s">
        <v>4038</v>
      </c>
      <c r="N503" s="1009" t="s">
        <v>2236</v>
      </c>
      <c r="O503" s="1006" t="s">
        <v>4038</v>
      </c>
      <c r="P503" s="1009" t="s">
        <v>2244</v>
      </c>
      <c r="Q503" s="1006" t="s">
        <v>4038</v>
      </c>
      <c r="R503" s="1009" t="s">
        <v>2245</v>
      </c>
      <c r="S503" s="1006" t="s">
        <v>4128</v>
      </c>
      <c r="T503" s="1010" t="s">
        <v>2575</v>
      </c>
      <c r="U503" s="952" t="s">
        <v>3914</v>
      </c>
      <c r="V503" s="952" t="s">
        <v>3914</v>
      </c>
      <c r="W503" s="1007"/>
    </row>
    <row r="504" spans="1:23" x14ac:dyDescent="0.2">
      <c r="A504" s="1006" t="s">
        <v>4977</v>
      </c>
      <c r="B504" s="1007">
        <v>22</v>
      </c>
      <c r="C504" s="1007">
        <v>26</v>
      </c>
      <c r="D504" s="1007">
        <v>40</v>
      </c>
      <c r="E504" s="1007">
        <v>12</v>
      </c>
      <c r="F504" s="1007">
        <v>24</v>
      </c>
      <c r="G504" s="1007">
        <v>42</v>
      </c>
      <c r="H504" s="1007">
        <v>3</v>
      </c>
      <c r="I504" s="1008" t="s">
        <v>3994</v>
      </c>
      <c r="J504" s="1008" t="s">
        <v>2431</v>
      </c>
      <c r="K504" s="1007" t="s">
        <v>2354</v>
      </c>
      <c r="L504" s="1009" t="s">
        <v>2231</v>
      </c>
      <c r="M504" s="1006" t="s">
        <v>4038</v>
      </c>
      <c r="N504" s="1009" t="s">
        <v>2236</v>
      </c>
      <c r="O504" s="1006" t="s">
        <v>4038</v>
      </c>
      <c r="P504" s="1009" t="s">
        <v>2244</v>
      </c>
      <c r="Q504" s="1006" t="s">
        <v>4038</v>
      </c>
      <c r="R504" s="1009" t="s">
        <v>2245</v>
      </c>
      <c r="S504" s="1006" t="s">
        <v>4128</v>
      </c>
      <c r="T504" s="1010" t="s">
        <v>2575</v>
      </c>
      <c r="U504" s="952" t="s">
        <v>3914</v>
      </c>
      <c r="V504" s="952" t="s">
        <v>3914</v>
      </c>
      <c r="W504" s="1007"/>
    </row>
    <row r="505" spans="1:23" x14ac:dyDescent="0.2">
      <c r="A505" s="1012" t="s">
        <v>4978</v>
      </c>
      <c r="B505" s="1013"/>
      <c r="C505" s="1013"/>
      <c r="D505" s="1013"/>
      <c r="E505" s="1013"/>
      <c r="F505" s="1013"/>
      <c r="G505" s="1013"/>
      <c r="H505" s="1013"/>
      <c r="I505" s="1013"/>
      <c r="J505" s="1013"/>
      <c r="K505" s="1013"/>
      <c r="L505" s="1014"/>
      <c r="M505" s="1013"/>
      <c r="N505" s="1013"/>
      <c r="O505" s="1013"/>
      <c r="P505" s="1013"/>
      <c r="Q505" s="1013"/>
      <c r="R505" s="1013"/>
      <c r="S505" s="1013"/>
      <c r="T505" s="1013"/>
      <c r="U505" s="1013"/>
      <c r="V505" s="1013"/>
      <c r="W505" s="1007"/>
    </row>
    <row r="506" spans="1:23" x14ac:dyDescent="0.2">
      <c r="A506" s="1006" t="s">
        <v>4979</v>
      </c>
      <c r="B506" s="1007">
        <v>1</v>
      </c>
      <c r="C506" s="1007">
        <v>1</v>
      </c>
      <c r="D506" s="1007">
        <v>5</v>
      </c>
      <c r="E506" s="1007">
        <v>1</v>
      </c>
      <c r="F506" s="1007">
        <v>2</v>
      </c>
      <c r="G506" s="1007">
        <v>4</v>
      </c>
      <c r="H506" s="1007"/>
      <c r="I506" s="1007"/>
      <c r="J506" s="1007"/>
      <c r="K506" s="1007"/>
      <c r="L506" s="1016"/>
      <c r="M506" s="1007"/>
      <c r="N506" s="1007"/>
      <c r="O506" s="1007"/>
      <c r="P506" s="1007"/>
      <c r="Q506" s="1007"/>
      <c r="R506" s="1007"/>
      <c r="S506" s="1007"/>
      <c r="T506" s="1007"/>
      <c r="U506" s="952" t="s">
        <v>3914</v>
      </c>
      <c r="V506" s="952" t="s">
        <v>3914</v>
      </c>
      <c r="W506" s="1007"/>
    </row>
    <row r="507" spans="1:23" x14ac:dyDescent="0.2">
      <c r="A507" s="1006" t="s">
        <v>4980</v>
      </c>
      <c r="B507" s="1007">
        <v>2</v>
      </c>
      <c r="C507" s="1007">
        <v>2</v>
      </c>
      <c r="D507" s="1007">
        <v>10</v>
      </c>
      <c r="E507" s="1007">
        <v>2</v>
      </c>
      <c r="F507" s="1007">
        <v>4</v>
      </c>
      <c r="G507" s="1007">
        <v>7</v>
      </c>
      <c r="H507" s="1007"/>
      <c r="I507" s="1007"/>
      <c r="J507" s="1007"/>
      <c r="K507" s="1007"/>
      <c r="L507" s="1016"/>
      <c r="M507" s="1007"/>
      <c r="N507" s="1007"/>
      <c r="O507" s="1007"/>
      <c r="P507" s="1007"/>
      <c r="Q507" s="1007"/>
      <c r="R507" s="1007"/>
      <c r="S507" s="1007"/>
      <c r="T507" s="1007"/>
      <c r="U507" s="952" t="s">
        <v>3914</v>
      </c>
      <c r="V507" s="952" t="s">
        <v>3914</v>
      </c>
      <c r="W507" s="1007"/>
    </row>
    <row r="508" spans="1:23" x14ac:dyDescent="0.2">
      <c r="A508" s="1006" t="s">
        <v>4981</v>
      </c>
      <c r="B508" s="1007">
        <v>4</v>
      </c>
      <c r="C508" s="1007">
        <v>4</v>
      </c>
      <c r="D508" s="1007">
        <v>15</v>
      </c>
      <c r="E508" s="1007">
        <v>3</v>
      </c>
      <c r="F508" s="1007">
        <v>6</v>
      </c>
      <c r="G508" s="1007">
        <v>11</v>
      </c>
      <c r="H508" s="1007"/>
      <c r="I508" s="1007"/>
      <c r="J508" s="1007"/>
      <c r="K508" s="1007"/>
      <c r="L508" s="1016"/>
      <c r="M508" s="1007"/>
      <c r="N508" s="1007"/>
      <c r="O508" s="1007"/>
      <c r="P508" s="1007"/>
      <c r="Q508" s="1007"/>
      <c r="R508" s="1007"/>
      <c r="S508" s="1007"/>
      <c r="T508" s="1007"/>
      <c r="U508" s="952" t="s">
        <v>3914</v>
      </c>
      <c r="V508" s="952" t="s">
        <v>3914</v>
      </c>
      <c r="W508" s="1007"/>
    </row>
    <row r="509" spans="1:23" x14ac:dyDescent="0.2">
      <c r="A509" s="848" t="s">
        <v>4269</v>
      </c>
      <c r="B509" s="1026"/>
      <c r="C509" s="1026"/>
      <c r="D509" s="1026"/>
      <c r="E509" s="1026"/>
      <c r="F509" s="1026"/>
      <c r="G509" s="1026"/>
      <c r="H509" s="1026"/>
      <c r="I509" s="1026"/>
      <c r="J509" s="1026"/>
      <c r="K509" s="1026"/>
      <c r="L509" s="1027"/>
      <c r="M509" s="1026"/>
      <c r="N509" s="1026"/>
      <c r="O509" s="1026"/>
      <c r="P509" s="1026"/>
      <c r="Q509" s="1026"/>
      <c r="R509" s="1026"/>
      <c r="S509" s="1026"/>
      <c r="T509" s="1026"/>
      <c r="U509" s="1026"/>
      <c r="V509" s="1026"/>
      <c r="W509" s="1007"/>
    </row>
    <row r="510" spans="1:23" x14ac:dyDescent="0.2">
      <c r="A510" s="1006" t="s">
        <v>4982</v>
      </c>
      <c r="B510" s="1007">
        <v>1</v>
      </c>
      <c r="C510" s="1007">
        <v>2</v>
      </c>
      <c r="D510" s="1007">
        <v>5</v>
      </c>
      <c r="E510" s="1007">
        <v>1</v>
      </c>
      <c r="F510" s="1007">
        <v>2</v>
      </c>
      <c r="G510" s="1007">
        <v>4</v>
      </c>
      <c r="H510" s="1007">
        <v>1</v>
      </c>
      <c r="I510" s="1008" t="s">
        <v>3994</v>
      </c>
      <c r="J510" s="1008" t="s">
        <v>4752</v>
      </c>
      <c r="K510" s="1007" t="s">
        <v>2245</v>
      </c>
      <c r="L510" s="1009" t="s">
        <v>2226</v>
      </c>
      <c r="M510" s="1006" t="s">
        <v>4037</v>
      </c>
      <c r="N510" s="1009" t="s">
        <v>2231</v>
      </c>
      <c r="O510" s="1006" t="s">
        <v>4038</v>
      </c>
      <c r="P510" s="1009" t="s">
        <v>2354</v>
      </c>
      <c r="Q510" s="1006" t="s">
        <v>4038</v>
      </c>
      <c r="R510" s="1009" t="s">
        <v>2244</v>
      </c>
      <c r="S510" s="1006" t="s">
        <v>4128</v>
      </c>
      <c r="T510" s="1010" t="s">
        <v>2475</v>
      </c>
      <c r="U510" s="1010" t="s">
        <v>2571</v>
      </c>
      <c r="V510" s="952" t="s">
        <v>3914</v>
      </c>
      <c r="W510" s="952" t="s">
        <v>3914</v>
      </c>
    </row>
    <row r="511" spans="1:23" x14ac:dyDescent="0.2">
      <c r="A511" s="1006" t="s">
        <v>4983</v>
      </c>
      <c r="B511" s="1007">
        <v>2</v>
      </c>
      <c r="C511" s="1007">
        <v>4</v>
      </c>
      <c r="D511" s="1007">
        <v>5</v>
      </c>
      <c r="E511" s="1007">
        <v>2</v>
      </c>
      <c r="F511" s="1007">
        <v>4</v>
      </c>
      <c r="G511" s="1007">
        <v>7</v>
      </c>
      <c r="H511" s="1007">
        <v>1</v>
      </c>
      <c r="I511" s="1008" t="s">
        <v>3994</v>
      </c>
      <c r="J511" s="1008" t="s">
        <v>4752</v>
      </c>
      <c r="K511" s="1007" t="s">
        <v>2245</v>
      </c>
      <c r="L511" s="1009" t="s">
        <v>2226</v>
      </c>
      <c r="M511" s="1006" t="s">
        <v>4037</v>
      </c>
      <c r="N511" s="1009" t="s">
        <v>2231</v>
      </c>
      <c r="O511" s="1006" t="s">
        <v>4038</v>
      </c>
      <c r="P511" s="1009" t="s">
        <v>2354</v>
      </c>
      <c r="Q511" s="1006" t="s">
        <v>4038</v>
      </c>
      <c r="R511" s="1009" t="s">
        <v>2244</v>
      </c>
      <c r="S511" s="1006" t="s">
        <v>4128</v>
      </c>
      <c r="T511" s="1010" t="s">
        <v>2475</v>
      </c>
      <c r="U511" s="1010" t="s">
        <v>2571</v>
      </c>
      <c r="V511" s="952" t="s">
        <v>3914</v>
      </c>
      <c r="W511" s="952" t="s">
        <v>3914</v>
      </c>
    </row>
    <row r="512" spans="1:23" x14ac:dyDescent="0.2">
      <c r="A512" s="1006" t="s">
        <v>4984</v>
      </c>
      <c r="B512" s="1007">
        <v>4</v>
      </c>
      <c r="C512" s="1007">
        <v>6</v>
      </c>
      <c r="D512" s="1007">
        <v>10</v>
      </c>
      <c r="E512" s="1007">
        <v>3</v>
      </c>
      <c r="F512" s="1007">
        <v>6</v>
      </c>
      <c r="G512" s="1007">
        <v>11</v>
      </c>
      <c r="H512" s="1007">
        <v>1</v>
      </c>
      <c r="I512" s="1008" t="s">
        <v>3994</v>
      </c>
      <c r="J512" s="1008" t="s">
        <v>4752</v>
      </c>
      <c r="K512" s="1007" t="s">
        <v>2245</v>
      </c>
      <c r="L512" s="1009" t="s">
        <v>2226</v>
      </c>
      <c r="M512" s="1006" t="s">
        <v>4037</v>
      </c>
      <c r="N512" s="1009" t="s">
        <v>2231</v>
      </c>
      <c r="O512" s="1006" t="s">
        <v>4038</v>
      </c>
      <c r="P512" s="1009" t="s">
        <v>2354</v>
      </c>
      <c r="Q512" s="1006" t="s">
        <v>4038</v>
      </c>
      <c r="R512" s="1009" t="s">
        <v>2244</v>
      </c>
      <c r="S512" s="1006" t="s">
        <v>4128</v>
      </c>
      <c r="T512" s="1010" t="s">
        <v>2475</v>
      </c>
      <c r="U512" s="1010" t="s">
        <v>2571</v>
      </c>
      <c r="V512" s="952" t="s">
        <v>3914</v>
      </c>
      <c r="W512" s="952" t="s">
        <v>3914</v>
      </c>
    </row>
    <row r="513" spans="1:23" x14ac:dyDescent="0.2">
      <c r="A513" s="1006" t="s">
        <v>4985</v>
      </c>
      <c r="B513" s="1007">
        <v>6</v>
      </c>
      <c r="C513" s="1007">
        <v>9</v>
      </c>
      <c r="D513" s="1007">
        <v>10</v>
      </c>
      <c r="E513" s="1007">
        <v>4</v>
      </c>
      <c r="F513" s="1007">
        <v>8</v>
      </c>
      <c r="G513" s="1007">
        <v>14</v>
      </c>
      <c r="H513" s="1007">
        <v>1</v>
      </c>
      <c r="I513" s="1008" t="s">
        <v>3994</v>
      </c>
      <c r="J513" s="1008" t="s">
        <v>4752</v>
      </c>
      <c r="K513" s="1007" t="s">
        <v>2245</v>
      </c>
      <c r="L513" s="1009" t="s">
        <v>2226</v>
      </c>
      <c r="M513" s="1006" t="s">
        <v>4037</v>
      </c>
      <c r="N513" s="1009" t="s">
        <v>2231</v>
      </c>
      <c r="O513" s="1006" t="s">
        <v>4038</v>
      </c>
      <c r="P513" s="1009" t="s">
        <v>2354</v>
      </c>
      <c r="Q513" s="1006" t="s">
        <v>4038</v>
      </c>
      <c r="R513" s="1009" t="s">
        <v>2244</v>
      </c>
      <c r="S513" s="1006" t="s">
        <v>4128</v>
      </c>
      <c r="T513" s="1010" t="s">
        <v>2475</v>
      </c>
      <c r="U513" s="1010" t="s">
        <v>2571</v>
      </c>
      <c r="V513" s="952" t="s">
        <v>3914</v>
      </c>
      <c r="W513" s="952" t="s">
        <v>3914</v>
      </c>
    </row>
    <row r="514" spans="1:23" x14ac:dyDescent="0.2">
      <c r="A514" s="1006" t="s">
        <v>4986</v>
      </c>
      <c r="B514" s="1007">
        <v>8</v>
      </c>
      <c r="C514" s="1007">
        <v>11</v>
      </c>
      <c r="D514" s="1007">
        <v>15</v>
      </c>
      <c r="E514" s="1007">
        <v>6</v>
      </c>
      <c r="F514" s="1007">
        <v>12</v>
      </c>
      <c r="G514" s="1007">
        <v>21</v>
      </c>
      <c r="H514" s="1007">
        <v>2</v>
      </c>
      <c r="I514" s="1008" t="s">
        <v>3994</v>
      </c>
      <c r="J514" s="1008" t="s">
        <v>4752</v>
      </c>
      <c r="K514" s="1007" t="s">
        <v>2245</v>
      </c>
      <c r="L514" s="1009" t="s">
        <v>2226</v>
      </c>
      <c r="M514" s="1006" t="s">
        <v>4037</v>
      </c>
      <c r="N514" s="1009" t="s">
        <v>2231</v>
      </c>
      <c r="O514" s="1006" t="s">
        <v>4038</v>
      </c>
      <c r="P514" s="1009" t="s">
        <v>2354</v>
      </c>
      <c r="Q514" s="1006" t="s">
        <v>4038</v>
      </c>
      <c r="R514" s="1009" t="s">
        <v>2244</v>
      </c>
      <c r="S514" s="1006" t="s">
        <v>4128</v>
      </c>
      <c r="T514" s="1010" t="s">
        <v>2475</v>
      </c>
      <c r="U514" s="1010" t="s">
        <v>2571</v>
      </c>
      <c r="V514" s="952" t="s">
        <v>3914</v>
      </c>
      <c r="W514" s="952" t="s">
        <v>3914</v>
      </c>
    </row>
    <row r="515" spans="1:23" x14ac:dyDescent="0.2">
      <c r="A515" s="1006" t="s">
        <v>4987</v>
      </c>
      <c r="B515" s="1007">
        <v>10</v>
      </c>
      <c r="C515" s="1007">
        <v>13</v>
      </c>
      <c r="D515" s="1007">
        <v>20</v>
      </c>
      <c r="E515" s="1007">
        <v>8</v>
      </c>
      <c r="F515" s="1007">
        <v>16</v>
      </c>
      <c r="G515" s="1007">
        <v>28</v>
      </c>
      <c r="H515" s="1007">
        <v>2</v>
      </c>
      <c r="I515" s="1008" t="s">
        <v>3994</v>
      </c>
      <c r="J515" s="1008" t="s">
        <v>4752</v>
      </c>
      <c r="K515" s="1007" t="s">
        <v>2245</v>
      </c>
      <c r="L515" s="1009" t="s">
        <v>2226</v>
      </c>
      <c r="M515" s="1006" t="s">
        <v>4037</v>
      </c>
      <c r="N515" s="1009" t="s">
        <v>2231</v>
      </c>
      <c r="O515" s="1006" t="s">
        <v>4038</v>
      </c>
      <c r="P515" s="1009" t="s">
        <v>2354</v>
      </c>
      <c r="Q515" s="1006" t="s">
        <v>4038</v>
      </c>
      <c r="R515" s="1009" t="s">
        <v>2244</v>
      </c>
      <c r="S515" s="1006" t="s">
        <v>4128</v>
      </c>
      <c r="T515" s="1010" t="s">
        <v>2475</v>
      </c>
      <c r="U515" s="1010" t="s">
        <v>2571</v>
      </c>
      <c r="V515" s="952" t="s">
        <v>3914</v>
      </c>
      <c r="W515" s="952" t="s">
        <v>3914</v>
      </c>
    </row>
    <row r="516" spans="1:23" x14ac:dyDescent="0.2">
      <c r="A516" s="1006" t="s">
        <v>4988</v>
      </c>
      <c r="B516" s="1007">
        <v>12</v>
      </c>
      <c r="C516" s="1007">
        <v>15</v>
      </c>
      <c r="D516" s="1007">
        <v>25</v>
      </c>
      <c r="E516" s="1007">
        <v>10</v>
      </c>
      <c r="F516" s="1007">
        <v>20</v>
      </c>
      <c r="G516" s="1007">
        <v>35</v>
      </c>
      <c r="H516" s="1007">
        <v>2</v>
      </c>
      <c r="I516" s="1008" t="s">
        <v>3994</v>
      </c>
      <c r="J516" s="1008" t="s">
        <v>4752</v>
      </c>
      <c r="K516" s="1007" t="s">
        <v>2245</v>
      </c>
      <c r="L516" s="1009" t="s">
        <v>2226</v>
      </c>
      <c r="M516" s="1006" t="s">
        <v>4037</v>
      </c>
      <c r="N516" s="1009" t="s">
        <v>2231</v>
      </c>
      <c r="O516" s="1006" t="s">
        <v>4038</v>
      </c>
      <c r="P516" s="1009" t="s">
        <v>2354</v>
      </c>
      <c r="Q516" s="1006" t="s">
        <v>4038</v>
      </c>
      <c r="R516" s="1009" t="s">
        <v>2244</v>
      </c>
      <c r="S516" s="1006" t="s">
        <v>4128</v>
      </c>
      <c r="T516" s="1010" t="s">
        <v>2475</v>
      </c>
      <c r="U516" s="1010" t="s">
        <v>2571</v>
      </c>
      <c r="V516" s="952" t="s">
        <v>3914</v>
      </c>
      <c r="W516" s="952" t="s">
        <v>3914</v>
      </c>
    </row>
    <row r="517" spans="1:23" x14ac:dyDescent="0.2">
      <c r="A517" s="1006" t="s">
        <v>4989</v>
      </c>
      <c r="B517" s="1007">
        <v>14</v>
      </c>
      <c r="C517" s="1007">
        <v>18</v>
      </c>
      <c r="D517" s="1007">
        <v>30</v>
      </c>
      <c r="E517" s="1007">
        <v>12</v>
      </c>
      <c r="F517" s="1007">
        <v>24</v>
      </c>
      <c r="G517" s="1007">
        <v>42</v>
      </c>
      <c r="H517" s="1007">
        <v>3</v>
      </c>
      <c r="I517" s="1008" t="s">
        <v>3994</v>
      </c>
      <c r="J517" s="1008" t="s">
        <v>4752</v>
      </c>
      <c r="K517" s="1007" t="s">
        <v>2245</v>
      </c>
      <c r="L517" s="1009" t="s">
        <v>2226</v>
      </c>
      <c r="M517" s="1006" t="s">
        <v>4037</v>
      </c>
      <c r="N517" s="1009" t="s">
        <v>2231</v>
      </c>
      <c r="O517" s="1006" t="s">
        <v>4038</v>
      </c>
      <c r="P517" s="1009" t="s">
        <v>2354</v>
      </c>
      <c r="Q517" s="1006" t="s">
        <v>4038</v>
      </c>
      <c r="R517" s="1009" t="s">
        <v>2244</v>
      </c>
      <c r="S517" s="1006" t="s">
        <v>4128</v>
      </c>
      <c r="T517" s="1010" t="s">
        <v>2475</v>
      </c>
      <c r="U517" s="1010" t="s">
        <v>2571</v>
      </c>
      <c r="V517" s="952" t="s">
        <v>3914</v>
      </c>
      <c r="W517" s="952" t="s">
        <v>3914</v>
      </c>
    </row>
    <row r="518" spans="1:23" x14ac:dyDescent="0.2">
      <c r="A518" s="1012" t="s">
        <v>4990</v>
      </c>
      <c r="B518" s="1013"/>
      <c r="C518" s="1013"/>
      <c r="D518" s="1013"/>
      <c r="E518" s="1013"/>
      <c r="F518" s="1013"/>
      <c r="G518" s="1013"/>
      <c r="H518" s="1013"/>
      <c r="I518" s="1013"/>
      <c r="J518" s="1013"/>
      <c r="K518" s="1013"/>
      <c r="L518" s="1014"/>
      <c r="M518" s="1013"/>
      <c r="N518" s="1013"/>
      <c r="O518" s="1013"/>
      <c r="P518" s="1013"/>
      <c r="Q518" s="1013"/>
      <c r="R518" s="1013"/>
      <c r="S518" s="1013"/>
      <c r="T518" s="1013"/>
      <c r="U518" s="1013"/>
      <c r="V518" s="1013"/>
      <c r="W518" s="1007"/>
    </row>
    <row r="519" spans="1:23" x14ac:dyDescent="0.2">
      <c r="A519" s="1006" t="s">
        <v>4991</v>
      </c>
      <c r="B519" s="1007">
        <v>1</v>
      </c>
      <c r="C519" s="1007">
        <v>1</v>
      </c>
      <c r="D519" s="1007">
        <v>5</v>
      </c>
      <c r="E519" s="1007">
        <v>1</v>
      </c>
      <c r="F519" s="1007">
        <v>2</v>
      </c>
      <c r="G519" s="1007">
        <v>4</v>
      </c>
      <c r="H519" s="1007">
        <v>1</v>
      </c>
      <c r="I519" s="1007"/>
      <c r="J519" s="1007"/>
      <c r="K519" s="1007"/>
      <c r="L519" s="1016"/>
      <c r="M519" s="1007"/>
      <c r="N519" s="1007"/>
      <c r="O519" s="1007"/>
      <c r="P519" s="1007"/>
      <c r="Q519" s="1007"/>
      <c r="R519" s="1007"/>
      <c r="S519" s="1007"/>
      <c r="T519" s="1007"/>
      <c r="U519" s="1007"/>
      <c r="V519" s="1007"/>
      <c r="W519" s="1007"/>
    </row>
    <row r="520" spans="1:23" x14ac:dyDescent="0.2">
      <c r="A520" s="1006" t="s">
        <v>4992</v>
      </c>
      <c r="B520" s="1007">
        <v>2</v>
      </c>
      <c r="C520" s="1007">
        <v>2</v>
      </c>
      <c r="D520" s="1007">
        <v>10</v>
      </c>
      <c r="E520" s="1007">
        <v>1</v>
      </c>
      <c r="F520" s="1007">
        <v>2</v>
      </c>
      <c r="G520" s="1007">
        <v>4</v>
      </c>
      <c r="H520" s="1007">
        <v>1</v>
      </c>
      <c r="I520" s="1007"/>
      <c r="J520" s="1007"/>
      <c r="K520" s="1007"/>
      <c r="L520" s="1016"/>
      <c r="M520" s="1007"/>
      <c r="N520" s="1007"/>
      <c r="O520" s="1007"/>
      <c r="P520" s="1007"/>
      <c r="Q520" s="1007"/>
      <c r="R520" s="1007"/>
      <c r="S520" s="1007"/>
      <c r="T520" s="1007"/>
      <c r="U520" s="1007"/>
      <c r="V520" s="1007"/>
      <c r="W520" s="1007"/>
    </row>
    <row r="521" spans="1:23" x14ac:dyDescent="0.2">
      <c r="A521" s="1006" t="s">
        <v>4993</v>
      </c>
      <c r="B521" s="1007">
        <v>3</v>
      </c>
      <c r="C521" s="1007">
        <v>3</v>
      </c>
      <c r="D521" s="1007">
        <v>10</v>
      </c>
      <c r="E521" s="1007">
        <v>2</v>
      </c>
      <c r="F521" s="1007">
        <v>4</v>
      </c>
      <c r="G521" s="1007">
        <v>7</v>
      </c>
      <c r="H521" s="1007">
        <v>1</v>
      </c>
      <c r="I521" s="1007"/>
      <c r="J521" s="1007"/>
      <c r="K521" s="1007"/>
      <c r="L521" s="1016"/>
      <c r="M521" s="1007"/>
      <c r="N521" s="1007"/>
      <c r="O521" s="1007"/>
      <c r="P521" s="1007"/>
      <c r="Q521" s="1007"/>
      <c r="R521" s="1007"/>
      <c r="S521" s="1007"/>
      <c r="T521" s="1007"/>
      <c r="U521" s="1007"/>
      <c r="V521" s="1007"/>
      <c r="W521" s="1007"/>
    </row>
    <row r="522" spans="1:23" x14ac:dyDescent="0.2">
      <c r="A522" s="1006" t="s">
        <v>4994</v>
      </c>
      <c r="B522" s="1007">
        <v>4</v>
      </c>
      <c r="C522" s="1007">
        <v>4</v>
      </c>
      <c r="D522" s="1007">
        <v>15</v>
      </c>
      <c r="E522" s="1007">
        <v>2</v>
      </c>
      <c r="F522" s="1007">
        <v>4</v>
      </c>
      <c r="G522" s="1007">
        <v>7</v>
      </c>
      <c r="H522" s="1007">
        <v>1</v>
      </c>
      <c r="I522" s="1007"/>
      <c r="J522" s="1007"/>
      <c r="K522" s="1007"/>
      <c r="L522" s="1016"/>
      <c r="M522" s="1007"/>
      <c r="N522" s="1007"/>
      <c r="O522" s="1007"/>
      <c r="P522" s="1007"/>
      <c r="Q522" s="1007"/>
      <c r="R522" s="1007"/>
      <c r="S522" s="1007"/>
      <c r="T522" s="1007"/>
      <c r="U522" s="1007"/>
      <c r="V522" s="1007"/>
      <c r="W522" s="1007"/>
    </row>
    <row r="523" spans="1:23" x14ac:dyDescent="0.2">
      <c r="A523" s="1006" t="s">
        <v>4995</v>
      </c>
      <c r="B523" s="1007">
        <v>5</v>
      </c>
      <c r="C523" s="1007">
        <v>5</v>
      </c>
      <c r="D523" s="1007">
        <v>15</v>
      </c>
      <c r="E523" s="1007">
        <v>3</v>
      </c>
      <c r="F523" s="1007">
        <v>6</v>
      </c>
      <c r="G523" s="1007">
        <v>11</v>
      </c>
      <c r="H523" s="1007">
        <v>1</v>
      </c>
      <c r="I523" s="1007"/>
      <c r="J523" s="1007"/>
      <c r="K523" s="1007"/>
      <c r="L523" s="1016"/>
      <c r="M523" s="1007"/>
      <c r="N523" s="1007"/>
      <c r="O523" s="1007"/>
      <c r="P523" s="1007"/>
      <c r="Q523" s="1007"/>
      <c r="R523" s="1007"/>
      <c r="S523" s="1007"/>
      <c r="T523" s="1007"/>
      <c r="U523" s="1007"/>
      <c r="V523" s="1007"/>
      <c r="W523" s="1007"/>
    </row>
    <row r="524" spans="1:23" x14ac:dyDescent="0.2">
      <c r="A524" s="1006" t="s">
        <v>4996</v>
      </c>
      <c r="B524" s="1007">
        <v>6</v>
      </c>
      <c r="C524" s="1007">
        <v>6</v>
      </c>
      <c r="D524" s="1007">
        <v>20</v>
      </c>
      <c r="E524" s="1007">
        <v>3</v>
      </c>
      <c r="F524" s="1007">
        <v>6</v>
      </c>
      <c r="G524" s="1007">
        <v>11</v>
      </c>
      <c r="H524" s="1007">
        <v>2</v>
      </c>
      <c r="I524" s="1007"/>
      <c r="J524" s="1007"/>
      <c r="K524" s="1007"/>
      <c r="L524" s="1016"/>
      <c r="M524" s="1007"/>
      <c r="N524" s="1007"/>
      <c r="O524" s="1007"/>
      <c r="P524" s="1007"/>
      <c r="Q524" s="1007"/>
      <c r="R524" s="1007"/>
      <c r="S524" s="1007"/>
      <c r="T524" s="1007"/>
      <c r="U524" s="1007"/>
      <c r="V524" s="1007"/>
      <c r="W524" s="1007"/>
    </row>
    <row r="525" spans="1:23" x14ac:dyDescent="0.2">
      <c r="A525" s="1006" t="s">
        <v>4997</v>
      </c>
      <c r="B525" s="1007">
        <v>7</v>
      </c>
      <c r="C525" s="1007">
        <v>7</v>
      </c>
      <c r="D525" s="1007">
        <v>20</v>
      </c>
      <c r="E525" s="1007">
        <v>4</v>
      </c>
      <c r="F525" s="1007">
        <v>8</v>
      </c>
      <c r="G525" s="1007">
        <v>14</v>
      </c>
      <c r="H525" s="1007">
        <v>2</v>
      </c>
      <c r="I525" s="1007"/>
      <c r="J525" s="1007"/>
      <c r="K525" s="1007"/>
      <c r="L525" s="1016"/>
      <c r="M525" s="1007"/>
      <c r="N525" s="1007"/>
      <c r="O525" s="1007"/>
      <c r="P525" s="1007"/>
      <c r="Q525" s="1007"/>
      <c r="R525" s="1007"/>
      <c r="S525" s="1007"/>
      <c r="T525" s="1007"/>
      <c r="U525" s="1007"/>
      <c r="V525" s="1007"/>
      <c r="W525" s="1007"/>
    </row>
    <row r="526" spans="1:23" x14ac:dyDescent="0.2">
      <c r="A526" s="1006" t="s">
        <v>4998</v>
      </c>
      <c r="B526" s="1007">
        <v>8</v>
      </c>
      <c r="C526" s="1007">
        <v>8</v>
      </c>
      <c r="D526" s="1007">
        <v>30</v>
      </c>
      <c r="E526" s="1007">
        <v>4</v>
      </c>
      <c r="F526" s="1007">
        <v>8</v>
      </c>
      <c r="G526" s="1007">
        <v>14</v>
      </c>
      <c r="H526" s="1007">
        <v>3</v>
      </c>
      <c r="I526" s="1007"/>
      <c r="J526" s="1007"/>
      <c r="K526" s="1007"/>
      <c r="L526" s="1016"/>
      <c r="M526" s="1007"/>
      <c r="N526" s="1007"/>
      <c r="O526" s="1007"/>
      <c r="P526" s="1007"/>
      <c r="Q526" s="1007"/>
      <c r="R526" s="1007"/>
      <c r="S526" s="1007"/>
      <c r="T526" s="1007"/>
      <c r="U526" s="1007"/>
      <c r="V526" s="1007"/>
      <c r="W526" s="1007"/>
    </row>
    <row r="527" spans="1:23" x14ac:dyDescent="0.2">
      <c r="A527" s="1012" t="s">
        <v>4999</v>
      </c>
      <c r="B527" s="1013"/>
      <c r="C527" s="1013"/>
      <c r="D527" s="1013"/>
      <c r="E527" s="1013"/>
      <c r="F527" s="1013"/>
      <c r="G527" s="1013"/>
      <c r="H527" s="1013"/>
      <c r="I527" s="1013"/>
      <c r="J527" s="1013"/>
      <c r="K527" s="1013"/>
      <c r="L527" s="1014"/>
      <c r="M527" s="1013"/>
      <c r="N527" s="1013"/>
      <c r="O527" s="1013"/>
      <c r="P527" s="1013"/>
      <c r="Q527" s="1013"/>
      <c r="R527" s="1013"/>
      <c r="S527" s="1013"/>
      <c r="T527" s="1013"/>
      <c r="U527" s="1013"/>
      <c r="V527" s="1013"/>
      <c r="W527" s="1007"/>
    </row>
    <row r="528" spans="1:23" x14ac:dyDescent="0.2">
      <c r="A528" s="1006" t="s">
        <v>5000</v>
      </c>
      <c r="B528" s="1007">
        <v>2</v>
      </c>
      <c r="C528" s="1007">
        <v>2</v>
      </c>
      <c r="D528" s="1007">
        <v>10</v>
      </c>
      <c r="E528" s="1007">
        <v>2</v>
      </c>
      <c r="F528" s="1007">
        <v>4</v>
      </c>
      <c r="G528" s="1007">
        <v>7</v>
      </c>
      <c r="H528" s="1007">
        <v>1</v>
      </c>
      <c r="I528" s="1007"/>
      <c r="J528" s="1007"/>
      <c r="K528" s="1007"/>
      <c r="L528" s="1016"/>
      <c r="M528" s="1007"/>
      <c r="N528" s="1007"/>
      <c r="O528" s="1007"/>
      <c r="P528" s="1007"/>
      <c r="Q528" s="1007"/>
      <c r="R528" s="1007"/>
      <c r="S528" s="1007"/>
      <c r="T528" s="1007"/>
      <c r="U528" s="1007"/>
      <c r="V528" s="1007"/>
      <c r="W528" s="1007"/>
    </row>
    <row r="529" spans="1:23" x14ac:dyDescent="0.2">
      <c r="A529" s="1012" t="s">
        <v>5001</v>
      </c>
      <c r="B529" s="1013"/>
      <c r="C529" s="1013"/>
      <c r="D529" s="1013"/>
      <c r="E529" s="1013"/>
      <c r="F529" s="1013"/>
      <c r="G529" s="1013"/>
      <c r="H529" s="1013"/>
      <c r="I529" s="1013"/>
      <c r="J529" s="1013"/>
      <c r="K529" s="1013"/>
      <c r="L529" s="1014"/>
      <c r="M529" s="1013"/>
      <c r="N529" s="1013"/>
      <c r="O529" s="1013"/>
      <c r="P529" s="1013"/>
      <c r="Q529" s="1013"/>
      <c r="R529" s="1013"/>
      <c r="S529" s="1013"/>
      <c r="T529" s="1013"/>
      <c r="U529" s="1013"/>
      <c r="V529" s="1013"/>
      <c r="W529" s="1007"/>
    </row>
    <row r="530" spans="1:23" x14ac:dyDescent="0.2">
      <c r="A530" s="1006" t="s">
        <v>5002</v>
      </c>
      <c r="B530" s="1007">
        <v>3</v>
      </c>
      <c r="C530" s="1007">
        <v>3</v>
      </c>
      <c r="D530" s="1007">
        <v>10</v>
      </c>
      <c r="E530" s="1007">
        <v>2</v>
      </c>
      <c r="F530" s="1007">
        <v>4</v>
      </c>
      <c r="G530" s="1007">
        <v>7</v>
      </c>
      <c r="H530" s="1007">
        <v>1</v>
      </c>
      <c r="I530" s="1007"/>
      <c r="J530" s="1007"/>
      <c r="K530" s="1007"/>
      <c r="L530" s="1016"/>
      <c r="M530" s="1007"/>
      <c r="N530" s="1007"/>
      <c r="O530" s="1007"/>
      <c r="P530" s="1007"/>
      <c r="Q530" s="1007"/>
      <c r="R530" s="1007"/>
      <c r="S530" s="1007"/>
      <c r="T530" s="1007"/>
      <c r="U530" s="1007"/>
      <c r="V530" s="1007"/>
      <c r="W530" s="1007"/>
    </row>
    <row r="531" spans="1:23" x14ac:dyDescent="0.2">
      <c r="A531" s="1006" t="s">
        <v>5003</v>
      </c>
      <c r="B531" s="1007">
        <v>4</v>
      </c>
      <c r="C531" s="1007">
        <v>4</v>
      </c>
      <c r="D531" s="1007">
        <v>15</v>
      </c>
      <c r="E531" s="1007">
        <v>3</v>
      </c>
      <c r="F531" s="1007">
        <v>6</v>
      </c>
      <c r="G531" s="1007">
        <v>11</v>
      </c>
      <c r="H531" s="1007">
        <v>1</v>
      </c>
      <c r="I531" s="1007"/>
      <c r="J531" s="1007"/>
      <c r="K531" s="1007"/>
      <c r="L531" s="1016"/>
      <c r="M531" s="1007"/>
      <c r="N531" s="1007"/>
      <c r="O531" s="1007"/>
      <c r="P531" s="1007"/>
      <c r="Q531" s="1007"/>
      <c r="R531" s="1007"/>
      <c r="S531" s="1007"/>
      <c r="T531" s="1007"/>
      <c r="U531" s="1007"/>
      <c r="V531" s="1007"/>
      <c r="W531" s="1007"/>
    </row>
    <row r="532" spans="1:23" x14ac:dyDescent="0.2">
      <c r="A532" s="1006" t="s">
        <v>5004</v>
      </c>
      <c r="B532" s="1007">
        <v>6</v>
      </c>
      <c r="C532" s="1007">
        <v>6</v>
      </c>
      <c r="D532" s="1007">
        <v>20</v>
      </c>
      <c r="E532" s="1007">
        <v>4</v>
      </c>
      <c r="F532" s="1007">
        <v>8</v>
      </c>
      <c r="G532" s="1007">
        <v>14</v>
      </c>
      <c r="H532" s="1007">
        <v>1</v>
      </c>
      <c r="I532" s="1007"/>
      <c r="J532" s="1007"/>
      <c r="K532" s="1007"/>
      <c r="L532" s="1016"/>
      <c r="M532" s="1007"/>
      <c r="N532" s="1007"/>
      <c r="O532" s="1007"/>
      <c r="P532" s="1007"/>
      <c r="Q532" s="1007"/>
      <c r="R532" s="1007"/>
      <c r="S532" s="1007"/>
      <c r="T532" s="1007"/>
      <c r="U532" s="1007"/>
      <c r="V532" s="1007"/>
      <c r="W532" s="1007"/>
    </row>
    <row r="533" spans="1:23" x14ac:dyDescent="0.2">
      <c r="A533" s="848" t="s">
        <v>4275</v>
      </c>
      <c r="B533" s="1026"/>
      <c r="C533" s="1026"/>
      <c r="D533" s="1026"/>
      <c r="E533" s="1026"/>
      <c r="F533" s="1026"/>
      <c r="G533" s="1026"/>
      <c r="H533" s="1026"/>
      <c r="I533" s="1026"/>
      <c r="J533" s="1026"/>
      <c r="K533" s="1026"/>
      <c r="L533" s="1027"/>
      <c r="M533" s="1026"/>
      <c r="N533" s="1026"/>
      <c r="O533" s="1026"/>
      <c r="P533" s="1026"/>
      <c r="Q533" s="1026"/>
      <c r="R533" s="1026"/>
      <c r="S533" s="1026"/>
      <c r="T533" s="1026"/>
      <c r="U533" s="1026"/>
      <c r="V533" s="1026"/>
      <c r="W533" s="1007"/>
    </row>
    <row r="534" spans="1:23" x14ac:dyDescent="0.2">
      <c r="A534" s="1006" t="s">
        <v>5005</v>
      </c>
      <c r="B534" s="1007">
        <v>2</v>
      </c>
      <c r="C534" s="1007">
        <v>4</v>
      </c>
      <c r="D534" s="1007">
        <v>5</v>
      </c>
      <c r="E534" s="1007">
        <v>1</v>
      </c>
      <c r="F534" s="1007">
        <v>2</v>
      </c>
      <c r="G534" s="1007">
        <v>4</v>
      </c>
      <c r="H534" s="1007">
        <v>1</v>
      </c>
      <c r="I534" s="1008" t="s">
        <v>3994</v>
      </c>
      <c r="J534" s="1008" t="s">
        <v>2431</v>
      </c>
      <c r="K534" s="1007" t="s">
        <v>2244</v>
      </c>
      <c r="L534" s="1009" t="s">
        <v>2226</v>
      </c>
      <c r="M534" s="1006" t="s">
        <v>4038</v>
      </c>
      <c r="N534" s="1009" t="s">
        <v>2354</v>
      </c>
      <c r="O534" s="1006" t="s">
        <v>4037</v>
      </c>
      <c r="P534" s="1009" t="s">
        <v>2231</v>
      </c>
      <c r="Q534" s="1006" t="s">
        <v>4038</v>
      </c>
      <c r="R534" s="1009" t="s">
        <v>2236</v>
      </c>
      <c r="S534" s="1006" t="s">
        <v>4037</v>
      </c>
      <c r="T534" s="1010" t="s">
        <v>2475</v>
      </c>
      <c r="U534" s="1010" t="s">
        <v>2570</v>
      </c>
      <c r="V534" s="952" t="s">
        <v>3914</v>
      </c>
      <c r="W534" s="1007"/>
    </row>
    <row r="535" spans="1:23" x14ac:dyDescent="0.2">
      <c r="A535" s="1006" t="s">
        <v>5006</v>
      </c>
      <c r="B535" s="1007">
        <v>3</v>
      </c>
      <c r="C535" s="1007">
        <v>5</v>
      </c>
      <c r="D535" s="1007">
        <v>5</v>
      </c>
      <c r="E535" s="1007">
        <v>1</v>
      </c>
      <c r="F535" s="1007">
        <v>2</v>
      </c>
      <c r="G535" s="1007">
        <v>4</v>
      </c>
      <c r="H535" s="1007">
        <v>1</v>
      </c>
      <c r="I535" s="1008" t="s">
        <v>3994</v>
      </c>
      <c r="J535" s="1008" t="s">
        <v>2431</v>
      </c>
      <c r="K535" s="1007" t="s">
        <v>2244</v>
      </c>
      <c r="L535" s="1009" t="s">
        <v>2226</v>
      </c>
      <c r="M535" s="1006" t="s">
        <v>4038</v>
      </c>
      <c r="N535" s="1009" t="s">
        <v>2354</v>
      </c>
      <c r="O535" s="1006" t="s">
        <v>4037</v>
      </c>
      <c r="P535" s="1009" t="s">
        <v>2231</v>
      </c>
      <c r="Q535" s="1006" t="s">
        <v>4038</v>
      </c>
      <c r="R535" s="1009" t="s">
        <v>2236</v>
      </c>
      <c r="S535" s="1006" t="s">
        <v>4037</v>
      </c>
      <c r="T535" s="1010" t="s">
        <v>2475</v>
      </c>
      <c r="U535" s="1010" t="s">
        <v>2570</v>
      </c>
      <c r="V535" s="952" t="s">
        <v>3914</v>
      </c>
      <c r="W535" s="1007"/>
    </row>
    <row r="536" spans="1:23" x14ac:dyDescent="0.2">
      <c r="A536" s="1006" t="s">
        <v>5007</v>
      </c>
      <c r="B536" s="1007">
        <v>4</v>
      </c>
      <c r="C536" s="1007">
        <v>6</v>
      </c>
      <c r="D536" s="1007">
        <v>10</v>
      </c>
      <c r="E536" s="1007">
        <v>2</v>
      </c>
      <c r="F536" s="1007">
        <v>4</v>
      </c>
      <c r="G536" s="1007">
        <v>7</v>
      </c>
      <c r="H536" s="1007">
        <v>1</v>
      </c>
      <c r="I536" s="1008" t="s">
        <v>3994</v>
      </c>
      <c r="J536" s="1008" t="s">
        <v>2431</v>
      </c>
      <c r="K536" s="1007" t="s">
        <v>2244</v>
      </c>
      <c r="L536" s="1009" t="s">
        <v>2226</v>
      </c>
      <c r="M536" s="1006" t="s">
        <v>4038</v>
      </c>
      <c r="N536" s="1009" t="s">
        <v>2354</v>
      </c>
      <c r="O536" s="1006" t="s">
        <v>4037</v>
      </c>
      <c r="P536" s="1009" t="s">
        <v>2231</v>
      </c>
      <c r="Q536" s="1006" t="s">
        <v>4038</v>
      </c>
      <c r="R536" s="1009" t="s">
        <v>2236</v>
      </c>
      <c r="S536" s="1006" t="s">
        <v>4037</v>
      </c>
      <c r="T536" s="1010" t="s">
        <v>2475</v>
      </c>
      <c r="U536" s="1010" t="s">
        <v>2570</v>
      </c>
      <c r="V536" s="952" t="s">
        <v>3914</v>
      </c>
      <c r="W536" s="1007"/>
    </row>
    <row r="537" spans="1:23" x14ac:dyDescent="0.2">
      <c r="A537" s="1006" t="s">
        <v>5008</v>
      </c>
      <c r="B537" s="1007">
        <v>5</v>
      </c>
      <c r="C537" s="1007">
        <v>8</v>
      </c>
      <c r="D537" s="1007">
        <v>15</v>
      </c>
      <c r="E537" s="1007">
        <v>3</v>
      </c>
      <c r="F537" s="1007">
        <v>6</v>
      </c>
      <c r="G537" s="1007">
        <v>11</v>
      </c>
      <c r="H537" s="1007">
        <v>1</v>
      </c>
      <c r="I537" s="1008" t="s">
        <v>3994</v>
      </c>
      <c r="J537" s="1008" t="s">
        <v>2431</v>
      </c>
      <c r="K537" s="1007" t="s">
        <v>2244</v>
      </c>
      <c r="L537" s="1009" t="s">
        <v>2226</v>
      </c>
      <c r="M537" s="1006" t="s">
        <v>4038</v>
      </c>
      <c r="N537" s="1009" t="s">
        <v>2354</v>
      </c>
      <c r="O537" s="1006" t="s">
        <v>4037</v>
      </c>
      <c r="P537" s="1009" t="s">
        <v>2231</v>
      </c>
      <c r="Q537" s="1006" t="s">
        <v>4038</v>
      </c>
      <c r="R537" s="1009" t="s">
        <v>2236</v>
      </c>
      <c r="S537" s="1006" t="s">
        <v>4037</v>
      </c>
      <c r="T537" s="1010" t="s">
        <v>2475</v>
      </c>
      <c r="U537" s="1010" t="s">
        <v>2570</v>
      </c>
      <c r="V537" s="952" t="s">
        <v>3914</v>
      </c>
      <c r="W537" s="1007"/>
    </row>
    <row r="538" spans="1:23" x14ac:dyDescent="0.2">
      <c r="A538" s="1006" t="s">
        <v>5009</v>
      </c>
      <c r="B538" s="1007">
        <v>8</v>
      </c>
      <c r="C538" s="1007">
        <v>11</v>
      </c>
      <c r="D538" s="1007">
        <v>20</v>
      </c>
      <c r="E538" s="1007">
        <v>4</v>
      </c>
      <c r="F538" s="1007">
        <v>8</v>
      </c>
      <c r="G538" s="1007">
        <v>14</v>
      </c>
      <c r="H538" s="1007">
        <v>1</v>
      </c>
      <c r="I538" s="1008" t="s">
        <v>3994</v>
      </c>
      <c r="J538" s="1008" t="s">
        <v>2431</v>
      </c>
      <c r="K538" s="1007" t="s">
        <v>2244</v>
      </c>
      <c r="L538" s="1009" t="s">
        <v>2226</v>
      </c>
      <c r="M538" s="1006" t="s">
        <v>4038</v>
      </c>
      <c r="N538" s="1009" t="s">
        <v>2354</v>
      </c>
      <c r="O538" s="1006" t="s">
        <v>4037</v>
      </c>
      <c r="P538" s="1009" t="s">
        <v>2231</v>
      </c>
      <c r="Q538" s="1006" t="s">
        <v>4038</v>
      </c>
      <c r="R538" s="1009" t="s">
        <v>2236</v>
      </c>
      <c r="S538" s="1006" t="s">
        <v>4037</v>
      </c>
      <c r="T538" s="1010" t="s">
        <v>2475</v>
      </c>
      <c r="U538" s="1010" t="s">
        <v>2570</v>
      </c>
      <c r="V538" s="952" t="s">
        <v>3914</v>
      </c>
      <c r="W538" s="1007"/>
    </row>
    <row r="539" spans="1:23" x14ac:dyDescent="0.2">
      <c r="A539" s="1006" t="s">
        <v>5010</v>
      </c>
      <c r="B539" s="1007">
        <v>12</v>
      </c>
      <c r="C539" s="1007">
        <v>15</v>
      </c>
      <c r="D539" s="1007">
        <v>25</v>
      </c>
      <c r="E539" s="1007">
        <v>5</v>
      </c>
      <c r="F539" s="1007">
        <v>10</v>
      </c>
      <c r="G539" s="1007">
        <v>18</v>
      </c>
      <c r="H539" s="1007">
        <v>2</v>
      </c>
      <c r="I539" s="1008" t="s">
        <v>3994</v>
      </c>
      <c r="J539" s="1008" t="s">
        <v>2431</v>
      </c>
      <c r="K539" s="1007" t="s">
        <v>2244</v>
      </c>
      <c r="L539" s="1009" t="s">
        <v>2226</v>
      </c>
      <c r="M539" s="1006" t="s">
        <v>4038</v>
      </c>
      <c r="N539" s="1009" t="s">
        <v>2354</v>
      </c>
      <c r="O539" s="1006" t="s">
        <v>4037</v>
      </c>
      <c r="P539" s="1009" t="s">
        <v>2231</v>
      </c>
      <c r="Q539" s="1006" t="s">
        <v>4038</v>
      </c>
      <c r="R539" s="1009" t="s">
        <v>2236</v>
      </c>
      <c r="S539" s="1006" t="s">
        <v>4037</v>
      </c>
      <c r="T539" s="1010" t="s">
        <v>2475</v>
      </c>
      <c r="U539" s="1010" t="s">
        <v>2570</v>
      </c>
      <c r="V539" s="952" t="s">
        <v>3914</v>
      </c>
      <c r="W539" s="1007"/>
    </row>
    <row r="540" spans="1:23" x14ac:dyDescent="0.2">
      <c r="A540" s="1006" t="s">
        <v>5011</v>
      </c>
      <c r="B540" s="1007">
        <v>14</v>
      </c>
      <c r="C540" s="1007">
        <v>18</v>
      </c>
      <c r="D540" s="1007">
        <v>30</v>
      </c>
      <c r="E540" s="1007">
        <v>8</v>
      </c>
      <c r="F540" s="1007">
        <v>16</v>
      </c>
      <c r="G540" s="1007">
        <v>28</v>
      </c>
      <c r="H540" s="1007">
        <v>2</v>
      </c>
      <c r="I540" s="1008" t="s">
        <v>3994</v>
      </c>
      <c r="J540" s="1008" t="s">
        <v>2431</v>
      </c>
      <c r="K540" s="1007" t="s">
        <v>2244</v>
      </c>
      <c r="L540" s="1009" t="s">
        <v>2226</v>
      </c>
      <c r="M540" s="1006" t="s">
        <v>4038</v>
      </c>
      <c r="N540" s="1009" t="s">
        <v>2354</v>
      </c>
      <c r="O540" s="1006" t="s">
        <v>4037</v>
      </c>
      <c r="P540" s="1009" t="s">
        <v>2231</v>
      </c>
      <c r="Q540" s="1006" t="s">
        <v>4038</v>
      </c>
      <c r="R540" s="1009" t="s">
        <v>2236</v>
      </c>
      <c r="S540" s="1006" t="s">
        <v>4037</v>
      </c>
      <c r="T540" s="1010" t="s">
        <v>2475</v>
      </c>
      <c r="U540" s="1010" t="s">
        <v>2570</v>
      </c>
      <c r="V540" s="952" t="s">
        <v>3914</v>
      </c>
      <c r="W540" s="1007"/>
    </row>
    <row r="541" spans="1:23" x14ac:dyDescent="0.2">
      <c r="A541" s="1006" t="s">
        <v>5012</v>
      </c>
      <c r="B541" s="1007">
        <v>18</v>
      </c>
      <c r="C541" s="1007">
        <v>22</v>
      </c>
      <c r="D541" s="1007">
        <v>35</v>
      </c>
      <c r="E541" s="1007">
        <v>10</v>
      </c>
      <c r="F541" s="1007">
        <v>20</v>
      </c>
      <c r="G541" s="1007">
        <v>35</v>
      </c>
      <c r="H541" s="1007">
        <v>2</v>
      </c>
      <c r="I541" s="1008" t="s">
        <v>3994</v>
      </c>
      <c r="J541" s="1008" t="s">
        <v>2431</v>
      </c>
      <c r="K541" s="1007" t="s">
        <v>2244</v>
      </c>
      <c r="L541" s="1009" t="s">
        <v>2226</v>
      </c>
      <c r="M541" s="1006" t="s">
        <v>4038</v>
      </c>
      <c r="N541" s="1009" t="s">
        <v>2354</v>
      </c>
      <c r="O541" s="1006" t="s">
        <v>4037</v>
      </c>
      <c r="P541" s="1009" t="s">
        <v>2231</v>
      </c>
      <c r="Q541" s="1006" t="s">
        <v>4038</v>
      </c>
      <c r="R541" s="1009" t="s">
        <v>2236</v>
      </c>
      <c r="S541" s="1006" t="s">
        <v>4037</v>
      </c>
      <c r="T541" s="1010" t="s">
        <v>2475</v>
      </c>
      <c r="U541" s="1010" t="s">
        <v>2570</v>
      </c>
      <c r="V541" s="952" t="s">
        <v>3914</v>
      </c>
      <c r="W541" s="1007"/>
    </row>
    <row r="542" spans="1:23" x14ac:dyDescent="0.2">
      <c r="A542" s="1006" t="s">
        <v>5013</v>
      </c>
      <c r="B542" s="1007">
        <v>22</v>
      </c>
      <c r="C542" s="1007">
        <v>26</v>
      </c>
      <c r="D542" s="1007">
        <v>40</v>
      </c>
      <c r="E542" s="1007">
        <v>12</v>
      </c>
      <c r="F542" s="1007">
        <v>24</v>
      </c>
      <c r="G542" s="1007">
        <v>42</v>
      </c>
      <c r="H542" s="1007">
        <v>3</v>
      </c>
      <c r="I542" s="1008" t="s">
        <v>3994</v>
      </c>
      <c r="J542" s="1008" t="s">
        <v>2431</v>
      </c>
      <c r="K542" s="1007" t="s">
        <v>2244</v>
      </c>
      <c r="L542" s="1009" t="s">
        <v>2226</v>
      </c>
      <c r="M542" s="1006" t="s">
        <v>4038</v>
      </c>
      <c r="N542" s="1009" t="s">
        <v>2354</v>
      </c>
      <c r="O542" s="1006" t="s">
        <v>4037</v>
      </c>
      <c r="P542" s="1009" t="s">
        <v>2231</v>
      </c>
      <c r="Q542" s="1006" t="s">
        <v>4038</v>
      </c>
      <c r="R542" s="1009" t="s">
        <v>2236</v>
      </c>
      <c r="S542" s="1006" t="s">
        <v>4037</v>
      </c>
      <c r="T542" s="1010" t="s">
        <v>2475</v>
      </c>
      <c r="U542" s="1010" t="s">
        <v>2570</v>
      </c>
      <c r="V542" s="952" t="s">
        <v>3914</v>
      </c>
      <c r="W542" s="1007"/>
    </row>
    <row r="543" spans="1:23" x14ac:dyDescent="0.2">
      <c r="A543" s="1006" t="s">
        <v>5014</v>
      </c>
      <c r="B543" s="1007">
        <v>26</v>
      </c>
      <c r="C543" s="1007">
        <v>32</v>
      </c>
      <c r="D543" s="1007">
        <v>45</v>
      </c>
      <c r="E543" s="1007">
        <v>14</v>
      </c>
      <c r="F543" s="1007">
        <v>28</v>
      </c>
      <c r="G543" s="1007">
        <v>49</v>
      </c>
      <c r="H543" s="1007">
        <v>3</v>
      </c>
      <c r="I543" s="1008" t="s">
        <v>3994</v>
      </c>
      <c r="J543" s="1008" t="s">
        <v>2431</v>
      </c>
      <c r="K543" s="1007" t="s">
        <v>2244</v>
      </c>
      <c r="L543" s="1009" t="s">
        <v>2226</v>
      </c>
      <c r="M543" s="1006" t="s">
        <v>4038</v>
      </c>
      <c r="N543" s="1009" t="s">
        <v>2354</v>
      </c>
      <c r="O543" s="1006" t="s">
        <v>4037</v>
      </c>
      <c r="P543" s="1009" t="s">
        <v>2231</v>
      </c>
      <c r="Q543" s="1006" t="s">
        <v>4038</v>
      </c>
      <c r="R543" s="1009" t="s">
        <v>2236</v>
      </c>
      <c r="S543" s="1006" t="s">
        <v>4037</v>
      </c>
      <c r="T543" s="1010" t="s">
        <v>2475</v>
      </c>
      <c r="U543" s="1010" t="s">
        <v>2570</v>
      </c>
      <c r="V543" s="952" t="s">
        <v>3914</v>
      </c>
      <c r="W543" s="1007"/>
    </row>
    <row r="544" spans="1:23" x14ac:dyDescent="0.2">
      <c r="A544" s="1012" t="s">
        <v>4978</v>
      </c>
      <c r="B544" s="1013"/>
      <c r="C544" s="1013"/>
      <c r="D544" s="1013"/>
      <c r="E544" s="1013"/>
      <c r="F544" s="1013"/>
      <c r="G544" s="1013"/>
      <c r="H544" s="1013"/>
      <c r="I544" s="1013"/>
      <c r="J544" s="1013"/>
      <c r="K544" s="1013"/>
      <c r="L544" s="1014"/>
      <c r="M544" s="1013"/>
      <c r="N544" s="1013"/>
      <c r="O544" s="1013"/>
      <c r="P544" s="1013"/>
      <c r="Q544" s="1013"/>
      <c r="R544" s="1013"/>
      <c r="S544" s="1013"/>
      <c r="T544" s="1013"/>
      <c r="U544" s="1013"/>
      <c r="V544" s="1013"/>
      <c r="W544" s="1007"/>
    </row>
    <row r="545" spans="1:24" x14ac:dyDescent="0.2">
      <c r="A545" s="1006" t="s">
        <v>4979</v>
      </c>
      <c r="B545" s="1007">
        <v>1</v>
      </c>
      <c r="C545" s="1007">
        <v>1</v>
      </c>
      <c r="D545" s="1007">
        <v>5</v>
      </c>
      <c r="E545" s="1007">
        <v>1</v>
      </c>
      <c r="F545" s="1007">
        <v>2</v>
      </c>
      <c r="G545" s="1007">
        <v>4</v>
      </c>
      <c r="H545" s="1007"/>
      <c r="I545" s="1007"/>
      <c r="J545" s="1007"/>
      <c r="K545" s="1007"/>
      <c r="L545" s="1016"/>
      <c r="M545" s="1007"/>
      <c r="N545" s="1007"/>
      <c r="O545" s="1007"/>
      <c r="P545" s="1007"/>
      <c r="Q545" s="1007"/>
      <c r="R545" s="1007"/>
      <c r="S545" s="1007"/>
      <c r="T545" s="1007"/>
      <c r="U545" s="1007"/>
      <c r="V545" s="1007"/>
      <c r="W545" s="1007"/>
    </row>
    <row r="546" spans="1:24" x14ac:dyDescent="0.2">
      <c r="A546" s="1006" t="s">
        <v>4980</v>
      </c>
      <c r="B546" s="1007">
        <v>2</v>
      </c>
      <c r="C546" s="1007">
        <v>2</v>
      </c>
      <c r="D546" s="1007">
        <v>10</v>
      </c>
      <c r="E546" s="1007">
        <v>2</v>
      </c>
      <c r="F546" s="1007">
        <v>4</v>
      </c>
      <c r="G546" s="1007">
        <v>7</v>
      </c>
      <c r="H546" s="1007"/>
      <c r="I546" s="1007"/>
      <c r="J546" s="1007"/>
      <c r="K546" s="1007"/>
      <c r="L546" s="1016"/>
      <c r="M546" s="1007"/>
      <c r="N546" s="1007"/>
      <c r="O546" s="1007"/>
      <c r="P546" s="1007"/>
      <c r="Q546" s="1007"/>
      <c r="R546" s="1007"/>
      <c r="S546" s="1007"/>
      <c r="T546" s="1007"/>
      <c r="U546" s="1007"/>
      <c r="V546" s="1007"/>
      <c r="W546" s="1007"/>
    </row>
    <row r="547" spans="1:24" x14ac:dyDescent="0.2">
      <c r="A547" s="1006" t="s">
        <v>4981</v>
      </c>
      <c r="B547" s="1007">
        <v>4</v>
      </c>
      <c r="C547" s="1007">
        <v>4</v>
      </c>
      <c r="D547" s="1007">
        <v>15</v>
      </c>
      <c r="E547" s="1007">
        <v>3</v>
      </c>
      <c r="F547" s="1007">
        <v>6</v>
      </c>
      <c r="G547" s="1007">
        <v>11</v>
      </c>
      <c r="H547" s="1007"/>
      <c r="I547" s="1007"/>
      <c r="J547" s="1007"/>
      <c r="K547" s="1007"/>
      <c r="L547" s="1016"/>
      <c r="M547" s="1007"/>
      <c r="N547" s="1007"/>
      <c r="O547" s="1007"/>
      <c r="P547" s="1007"/>
      <c r="Q547" s="1007"/>
      <c r="R547" s="1007"/>
      <c r="S547" s="1007"/>
      <c r="T547" s="1007"/>
      <c r="U547" s="1007"/>
      <c r="V547" s="1007"/>
      <c r="W547" s="1007"/>
    </row>
    <row r="548" spans="1:24" x14ac:dyDescent="0.2">
      <c r="A548" s="848" t="s">
        <v>4277</v>
      </c>
      <c r="B548" s="1026"/>
      <c r="C548" s="1026"/>
      <c r="D548" s="1026"/>
      <c r="E548" s="1026"/>
      <c r="F548" s="1026"/>
      <c r="G548" s="1026"/>
      <c r="H548" s="1026"/>
      <c r="I548" s="1026"/>
      <c r="J548" s="1026"/>
      <c r="K548" s="1026"/>
      <c r="L548" s="1027"/>
      <c r="M548" s="1026"/>
      <c r="N548" s="1026"/>
      <c r="O548" s="1026"/>
      <c r="P548" s="1026"/>
      <c r="Q548" s="1026"/>
      <c r="R548" s="1026"/>
      <c r="S548" s="1026"/>
      <c r="T548" s="1026"/>
      <c r="U548" s="1026"/>
      <c r="V548" s="1026"/>
      <c r="W548" s="1007"/>
    </row>
    <row r="549" spans="1:24" x14ac:dyDescent="0.2">
      <c r="A549" s="1006" t="s">
        <v>5015</v>
      </c>
      <c r="B549" s="1007">
        <v>1</v>
      </c>
      <c r="C549" s="1007">
        <v>2</v>
      </c>
      <c r="D549" s="1007">
        <v>5</v>
      </c>
      <c r="E549" s="1007">
        <v>1</v>
      </c>
      <c r="F549" s="1007">
        <v>2</v>
      </c>
      <c r="G549" s="1007">
        <v>4</v>
      </c>
      <c r="H549" s="1007">
        <v>1</v>
      </c>
      <c r="I549" s="1008" t="s">
        <v>3989</v>
      </c>
      <c r="J549" s="1008" t="s">
        <v>1761</v>
      </c>
      <c r="K549" s="1007" t="s">
        <v>2244</v>
      </c>
      <c r="L549" s="1009" t="s">
        <v>2354</v>
      </c>
      <c r="M549" s="1006" t="s">
        <v>4772</v>
      </c>
      <c r="N549" s="1009" t="s">
        <v>2231</v>
      </c>
      <c r="O549" s="1006" t="s">
        <v>4772</v>
      </c>
      <c r="P549" s="1009" t="s">
        <v>2236</v>
      </c>
      <c r="Q549" s="1006" t="s">
        <v>4772</v>
      </c>
      <c r="R549" s="1009" t="s">
        <v>2245</v>
      </c>
      <c r="S549" s="1006" t="s">
        <v>4128</v>
      </c>
      <c r="T549" s="1010" t="s">
        <v>2570</v>
      </c>
      <c r="U549" s="1010" t="s">
        <v>2571</v>
      </c>
      <c r="V549" s="952" t="s">
        <v>3914</v>
      </c>
      <c r="W549" s="1007"/>
    </row>
    <row r="550" spans="1:24" x14ac:dyDescent="0.2">
      <c r="A550" s="1006" t="s">
        <v>5016</v>
      </c>
      <c r="B550" s="1007">
        <v>2</v>
      </c>
      <c r="C550" s="1007">
        <v>4</v>
      </c>
      <c r="D550" s="1007">
        <v>5</v>
      </c>
      <c r="E550" s="1007">
        <v>1</v>
      </c>
      <c r="F550" s="1007">
        <v>2</v>
      </c>
      <c r="G550" s="1007">
        <v>4</v>
      </c>
      <c r="H550" s="1007">
        <v>1</v>
      </c>
      <c r="I550" s="1008" t="s">
        <v>3989</v>
      </c>
      <c r="J550" s="1008" t="s">
        <v>1761</v>
      </c>
      <c r="K550" s="1007" t="s">
        <v>2244</v>
      </c>
      <c r="L550" s="1009" t="s">
        <v>2354</v>
      </c>
      <c r="M550" s="1006" t="s">
        <v>4772</v>
      </c>
      <c r="N550" s="1009" t="s">
        <v>2231</v>
      </c>
      <c r="O550" s="1006" t="s">
        <v>4772</v>
      </c>
      <c r="P550" s="1009" t="s">
        <v>2236</v>
      </c>
      <c r="Q550" s="1006" t="s">
        <v>4772</v>
      </c>
      <c r="R550" s="1009" t="s">
        <v>2245</v>
      </c>
      <c r="S550" s="1006" t="s">
        <v>4128</v>
      </c>
      <c r="T550" s="1010" t="s">
        <v>2570</v>
      </c>
      <c r="U550" s="1010" t="s">
        <v>2571</v>
      </c>
      <c r="V550" s="952" t="s">
        <v>3914</v>
      </c>
      <c r="W550" s="1007"/>
    </row>
    <row r="551" spans="1:24" x14ac:dyDescent="0.2">
      <c r="A551" s="1006" t="s">
        <v>5017</v>
      </c>
      <c r="B551" s="1007">
        <v>3</v>
      </c>
      <c r="C551" s="1007">
        <v>5</v>
      </c>
      <c r="D551" s="1007">
        <v>10</v>
      </c>
      <c r="E551" s="1007">
        <v>2</v>
      </c>
      <c r="F551" s="1007">
        <v>4</v>
      </c>
      <c r="G551" s="1007">
        <v>7</v>
      </c>
      <c r="H551" s="1007">
        <v>1</v>
      </c>
      <c r="I551" s="1008" t="s">
        <v>3989</v>
      </c>
      <c r="J551" s="1008" t="s">
        <v>1761</v>
      </c>
      <c r="K551" s="1007" t="s">
        <v>2244</v>
      </c>
      <c r="L551" s="1009" t="s">
        <v>2354</v>
      </c>
      <c r="M551" s="1006" t="s">
        <v>4772</v>
      </c>
      <c r="N551" s="1009" t="s">
        <v>2231</v>
      </c>
      <c r="O551" s="1006" t="s">
        <v>4772</v>
      </c>
      <c r="P551" s="1009" t="s">
        <v>2236</v>
      </c>
      <c r="Q551" s="1006" t="s">
        <v>4772</v>
      </c>
      <c r="R551" s="1009" t="s">
        <v>2245</v>
      </c>
      <c r="S551" s="1006" t="s">
        <v>4128</v>
      </c>
      <c r="T551" s="1010" t="s">
        <v>2570</v>
      </c>
      <c r="U551" s="1010" t="s">
        <v>2571</v>
      </c>
      <c r="V551" s="952" t="s">
        <v>3914</v>
      </c>
      <c r="W551" s="1007"/>
    </row>
    <row r="552" spans="1:24" x14ac:dyDescent="0.2">
      <c r="A552" s="1006" t="s">
        <v>5018</v>
      </c>
      <c r="B552" s="1007">
        <v>5</v>
      </c>
      <c r="C552" s="1007">
        <v>8</v>
      </c>
      <c r="D552" s="1007">
        <v>15</v>
      </c>
      <c r="E552" s="1007">
        <v>3</v>
      </c>
      <c r="F552" s="1007">
        <v>6</v>
      </c>
      <c r="G552" s="1007">
        <v>11</v>
      </c>
      <c r="H552" s="1007">
        <v>1</v>
      </c>
      <c r="I552" s="1008" t="s">
        <v>3989</v>
      </c>
      <c r="J552" s="1008" t="s">
        <v>1761</v>
      </c>
      <c r="K552" s="1007" t="s">
        <v>2244</v>
      </c>
      <c r="L552" s="1009" t="s">
        <v>2354</v>
      </c>
      <c r="M552" s="1006" t="s">
        <v>4772</v>
      </c>
      <c r="N552" s="1009" t="s">
        <v>2231</v>
      </c>
      <c r="O552" s="1006" t="s">
        <v>4772</v>
      </c>
      <c r="P552" s="1009" t="s">
        <v>2236</v>
      </c>
      <c r="Q552" s="1006" t="s">
        <v>4772</v>
      </c>
      <c r="R552" s="1009" t="s">
        <v>2245</v>
      </c>
      <c r="S552" s="1006" t="s">
        <v>4128</v>
      </c>
      <c r="T552" s="1010" t="s">
        <v>2570</v>
      </c>
      <c r="U552" s="1010" t="s">
        <v>2571</v>
      </c>
      <c r="V552" s="952" t="s">
        <v>3914</v>
      </c>
      <c r="W552" s="1007"/>
    </row>
    <row r="553" spans="1:24" x14ac:dyDescent="0.2">
      <c r="A553" s="1006" t="s">
        <v>5019</v>
      </c>
      <c r="B553" s="1007">
        <v>6</v>
      </c>
      <c r="C553" s="1007">
        <v>9</v>
      </c>
      <c r="D553" s="1007">
        <v>20</v>
      </c>
      <c r="E553" s="1007">
        <v>4</v>
      </c>
      <c r="F553" s="1007">
        <v>8</v>
      </c>
      <c r="G553" s="1007">
        <v>14</v>
      </c>
      <c r="H553" s="1007">
        <v>1</v>
      </c>
      <c r="I553" s="1008" t="s">
        <v>3989</v>
      </c>
      <c r="J553" s="1008" t="s">
        <v>1761</v>
      </c>
      <c r="K553" s="1007" t="s">
        <v>2244</v>
      </c>
      <c r="L553" s="1009" t="s">
        <v>2354</v>
      </c>
      <c r="M553" s="1006" t="s">
        <v>4772</v>
      </c>
      <c r="N553" s="1009" t="s">
        <v>2231</v>
      </c>
      <c r="O553" s="1006" t="s">
        <v>4772</v>
      </c>
      <c r="P553" s="1009" t="s">
        <v>2236</v>
      </c>
      <c r="Q553" s="1006" t="s">
        <v>4772</v>
      </c>
      <c r="R553" s="1009" t="s">
        <v>2245</v>
      </c>
      <c r="S553" s="1006" t="s">
        <v>4128</v>
      </c>
      <c r="T553" s="1010" t="s">
        <v>2570</v>
      </c>
      <c r="U553" s="1010" t="s">
        <v>2571</v>
      </c>
      <c r="V553" s="952" t="s">
        <v>3914</v>
      </c>
      <c r="W553" s="1007"/>
    </row>
    <row r="554" spans="1:24" x14ac:dyDescent="0.2">
      <c r="A554" s="1006" t="s">
        <v>5020</v>
      </c>
      <c r="B554" s="1007">
        <v>8</v>
      </c>
      <c r="C554" s="1007">
        <v>11</v>
      </c>
      <c r="D554" s="1007">
        <v>20</v>
      </c>
      <c r="E554" s="1007">
        <v>5</v>
      </c>
      <c r="F554" s="1007">
        <v>10</v>
      </c>
      <c r="G554" s="1007">
        <v>18</v>
      </c>
      <c r="H554" s="1007">
        <v>2</v>
      </c>
      <c r="I554" s="1008" t="s">
        <v>3989</v>
      </c>
      <c r="J554" s="1008" t="s">
        <v>1761</v>
      </c>
      <c r="K554" s="1007" t="s">
        <v>2244</v>
      </c>
      <c r="L554" s="1009" t="s">
        <v>2354</v>
      </c>
      <c r="M554" s="1006" t="s">
        <v>4772</v>
      </c>
      <c r="N554" s="1009" t="s">
        <v>2231</v>
      </c>
      <c r="O554" s="1006" t="s">
        <v>4772</v>
      </c>
      <c r="P554" s="1009" t="s">
        <v>2236</v>
      </c>
      <c r="Q554" s="1006" t="s">
        <v>4772</v>
      </c>
      <c r="R554" s="1009" t="s">
        <v>2245</v>
      </c>
      <c r="S554" s="1006" t="s">
        <v>4128</v>
      </c>
      <c r="T554" s="1010" t="s">
        <v>2570</v>
      </c>
      <c r="U554" s="1010" t="s">
        <v>2571</v>
      </c>
      <c r="V554" s="952" t="s">
        <v>3914</v>
      </c>
      <c r="W554" s="1007"/>
    </row>
    <row r="555" spans="1:24" x14ac:dyDescent="0.2">
      <c r="A555" s="1006" t="s">
        <v>5021</v>
      </c>
      <c r="B555" s="1007">
        <v>14</v>
      </c>
      <c r="C555" s="1007">
        <v>18</v>
      </c>
      <c r="D555" s="1007">
        <v>35</v>
      </c>
      <c r="E555" s="1007">
        <v>6</v>
      </c>
      <c r="F555" s="1007">
        <v>12</v>
      </c>
      <c r="G555" s="1007">
        <v>21</v>
      </c>
      <c r="H555" s="1007">
        <v>2</v>
      </c>
      <c r="I555" s="1008" t="s">
        <v>3989</v>
      </c>
      <c r="J555" s="1008" t="s">
        <v>1761</v>
      </c>
      <c r="K555" s="1007" t="s">
        <v>2244</v>
      </c>
      <c r="L555" s="1009" t="s">
        <v>2354</v>
      </c>
      <c r="M555" s="1006" t="s">
        <v>4772</v>
      </c>
      <c r="N555" s="1009" t="s">
        <v>2231</v>
      </c>
      <c r="O555" s="1006" t="s">
        <v>4772</v>
      </c>
      <c r="P555" s="1009" t="s">
        <v>2236</v>
      </c>
      <c r="Q555" s="1006" t="s">
        <v>4772</v>
      </c>
      <c r="R555" s="1009" t="s">
        <v>2245</v>
      </c>
      <c r="S555" s="1006" t="s">
        <v>4128</v>
      </c>
      <c r="T555" s="1010" t="s">
        <v>2570</v>
      </c>
      <c r="U555" s="1010" t="s">
        <v>2571</v>
      </c>
      <c r="V555" s="952" t="s">
        <v>3914</v>
      </c>
      <c r="W555" s="1007"/>
    </row>
    <row r="556" spans="1:24" x14ac:dyDescent="0.2">
      <c r="A556" s="1006" t="s">
        <v>5022</v>
      </c>
      <c r="B556" s="1007">
        <v>20</v>
      </c>
      <c r="C556" s="1007">
        <v>24</v>
      </c>
      <c r="D556" s="1007">
        <v>50</v>
      </c>
      <c r="E556" s="1007">
        <v>8</v>
      </c>
      <c r="F556" s="1007">
        <v>16</v>
      </c>
      <c r="G556" s="1007">
        <v>28</v>
      </c>
      <c r="H556" s="1007">
        <v>3</v>
      </c>
      <c r="I556" s="1008" t="s">
        <v>3989</v>
      </c>
      <c r="J556" s="1008" t="s">
        <v>1761</v>
      </c>
      <c r="K556" s="1007" t="s">
        <v>2244</v>
      </c>
      <c r="L556" s="1009" t="s">
        <v>2354</v>
      </c>
      <c r="M556" s="1006" t="s">
        <v>4772</v>
      </c>
      <c r="N556" s="1009" t="s">
        <v>2231</v>
      </c>
      <c r="O556" s="1006" t="s">
        <v>4772</v>
      </c>
      <c r="P556" s="1009" t="s">
        <v>2236</v>
      </c>
      <c r="Q556" s="1006" t="s">
        <v>4772</v>
      </c>
      <c r="R556" s="1009" t="s">
        <v>2245</v>
      </c>
      <c r="S556" s="1006" t="s">
        <v>4128</v>
      </c>
      <c r="T556" s="1010" t="s">
        <v>2570</v>
      </c>
      <c r="U556" s="1010" t="s">
        <v>2571</v>
      </c>
      <c r="V556" s="952" t="s">
        <v>3914</v>
      </c>
      <c r="W556" s="1007"/>
    </row>
    <row r="557" spans="1:24" x14ac:dyDescent="0.2">
      <c r="A557" s="1006" t="s">
        <v>5023</v>
      </c>
      <c r="B557" s="1007">
        <v>28</v>
      </c>
      <c r="C557" s="1007">
        <v>32</v>
      </c>
      <c r="D557" s="1007">
        <v>80</v>
      </c>
      <c r="E557" s="1007">
        <v>10</v>
      </c>
      <c r="F557" s="1007">
        <v>20</v>
      </c>
      <c r="G557" s="1007">
        <v>35</v>
      </c>
      <c r="H557" s="1007">
        <v>3</v>
      </c>
      <c r="I557" s="1008" t="s">
        <v>3989</v>
      </c>
      <c r="J557" s="1008" t="s">
        <v>1761</v>
      </c>
      <c r="K557" s="1007" t="s">
        <v>2244</v>
      </c>
      <c r="L557" s="1009" t="s">
        <v>2354</v>
      </c>
      <c r="M557" s="1006" t="s">
        <v>4772</v>
      </c>
      <c r="N557" s="1009" t="s">
        <v>2231</v>
      </c>
      <c r="O557" s="1006" t="s">
        <v>4772</v>
      </c>
      <c r="P557" s="1009" t="s">
        <v>2236</v>
      </c>
      <c r="Q557" s="1006" t="s">
        <v>4772</v>
      </c>
      <c r="R557" s="1009" t="s">
        <v>2245</v>
      </c>
      <c r="S557" s="1006" t="s">
        <v>4128</v>
      </c>
      <c r="T557" s="1010" t="s">
        <v>2570</v>
      </c>
      <c r="U557" s="1010" t="s">
        <v>2571</v>
      </c>
      <c r="V557" s="952" t="s">
        <v>3914</v>
      </c>
      <c r="W557" s="1007"/>
    </row>
    <row r="558" spans="1:24" x14ac:dyDescent="0.2">
      <c r="A558" s="1012" t="s">
        <v>5024</v>
      </c>
      <c r="B558" s="1013"/>
      <c r="C558" s="1013"/>
      <c r="D558" s="1013"/>
      <c r="E558" s="1013"/>
      <c r="F558" s="1013"/>
      <c r="G558" s="1013"/>
      <c r="H558" s="1013"/>
      <c r="I558" s="1013"/>
      <c r="J558" s="1013"/>
      <c r="K558" s="1013"/>
      <c r="L558" s="1014"/>
      <c r="M558" s="1013"/>
      <c r="N558" s="1013"/>
      <c r="O558" s="1013"/>
      <c r="P558" s="1013"/>
      <c r="Q558" s="1013"/>
      <c r="R558" s="1013"/>
      <c r="S558" s="1013"/>
      <c r="T558" s="1013"/>
      <c r="U558" s="1013"/>
      <c r="V558" s="1013"/>
      <c r="W558" s="1007"/>
    </row>
    <row r="559" spans="1:24" x14ac:dyDescent="0.2">
      <c r="A559" s="1006" t="s">
        <v>885</v>
      </c>
      <c r="B559" s="1007">
        <v>6</v>
      </c>
      <c r="C559" s="1007">
        <v>6</v>
      </c>
      <c r="D559" s="1007">
        <v>15</v>
      </c>
      <c r="E559" s="1007"/>
      <c r="F559" s="1007"/>
      <c r="G559" s="1007"/>
      <c r="H559" s="1007">
        <v>1</v>
      </c>
      <c r="I559" s="1007"/>
      <c r="J559" s="1007"/>
      <c r="K559" s="1007"/>
      <c r="L559" s="1016"/>
      <c r="M559" s="1007"/>
      <c r="N559" s="1007"/>
      <c r="O559" s="1007"/>
      <c r="P559" s="1007"/>
      <c r="Q559" s="1007"/>
      <c r="R559" s="1007"/>
      <c r="S559" s="1007"/>
      <c r="U559" s="1007"/>
      <c r="V559" s="1007"/>
      <c r="W559" s="1007"/>
      <c r="X559" s="1006" t="s">
        <v>885</v>
      </c>
    </row>
    <row r="560" spans="1:24" x14ac:dyDescent="0.2">
      <c r="A560" s="1006" t="s">
        <v>5025</v>
      </c>
      <c r="B560" s="1007">
        <v>14</v>
      </c>
      <c r="C560" s="1007">
        <v>14</v>
      </c>
      <c r="D560" s="1007">
        <v>40</v>
      </c>
      <c r="E560" s="1007"/>
      <c r="F560" s="1007"/>
      <c r="G560" s="1007"/>
      <c r="H560" s="1007">
        <v>2</v>
      </c>
      <c r="I560" s="1007"/>
      <c r="J560" s="1007"/>
      <c r="K560" s="1007"/>
      <c r="L560" s="1016"/>
      <c r="M560" s="1007"/>
      <c r="N560" s="1007"/>
      <c r="O560" s="1007"/>
      <c r="P560" s="1007"/>
      <c r="Q560" s="1007"/>
      <c r="R560" s="1007"/>
      <c r="S560" s="1007"/>
      <c r="T560" s="1007"/>
      <c r="U560" s="1007"/>
      <c r="V560" s="1007"/>
      <c r="W560" s="1007"/>
      <c r="X560" s="1006" t="s">
        <v>5025</v>
      </c>
    </row>
    <row r="561" spans="1:24" x14ac:dyDescent="0.2">
      <c r="A561" s="1006" t="s">
        <v>5026</v>
      </c>
      <c r="B561" s="1007">
        <v>14</v>
      </c>
      <c r="C561" s="1007">
        <v>14</v>
      </c>
      <c r="D561" s="1007">
        <v>40</v>
      </c>
      <c r="E561" s="1007"/>
      <c r="F561" s="1007"/>
      <c r="G561" s="1007"/>
      <c r="H561" s="1007">
        <v>2</v>
      </c>
      <c r="I561" s="1007"/>
      <c r="J561" s="1007"/>
      <c r="K561" s="1007"/>
      <c r="L561" s="1016"/>
      <c r="M561" s="1007"/>
      <c r="N561" s="1007"/>
      <c r="O561" s="1007"/>
      <c r="P561" s="1007"/>
      <c r="Q561" s="1007"/>
      <c r="R561" s="1007"/>
      <c r="S561" s="1007"/>
      <c r="T561" s="1007"/>
      <c r="U561" s="1007"/>
      <c r="V561" s="1007"/>
      <c r="W561" s="1007"/>
      <c r="X561" s="1006" t="s">
        <v>5026</v>
      </c>
    </row>
    <row r="562" spans="1:24" x14ac:dyDescent="0.2">
      <c r="A562" s="1006" t="s">
        <v>2432</v>
      </c>
      <c r="B562" s="1007">
        <v>1</v>
      </c>
      <c r="C562" s="1007">
        <v>1</v>
      </c>
      <c r="D562" s="1007">
        <v>5</v>
      </c>
      <c r="E562" s="1007"/>
      <c r="F562" s="1007"/>
      <c r="G562" s="1007"/>
      <c r="H562" s="1007">
        <v>1</v>
      </c>
      <c r="I562" s="1007"/>
      <c r="J562" s="1007"/>
      <c r="K562" s="1007"/>
      <c r="L562" s="1016"/>
      <c r="M562" s="1007"/>
      <c r="N562" s="1007"/>
      <c r="O562" s="1007"/>
      <c r="P562" s="1007"/>
      <c r="Q562" s="1007"/>
      <c r="R562" s="1007"/>
      <c r="S562" s="1007"/>
      <c r="T562" s="1007"/>
      <c r="U562" s="1007"/>
      <c r="V562" s="1007"/>
      <c r="W562" s="1007"/>
      <c r="X562" s="1006" t="s">
        <v>2432</v>
      </c>
    </row>
    <row r="563" spans="1:24" x14ac:dyDescent="0.2">
      <c r="A563" s="1006" t="s">
        <v>5027</v>
      </c>
      <c r="B563" s="1007">
        <v>5</v>
      </c>
      <c r="C563" s="1007">
        <v>5</v>
      </c>
      <c r="D563" s="1007">
        <v>10</v>
      </c>
      <c r="E563" s="1007"/>
      <c r="F563" s="1007"/>
      <c r="G563" s="1007"/>
      <c r="H563" s="1007">
        <v>1</v>
      </c>
      <c r="I563" s="1007"/>
      <c r="J563" s="1007"/>
      <c r="K563" s="1007"/>
      <c r="L563" s="1016"/>
      <c r="M563" s="1007"/>
      <c r="N563" s="1007"/>
      <c r="O563" s="1007"/>
      <c r="P563" s="1007"/>
      <c r="Q563" s="1007"/>
      <c r="R563" s="1007"/>
      <c r="S563" s="1007"/>
      <c r="T563" s="1007"/>
      <c r="U563" s="1007"/>
      <c r="V563" s="1007"/>
      <c r="W563" s="1007"/>
      <c r="X563" s="1006" t="s">
        <v>5027</v>
      </c>
    </row>
    <row r="564" spans="1:24" x14ac:dyDescent="0.2">
      <c r="A564" s="1006" t="s">
        <v>5028</v>
      </c>
      <c r="B564" s="1007">
        <v>3</v>
      </c>
      <c r="C564" s="1007">
        <v>3</v>
      </c>
      <c r="D564" s="1007">
        <v>10</v>
      </c>
      <c r="E564" s="1007"/>
      <c r="F564" s="1007"/>
      <c r="G564" s="1007"/>
      <c r="H564" s="1007">
        <v>1</v>
      </c>
      <c r="I564" s="1007"/>
      <c r="J564" s="1007"/>
      <c r="K564" s="1007"/>
      <c r="L564" s="1016"/>
      <c r="M564" s="1007"/>
      <c r="N564" s="1007"/>
      <c r="O564" s="1007"/>
      <c r="P564" s="1007"/>
      <c r="Q564" s="1007"/>
      <c r="R564" s="1007"/>
      <c r="S564" s="1007"/>
      <c r="T564" s="1007"/>
      <c r="U564" s="1007"/>
      <c r="V564" s="1007"/>
      <c r="W564" s="1007"/>
      <c r="X564" s="1006" t="s">
        <v>5028</v>
      </c>
    </row>
    <row r="565" spans="1:24" x14ac:dyDescent="0.2">
      <c r="A565" s="1006" t="s">
        <v>5029</v>
      </c>
      <c r="B565" s="1007">
        <v>6</v>
      </c>
      <c r="C565" s="1007">
        <v>6</v>
      </c>
      <c r="D565" s="1007">
        <v>15</v>
      </c>
      <c r="E565" s="1007"/>
      <c r="F565" s="1007"/>
      <c r="G565" s="1007"/>
      <c r="H565" s="1007">
        <v>1</v>
      </c>
      <c r="I565" s="1007"/>
      <c r="J565" s="1007"/>
      <c r="K565" s="1007"/>
      <c r="L565" s="1016"/>
      <c r="M565" s="1007"/>
      <c r="N565" s="1007"/>
      <c r="O565" s="1007"/>
      <c r="P565" s="1007"/>
      <c r="Q565" s="1007"/>
      <c r="R565" s="1007"/>
      <c r="S565" s="1007"/>
      <c r="T565" s="1007"/>
      <c r="U565" s="1007"/>
      <c r="V565" s="1007"/>
      <c r="W565" s="1007"/>
      <c r="X565" s="1006" t="s">
        <v>5029</v>
      </c>
    </row>
    <row r="566" spans="1:24" x14ac:dyDescent="0.2">
      <c r="A566" s="1006" t="s">
        <v>5030</v>
      </c>
      <c r="B566" s="1007">
        <v>8</v>
      </c>
      <c r="C566" s="1007">
        <v>8</v>
      </c>
      <c r="D566" s="1007">
        <v>15</v>
      </c>
      <c r="E566" s="1007"/>
      <c r="F566" s="1007"/>
      <c r="G566" s="1007"/>
      <c r="H566" s="1007">
        <v>2</v>
      </c>
      <c r="I566" s="1007"/>
      <c r="J566" s="1007"/>
      <c r="K566" s="1007"/>
      <c r="L566" s="1016"/>
      <c r="M566" s="1007"/>
      <c r="N566" s="1007"/>
      <c r="O566" s="1007"/>
      <c r="P566" s="1007"/>
      <c r="Q566" s="1007"/>
      <c r="R566" s="1007"/>
      <c r="S566" s="1007"/>
      <c r="T566" s="1007"/>
      <c r="U566" s="1007"/>
      <c r="V566" s="1007"/>
      <c r="W566" s="1007"/>
      <c r="X566" s="1006" t="s">
        <v>5030</v>
      </c>
    </row>
    <row r="567" spans="1:24" x14ac:dyDescent="0.2">
      <c r="A567" s="1006" t="s">
        <v>5031</v>
      </c>
      <c r="B567" s="1007">
        <v>8</v>
      </c>
      <c r="C567" s="1007">
        <v>8</v>
      </c>
      <c r="D567" s="1007">
        <v>20</v>
      </c>
      <c r="E567" s="1007"/>
      <c r="F567" s="1007"/>
      <c r="G567" s="1007"/>
      <c r="H567" s="1007">
        <v>1</v>
      </c>
      <c r="I567" s="1007"/>
      <c r="J567" s="1007"/>
      <c r="K567" s="1007"/>
      <c r="L567" s="1016"/>
      <c r="M567" s="1007"/>
      <c r="N567" s="1007"/>
      <c r="O567" s="1007"/>
      <c r="P567" s="1007"/>
      <c r="Q567" s="1007"/>
      <c r="R567" s="1007"/>
      <c r="S567" s="1007"/>
      <c r="T567" s="1007"/>
      <c r="U567" s="1007"/>
      <c r="V567" s="1007"/>
      <c r="W567" s="1007"/>
      <c r="X567" s="1006" t="s">
        <v>5031</v>
      </c>
    </row>
    <row r="568" spans="1:24" x14ac:dyDescent="0.2">
      <c r="A568" s="1006" t="s">
        <v>5032</v>
      </c>
      <c r="B568" s="1007">
        <v>6</v>
      </c>
      <c r="C568" s="1007">
        <v>6</v>
      </c>
      <c r="D568" s="1007">
        <v>10</v>
      </c>
      <c r="E568" s="1007"/>
      <c r="F568" s="1007"/>
      <c r="G568" s="1007"/>
      <c r="H568" s="1007">
        <v>1</v>
      </c>
      <c r="I568" s="1007"/>
      <c r="J568" s="1007"/>
      <c r="K568" s="1007"/>
      <c r="L568" s="1016"/>
      <c r="M568" s="1007"/>
      <c r="N568" s="1007"/>
      <c r="O568" s="1007"/>
      <c r="P568" s="1007"/>
      <c r="Q568" s="1007"/>
      <c r="R568" s="1007"/>
      <c r="S568" s="1007"/>
      <c r="T568" s="1007"/>
      <c r="U568" s="1007"/>
      <c r="V568" s="1007"/>
      <c r="W568" s="1007"/>
      <c r="X568" s="1006" t="s">
        <v>5032</v>
      </c>
    </row>
    <row r="569" spans="1:24" x14ac:dyDescent="0.2">
      <c r="A569" s="1006" t="s">
        <v>2582</v>
      </c>
      <c r="B569" s="1007">
        <v>7</v>
      </c>
      <c r="C569" s="1007">
        <v>7</v>
      </c>
      <c r="D569" s="1007">
        <v>10</v>
      </c>
      <c r="E569" s="1007"/>
      <c r="F569" s="1007"/>
      <c r="G569" s="1007"/>
      <c r="H569" s="1007">
        <v>1</v>
      </c>
      <c r="I569" s="1007"/>
      <c r="J569" s="1007"/>
      <c r="K569" s="1007"/>
      <c r="L569" s="1016"/>
      <c r="M569" s="1007"/>
      <c r="N569" s="1007"/>
      <c r="O569" s="1007"/>
      <c r="P569" s="1007"/>
      <c r="Q569" s="1007"/>
      <c r="R569" s="1007"/>
      <c r="S569" s="1007"/>
      <c r="T569" s="1007"/>
      <c r="U569" s="1007"/>
      <c r="V569" s="1007"/>
      <c r="W569" s="1007"/>
      <c r="X569" s="1006" t="s">
        <v>2582</v>
      </c>
    </row>
    <row r="570" spans="1:24" x14ac:dyDescent="0.2">
      <c r="A570" s="1006" t="s">
        <v>5033</v>
      </c>
      <c r="B570" s="1007">
        <v>11</v>
      </c>
      <c r="C570" s="1007">
        <v>11</v>
      </c>
      <c r="D570" s="1007">
        <v>20</v>
      </c>
      <c r="E570" s="1007"/>
      <c r="F570" s="1007"/>
      <c r="G570" s="1007"/>
      <c r="H570" s="1007">
        <v>1</v>
      </c>
      <c r="I570" s="1007"/>
      <c r="J570" s="1007"/>
      <c r="K570" s="1007"/>
      <c r="L570" s="1016"/>
      <c r="M570" s="1007"/>
      <c r="N570" s="1007"/>
      <c r="O570" s="1007"/>
      <c r="P570" s="1007"/>
      <c r="Q570" s="1007"/>
      <c r="R570" s="1007"/>
      <c r="S570" s="1007"/>
      <c r="T570" s="1007"/>
      <c r="U570" s="1007"/>
      <c r="V570" s="1007"/>
      <c r="W570" s="1007"/>
      <c r="X570" s="1006" t="s">
        <v>5033</v>
      </c>
    </row>
    <row r="571" spans="1:24" x14ac:dyDescent="0.2">
      <c r="A571" s="1006" t="s">
        <v>5034</v>
      </c>
      <c r="B571" s="1007">
        <v>9</v>
      </c>
      <c r="C571" s="1007">
        <v>9</v>
      </c>
      <c r="D571" s="1007">
        <v>15</v>
      </c>
      <c r="E571" s="1007"/>
      <c r="F571" s="1007"/>
      <c r="G571" s="1007"/>
      <c r="H571" s="1007">
        <v>1</v>
      </c>
      <c r="I571" s="1007"/>
      <c r="J571" s="1007"/>
      <c r="K571" s="1007"/>
      <c r="L571" s="1016"/>
      <c r="M571" s="1007"/>
      <c r="N571" s="1007"/>
      <c r="O571" s="1007"/>
      <c r="P571" s="1007"/>
      <c r="Q571" s="1007"/>
      <c r="R571" s="1007"/>
      <c r="S571" s="1007"/>
      <c r="T571" s="1007"/>
      <c r="U571" s="1007"/>
      <c r="V571" s="1007"/>
      <c r="W571" s="1007"/>
      <c r="X571" s="1006" t="s">
        <v>5034</v>
      </c>
    </row>
    <row r="572" spans="1:24" x14ac:dyDescent="0.2">
      <c r="A572" s="1006" t="s">
        <v>5035</v>
      </c>
      <c r="B572" s="1007">
        <v>12</v>
      </c>
      <c r="C572" s="1007">
        <v>12</v>
      </c>
      <c r="D572" s="1007">
        <v>35</v>
      </c>
      <c r="E572" s="1007"/>
      <c r="F572" s="1007"/>
      <c r="G572" s="1007"/>
      <c r="H572" s="1007">
        <v>2</v>
      </c>
      <c r="I572" s="1007"/>
      <c r="J572" s="1007"/>
      <c r="K572" s="1007"/>
      <c r="L572" s="1016"/>
      <c r="M572" s="1007"/>
      <c r="N572" s="1007"/>
      <c r="O572" s="1007"/>
      <c r="P572" s="1007"/>
      <c r="Q572" s="1007"/>
      <c r="R572" s="1007"/>
      <c r="S572" s="1007"/>
      <c r="T572" s="1007"/>
      <c r="U572" s="1007"/>
      <c r="V572" s="1007"/>
      <c r="W572" s="1007"/>
      <c r="X572" s="1006" t="s">
        <v>5035</v>
      </c>
    </row>
    <row r="573" spans="1:24" x14ac:dyDescent="0.2">
      <c r="A573" s="1006" t="s">
        <v>5036</v>
      </c>
      <c r="B573" s="1007">
        <v>3</v>
      </c>
      <c r="C573" s="1007">
        <v>3</v>
      </c>
      <c r="D573" s="1007">
        <v>10</v>
      </c>
      <c r="E573" s="1007"/>
      <c r="F573" s="1007"/>
      <c r="G573" s="1007"/>
      <c r="H573" s="1007">
        <v>1</v>
      </c>
      <c r="I573" s="1007"/>
      <c r="J573" s="1007"/>
      <c r="K573" s="1007"/>
      <c r="L573" s="1016"/>
      <c r="M573" s="1007"/>
      <c r="N573" s="1007"/>
      <c r="O573" s="1007"/>
      <c r="P573" s="1007"/>
      <c r="Q573" s="1007"/>
      <c r="R573" s="1007"/>
      <c r="S573" s="1007"/>
      <c r="T573" s="1007"/>
      <c r="U573" s="1007"/>
      <c r="V573" s="1007"/>
      <c r="W573" s="1007"/>
      <c r="X573" s="1006" t="s">
        <v>5036</v>
      </c>
    </row>
    <row r="574" spans="1:24" x14ac:dyDescent="0.2">
      <c r="A574" s="1006" t="s">
        <v>262</v>
      </c>
      <c r="B574" s="1007">
        <v>20</v>
      </c>
      <c r="C574" s="1007">
        <v>20</v>
      </c>
      <c r="D574" s="1007">
        <v>50</v>
      </c>
      <c r="E574" s="1007"/>
      <c r="F574" s="1007"/>
      <c r="G574" s="1007"/>
      <c r="H574" s="1007">
        <v>3</v>
      </c>
      <c r="I574" s="1007"/>
      <c r="J574" s="1007"/>
      <c r="K574" s="1007"/>
      <c r="L574" s="1016"/>
      <c r="M574" s="1007"/>
      <c r="N574" s="1007"/>
      <c r="O574" s="1007"/>
      <c r="P574" s="1007"/>
      <c r="Q574" s="1007"/>
      <c r="R574" s="1007"/>
      <c r="S574" s="1007"/>
      <c r="T574" s="1007"/>
      <c r="U574" s="1007"/>
      <c r="V574" s="1007"/>
      <c r="W574" s="1007"/>
      <c r="X574" s="1006" t="s">
        <v>262</v>
      </c>
    </row>
    <row r="575" spans="1:24" x14ac:dyDescent="0.2">
      <c r="A575" s="1006" t="s">
        <v>5037</v>
      </c>
      <c r="B575" s="1007">
        <v>6</v>
      </c>
      <c r="C575" s="1007">
        <v>6</v>
      </c>
      <c r="D575" s="1007">
        <v>10</v>
      </c>
      <c r="E575" s="1007"/>
      <c r="F575" s="1007"/>
      <c r="G575" s="1007"/>
      <c r="H575" s="1007">
        <v>1</v>
      </c>
      <c r="I575" s="1007"/>
      <c r="J575" s="1007"/>
      <c r="K575" s="1007"/>
      <c r="L575" s="1016"/>
      <c r="M575" s="1007"/>
      <c r="N575" s="1007"/>
      <c r="O575" s="1007"/>
      <c r="P575" s="1007"/>
      <c r="Q575" s="1007"/>
      <c r="R575" s="1007"/>
      <c r="S575" s="1007"/>
      <c r="T575" s="1007"/>
      <c r="U575" s="1007"/>
      <c r="V575" s="1007"/>
      <c r="W575" s="1007"/>
      <c r="X575" s="1006" t="s">
        <v>5037</v>
      </c>
    </row>
    <row r="576" spans="1:24" x14ac:dyDescent="0.2">
      <c r="A576" s="1006" t="s">
        <v>5038</v>
      </c>
      <c r="B576" s="1007">
        <v>12</v>
      </c>
      <c r="C576" s="1007">
        <v>12</v>
      </c>
      <c r="D576" s="1007">
        <v>20</v>
      </c>
      <c r="E576" s="1007"/>
      <c r="F576" s="1007"/>
      <c r="G576" s="1007"/>
      <c r="H576" s="1007">
        <v>2</v>
      </c>
      <c r="I576" s="1007"/>
      <c r="J576" s="1007"/>
      <c r="K576" s="1007"/>
      <c r="L576" s="1016"/>
      <c r="M576" s="1007"/>
      <c r="N576" s="1007"/>
      <c r="O576" s="1007"/>
      <c r="P576" s="1007"/>
      <c r="Q576" s="1007"/>
      <c r="R576" s="1007"/>
      <c r="S576" s="1007"/>
      <c r="T576" s="1007"/>
      <c r="U576" s="1007"/>
      <c r="V576" s="1007"/>
      <c r="W576" s="1007"/>
      <c r="X576" s="1006" t="s">
        <v>5038</v>
      </c>
    </row>
    <row r="577" spans="1:24" x14ac:dyDescent="0.2">
      <c r="A577" s="1006" t="s">
        <v>5039</v>
      </c>
      <c r="B577" s="1007">
        <v>4</v>
      </c>
      <c r="C577" s="1007">
        <v>4</v>
      </c>
      <c r="D577" s="1007">
        <v>5</v>
      </c>
      <c r="E577" s="1007"/>
      <c r="F577" s="1007"/>
      <c r="G577" s="1007"/>
      <c r="H577" s="1007">
        <v>1</v>
      </c>
      <c r="I577" s="1007"/>
      <c r="J577" s="1007"/>
      <c r="K577" s="1007"/>
      <c r="L577" s="1016"/>
      <c r="M577" s="1007"/>
      <c r="N577" s="1007"/>
      <c r="O577" s="1007"/>
      <c r="P577" s="1007"/>
      <c r="Q577" s="1007"/>
      <c r="R577" s="1007"/>
      <c r="S577" s="1007"/>
      <c r="T577" s="1007"/>
      <c r="U577" s="1007"/>
      <c r="V577" s="1007"/>
      <c r="W577" s="1007"/>
      <c r="X577" s="1006" t="s">
        <v>5039</v>
      </c>
    </row>
    <row r="578" spans="1:24" x14ac:dyDescent="0.2">
      <c r="A578" s="1006" t="s">
        <v>5040</v>
      </c>
      <c r="B578" s="1007">
        <v>1</v>
      </c>
      <c r="C578" s="1007">
        <v>1</v>
      </c>
      <c r="D578" s="1007">
        <v>5</v>
      </c>
      <c r="E578" s="1007"/>
      <c r="F578" s="1007"/>
      <c r="G578" s="1007"/>
      <c r="H578" s="1007">
        <v>1</v>
      </c>
      <c r="I578" s="1007"/>
      <c r="J578" s="1007"/>
      <c r="K578" s="1007"/>
      <c r="L578" s="1016"/>
      <c r="M578" s="1007"/>
      <c r="N578" s="1007"/>
      <c r="O578" s="1007"/>
      <c r="P578" s="1007"/>
      <c r="Q578" s="1007"/>
      <c r="R578" s="1007"/>
      <c r="S578" s="1007"/>
      <c r="T578" s="1007"/>
      <c r="U578" s="1007"/>
      <c r="V578" s="1007"/>
      <c r="W578" s="1007"/>
      <c r="X578" s="1006" t="s">
        <v>5040</v>
      </c>
    </row>
    <row r="579" spans="1:24" x14ac:dyDescent="0.2">
      <c r="A579" s="1006" t="s">
        <v>5041</v>
      </c>
      <c r="B579" s="1007">
        <v>5</v>
      </c>
      <c r="C579" s="1007">
        <v>5</v>
      </c>
      <c r="D579" s="1007">
        <v>15</v>
      </c>
      <c r="E579" s="1007"/>
      <c r="F579" s="1007"/>
      <c r="G579" s="1007"/>
      <c r="H579" s="1007">
        <v>1</v>
      </c>
      <c r="I579" s="1007"/>
      <c r="J579" s="1007"/>
      <c r="K579" s="1007"/>
      <c r="L579" s="1016"/>
      <c r="M579" s="1007"/>
      <c r="N579" s="1007"/>
      <c r="O579" s="1007"/>
      <c r="P579" s="1007"/>
      <c r="Q579" s="1007"/>
      <c r="R579" s="1007"/>
      <c r="S579" s="1007"/>
      <c r="T579" s="1007"/>
      <c r="U579" s="1007"/>
      <c r="V579" s="1007"/>
      <c r="W579" s="1007"/>
      <c r="X579" s="1006" t="s">
        <v>5041</v>
      </c>
    </row>
    <row r="580" spans="1:24" x14ac:dyDescent="0.2">
      <c r="A580" s="1006" t="s">
        <v>5042</v>
      </c>
      <c r="B580" s="1007">
        <v>2</v>
      </c>
      <c r="C580" s="1007">
        <v>2</v>
      </c>
      <c r="D580" s="1007">
        <v>10</v>
      </c>
      <c r="E580" s="1007"/>
      <c r="F580" s="1007"/>
      <c r="G580" s="1007"/>
      <c r="H580" s="1007">
        <v>1</v>
      </c>
      <c r="I580" s="1007"/>
      <c r="J580" s="1007"/>
      <c r="K580" s="1007"/>
      <c r="L580" s="1016"/>
      <c r="M580" s="1007"/>
      <c r="N580" s="1007"/>
      <c r="O580" s="1007"/>
      <c r="P580" s="1007"/>
      <c r="Q580" s="1007"/>
      <c r="R580" s="1007"/>
      <c r="S580" s="1007"/>
      <c r="T580" s="1007"/>
      <c r="U580" s="1007"/>
      <c r="V580" s="1007"/>
      <c r="W580" s="1007"/>
      <c r="X580" s="1006" t="s">
        <v>5042</v>
      </c>
    </row>
    <row r="581" spans="1:24" x14ac:dyDescent="0.2">
      <c r="A581" s="1006" t="s">
        <v>5043</v>
      </c>
      <c r="B581" s="1007">
        <v>2</v>
      </c>
      <c r="C581" s="1007">
        <v>2</v>
      </c>
      <c r="D581" s="1007">
        <v>10</v>
      </c>
      <c r="E581" s="1007"/>
      <c r="F581" s="1007"/>
      <c r="G581" s="1007"/>
      <c r="H581" s="1007">
        <v>1</v>
      </c>
      <c r="I581" s="1007"/>
      <c r="J581" s="1007"/>
      <c r="K581" s="1007"/>
      <c r="L581" s="1016"/>
      <c r="M581" s="1007"/>
      <c r="N581" s="1007"/>
      <c r="O581" s="1007"/>
      <c r="P581" s="1007"/>
      <c r="Q581" s="1007"/>
      <c r="R581" s="1007"/>
      <c r="S581" s="1007"/>
      <c r="T581" s="1007"/>
      <c r="U581" s="1007"/>
      <c r="V581" s="1007"/>
      <c r="W581" s="1007"/>
      <c r="X581" s="1006" t="s">
        <v>5043</v>
      </c>
    </row>
    <row r="582" spans="1:24" x14ac:dyDescent="0.2">
      <c r="A582" s="1006" t="s">
        <v>5044</v>
      </c>
      <c r="B582" s="1007">
        <v>2</v>
      </c>
      <c r="C582" s="1007">
        <v>2</v>
      </c>
      <c r="D582" s="1007">
        <v>10</v>
      </c>
      <c r="E582" s="1007"/>
      <c r="F582" s="1007"/>
      <c r="G582" s="1007"/>
      <c r="H582" s="1007">
        <v>1</v>
      </c>
      <c r="I582" s="1007"/>
      <c r="J582" s="1007"/>
      <c r="K582" s="1007"/>
      <c r="L582" s="1016"/>
      <c r="M582" s="1007"/>
      <c r="N582" s="1007"/>
      <c r="O582" s="1007"/>
      <c r="P582" s="1007"/>
      <c r="Q582" s="1007"/>
      <c r="R582" s="1007"/>
      <c r="S582" s="1007"/>
      <c r="T582" s="1007"/>
      <c r="U582" s="1007"/>
      <c r="V582" s="1007"/>
      <c r="W582" s="1007"/>
      <c r="X582" s="1006" t="s">
        <v>5044</v>
      </c>
    </row>
    <row r="583" spans="1:24" x14ac:dyDescent="0.2">
      <c r="A583" s="1006" t="s">
        <v>1076</v>
      </c>
      <c r="B583" s="1007">
        <v>6</v>
      </c>
      <c r="C583" s="1007">
        <v>6</v>
      </c>
      <c r="D583" s="1007">
        <v>15</v>
      </c>
      <c r="E583" s="1007"/>
      <c r="F583" s="1007"/>
      <c r="G583" s="1007"/>
      <c r="H583" s="1007">
        <v>1</v>
      </c>
      <c r="I583" s="1007"/>
      <c r="J583" s="1007"/>
      <c r="K583" s="1007"/>
      <c r="L583" s="1016"/>
      <c r="M583" s="1007"/>
      <c r="N583" s="1007"/>
      <c r="O583" s="1007"/>
      <c r="P583" s="1007"/>
      <c r="Q583" s="1007"/>
      <c r="R583" s="1007"/>
      <c r="S583" s="1007"/>
      <c r="T583" s="1007"/>
      <c r="U583" s="1007"/>
      <c r="V583" s="1007"/>
      <c r="W583" s="1007"/>
      <c r="X583" s="1006" t="s">
        <v>1076</v>
      </c>
    </row>
    <row r="584" spans="1:24" x14ac:dyDescent="0.2">
      <c r="A584" s="1012" t="s">
        <v>5045</v>
      </c>
      <c r="B584" s="1013"/>
      <c r="C584" s="1013"/>
      <c r="D584" s="1013"/>
      <c r="E584" s="1013"/>
      <c r="F584" s="1013"/>
      <c r="G584" s="1013"/>
      <c r="H584" s="1013"/>
      <c r="I584" s="1013"/>
      <c r="J584" s="1013"/>
      <c r="K584" s="1013"/>
      <c r="L584" s="1014"/>
      <c r="M584" s="1013"/>
      <c r="N584" s="1013"/>
      <c r="O584" s="1013"/>
      <c r="P584" s="1013"/>
      <c r="Q584" s="1013"/>
      <c r="R584" s="1013"/>
      <c r="S584" s="1013"/>
      <c r="T584" s="1013"/>
      <c r="U584" s="1013"/>
      <c r="V584" s="1013"/>
      <c r="W584" s="1007"/>
    </row>
    <row r="585" spans="1:24" x14ac:dyDescent="0.2">
      <c r="A585" s="1006" t="s">
        <v>5046</v>
      </c>
      <c r="B585" s="1007">
        <v>0</v>
      </c>
      <c r="C585" s="1007">
        <v>0</v>
      </c>
      <c r="D585" s="1007">
        <v>0</v>
      </c>
      <c r="E585" s="1007"/>
      <c r="F585" s="1007"/>
      <c r="G585" s="1007"/>
      <c r="H585" s="1007">
        <v>1</v>
      </c>
      <c r="I585" s="1007"/>
      <c r="J585" s="1007"/>
      <c r="K585" s="1007"/>
      <c r="L585" s="1016"/>
      <c r="M585" s="1007"/>
      <c r="N585" s="1007"/>
      <c r="O585" s="1007"/>
      <c r="P585" s="1007"/>
      <c r="Q585" s="1007"/>
      <c r="R585" s="1007"/>
      <c r="S585" s="1007"/>
      <c r="T585" s="1007"/>
      <c r="U585" s="1007"/>
      <c r="V585" s="1007"/>
      <c r="W585" s="1007"/>
    </row>
    <row r="586" spans="1:24" x14ac:dyDescent="0.2">
      <c r="A586" s="1006" t="s">
        <v>5047</v>
      </c>
      <c r="B586" s="1007">
        <v>1</v>
      </c>
      <c r="C586" s="1007">
        <v>1</v>
      </c>
      <c r="D586" s="1007">
        <v>10</v>
      </c>
      <c r="E586" s="1007"/>
      <c r="F586" s="1007"/>
      <c r="G586" s="1007"/>
      <c r="H586" s="1007">
        <v>1</v>
      </c>
      <c r="I586" s="1007"/>
      <c r="J586" s="1007"/>
      <c r="K586" s="1007"/>
      <c r="L586" s="1016"/>
      <c r="M586" s="1007"/>
      <c r="N586" s="1007"/>
      <c r="O586" s="1007"/>
      <c r="P586" s="1007"/>
      <c r="Q586" s="1007"/>
      <c r="R586" s="1007"/>
      <c r="S586" s="1007"/>
      <c r="T586" s="1007"/>
      <c r="U586" s="1007"/>
      <c r="V586" s="1007"/>
      <c r="W586" s="1007"/>
    </row>
    <row r="587" spans="1:24" x14ac:dyDescent="0.2">
      <c r="A587" s="1006" t="s">
        <v>5048</v>
      </c>
      <c r="B587" s="1007">
        <v>2</v>
      </c>
      <c r="C587" s="1007">
        <v>2</v>
      </c>
      <c r="D587" s="1007">
        <v>5</v>
      </c>
      <c r="E587" s="1007"/>
      <c r="F587" s="1007"/>
      <c r="G587" s="1007"/>
      <c r="H587" s="1007">
        <v>1</v>
      </c>
      <c r="I587" s="1007"/>
      <c r="J587" s="1007"/>
      <c r="K587" s="1007"/>
      <c r="L587" s="1016"/>
      <c r="M587" s="1007"/>
      <c r="N587" s="1007"/>
      <c r="O587" s="1007"/>
      <c r="P587" s="1007"/>
      <c r="Q587" s="1007"/>
      <c r="R587" s="1007"/>
      <c r="S587" s="1007"/>
      <c r="T587" s="1007"/>
      <c r="U587" s="1007"/>
      <c r="V587" s="1007"/>
      <c r="W587" s="1007"/>
    </row>
    <row r="588" spans="1:24" x14ac:dyDescent="0.2">
      <c r="A588" s="1006" t="s">
        <v>5049</v>
      </c>
      <c r="B588" s="1007">
        <v>8</v>
      </c>
      <c r="C588" s="1007">
        <v>8</v>
      </c>
      <c r="D588" s="1007">
        <v>15</v>
      </c>
      <c r="E588" s="1007"/>
      <c r="F588" s="1007"/>
      <c r="G588" s="1007"/>
      <c r="H588" s="1007">
        <v>1</v>
      </c>
      <c r="I588" s="1007"/>
      <c r="J588" s="1007"/>
      <c r="K588" s="1007"/>
      <c r="L588" s="1016"/>
      <c r="M588" s="1007"/>
      <c r="N588" s="1007"/>
      <c r="O588" s="1007"/>
      <c r="P588" s="1007"/>
      <c r="Q588" s="1007"/>
      <c r="R588" s="1007"/>
      <c r="S588" s="1007"/>
      <c r="T588" s="1007"/>
      <c r="U588" s="1007"/>
      <c r="V588" s="1007"/>
      <c r="W588" s="1007"/>
    </row>
    <row r="589" spans="1:24" x14ac:dyDescent="0.2">
      <c r="A589" s="1006" t="s">
        <v>5050</v>
      </c>
      <c r="B589" s="1007">
        <v>12</v>
      </c>
      <c r="C589" s="1007">
        <v>12</v>
      </c>
      <c r="D589" s="1007">
        <v>30</v>
      </c>
      <c r="E589" s="1007"/>
      <c r="F589" s="1007"/>
      <c r="G589" s="1007"/>
      <c r="H589" s="1007">
        <v>2</v>
      </c>
      <c r="I589" s="1007"/>
      <c r="J589" s="1007"/>
      <c r="K589" s="1007"/>
      <c r="L589" s="1016"/>
      <c r="M589" s="1007"/>
      <c r="N589" s="1007"/>
      <c r="O589" s="1007"/>
      <c r="P589" s="1007"/>
      <c r="Q589" s="1007"/>
      <c r="R589" s="1007"/>
      <c r="S589" s="1007"/>
      <c r="T589" s="1007"/>
      <c r="U589" s="1007"/>
      <c r="V589" s="1007"/>
      <c r="W589" s="1007"/>
    </row>
    <row r="590" spans="1:24" x14ac:dyDescent="0.2">
      <c r="A590" s="1006" t="s">
        <v>5051</v>
      </c>
      <c r="B590" s="1007">
        <v>16</v>
      </c>
      <c r="C590" s="1007">
        <v>16</v>
      </c>
      <c r="D590" s="1007">
        <v>40</v>
      </c>
      <c r="E590" s="1007"/>
      <c r="F590" s="1007"/>
      <c r="G590" s="1007"/>
      <c r="H590" s="1007">
        <v>3</v>
      </c>
      <c r="I590" s="1007"/>
      <c r="J590" s="1007"/>
      <c r="K590" s="1007"/>
      <c r="L590" s="1016"/>
      <c r="M590" s="1007"/>
      <c r="N590" s="1007"/>
      <c r="O590" s="1007"/>
      <c r="P590" s="1007"/>
      <c r="Q590" s="1007"/>
      <c r="R590" s="1007"/>
      <c r="S590" s="1007"/>
      <c r="T590" s="1007"/>
      <c r="U590" s="1007"/>
      <c r="V590" s="1007"/>
      <c r="W590" s="1007"/>
    </row>
    <row r="591" spans="1:24" x14ac:dyDescent="0.2">
      <c r="A591" s="1006" t="s">
        <v>5052</v>
      </c>
      <c r="B591" s="1007">
        <v>20</v>
      </c>
      <c r="C591" s="1007">
        <v>20</v>
      </c>
      <c r="D591" s="1007">
        <v>50</v>
      </c>
      <c r="E591" s="1007"/>
      <c r="F591" s="1007"/>
      <c r="G591" s="1007"/>
      <c r="H591" s="1007">
        <v>3</v>
      </c>
      <c r="I591" s="1007"/>
      <c r="J591" s="1007"/>
      <c r="K591" s="1007"/>
      <c r="L591" s="1016"/>
      <c r="M591" s="1007"/>
      <c r="N591" s="1007"/>
      <c r="O591" s="1007"/>
      <c r="P591" s="1007"/>
      <c r="Q591" s="1007"/>
      <c r="R591" s="1007"/>
      <c r="S591" s="1007"/>
      <c r="T591" s="1007"/>
      <c r="U591" s="1007"/>
      <c r="V591" s="1007"/>
      <c r="W591" s="1007"/>
    </row>
    <row r="592" spans="1:24" x14ac:dyDescent="0.2">
      <c r="A592" s="1006" t="s">
        <v>5053</v>
      </c>
      <c r="B592" s="1007">
        <v>13</v>
      </c>
      <c r="C592" s="1007">
        <v>13</v>
      </c>
      <c r="D592" s="1007">
        <v>35</v>
      </c>
      <c r="E592" s="1007"/>
      <c r="F592" s="1007"/>
      <c r="G592" s="1007"/>
      <c r="H592" s="1007">
        <v>2</v>
      </c>
      <c r="I592" s="1007"/>
      <c r="J592" s="1007"/>
      <c r="K592" s="1007"/>
      <c r="L592" s="1016"/>
      <c r="M592" s="1007"/>
      <c r="N592" s="1007"/>
      <c r="O592" s="1007"/>
      <c r="P592" s="1007"/>
      <c r="Q592" s="1007"/>
      <c r="R592" s="1007"/>
      <c r="S592" s="1007"/>
      <c r="T592" s="1007"/>
      <c r="U592" s="1007"/>
      <c r="V592" s="1007"/>
      <c r="W592" s="1007"/>
    </row>
    <row r="593" spans="1:23" x14ac:dyDescent="0.2">
      <c r="A593" s="1006" t="s">
        <v>5054</v>
      </c>
      <c r="B593" s="1007">
        <v>18</v>
      </c>
      <c r="C593" s="1007">
        <v>18</v>
      </c>
      <c r="D593" s="1007">
        <v>45</v>
      </c>
      <c r="E593" s="1007"/>
      <c r="F593" s="1007"/>
      <c r="G593" s="1007"/>
      <c r="H593" s="1007">
        <v>3</v>
      </c>
      <c r="I593" s="1007"/>
      <c r="J593" s="1007"/>
      <c r="K593" s="1007"/>
      <c r="L593" s="1016"/>
      <c r="M593" s="1007"/>
      <c r="N593" s="1007"/>
      <c r="O593" s="1007"/>
      <c r="P593" s="1007"/>
      <c r="Q593" s="1007"/>
      <c r="R593" s="1007"/>
      <c r="S593" s="1007"/>
      <c r="T593" s="1007"/>
      <c r="U593" s="1007"/>
      <c r="V593" s="1007"/>
      <c r="W593" s="1007"/>
    </row>
    <row r="594" spans="1:23" x14ac:dyDescent="0.2">
      <c r="A594" s="1006" t="s">
        <v>5055</v>
      </c>
      <c r="B594" s="1007">
        <v>12</v>
      </c>
      <c r="C594" s="1007">
        <v>12</v>
      </c>
      <c r="D594" s="1007">
        <v>30</v>
      </c>
      <c r="E594" s="1007"/>
      <c r="F594" s="1007"/>
      <c r="G594" s="1007"/>
      <c r="H594" s="1007">
        <v>2</v>
      </c>
      <c r="I594" s="1007"/>
      <c r="J594" s="1007"/>
      <c r="K594" s="1007"/>
      <c r="L594" s="1016"/>
      <c r="M594" s="1007"/>
      <c r="N594" s="1007"/>
      <c r="O594" s="1007"/>
      <c r="P594" s="1007"/>
      <c r="Q594" s="1007"/>
      <c r="R594" s="1007"/>
      <c r="S594" s="1007"/>
      <c r="T594" s="1007"/>
      <c r="U594" s="1007"/>
      <c r="V594" s="1007"/>
      <c r="W594" s="1007"/>
    </row>
    <row r="595" spans="1:23" x14ac:dyDescent="0.2">
      <c r="A595" s="1006" t="s">
        <v>5056</v>
      </c>
      <c r="B595" s="1007">
        <v>18</v>
      </c>
      <c r="C595" s="1007">
        <v>18</v>
      </c>
      <c r="D595" s="1007">
        <v>45</v>
      </c>
      <c r="E595" s="1007"/>
      <c r="F595" s="1007"/>
      <c r="G595" s="1007"/>
      <c r="H595" s="1007">
        <v>3</v>
      </c>
      <c r="I595" s="1007"/>
      <c r="J595" s="1007"/>
      <c r="K595" s="1007"/>
      <c r="L595" s="1016"/>
      <c r="M595" s="1007"/>
      <c r="N595" s="1007"/>
      <c r="O595" s="1007"/>
      <c r="P595" s="1007"/>
      <c r="Q595" s="1007"/>
      <c r="R595" s="1007"/>
      <c r="S595" s="1007"/>
      <c r="T595" s="1007"/>
      <c r="U595" s="1007"/>
      <c r="V595" s="1007"/>
      <c r="W595" s="1007"/>
    </row>
    <row r="596" spans="1:23" x14ac:dyDescent="0.2">
      <c r="A596" s="1012" t="s">
        <v>5057</v>
      </c>
      <c r="B596" s="1013"/>
      <c r="C596" s="1013"/>
      <c r="D596" s="1013"/>
      <c r="E596" s="1013"/>
      <c r="F596" s="1013"/>
      <c r="G596" s="1013"/>
      <c r="H596" s="1013"/>
      <c r="I596" s="1013"/>
      <c r="J596" s="1013"/>
      <c r="K596" s="1013"/>
      <c r="L596" s="1014"/>
      <c r="M596" s="1013"/>
      <c r="N596" s="1013"/>
      <c r="O596" s="1013"/>
      <c r="P596" s="1013"/>
      <c r="Q596" s="1013"/>
      <c r="R596" s="1013"/>
      <c r="S596" s="1013"/>
      <c r="T596" s="1013"/>
      <c r="U596" s="1013"/>
      <c r="V596" s="1013"/>
      <c r="W596" s="1007"/>
    </row>
    <row r="597" spans="1:23" x14ac:dyDescent="0.2">
      <c r="A597" s="1006" t="s">
        <v>5058</v>
      </c>
      <c r="B597" s="1007">
        <v>1</v>
      </c>
      <c r="C597" s="1007">
        <v>1</v>
      </c>
      <c r="D597" s="1007">
        <v>5</v>
      </c>
      <c r="E597" s="1007"/>
      <c r="F597" s="1007"/>
      <c r="G597" s="1007"/>
      <c r="H597" s="1007">
        <v>1</v>
      </c>
      <c r="I597" s="1007"/>
      <c r="J597" s="1007"/>
      <c r="K597" s="1007"/>
      <c r="L597" s="1016"/>
      <c r="M597" s="1007"/>
      <c r="N597" s="1007"/>
      <c r="O597" s="1007"/>
      <c r="P597" s="1007"/>
      <c r="Q597" s="1007"/>
      <c r="R597" s="1007"/>
      <c r="S597" s="1007"/>
      <c r="T597" s="1007"/>
      <c r="U597" s="1007"/>
      <c r="V597" s="1007"/>
      <c r="W597" s="1007"/>
    </row>
    <row r="598" spans="1:23" x14ac:dyDescent="0.2">
      <c r="A598" s="1006" t="s">
        <v>5059</v>
      </c>
      <c r="B598" s="1007">
        <v>3</v>
      </c>
      <c r="C598" s="1007">
        <v>3</v>
      </c>
      <c r="D598" s="1007">
        <v>5</v>
      </c>
      <c r="E598" s="1007"/>
      <c r="F598" s="1007"/>
      <c r="G598" s="1007"/>
      <c r="H598" s="1007">
        <v>1</v>
      </c>
      <c r="I598" s="1007"/>
      <c r="J598" s="1007"/>
      <c r="K598" s="1007"/>
      <c r="L598" s="1016"/>
      <c r="M598" s="1007"/>
      <c r="N598" s="1007"/>
      <c r="O598" s="1007"/>
      <c r="P598" s="1007"/>
      <c r="Q598" s="1007"/>
      <c r="R598" s="1007"/>
      <c r="S598" s="1007"/>
      <c r="T598" s="1007"/>
      <c r="U598" s="1007"/>
      <c r="V598" s="1007"/>
      <c r="W598" s="1007"/>
    </row>
    <row r="599" spans="1:23" x14ac:dyDescent="0.2">
      <c r="A599" s="1006" t="s">
        <v>5060</v>
      </c>
      <c r="B599" s="1007">
        <v>5</v>
      </c>
      <c r="C599" s="1007">
        <v>5</v>
      </c>
      <c r="D599" s="1007">
        <v>10</v>
      </c>
      <c r="E599" s="1007"/>
      <c r="F599" s="1007"/>
      <c r="G599" s="1007"/>
      <c r="H599" s="1007">
        <v>1</v>
      </c>
      <c r="I599" s="1007"/>
      <c r="J599" s="1007"/>
      <c r="K599" s="1007"/>
      <c r="L599" s="1016"/>
      <c r="M599" s="1007"/>
      <c r="N599" s="1007"/>
      <c r="O599" s="1007"/>
      <c r="P599" s="1007"/>
      <c r="Q599" s="1007"/>
      <c r="R599" s="1007"/>
      <c r="S599" s="1007"/>
      <c r="T599" s="1007"/>
      <c r="U599" s="1007"/>
      <c r="V599" s="1007"/>
      <c r="W599" s="1007"/>
    </row>
    <row r="600" spans="1:23" x14ac:dyDescent="0.2">
      <c r="A600" s="1006" t="s">
        <v>5061</v>
      </c>
      <c r="B600" s="1007">
        <v>8</v>
      </c>
      <c r="C600" s="1007">
        <v>8</v>
      </c>
      <c r="D600" s="1007">
        <v>10</v>
      </c>
      <c r="E600" s="1007"/>
      <c r="F600" s="1007"/>
      <c r="G600" s="1007"/>
      <c r="H600" s="1007">
        <v>1</v>
      </c>
      <c r="I600" s="1007"/>
      <c r="J600" s="1007"/>
      <c r="K600" s="1007"/>
      <c r="L600" s="1016"/>
      <c r="M600" s="1007"/>
      <c r="N600" s="1007"/>
      <c r="O600" s="1007"/>
      <c r="P600" s="1007"/>
      <c r="Q600" s="1007"/>
      <c r="R600" s="1007"/>
      <c r="S600" s="1007"/>
      <c r="T600" s="1007"/>
      <c r="U600" s="1007"/>
      <c r="V600" s="1007"/>
      <c r="W600" s="1007"/>
    </row>
    <row r="601" spans="1:23" x14ac:dyDescent="0.2">
      <c r="A601" s="1006" t="s">
        <v>5062</v>
      </c>
      <c r="B601" s="1007">
        <v>12</v>
      </c>
      <c r="C601" s="1007">
        <v>12</v>
      </c>
      <c r="D601" s="1007">
        <v>15</v>
      </c>
      <c r="E601" s="1007"/>
      <c r="F601" s="1007"/>
      <c r="G601" s="1007"/>
      <c r="H601" s="1007">
        <v>2</v>
      </c>
      <c r="I601" s="1007"/>
      <c r="J601" s="1007"/>
      <c r="K601" s="1007"/>
      <c r="L601" s="1016"/>
      <c r="M601" s="1007"/>
      <c r="N601" s="1007"/>
      <c r="O601" s="1007"/>
      <c r="P601" s="1007"/>
      <c r="Q601" s="1007"/>
      <c r="R601" s="1007"/>
      <c r="S601" s="1007"/>
      <c r="T601" s="1007"/>
      <c r="U601" s="1007"/>
      <c r="V601" s="1007"/>
      <c r="W601" s="1007"/>
    </row>
    <row r="602" spans="1:23" x14ac:dyDescent="0.2">
      <c r="A602" s="1006" t="s">
        <v>5063</v>
      </c>
      <c r="B602" s="1007">
        <v>15</v>
      </c>
      <c r="C602" s="1007">
        <v>15</v>
      </c>
      <c r="D602" s="1007">
        <v>20</v>
      </c>
      <c r="E602" s="1007"/>
      <c r="F602" s="1007"/>
      <c r="G602" s="1007"/>
      <c r="H602" s="1007">
        <v>2</v>
      </c>
      <c r="I602" s="1007"/>
      <c r="J602" s="1007"/>
      <c r="K602" s="1007"/>
      <c r="L602" s="1016"/>
      <c r="M602" s="1007"/>
      <c r="N602" s="1007"/>
      <c r="O602" s="1007"/>
      <c r="P602" s="1007"/>
      <c r="Q602" s="1007"/>
      <c r="R602" s="1007"/>
      <c r="S602" s="1007"/>
      <c r="T602" s="1007"/>
      <c r="U602" s="1007"/>
      <c r="V602" s="1007"/>
      <c r="W602" s="1007"/>
    </row>
    <row r="603" spans="1:23" x14ac:dyDescent="0.2">
      <c r="A603" s="1006" t="s">
        <v>5064</v>
      </c>
      <c r="B603" s="1007">
        <v>20</v>
      </c>
      <c r="C603" s="1007">
        <v>20</v>
      </c>
      <c r="D603" s="1007">
        <v>25</v>
      </c>
      <c r="E603" s="1007"/>
      <c r="F603" s="1007"/>
      <c r="G603" s="1007"/>
      <c r="H603" s="1007">
        <v>3</v>
      </c>
      <c r="I603" s="1007"/>
      <c r="J603" s="1007"/>
      <c r="K603" s="1007"/>
      <c r="L603" s="1016"/>
      <c r="M603" s="1007"/>
      <c r="N603" s="1007"/>
      <c r="O603" s="1007"/>
      <c r="P603" s="1007"/>
      <c r="Q603" s="1007"/>
      <c r="R603" s="1007"/>
      <c r="S603" s="1007"/>
      <c r="T603" s="1007"/>
      <c r="U603" s="1007"/>
      <c r="V603" s="1007"/>
      <c r="W603" s="1007"/>
    </row>
    <row r="604" spans="1:23" x14ac:dyDescent="0.2">
      <c r="A604" s="1006" t="s">
        <v>5065</v>
      </c>
      <c r="B604" s="1007">
        <v>25</v>
      </c>
      <c r="C604" s="1007">
        <v>25</v>
      </c>
      <c r="D604" s="1007">
        <v>30</v>
      </c>
      <c r="E604" s="1007"/>
      <c r="F604" s="1007"/>
      <c r="G604" s="1007"/>
      <c r="H604" s="1007">
        <v>3</v>
      </c>
      <c r="I604" s="1007"/>
      <c r="J604" s="1007"/>
      <c r="K604" s="1007"/>
      <c r="L604" s="1016"/>
      <c r="M604" s="1007"/>
      <c r="N604" s="1007"/>
      <c r="O604" s="1007"/>
      <c r="P604" s="1007"/>
      <c r="Q604" s="1007"/>
      <c r="R604" s="1007"/>
      <c r="S604" s="1007"/>
      <c r="T604" s="1007"/>
      <c r="U604" s="1007"/>
      <c r="V604" s="1007"/>
      <c r="W604" s="1007"/>
    </row>
    <row r="605" spans="1:23" x14ac:dyDescent="0.2">
      <c r="A605" s="848" t="s">
        <v>4283</v>
      </c>
      <c r="B605" s="1026"/>
      <c r="C605" s="1026"/>
      <c r="D605" s="1026"/>
      <c r="E605" s="1026"/>
      <c r="F605" s="1026"/>
      <c r="G605" s="1026"/>
      <c r="H605" s="1026"/>
      <c r="I605" s="1026"/>
      <c r="J605" s="1026"/>
      <c r="K605" s="1026"/>
      <c r="L605" s="1027"/>
      <c r="M605" s="1026"/>
      <c r="N605" s="1026"/>
      <c r="O605" s="1026"/>
      <c r="P605" s="1026"/>
      <c r="Q605" s="1026"/>
      <c r="R605" s="1026"/>
      <c r="S605" s="1026"/>
      <c r="T605" s="1026"/>
      <c r="U605" s="1026"/>
      <c r="V605" s="1026"/>
      <c r="W605" s="1007"/>
    </row>
    <row r="606" spans="1:23" x14ac:dyDescent="0.2">
      <c r="A606" s="1006" t="s">
        <v>5066</v>
      </c>
      <c r="B606" s="1007">
        <v>1</v>
      </c>
      <c r="C606" s="1007">
        <v>2</v>
      </c>
      <c r="D606" s="1007">
        <v>5</v>
      </c>
      <c r="E606" s="1007">
        <v>1</v>
      </c>
      <c r="F606" s="1007">
        <v>2</v>
      </c>
      <c r="G606" s="1007">
        <v>4</v>
      </c>
      <c r="H606" s="1007">
        <v>1</v>
      </c>
      <c r="I606" s="1008" t="s">
        <v>3989</v>
      </c>
      <c r="J606" s="1008" t="s">
        <v>1761</v>
      </c>
      <c r="K606" s="1007" t="s">
        <v>2236</v>
      </c>
      <c r="L606" s="1009" t="s">
        <v>2354</v>
      </c>
      <c r="M606" s="1006" t="s">
        <v>4037</v>
      </c>
      <c r="N606" s="1009" t="s">
        <v>2231</v>
      </c>
      <c r="O606" s="1006" t="s">
        <v>4038</v>
      </c>
      <c r="P606" s="1009" t="s">
        <v>2244</v>
      </c>
      <c r="Q606" s="1006" t="s">
        <v>4037</v>
      </c>
      <c r="R606" s="1009" t="s">
        <v>2245</v>
      </c>
      <c r="S606" s="1006" t="s">
        <v>4128</v>
      </c>
      <c r="T606" s="1010" t="s">
        <v>2479</v>
      </c>
      <c r="U606" s="1010" t="s">
        <v>2575</v>
      </c>
      <c r="V606" s="952" t="s">
        <v>3914</v>
      </c>
      <c r="W606" s="1007"/>
    </row>
    <row r="607" spans="1:23" x14ac:dyDescent="0.2">
      <c r="A607" s="1006" t="s">
        <v>5067</v>
      </c>
      <c r="B607" s="1007">
        <v>2</v>
      </c>
      <c r="C607" s="1007">
        <v>4</v>
      </c>
      <c r="D607" s="1007">
        <v>5</v>
      </c>
      <c r="E607" s="1007">
        <v>2</v>
      </c>
      <c r="F607" s="1007">
        <v>4</v>
      </c>
      <c r="G607" s="1007">
        <v>7</v>
      </c>
      <c r="H607" s="1007">
        <v>1</v>
      </c>
      <c r="I607" s="1008" t="s">
        <v>3989</v>
      </c>
      <c r="J607" s="1008" t="s">
        <v>1761</v>
      </c>
      <c r="K607" s="1007" t="s">
        <v>2236</v>
      </c>
      <c r="L607" s="1009" t="s">
        <v>2354</v>
      </c>
      <c r="M607" s="1006" t="s">
        <v>4037</v>
      </c>
      <c r="N607" s="1009" t="s">
        <v>2231</v>
      </c>
      <c r="O607" s="1006" t="s">
        <v>4038</v>
      </c>
      <c r="P607" s="1009" t="s">
        <v>2244</v>
      </c>
      <c r="Q607" s="1006" t="s">
        <v>4037</v>
      </c>
      <c r="R607" s="1009" t="s">
        <v>2245</v>
      </c>
      <c r="S607" s="1006" t="s">
        <v>4128</v>
      </c>
      <c r="T607" s="1010" t="s">
        <v>2479</v>
      </c>
      <c r="U607" s="1010" t="s">
        <v>2575</v>
      </c>
      <c r="V607" s="952" t="s">
        <v>3914</v>
      </c>
      <c r="W607" s="1007"/>
    </row>
    <row r="608" spans="1:23" x14ac:dyDescent="0.2">
      <c r="A608" s="1006" t="s">
        <v>5068</v>
      </c>
      <c r="B608" s="1007">
        <v>3</v>
      </c>
      <c r="C608" s="1007">
        <v>5</v>
      </c>
      <c r="D608" s="1007">
        <v>10</v>
      </c>
      <c r="E608" s="1007">
        <v>3</v>
      </c>
      <c r="F608" s="1007">
        <v>6</v>
      </c>
      <c r="G608" s="1007">
        <v>11</v>
      </c>
      <c r="H608" s="1007">
        <v>1</v>
      </c>
      <c r="I608" s="1008" t="s">
        <v>3989</v>
      </c>
      <c r="J608" s="1008" t="s">
        <v>1761</v>
      </c>
      <c r="K608" s="1007" t="s">
        <v>2236</v>
      </c>
      <c r="L608" s="1009" t="s">
        <v>2354</v>
      </c>
      <c r="M608" s="1006" t="s">
        <v>4037</v>
      </c>
      <c r="N608" s="1009" t="s">
        <v>2231</v>
      </c>
      <c r="O608" s="1006" t="s">
        <v>4038</v>
      </c>
      <c r="P608" s="1009" t="s">
        <v>2244</v>
      </c>
      <c r="Q608" s="1006" t="s">
        <v>4037</v>
      </c>
      <c r="R608" s="1009" t="s">
        <v>2245</v>
      </c>
      <c r="S608" s="1006" t="s">
        <v>4128</v>
      </c>
      <c r="T608" s="1010" t="s">
        <v>2479</v>
      </c>
      <c r="U608" s="1010" t="s">
        <v>2575</v>
      </c>
      <c r="V608" s="952" t="s">
        <v>3914</v>
      </c>
      <c r="W608" s="1007"/>
    </row>
    <row r="609" spans="1:23" x14ac:dyDescent="0.2">
      <c r="A609" s="1006" t="s">
        <v>5069</v>
      </c>
      <c r="B609" s="1007">
        <v>4</v>
      </c>
      <c r="C609" s="1007">
        <v>6</v>
      </c>
      <c r="D609" s="1007">
        <v>10</v>
      </c>
      <c r="E609" s="1007">
        <v>4</v>
      </c>
      <c r="F609" s="1007">
        <v>8</v>
      </c>
      <c r="G609" s="1007">
        <v>14</v>
      </c>
      <c r="H609" s="1007">
        <v>1</v>
      </c>
      <c r="I609" s="1008" t="s">
        <v>3989</v>
      </c>
      <c r="J609" s="1008" t="s">
        <v>1761</v>
      </c>
      <c r="K609" s="1007" t="s">
        <v>2236</v>
      </c>
      <c r="L609" s="1009" t="s">
        <v>2354</v>
      </c>
      <c r="M609" s="1006" t="s">
        <v>4037</v>
      </c>
      <c r="N609" s="1009" t="s">
        <v>2231</v>
      </c>
      <c r="O609" s="1006" t="s">
        <v>4038</v>
      </c>
      <c r="P609" s="1009" t="s">
        <v>2244</v>
      </c>
      <c r="Q609" s="1006" t="s">
        <v>4037</v>
      </c>
      <c r="R609" s="1009" t="s">
        <v>2245</v>
      </c>
      <c r="S609" s="1006" t="s">
        <v>4128</v>
      </c>
      <c r="T609" s="1010" t="s">
        <v>2479</v>
      </c>
      <c r="U609" s="1010" t="s">
        <v>2575</v>
      </c>
      <c r="V609" s="952" t="s">
        <v>3914</v>
      </c>
      <c r="W609" s="1007"/>
    </row>
    <row r="610" spans="1:23" x14ac:dyDescent="0.2">
      <c r="A610" s="1006" t="s">
        <v>5070</v>
      </c>
      <c r="B610" s="1007">
        <v>5</v>
      </c>
      <c r="C610" s="1007">
        <v>8</v>
      </c>
      <c r="D610" s="1007">
        <v>15</v>
      </c>
      <c r="E610" s="1007">
        <v>5</v>
      </c>
      <c r="F610" s="1007">
        <v>10</v>
      </c>
      <c r="G610" s="1007">
        <v>18</v>
      </c>
      <c r="H610" s="1007">
        <v>1</v>
      </c>
      <c r="I610" s="1008" t="s">
        <v>3989</v>
      </c>
      <c r="J610" s="1008" t="s">
        <v>1761</v>
      </c>
      <c r="K610" s="1007" t="s">
        <v>2236</v>
      </c>
      <c r="L610" s="1009" t="s">
        <v>2354</v>
      </c>
      <c r="M610" s="1006" t="s">
        <v>4037</v>
      </c>
      <c r="N610" s="1009" t="s">
        <v>2231</v>
      </c>
      <c r="O610" s="1006" t="s">
        <v>4038</v>
      </c>
      <c r="P610" s="1009" t="s">
        <v>2244</v>
      </c>
      <c r="Q610" s="1006" t="s">
        <v>4037</v>
      </c>
      <c r="R610" s="1009" t="s">
        <v>2245</v>
      </c>
      <c r="S610" s="1006" t="s">
        <v>4128</v>
      </c>
      <c r="T610" s="1010" t="s">
        <v>2479</v>
      </c>
      <c r="U610" s="1010" t="s">
        <v>2575</v>
      </c>
      <c r="V610" s="952" t="s">
        <v>3914</v>
      </c>
      <c r="W610" s="1007"/>
    </row>
    <row r="611" spans="1:23" x14ac:dyDescent="0.2">
      <c r="A611" s="1006" t="s">
        <v>5071</v>
      </c>
      <c r="B611" s="1007">
        <v>6</v>
      </c>
      <c r="C611" s="1007">
        <v>9</v>
      </c>
      <c r="D611" s="1007">
        <v>20</v>
      </c>
      <c r="E611" s="1007">
        <v>6</v>
      </c>
      <c r="F611" s="1007">
        <v>12</v>
      </c>
      <c r="G611" s="1007">
        <v>21</v>
      </c>
      <c r="H611" s="1007">
        <v>2</v>
      </c>
      <c r="I611" s="1008" t="s">
        <v>3989</v>
      </c>
      <c r="J611" s="1008" t="s">
        <v>1761</v>
      </c>
      <c r="K611" s="1007" t="s">
        <v>2236</v>
      </c>
      <c r="L611" s="1009" t="s">
        <v>2354</v>
      </c>
      <c r="M611" s="1006" t="s">
        <v>4037</v>
      </c>
      <c r="N611" s="1009" t="s">
        <v>2231</v>
      </c>
      <c r="O611" s="1006" t="s">
        <v>4038</v>
      </c>
      <c r="P611" s="1009" t="s">
        <v>2244</v>
      </c>
      <c r="Q611" s="1006" t="s">
        <v>4037</v>
      </c>
      <c r="R611" s="1009" t="s">
        <v>2245</v>
      </c>
      <c r="S611" s="1006" t="s">
        <v>4128</v>
      </c>
      <c r="T611" s="1010" t="s">
        <v>2479</v>
      </c>
      <c r="U611" s="1010" t="s">
        <v>2575</v>
      </c>
      <c r="V611" s="952" t="s">
        <v>3914</v>
      </c>
      <c r="W611" s="1007"/>
    </row>
    <row r="612" spans="1:23" x14ac:dyDescent="0.2">
      <c r="A612" s="1006" t="s">
        <v>5072</v>
      </c>
      <c r="B612" s="1007">
        <v>8</v>
      </c>
      <c r="C612" s="1007">
        <v>11</v>
      </c>
      <c r="D612" s="1007">
        <v>25</v>
      </c>
      <c r="E612" s="1007">
        <v>7</v>
      </c>
      <c r="F612" s="1007">
        <v>14</v>
      </c>
      <c r="G612" s="1007">
        <v>25</v>
      </c>
      <c r="H612" s="1007">
        <v>2</v>
      </c>
      <c r="I612" s="1008" t="s">
        <v>3989</v>
      </c>
      <c r="J612" s="1008" t="s">
        <v>1761</v>
      </c>
      <c r="K612" s="1007" t="s">
        <v>2236</v>
      </c>
      <c r="L612" s="1009" t="s">
        <v>2354</v>
      </c>
      <c r="M612" s="1006" t="s">
        <v>4037</v>
      </c>
      <c r="N612" s="1009" t="s">
        <v>2231</v>
      </c>
      <c r="O612" s="1006" t="s">
        <v>4038</v>
      </c>
      <c r="P612" s="1009" t="s">
        <v>2244</v>
      </c>
      <c r="Q612" s="1006" t="s">
        <v>4037</v>
      </c>
      <c r="R612" s="1009" t="s">
        <v>2245</v>
      </c>
      <c r="S612" s="1006" t="s">
        <v>4128</v>
      </c>
      <c r="T612" s="1010" t="s">
        <v>2479</v>
      </c>
      <c r="U612" s="1010" t="s">
        <v>2575</v>
      </c>
      <c r="V612" s="952" t="s">
        <v>3914</v>
      </c>
      <c r="W612" s="1007"/>
    </row>
    <row r="613" spans="1:23" x14ac:dyDescent="0.2">
      <c r="A613" s="1006" t="s">
        <v>5073</v>
      </c>
      <c r="B613" s="1007">
        <v>10</v>
      </c>
      <c r="C613" s="1007">
        <v>13</v>
      </c>
      <c r="D613" s="1007">
        <v>30</v>
      </c>
      <c r="E613" s="1007">
        <v>8</v>
      </c>
      <c r="F613" s="1007">
        <v>16</v>
      </c>
      <c r="G613" s="1007">
        <v>28</v>
      </c>
      <c r="H613" s="1007">
        <v>3</v>
      </c>
      <c r="I613" s="1008" t="s">
        <v>3989</v>
      </c>
      <c r="J613" s="1008" t="s">
        <v>1761</v>
      </c>
      <c r="K613" s="1007" t="s">
        <v>2236</v>
      </c>
      <c r="L613" s="1009" t="s">
        <v>2354</v>
      </c>
      <c r="M613" s="1006" t="s">
        <v>4037</v>
      </c>
      <c r="N613" s="1009" t="s">
        <v>2231</v>
      </c>
      <c r="O613" s="1006" t="s">
        <v>4038</v>
      </c>
      <c r="P613" s="1009" t="s">
        <v>2244</v>
      </c>
      <c r="Q613" s="1006" t="s">
        <v>4037</v>
      </c>
      <c r="R613" s="1009" t="s">
        <v>2245</v>
      </c>
      <c r="S613" s="1006" t="s">
        <v>4128</v>
      </c>
      <c r="T613" s="1010" t="s">
        <v>2479</v>
      </c>
      <c r="U613" s="1010" t="s">
        <v>2575</v>
      </c>
      <c r="V613" s="952" t="s">
        <v>3914</v>
      </c>
      <c r="W613" s="1007"/>
    </row>
    <row r="614" spans="1:23" x14ac:dyDescent="0.2">
      <c r="A614" s="1006" t="s">
        <v>5074</v>
      </c>
      <c r="B614" s="1007">
        <v>12</v>
      </c>
      <c r="C614" s="1007">
        <v>15</v>
      </c>
      <c r="D614" s="1007">
        <v>35</v>
      </c>
      <c r="E614" s="1007">
        <v>10</v>
      </c>
      <c r="F614" s="1007">
        <v>20</v>
      </c>
      <c r="G614" s="1007">
        <v>35</v>
      </c>
      <c r="H614" s="1007">
        <v>3</v>
      </c>
      <c r="I614" s="1008" t="s">
        <v>3989</v>
      </c>
      <c r="J614" s="1008" t="s">
        <v>1761</v>
      </c>
      <c r="K614" s="1007" t="s">
        <v>2236</v>
      </c>
      <c r="L614" s="1009" t="s">
        <v>2354</v>
      </c>
      <c r="M614" s="1006" t="s">
        <v>4037</v>
      </c>
      <c r="N614" s="1009" t="s">
        <v>2231</v>
      </c>
      <c r="O614" s="1006" t="s">
        <v>4038</v>
      </c>
      <c r="P614" s="1009" t="s">
        <v>2244</v>
      </c>
      <c r="Q614" s="1006" t="s">
        <v>4037</v>
      </c>
      <c r="R614" s="1009" t="s">
        <v>2245</v>
      </c>
      <c r="S614" s="1006" t="s">
        <v>4128</v>
      </c>
      <c r="T614" s="1010" t="s">
        <v>2479</v>
      </c>
      <c r="U614" s="1010" t="s">
        <v>2575</v>
      </c>
      <c r="V614" s="952" t="s">
        <v>3914</v>
      </c>
      <c r="W614" s="1007"/>
    </row>
    <row r="615" spans="1:23" x14ac:dyDescent="0.2">
      <c r="A615" s="2557" t="s">
        <v>9776</v>
      </c>
      <c r="B615" s="1013"/>
      <c r="C615" s="1013"/>
      <c r="D615" s="1013"/>
      <c r="E615" s="1013"/>
      <c r="F615" s="1013"/>
      <c r="G615" s="1013"/>
      <c r="H615" s="1013"/>
      <c r="I615" s="1013"/>
      <c r="J615" s="1013"/>
      <c r="K615" s="1013"/>
      <c r="L615" s="1014"/>
      <c r="M615" s="1013"/>
      <c r="N615" s="1013"/>
      <c r="O615" s="1013"/>
      <c r="P615" s="1013"/>
      <c r="Q615" s="1013"/>
      <c r="R615" s="1013"/>
      <c r="S615" s="1013"/>
      <c r="T615" s="1013"/>
      <c r="U615" s="1013"/>
      <c r="V615" s="1013"/>
      <c r="W615" s="1007"/>
    </row>
    <row r="616" spans="1:23" x14ac:dyDescent="0.2">
      <c r="A616" s="1006" t="s">
        <v>9775</v>
      </c>
      <c r="B616" s="1007">
        <v>1</v>
      </c>
      <c r="C616" s="1007">
        <v>1</v>
      </c>
      <c r="D616" s="1007">
        <v>5</v>
      </c>
      <c r="E616" s="1007">
        <v>1</v>
      </c>
      <c r="F616" s="1007">
        <v>2</v>
      </c>
      <c r="G616" s="1007">
        <v>4</v>
      </c>
      <c r="H616" s="1007">
        <v>1</v>
      </c>
      <c r="I616" s="1007"/>
      <c r="J616" s="1007"/>
      <c r="K616" s="1007"/>
      <c r="L616" s="1016"/>
      <c r="M616" s="1007"/>
      <c r="N616" s="1007"/>
      <c r="O616" s="1007"/>
      <c r="P616" s="1007"/>
      <c r="Q616" s="1007"/>
      <c r="R616" s="1007"/>
      <c r="S616" s="1007"/>
      <c r="T616" s="1007"/>
      <c r="U616" s="1007"/>
      <c r="V616" s="1007"/>
      <c r="W616" s="1007"/>
    </row>
    <row r="617" spans="1:23" x14ac:dyDescent="0.2">
      <c r="A617" s="848" t="s">
        <v>4289</v>
      </c>
      <c r="B617" s="1026"/>
      <c r="C617" s="1026"/>
      <c r="D617" s="1026"/>
      <c r="E617" s="1026"/>
      <c r="F617" s="1026"/>
      <c r="G617" s="1026"/>
      <c r="H617" s="1026"/>
      <c r="I617" s="1026"/>
      <c r="J617" s="1026"/>
      <c r="K617" s="1026"/>
      <c r="L617" s="1027"/>
      <c r="M617" s="1026"/>
      <c r="N617" s="1026"/>
      <c r="O617" s="1026"/>
      <c r="P617" s="1026"/>
      <c r="Q617" s="1026"/>
      <c r="R617" s="1026"/>
      <c r="S617" s="1026"/>
      <c r="T617" s="1026"/>
      <c r="U617" s="1026"/>
      <c r="V617" s="1026"/>
      <c r="W617" s="1007"/>
    </row>
    <row r="618" spans="1:23" x14ac:dyDescent="0.2">
      <c r="A618" s="1006" t="s">
        <v>5075</v>
      </c>
      <c r="B618" s="1007">
        <v>1</v>
      </c>
      <c r="C618" s="1007">
        <v>2</v>
      </c>
      <c r="D618" s="1007">
        <v>5</v>
      </c>
      <c r="E618" s="1007">
        <v>1</v>
      </c>
      <c r="F618" s="1007">
        <v>2</v>
      </c>
      <c r="G618" s="1007">
        <v>4</v>
      </c>
      <c r="H618" s="1007">
        <v>1</v>
      </c>
      <c r="I618" s="1008" t="s">
        <v>3989</v>
      </c>
      <c r="J618" s="1008" t="s">
        <v>1761</v>
      </c>
      <c r="K618" s="1007" t="s">
        <v>2245</v>
      </c>
      <c r="L618" s="1009" t="s">
        <v>2354</v>
      </c>
      <c r="M618" s="1006" t="s">
        <v>4038</v>
      </c>
      <c r="N618" s="1009" t="s">
        <v>2231</v>
      </c>
      <c r="O618" s="1006" t="s">
        <v>4038</v>
      </c>
      <c r="P618" s="1009" t="s">
        <v>2236</v>
      </c>
      <c r="Q618" s="1006" t="s">
        <v>4037</v>
      </c>
      <c r="R618" s="1009" t="s">
        <v>2244</v>
      </c>
      <c r="S618" s="1006" t="s">
        <v>4128</v>
      </c>
      <c r="T618" s="1010" t="s">
        <v>2475</v>
      </c>
      <c r="U618" s="1010" t="s">
        <v>2472</v>
      </c>
      <c r="V618" s="1010" t="s">
        <v>2570</v>
      </c>
      <c r="W618" s="1007"/>
    </row>
    <row r="619" spans="1:23" x14ac:dyDescent="0.2">
      <c r="A619" s="1006" t="s">
        <v>5076</v>
      </c>
      <c r="B619" s="1007">
        <v>2</v>
      </c>
      <c r="C619" s="1007">
        <v>4</v>
      </c>
      <c r="D619" s="1007">
        <v>10</v>
      </c>
      <c r="E619" s="1007">
        <v>2</v>
      </c>
      <c r="F619" s="1007">
        <v>4</v>
      </c>
      <c r="G619" s="1007">
        <v>7</v>
      </c>
      <c r="H619" s="1007">
        <v>1</v>
      </c>
      <c r="I619" s="1008" t="s">
        <v>3989</v>
      </c>
      <c r="J619" s="1008" t="s">
        <v>1761</v>
      </c>
      <c r="K619" s="1007" t="s">
        <v>2245</v>
      </c>
      <c r="L619" s="1009" t="s">
        <v>2354</v>
      </c>
      <c r="M619" s="1006" t="s">
        <v>4038</v>
      </c>
      <c r="N619" s="1009" t="s">
        <v>2231</v>
      </c>
      <c r="O619" s="1006" t="s">
        <v>4038</v>
      </c>
      <c r="P619" s="1009" t="s">
        <v>2236</v>
      </c>
      <c r="Q619" s="1006" t="s">
        <v>4037</v>
      </c>
      <c r="R619" s="1009" t="s">
        <v>2244</v>
      </c>
      <c r="S619" s="1006" t="s">
        <v>4128</v>
      </c>
      <c r="T619" s="1010" t="s">
        <v>2475</v>
      </c>
      <c r="U619" s="1010" t="s">
        <v>2472</v>
      </c>
      <c r="V619" s="1010" t="s">
        <v>2570</v>
      </c>
      <c r="W619" s="1007"/>
    </row>
    <row r="620" spans="1:23" x14ac:dyDescent="0.2">
      <c r="A620" s="1006" t="s">
        <v>5077</v>
      </c>
      <c r="B620" s="1007">
        <v>4</v>
      </c>
      <c r="C620" s="1007">
        <v>6</v>
      </c>
      <c r="D620" s="1007">
        <v>15</v>
      </c>
      <c r="E620" s="1007">
        <v>3</v>
      </c>
      <c r="F620" s="1007">
        <v>6</v>
      </c>
      <c r="G620" s="1007">
        <v>11</v>
      </c>
      <c r="H620" s="1007">
        <v>1</v>
      </c>
      <c r="I620" s="1008" t="s">
        <v>3989</v>
      </c>
      <c r="J620" s="1008" t="s">
        <v>1761</v>
      </c>
      <c r="K620" s="1007" t="s">
        <v>2245</v>
      </c>
      <c r="L620" s="1009" t="s">
        <v>2354</v>
      </c>
      <c r="M620" s="1006" t="s">
        <v>4038</v>
      </c>
      <c r="N620" s="1009" t="s">
        <v>2231</v>
      </c>
      <c r="O620" s="1006" t="s">
        <v>4038</v>
      </c>
      <c r="P620" s="1009" t="s">
        <v>2236</v>
      </c>
      <c r="Q620" s="1006" t="s">
        <v>4037</v>
      </c>
      <c r="R620" s="1009" t="s">
        <v>2244</v>
      </c>
      <c r="S620" s="1006" t="s">
        <v>4128</v>
      </c>
      <c r="T620" s="1010" t="s">
        <v>2475</v>
      </c>
      <c r="U620" s="1010" t="s">
        <v>2472</v>
      </c>
      <c r="V620" s="1010" t="s">
        <v>2570</v>
      </c>
      <c r="W620" s="1007"/>
    </row>
    <row r="621" spans="1:23" x14ac:dyDescent="0.2">
      <c r="A621" s="1006" t="s">
        <v>5078</v>
      </c>
      <c r="B621" s="1007">
        <v>6</v>
      </c>
      <c r="C621" s="1007">
        <v>9</v>
      </c>
      <c r="D621" s="1007">
        <v>20</v>
      </c>
      <c r="E621" s="1007">
        <v>4</v>
      </c>
      <c r="F621" s="1007">
        <v>8</v>
      </c>
      <c r="G621" s="1007">
        <v>14</v>
      </c>
      <c r="H621" s="1007">
        <v>1</v>
      </c>
      <c r="I621" s="1008" t="s">
        <v>3989</v>
      </c>
      <c r="J621" s="1008" t="s">
        <v>1761</v>
      </c>
      <c r="K621" s="1007" t="s">
        <v>2245</v>
      </c>
      <c r="L621" s="1009" t="s">
        <v>2354</v>
      </c>
      <c r="M621" s="1006" t="s">
        <v>4038</v>
      </c>
      <c r="N621" s="1009" t="s">
        <v>2231</v>
      </c>
      <c r="O621" s="1006" t="s">
        <v>4038</v>
      </c>
      <c r="P621" s="1009" t="s">
        <v>2236</v>
      </c>
      <c r="Q621" s="1006" t="s">
        <v>4037</v>
      </c>
      <c r="R621" s="1009" t="s">
        <v>2244</v>
      </c>
      <c r="S621" s="1006" t="s">
        <v>4128</v>
      </c>
      <c r="T621" s="1010" t="s">
        <v>2475</v>
      </c>
      <c r="U621" s="1010" t="s">
        <v>2472</v>
      </c>
      <c r="V621" s="1010" t="s">
        <v>2570</v>
      </c>
      <c r="W621" s="1007"/>
    </row>
    <row r="622" spans="1:23" x14ac:dyDescent="0.2">
      <c r="A622" s="1006" t="s">
        <v>5079</v>
      </c>
      <c r="B622" s="1007">
        <v>8</v>
      </c>
      <c r="C622" s="1007">
        <v>11</v>
      </c>
      <c r="D622" s="1007">
        <v>25</v>
      </c>
      <c r="E622" s="1007">
        <v>6</v>
      </c>
      <c r="F622" s="1007">
        <v>12</v>
      </c>
      <c r="G622" s="1007">
        <v>21</v>
      </c>
      <c r="H622" s="1007">
        <v>2</v>
      </c>
      <c r="I622" s="1008" t="s">
        <v>3989</v>
      </c>
      <c r="J622" s="1008" t="s">
        <v>1761</v>
      </c>
      <c r="K622" s="1007" t="s">
        <v>2245</v>
      </c>
      <c r="L622" s="1009" t="s">
        <v>2354</v>
      </c>
      <c r="M622" s="1006" t="s">
        <v>4038</v>
      </c>
      <c r="N622" s="1009" t="s">
        <v>2231</v>
      </c>
      <c r="O622" s="1006" t="s">
        <v>4038</v>
      </c>
      <c r="P622" s="1009" t="s">
        <v>2236</v>
      </c>
      <c r="Q622" s="1006" t="s">
        <v>4037</v>
      </c>
      <c r="R622" s="1009" t="s">
        <v>2244</v>
      </c>
      <c r="S622" s="1006" t="s">
        <v>4128</v>
      </c>
      <c r="T622" s="1010" t="s">
        <v>2475</v>
      </c>
      <c r="U622" s="1010" t="s">
        <v>2472</v>
      </c>
      <c r="V622" s="1010" t="s">
        <v>2570</v>
      </c>
      <c r="W622" s="1007"/>
    </row>
    <row r="623" spans="1:23" x14ac:dyDescent="0.2">
      <c r="A623" s="1006" t="s">
        <v>5080</v>
      </c>
      <c r="B623" s="1007">
        <v>12</v>
      </c>
      <c r="C623" s="1007">
        <v>15</v>
      </c>
      <c r="D623" s="1007">
        <v>30</v>
      </c>
      <c r="E623" s="1007">
        <v>8</v>
      </c>
      <c r="F623" s="1007">
        <v>16</v>
      </c>
      <c r="G623" s="1007">
        <v>28</v>
      </c>
      <c r="H623" s="1007">
        <v>2</v>
      </c>
      <c r="I623" s="1008" t="s">
        <v>3989</v>
      </c>
      <c r="J623" s="1008" t="s">
        <v>1761</v>
      </c>
      <c r="K623" s="1007" t="s">
        <v>2245</v>
      </c>
      <c r="L623" s="1009" t="s">
        <v>2354</v>
      </c>
      <c r="M623" s="1006" t="s">
        <v>4038</v>
      </c>
      <c r="N623" s="1009" t="s">
        <v>2231</v>
      </c>
      <c r="O623" s="1006" t="s">
        <v>4038</v>
      </c>
      <c r="P623" s="1009" t="s">
        <v>2236</v>
      </c>
      <c r="Q623" s="1006" t="s">
        <v>4037</v>
      </c>
      <c r="R623" s="1009" t="s">
        <v>2244</v>
      </c>
      <c r="S623" s="1006" t="s">
        <v>4128</v>
      </c>
      <c r="T623" s="1010" t="s">
        <v>2475</v>
      </c>
      <c r="U623" s="1010" t="s">
        <v>2472</v>
      </c>
      <c r="V623" s="1010" t="s">
        <v>2570</v>
      </c>
      <c r="W623" s="1007"/>
    </row>
    <row r="624" spans="1:23" x14ac:dyDescent="0.2">
      <c r="A624" s="1006" t="s">
        <v>5081</v>
      </c>
      <c r="B624" s="1007">
        <v>16</v>
      </c>
      <c r="C624" s="1007">
        <v>20</v>
      </c>
      <c r="D624" s="1007">
        <v>35</v>
      </c>
      <c r="E624" s="1007">
        <v>10</v>
      </c>
      <c r="F624" s="1007">
        <v>20</v>
      </c>
      <c r="G624" s="1007">
        <v>35</v>
      </c>
      <c r="H624" s="1007">
        <v>3</v>
      </c>
      <c r="I624" s="1008" t="s">
        <v>3989</v>
      </c>
      <c r="J624" s="1008" t="s">
        <v>1761</v>
      </c>
      <c r="K624" s="1007" t="s">
        <v>2245</v>
      </c>
      <c r="L624" s="1009" t="s">
        <v>2354</v>
      </c>
      <c r="M624" s="1006" t="s">
        <v>4038</v>
      </c>
      <c r="N624" s="1009" t="s">
        <v>2231</v>
      </c>
      <c r="O624" s="1006" t="s">
        <v>4038</v>
      </c>
      <c r="P624" s="1009" t="s">
        <v>2236</v>
      </c>
      <c r="Q624" s="1006" t="s">
        <v>4037</v>
      </c>
      <c r="R624" s="1009" t="s">
        <v>2244</v>
      </c>
      <c r="S624" s="1006" t="s">
        <v>4128</v>
      </c>
      <c r="T624" s="1010" t="s">
        <v>2475</v>
      </c>
      <c r="U624" s="1010" t="s">
        <v>2472</v>
      </c>
      <c r="V624" s="1010" t="s">
        <v>2570</v>
      </c>
      <c r="W624" s="1007"/>
    </row>
    <row r="625" spans="1:23" x14ac:dyDescent="0.2">
      <c r="A625" s="1012" t="s">
        <v>5082</v>
      </c>
      <c r="B625" s="1013"/>
      <c r="C625" s="1013"/>
      <c r="D625" s="1013"/>
      <c r="E625" s="1013"/>
      <c r="F625" s="1013"/>
      <c r="G625" s="1013"/>
      <c r="H625" s="1013"/>
      <c r="I625" s="1013"/>
      <c r="J625" s="1013"/>
      <c r="K625" s="1013"/>
      <c r="L625" s="1014"/>
      <c r="M625" s="1013"/>
      <c r="N625" s="1013"/>
      <c r="O625" s="1013"/>
      <c r="P625" s="1013"/>
      <c r="Q625" s="1013"/>
      <c r="R625" s="1013"/>
      <c r="S625" s="1013"/>
      <c r="T625" s="1013"/>
      <c r="U625" s="1013"/>
      <c r="V625" s="1013"/>
      <c r="W625" s="1007"/>
    </row>
    <row r="626" spans="1:23" x14ac:dyDescent="0.2">
      <c r="A626" s="1006" t="s">
        <v>5083</v>
      </c>
      <c r="B626" s="1007">
        <v>2</v>
      </c>
      <c r="C626" s="1007">
        <v>2</v>
      </c>
      <c r="D626" s="1007">
        <v>5</v>
      </c>
      <c r="E626" s="1007">
        <v>1</v>
      </c>
      <c r="F626" s="1007">
        <v>2</v>
      </c>
      <c r="G626" s="1007">
        <v>4</v>
      </c>
      <c r="H626" s="1007">
        <v>1</v>
      </c>
      <c r="I626" s="1007"/>
      <c r="J626" s="1007"/>
      <c r="K626" s="1007"/>
      <c r="L626" s="1016"/>
      <c r="M626" s="1007"/>
      <c r="N626" s="1007"/>
      <c r="O626" s="1007"/>
      <c r="P626" s="1007"/>
      <c r="Q626" s="1007"/>
      <c r="R626" s="1007"/>
      <c r="S626" s="1007"/>
      <c r="T626" s="1007"/>
      <c r="U626" s="1007"/>
      <c r="V626" s="1007"/>
      <c r="W626" s="1007"/>
    </row>
    <row r="627" spans="1:23" x14ac:dyDescent="0.2">
      <c r="A627" s="1006" t="s">
        <v>5084</v>
      </c>
      <c r="B627" s="1007">
        <v>2</v>
      </c>
      <c r="C627" s="1007">
        <v>2</v>
      </c>
      <c r="D627" s="1007">
        <v>5</v>
      </c>
      <c r="E627" s="1007">
        <v>1</v>
      </c>
      <c r="F627" s="1007">
        <v>2</v>
      </c>
      <c r="G627" s="1007">
        <v>4</v>
      </c>
      <c r="H627" s="1007">
        <v>1</v>
      </c>
      <c r="I627" s="1007"/>
      <c r="J627" s="1007"/>
      <c r="K627" s="1007"/>
      <c r="L627" s="1016"/>
      <c r="M627" s="1007"/>
      <c r="N627" s="1007"/>
      <c r="O627" s="1007"/>
      <c r="P627" s="1007"/>
      <c r="Q627" s="1007"/>
      <c r="R627" s="1007"/>
      <c r="S627" s="1007"/>
      <c r="T627" s="1007"/>
      <c r="U627" s="1007"/>
      <c r="V627" s="1007"/>
      <c r="W627" s="1007"/>
    </row>
    <row r="628" spans="1:23" x14ac:dyDescent="0.2">
      <c r="A628" s="1006" t="s">
        <v>5085</v>
      </c>
      <c r="B628" s="1007">
        <v>2</v>
      </c>
      <c r="C628" s="1007">
        <v>2</v>
      </c>
      <c r="D628" s="1007">
        <v>5</v>
      </c>
      <c r="E628" s="1007">
        <v>1</v>
      </c>
      <c r="F628" s="1007">
        <v>2</v>
      </c>
      <c r="G628" s="1007">
        <v>4</v>
      </c>
      <c r="H628" s="1007">
        <v>1</v>
      </c>
      <c r="I628" s="1007"/>
      <c r="J628" s="1007"/>
      <c r="K628" s="1007"/>
      <c r="L628" s="1016"/>
      <c r="M628" s="1007"/>
      <c r="N628" s="1007"/>
      <c r="O628" s="1007"/>
      <c r="P628" s="1007"/>
      <c r="Q628" s="1007"/>
      <c r="R628" s="1007"/>
      <c r="S628" s="1007"/>
      <c r="T628" s="1007"/>
      <c r="U628" s="1007"/>
      <c r="V628" s="1007"/>
      <c r="W628" s="1007"/>
    </row>
    <row r="629" spans="1:23" x14ac:dyDescent="0.2">
      <c r="A629" s="848" t="s">
        <v>4296</v>
      </c>
      <c r="B629" s="1026"/>
      <c r="C629" s="1026"/>
      <c r="D629" s="1026"/>
      <c r="E629" s="1026"/>
      <c r="F629" s="1026"/>
      <c r="G629" s="1026"/>
      <c r="H629" s="1026"/>
      <c r="I629" s="1026"/>
      <c r="J629" s="1026"/>
      <c r="K629" s="1026"/>
      <c r="L629" s="1027"/>
      <c r="M629" s="1026"/>
      <c r="N629" s="1026"/>
      <c r="O629" s="1026"/>
      <c r="P629" s="1026"/>
      <c r="Q629" s="1026"/>
      <c r="R629" s="1026"/>
      <c r="S629" s="1026"/>
      <c r="T629" s="1026"/>
      <c r="U629" s="1026"/>
      <c r="V629" s="1026"/>
      <c r="W629" s="1007"/>
    </row>
    <row r="630" spans="1:23" x14ac:dyDescent="0.2">
      <c r="A630" s="1006" t="s">
        <v>9779</v>
      </c>
      <c r="B630" s="1007">
        <v>3</v>
      </c>
      <c r="C630" s="1007">
        <v>5</v>
      </c>
      <c r="D630" s="1007">
        <v>10</v>
      </c>
      <c r="E630" s="1007">
        <v>2</v>
      </c>
      <c r="F630" s="1007">
        <v>4</v>
      </c>
      <c r="G630" s="1007">
        <v>7</v>
      </c>
      <c r="H630" s="1007">
        <v>1</v>
      </c>
      <c r="I630" s="1008" t="s">
        <v>3994</v>
      </c>
      <c r="J630" s="1008" t="s">
        <v>4752</v>
      </c>
      <c r="K630" s="1007" t="s">
        <v>2244</v>
      </c>
      <c r="L630" s="1009" t="s">
        <v>2354</v>
      </c>
      <c r="M630" s="1006" t="s">
        <v>4038</v>
      </c>
      <c r="N630" s="1009" t="s">
        <v>2231</v>
      </c>
      <c r="O630" s="1006" t="s">
        <v>4038</v>
      </c>
      <c r="P630" s="1009" t="s">
        <v>2236</v>
      </c>
      <c r="Q630" s="1006" t="s">
        <v>4038</v>
      </c>
      <c r="R630" s="1009" t="s">
        <v>2245</v>
      </c>
      <c r="S630" s="1006" t="s">
        <v>4128</v>
      </c>
      <c r="T630" s="1010" t="s">
        <v>2475</v>
      </c>
      <c r="U630" s="1010" t="s">
        <v>2570</v>
      </c>
      <c r="V630" s="1010" t="s">
        <v>2571</v>
      </c>
      <c r="W630" s="1007"/>
    </row>
    <row r="631" spans="1:23" x14ac:dyDescent="0.2">
      <c r="A631" s="1012" t="s">
        <v>5086</v>
      </c>
      <c r="B631" s="1013"/>
      <c r="C631" s="1013"/>
      <c r="D631" s="1013"/>
      <c r="E631" s="1013"/>
      <c r="F631" s="1013"/>
      <c r="G631" s="1013"/>
      <c r="H631" s="1013"/>
      <c r="I631" s="1013"/>
      <c r="J631" s="1013"/>
      <c r="K631" s="1013"/>
      <c r="L631" s="1014"/>
      <c r="M631" s="1013"/>
      <c r="N631" s="1013"/>
      <c r="O631" s="1013"/>
      <c r="P631" s="1013"/>
      <c r="Q631" s="1013"/>
      <c r="R631" s="1013"/>
      <c r="S631" s="1013"/>
      <c r="T631" s="1013"/>
      <c r="U631" s="1013"/>
      <c r="V631" s="1013"/>
      <c r="W631" s="1007"/>
    </row>
    <row r="632" spans="1:23" x14ac:dyDescent="0.2">
      <c r="A632" s="1006" t="s">
        <v>5087</v>
      </c>
      <c r="B632" s="1007">
        <v>1</v>
      </c>
      <c r="C632" s="1007">
        <v>1</v>
      </c>
      <c r="D632" s="1007">
        <v>5</v>
      </c>
      <c r="E632" s="1007">
        <v>1</v>
      </c>
      <c r="F632" s="1007">
        <v>2</v>
      </c>
      <c r="G632" s="1007">
        <v>4</v>
      </c>
      <c r="H632" s="1007">
        <v>1</v>
      </c>
      <c r="I632" s="1007"/>
      <c r="J632" s="1007"/>
      <c r="K632" s="1007"/>
      <c r="L632" s="1016"/>
      <c r="M632" s="1007"/>
      <c r="N632" s="1007"/>
      <c r="O632" s="1007"/>
      <c r="P632" s="1007"/>
      <c r="Q632" s="1007"/>
      <c r="R632" s="1007"/>
      <c r="S632" s="1007"/>
      <c r="T632" s="1007"/>
      <c r="U632" s="1007"/>
      <c r="V632" s="1007"/>
      <c r="W632" s="1007"/>
    </row>
    <row r="633" spans="1:23" x14ac:dyDescent="0.2">
      <c r="A633" s="1006" t="s">
        <v>5088</v>
      </c>
      <c r="B633" s="1007">
        <v>3</v>
      </c>
      <c r="C633" s="1007">
        <v>3</v>
      </c>
      <c r="D633" s="1007">
        <v>10</v>
      </c>
      <c r="E633" s="1007">
        <v>2</v>
      </c>
      <c r="F633" s="1007">
        <v>4</v>
      </c>
      <c r="G633" s="1007">
        <v>7</v>
      </c>
      <c r="H633" s="1007">
        <v>1</v>
      </c>
      <c r="I633" s="1007"/>
      <c r="J633" s="1007"/>
      <c r="K633" s="1007"/>
      <c r="L633" s="1016"/>
      <c r="M633" s="1007"/>
      <c r="N633" s="1007"/>
      <c r="O633" s="1007"/>
      <c r="P633" s="1007"/>
      <c r="Q633" s="1007"/>
      <c r="R633" s="1007"/>
      <c r="S633" s="1007"/>
      <c r="T633" s="1007"/>
      <c r="U633" s="1007"/>
      <c r="V633" s="1007"/>
      <c r="W633" s="1007"/>
    </row>
    <row r="634" spans="1:23" x14ac:dyDescent="0.2">
      <c r="A634" s="1012" t="s">
        <v>5089</v>
      </c>
      <c r="B634" s="1013"/>
      <c r="C634" s="1013"/>
      <c r="D634" s="1013"/>
      <c r="E634" s="1013"/>
      <c r="F634" s="1013"/>
      <c r="G634" s="1013"/>
      <c r="H634" s="1013"/>
      <c r="I634" s="1013"/>
      <c r="J634" s="1013"/>
      <c r="K634" s="1013"/>
      <c r="L634" s="1014"/>
      <c r="M634" s="1013"/>
      <c r="N634" s="1013"/>
      <c r="O634" s="1013"/>
      <c r="P634" s="1013"/>
      <c r="Q634" s="1013"/>
      <c r="R634" s="1013"/>
      <c r="S634" s="1013"/>
      <c r="T634" s="1013"/>
      <c r="U634" s="1013"/>
      <c r="V634" s="1013"/>
      <c r="W634" s="1007"/>
    </row>
    <row r="635" spans="1:23" x14ac:dyDescent="0.2">
      <c r="A635" s="1006" t="s">
        <v>5090</v>
      </c>
      <c r="B635" s="1007">
        <v>2</v>
      </c>
      <c r="C635" s="1007">
        <v>2</v>
      </c>
      <c r="D635" s="1007">
        <v>10</v>
      </c>
      <c r="E635" s="1007">
        <v>2</v>
      </c>
      <c r="F635" s="1007">
        <v>4</v>
      </c>
      <c r="G635" s="1007">
        <v>7</v>
      </c>
      <c r="H635" s="1007">
        <v>1</v>
      </c>
      <c r="I635" s="1007"/>
      <c r="J635" s="1007"/>
      <c r="K635" s="1007"/>
      <c r="L635" s="1016"/>
      <c r="M635" s="1007"/>
      <c r="N635" s="1007"/>
      <c r="O635" s="1007"/>
      <c r="P635" s="1007"/>
      <c r="Q635" s="1007"/>
      <c r="R635" s="1007"/>
      <c r="S635" s="1007"/>
      <c r="T635" s="1007"/>
      <c r="U635" s="1007"/>
      <c r="V635" s="1007"/>
      <c r="W635" s="1007"/>
    </row>
    <row r="636" spans="1:23" x14ac:dyDescent="0.2">
      <c r="A636" s="848" t="s">
        <v>4301</v>
      </c>
      <c r="B636" s="1026"/>
      <c r="C636" s="1026"/>
      <c r="D636" s="1026"/>
      <c r="E636" s="1026"/>
      <c r="F636" s="1026"/>
      <c r="G636" s="1026"/>
      <c r="H636" s="1026"/>
      <c r="I636" s="1026"/>
      <c r="J636" s="1026"/>
      <c r="K636" s="1026"/>
      <c r="L636" s="1027"/>
      <c r="M636" s="1026"/>
      <c r="N636" s="1026"/>
      <c r="O636" s="1026"/>
      <c r="P636" s="1026"/>
      <c r="Q636" s="1026"/>
      <c r="R636" s="1026"/>
      <c r="S636" s="1026"/>
      <c r="T636" s="1026"/>
      <c r="U636" s="1026"/>
      <c r="V636" s="1026"/>
      <c r="W636" s="1007"/>
    </row>
    <row r="637" spans="1:23" x14ac:dyDescent="0.2">
      <c r="A637" s="1006" t="s">
        <v>5091</v>
      </c>
      <c r="B637" s="1007">
        <v>4</v>
      </c>
      <c r="C637" s="1007">
        <v>6</v>
      </c>
      <c r="D637" s="1007">
        <v>10</v>
      </c>
      <c r="E637" s="1007">
        <v>2</v>
      </c>
      <c r="F637" s="1007">
        <v>4</v>
      </c>
      <c r="G637" s="1007">
        <v>7</v>
      </c>
      <c r="H637" s="1007">
        <v>1</v>
      </c>
      <c r="I637" s="1008" t="s">
        <v>3989</v>
      </c>
      <c r="J637" s="1008" t="s">
        <v>1761</v>
      </c>
      <c r="K637" s="1007" t="s">
        <v>2244</v>
      </c>
      <c r="L637" s="1009" t="s">
        <v>2354</v>
      </c>
      <c r="M637" s="1006" t="s">
        <v>4037</v>
      </c>
      <c r="N637" s="1009" t="s">
        <v>2231</v>
      </c>
      <c r="O637" s="1006" t="s">
        <v>4038</v>
      </c>
      <c r="P637" s="1009" t="s">
        <v>2236</v>
      </c>
      <c r="Q637" s="1006" t="s">
        <v>4038</v>
      </c>
      <c r="R637" s="1009" t="s">
        <v>2245</v>
      </c>
      <c r="S637" s="1006" t="s">
        <v>4128</v>
      </c>
      <c r="T637" s="1010" t="s">
        <v>2472</v>
      </c>
      <c r="U637" s="1010" t="s">
        <v>2570</v>
      </c>
      <c r="V637" s="1010" t="s">
        <v>2571</v>
      </c>
      <c r="W637" s="1007"/>
    </row>
    <row r="638" spans="1:23" x14ac:dyDescent="0.2">
      <c r="A638" s="1006" t="s">
        <v>5092</v>
      </c>
      <c r="B638" s="1007">
        <v>10</v>
      </c>
      <c r="C638" s="1007">
        <v>13</v>
      </c>
      <c r="D638" s="1007">
        <v>25</v>
      </c>
      <c r="E638" s="1007">
        <v>4</v>
      </c>
      <c r="F638" s="1007">
        <v>8</v>
      </c>
      <c r="G638" s="1007">
        <v>14</v>
      </c>
      <c r="H638" s="1007">
        <v>2</v>
      </c>
      <c r="I638" s="1008" t="s">
        <v>3989</v>
      </c>
      <c r="J638" s="1008" t="s">
        <v>1761</v>
      </c>
      <c r="K638" s="1007" t="s">
        <v>2244</v>
      </c>
      <c r="L638" s="1009" t="s">
        <v>2354</v>
      </c>
      <c r="M638" s="1006" t="s">
        <v>4037</v>
      </c>
      <c r="N638" s="1009" t="s">
        <v>2231</v>
      </c>
      <c r="O638" s="1006" t="s">
        <v>4038</v>
      </c>
      <c r="P638" s="1009" t="s">
        <v>2236</v>
      </c>
      <c r="Q638" s="1006" t="s">
        <v>4038</v>
      </c>
      <c r="R638" s="1009" t="s">
        <v>2245</v>
      </c>
      <c r="S638" s="1006" t="s">
        <v>4128</v>
      </c>
      <c r="T638" s="1010" t="s">
        <v>2472</v>
      </c>
      <c r="U638" s="1010" t="s">
        <v>2570</v>
      </c>
      <c r="V638" s="1010" t="s">
        <v>2571</v>
      </c>
      <c r="W638" s="1007"/>
    </row>
    <row r="639" spans="1:23" x14ac:dyDescent="0.2">
      <c r="A639" s="1012" t="s">
        <v>5093</v>
      </c>
      <c r="B639" s="1013"/>
      <c r="C639" s="1013"/>
      <c r="D639" s="1013"/>
      <c r="E639" s="1013"/>
      <c r="F639" s="1013"/>
      <c r="G639" s="1013"/>
      <c r="H639" s="1013"/>
      <c r="I639" s="1013"/>
      <c r="J639" s="1013"/>
      <c r="K639" s="1013"/>
      <c r="L639" s="1014"/>
      <c r="M639" s="1013"/>
      <c r="N639" s="1013"/>
      <c r="O639" s="1013"/>
      <c r="P639" s="1013"/>
      <c r="Q639" s="1013"/>
      <c r="R639" s="1013"/>
      <c r="S639" s="1013"/>
      <c r="T639" s="1013"/>
      <c r="U639" s="1013"/>
      <c r="V639" s="1013"/>
      <c r="W639" s="1007"/>
    </row>
    <row r="640" spans="1:23" x14ac:dyDescent="0.2">
      <c r="A640" s="1006" t="s">
        <v>5094</v>
      </c>
      <c r="B640" s="1007">
        <v>4</v>
      </c>
      <c r="C640" s="1007">
        <v>4</v>
      </c>
      <c r="D640" s="1007">
        <v>10</v>
      </c>
      <c r="E640" s="1007"/>
      <c r="F640" s="1007"/>
      <c r="G640" s="1007"/>
      <c r="H640" s="1007">
        <v>1</v>
      </c>
      <c r="I640" s="1007"/>
      <c r="J640" s="1007"/>
      <c r="K640" s="1007"/>
      <c r="L640" s="1016"/>
      <c r="M640" s="1007"/>
      <c r="N640" s="1007"/>
      <c r="O640" s="1007"/>
      <c r="P640" s="1007"/>
      <c r="Q640" s="1007"/>
      <c r="R640" s="1007"/>
      <c r="S640" s="1007"/>
      <c r="T640" s="1007"/>
      <c r="U640" s="1007"/>
      <c r="V640" s="1007"/>
      <c r="W640" s="1007"/>
    </row>
    <row r="641" spans="1:23" x14ac:dyDescent="0.2">
      <c r="A641" s="1006" t="s">
        <v>5095</v>
      </c>
      <c r="B641" s="1007">
        <v>10</v>
      </c>
      <c r="C641" s="1007">
        <v>10</v>
      </c>
      <c r="D641" s="1007">
        <v>30</v>
      </c>
      <c r="E641" s="1007">
        <v>2</v>
      </c>
      <c r="F641" s="1007">
        <v>4</v>
      </c>
      <c r="G641" s="1007">
        <v>7</v>
      </c>
      <c r="H641" s="1007">
        <v>1</v>
      </c>
      <c r="I641" s="1007"/>
      <c r="J641" s="1007"/>
      <c r="K641" s="1007"/>
      <c r="L641" s="1016"/>
      <c r="M641" s="1007"/>
      <c r="N641" s="1007"/>
      <c r="O641" s="1007"/>
      <c r="P641" s="1007"/>
      <c r="Q641" s="1007"/>
      <c r="R641" s="1007"/>
      <c r="S641" s="1007"/>
      <c r="T641" s="1007"/>
      <c r="U641" s="1007"/>
      <c r="V641" s="1007"/>
      <c r="W641" s="1007"/>
    </row>
    <row r="642" spans="1:23" x14ac:dyDescent="0.2">
      <c r="A642" s="848" t="s">
        <v>4307</v>
      </c>
      <c r="B642" s="1026"/>
      <c r="C642" s="1026"/>
      <c r="D642" s="1026"/>
      <c r="E642" s="1026"/>
      <c r="F642" s="1026"/>
      <c r="G642" s="1026"/>
      <c r="H642" s="1026"/>
      <c r="I642" s="1026"/>
      <c r="J642" s="1026"/>
      <c r="K642" s="1026"/>
      <c r="L642" s="1027"/>
      <c r="M642" s="1026"/>
      <c r="N642" s="1026"/>
      <c r="O642" s="1026"/>
      <c r="P642" s="1026"/>
      <c r="Q642" s="1026"/>
      <c r="R642" s="1026"/>
      <c r="S642" s="1026"/>
      <c r="T642" s="1026"/>
      <c r="U642" s="1026"/>
      <c r="V642" s="1026"/>
      <c r="W642" s="1007"/>
    </row>
    <row r="643" spans="1:23" x14ac:dyDescent="0.2">
      <c r="A643" s="1006" t="s">
        <v>5096</v>
      </c>
      <c r="B643" s="1007">
        <v>2</v>
      </c>
      <c r="C643" s="1007">
        <v>4</v>
      </c>
      <c r="D643" s="1007">
        <v>5</v>
      </c>
      <c r="E643" s="1007">
        <v>1</v>
      </c>
      <c r="F643" s="1007">
        <v>2</v>
      </c>
      <c r="G643" s="1007">
        <v>4</v>
      </c>
      <c r="H643" s="1007">
        <v>1</v>
      </c>
      <c r="I643" s="1008" t="s">
        <v>3989</v>
      </c>
      <c r="J643" s="1008" t="s">
        <v>1761</v>
      </c>
      <c r="K643" s="1007" t="s">
        <v>2244</v>
      </c>
      <c r="L643" s="1009" t="s">
        <v>2354</v>
      </c>
      <c r="M643" s="1006" t="s">
        <v>4037</v>
      </c>
      <c r="N643" s="1009" t="s">
        <v>2231</v>
      </c>
      <c r="O643" s="1006" t="s">
        <v>4037</v>
      </c>
      <c r="P643" s="1009" t="s">
        <v>2236</v>
      </c>
      <c r="Q643" s="1006" t="s">
        <v>4128</v>
      </c>
      <c r="R643" s="1009" t="s">
        <v>2245</v>
      </c>
      <c r="S643" s="1006" t="s">
        <v>4128</v>
      </c>
      <c r="T643" s="1010" t="s">
        <v>2479</v>
      </c>
      <c r="U643" s="1010" t="s">
        <v>2575</v>
      </c>
      <c r="V643" s="952" t="s">
        <v>3914</v>
      </c>
      <c r="W643" s="1007"/>
    </row>
    <row r="644" spans="1:23" x14ac:dyDescent="0.2">
      <c r="A644" s="1006" t="s">
        <v>5097</v>
      </c>
      <c r="B644" s="1007">
        <v>3</v>
      </c>
      <c r="C644" s="1007">
        <v>5</v>
      </c>
      <c r="D644" s="1007">
        <v>5</v>
      </c>
      <c r="E644" s="1007">
        <v>2</v>
      </c>
      <c r="F644" s="1007">
        <v>4</v>
      </c>
      <c r="G644" s="1007">
        <v>7</v>
      </c>
      <c r="H644" s="1007">
        <v>1</v>
      </c>
      <c r="I644" s="1008" t="s">
        <v>3989</v>
      </c>
      <c r="J644" s="1008" t="s">
        <v>1761</v>
      </c>
      <c r="K644" s="1007" t="s">
        <v>2244</v>
      </c>
      <c r="L644" s="1009" t="s">
        <v>2354</v>
      </c>
      <c r="M644" s="1006" t="s">
        <v>4037</v>
      </c>
      <c r="N644" s="1009" t="s">
        <v>2231</v>
      </c>
      <c r="O644" s="1006" t="s">
        <v>4037</v>
      </c>
      <c r="P644" s="1009" t="s">
        <v>2236</v>
      </c>
      <c r="Q644" s="1006" t="s">
        <v>4128</v>
      </c>
      <c r="R644" s="1009" t="s">
        <v>2245</v>
      </c>
      <c r="S644" s="1006" t="s">
        <v>4128</v>
      </c>
      <c r="T644" s="1010" t="s">
        <v>2479</v>
      </c>
      <c r="U644" s="1010" t="s">
        <v>2575</v>
      </c>
      <c r="V644" s="952" t="s">
        <v>3914</v>
      </c>
      <c r="W644" s="1007"/>
    </row>
    <row r="645" spans="1:23" x14ac:dyDescent="0.2">
      <c r="A645" s="1006" t="s">
        <v>5098</v>
      </c>
      <c r="B645" s="1007">
        <v>4</v>
      </c>
      <c r="C645" s="1007">
        <v>6</v>
      </c>
      <c r="D645" s="1007">
        <v>10</v>
      </c>
      <c r="E645" s="1007">
        <v>3</v>
      </c>
      <c r="F645" s="1007">
        <v>6</v>
      </c>
      <c r="G645" s="1007">
        <v>11</v>
      </c>
      <c r="H645" s="1007">
        <v>1</v>
      </c>
      <c r="I645" s="1008" t="s">
        <v>3989</v>
      </c>
      <c r="J645" s="1008" t="s">
        <v>1761</v>
      </c>
      <c r="K645" s="1007" t="s">
        <v>2244</v>
      </c>
      <c r="L645" s="1009" t="s">
        <v>2354</v>
      </c>
      <c r="M645" s="1006" t="s">
        <v>4037</v>
      </c>
      <c r="N645" s="1009" t="s">
        <v>2231</v>
      </c>
      <c r="O645" s="1006" t="s">
        <v>4037</v>
      </c>
      <c r="P645" s="1009" t="s">
        <v>2236</v>
      </c>
      <c r="Q645" s="1006" t="s">
        <v>4128</v>
      </c>
      <c r="R645" s="1009" t="s">
        <v>2245</v>
      </c>
      <c r="S645" s="1006" t="s">
        <v>4128</v>
      </c>
      <c r="T645" s="1010" t="s">
        <v>2479</v>
      </c>
      <c r="U645" s="1010" t="s">
        <v>2575</v>
      </c>
      <c r="V645" s="952" t="s">
        <v>3914</v>
      </c>
      <c r="W645" s="1007"/>
    </row>
    <row r="646" spans="1:23" x14ac:dyDescent="0.2">
      <c r="A646" s="1006" t="s">
        <v>5099</v>
      </c>
      <c r="B646" s="1007">
        <v>5</v>
      </c>
      <c r="C646" s="1007">
        <v>8</v>
      </c>
      <c r="D646" s="1007">
        <v>15</v>
      </c>
      <c r="E646" s="1007">
        <v>4</v>
      </c>
      <c r="F646" s="1007">
        <v>8</v>
      </c>
      <c r="G646" s="1007">
        <v>14</v>
      </c>
      <c r="H646" s="1007">
        <v>1</v>
      </c>
      <c r="I646" s="1008" t="s">
        <v>3989</v>
      </c>
      <c r="J646" s="1008" t="s">
        <v>1761</v>
      </c>
      <c r="K646" s="1007" t="s">
        <v>2244</v>
      </c>
      <c r="L646" s="1009" t="s">
        <v>2354</v>
      </c>
      <c r="M646" s="1006" t="s">
        <v>4037</v>
      </c>
      <c r="N646" s="1009" t="s">
        <v>2231</v>
      </c>
      <c r="O646" s="1006" t="s">
        <v>4037</v>
      </c>
      <c r="P646" s="1009" t="s">
        <v>2236</v>
      </c>
      <c r="Q646" s="1006" t="s">
        <v>4128</v>
      </c>
      <c r="R646" s="1009" t="s">
        <v>2245</v>
      </c>
      <c r="S646" s="1006" t="s">
        <v>4128</v>
      </c>
      <c r="T646" s="1010" t="s">
        <v>2479</v>
      </c>
      <c r="U646" s="1010" t="s">
        <v>2575</v>
      </c>
      <c r="V646" s="1007"/>
      <c r="W646" s="1007"/>
    </row>
    <row r="647" spans="1:23" x14ac:dyDescent="0.2">
      <c r="A647" s="1006" t="s">
        <v>5100</v>
      </c>
      <c r="B647" s="1007">
        <v>8</v>
      </c>
      <c r="C647" s="1007">
        <v>11</v>
      </c>
      <c r="D647" s="1007">
        <v>20</v>
      </c>
      <c r="E647" s="1007">
        <v>6</v>
      </c>
      <c r="F647" s="1007">
        <v>12</v>
      </c>
      <c r="G647" s="1007">
        <v>21</v>
      </c>
      <c r="H647" s="1007">
        <v>1</v>
      </c>
      <c r="I647" s="1008" t="s">
        <v>3989</v>
      </c>
      <c r="J647" s="1008" t="s">
        <v>1761</v>
      </c>
      <c r="K647" s="1007" t="s">
        <v>2244</v>
      </c>
      <c r="L647" s="1009" t="s">
        <v>2354</v>
      </c>
      <c r="M647" s="1006" t="s">
        <v>4037</v>
      </c>
      <c r="N647" s="1009" t="s">
        <v>2231</v>
      </c>
      <c r="O647" s="1006" t="s">
        <v>4037</v>
      </c>
      <c r="P647" s="1009" t="s">
        <v>2236</v>
      </c>
      <c r="Q647" s="1006" t="s">
        <v>4128</v>
      </c>
      <c r="R647" s="1009" t="s">
        <v>2245</v>
      </c>
      <c r="S647" s="1006" t="s">
        <v>4128</v>
      </c>
      <c r="T647" s="1010" t="s">
        <v>2479</v>
      </c>
      <c r="U647" s="1010" t="s">
        <v>2575</v>
      </c>
      <c r="V647" s="952" t="s">
        <v>3914</v>
      </c>
      <c r="W647" s="1007"/>
    </row>
    <row r="648" spans="1:23" x14ac:dyDescent="0.2">
      <c r="A648" s="1006" t="s">
        <v>5101</v>
      </c>
      <c r="B648" s="1007">
        <v>12</v>
      </c>
      <c r="C648" s="1007">
        <v>15</v>
      </c>
      <c r="D648" s="1007">
        <v>25</v>
      </c>
      <c r="E648" s="1007">
        <v>8</v>
      </c>
      <c r="F648" s="1007">
        <v>16</v>
      </c>
      <c r="G648" s="1007">
        <v>28</v>
      </c>
      <c r="H648" s="1007">
        <v>1</v>
      </c>
      <c r="I648" s="1008" t="s">
        <v>3989</v>
      </c>
      <c r="J648" s="1008" t="s">
        <v>1761</v>
      </c>
      <c r="K648" s="1007" t="s">
        <v>2244</v>
      </c>
      <c r="L648" s="1009" t="s">
        <v>2354</v>
      </c>
      <c r="M648" s="1006" t="s">
        <v>4037</v>
      </c>
      <c r="N648" s="1009" t="s">
        <v>2231</v>
      </c>
      <c r="O648" s="1006" t="s">
        <v>4037</v>
      </c>
      <c r="P648" s="1009" t="s">
        <v>2236</v>
      </c>
      <c r="Q648" s="1006" t="s">
        <v>4128</v>
      </c>
      <c r="R648" s="1009" t="s">
        <v>2245</v>
      </c>
      <c r="S648" s="1006" t="s">
        <v>4128</v>
      </c>
      <c r="T648" s="1010" t="s">
        <v>2479</v>
      </c>
      <c r="U648" s="1010" t="s">
        <v>2575</v>
      </c>
      <c r="V648" s="952" t="s">
        <v>3914</v>
      </c>
      <c r="W648" s="1007"/>
    </row>
    <row r="649" spans="1:23" x14ac:dyDescent="0.2">
      <c r="A649" s="1006" t="s">
        <v>5102</v>
      </c>
      <c r="B649" s="1007">
        <v>14</v>
      </c>
      <c r="C649" s="1007">
        <v>18</v>
      </c>
      <c r="D649" s="1007">
        <v>30</v>
      </c>
      <c r="E649" s="1007">
        <v>10</v>
      </c>
      <c r="F649" s="1007">
        <v>20</v>
      </c>
      <c r="G649" s="1007">
        <v>35</v>
      </c>
      <c r="H649" s="1007">
        <v>1</v>
      </c>
      <c r="I649" s="1008" t="s">
        <v>3989</v>
      </c>
      <c r="J649" s="1008" t="s">
        <v>1761</v>
      </c>
      <c r="K649" s="1007" t="s">
        <v>2244</v>
      </c>
      <c r="L649" s="1009" t="s">
        <v>2354</v>
      </c>
      <c r="M649" s="1006" t="s">
        <v>4037</v>
      </c>
      <c r="N649" s="1009" t="s">
        <v>2231</v>
      </c>
      <c r="O649" s="1006" t="s">
        <v>4037</v>
      </c>
      <c r="P649" s="1009" t="s">
        <v>2236</v>
      </c>
      <c r="Q649" s="1006" t="s">
        <v>4128</v>
      </c>
      <c r="R649" s="1009" t="s">
        <v>2245</v>
      </c>
      <c r="S649" s="1006" t="s">
        <v>4128</v>
      </c>
      <c r="T649" s="1010" t="s">
        <v>2479</v>
      </c>
      <c r="U649" s="1010" t="s">
        <v>2575</v>
      </c>
      <c r="V649" s="952" t="s">
        <v>3914</v>
      </c>
      <c r="W649" s="1007"/>
    </row>
    <row r="650" spans="1:23" x14ac:dyDescent="0.2">
      <c r="A650" s="1006" t="s">
        <v>5103</v>
      </c>
      <c r="B650" s="1007">
        <v>18</v>
      </c>
      <c r="C650" s="1007">
        <v>22</v>
      </c>
      <c r="D650" s="1007">
        <v>35</v>
      </c>
      <c r="E650" s="1007">
        <v>12</v>
      </c>
      <c r="F650" s="1007">
        <v>24</v>
      </c>
      <c r="G650" s="1007">
        <v>42</v>
      </c>
      <c r="H650" s="1007">
        <v>2</v>
      </c>
      <c r="I650" s="1008" t="s">
        <v>3989</v>
      </c>
      <c r="J650" s="1008" t="s">
        <v>1761</v>
      </c>
      <c r="K650" s="1007" t="s">
        <v>2244</v>
      </c>
      <c r="L650" s="1009" t="s">
        <v>2354</v>
      </c>
      <c r="M650" s="1006" t="s">
        <v>4037</v>
      </c>
      <c r="N650" s="1009" t="s">
        <v>2231</v>
      </c>
      <c r="O650" s="1006" t="s">
        <v>4037</v>
      </c>
      <c r="P650" s="1009" t="s">
        <v>2236</v>
      </c>
      <c r="Q650" s="1006" t="s">
        <v>4128</v>
      </c>
      <c r="R650" s="1009" t="s">
        <v>2245</v>
      </c>
      <c r="S650" s="1006" t="s">
        <v>4128</v>
      </c>
      <c r="T650" s="1010" t="s">
        <v>2479</v>
      </c>
      <c r="U650" s="1010" t="s">
        <v>2575</v>
      </c>
      <c r="V650" s="952" t="s">
        <v>3914</v>
      </c>
      <c r="W650" s="1007"/>
    </row>
    <row r="651" spans="1:23" x14ac:dyDescent="0.2">
      <c r="A651" s="1006" t="s">
        <v>5104</v>
      </c>
      <c r="B651" s="1007">
        <v>22</v>
      </c>
      <c r="C651" s="1007">
        <v>26</v>
      </c>
      <c r="D651" s="1007">
        <v>40</v>
      </c>
      <c r="E651" s="1007">
        <v>14</v>
      </c>
      <c r="F651" s="1007">
        <v>28</v>
      </c>
      <c r="G651" s="1007">
        <v>49</v>
      </c>
      <c r="H651" s="1007">
        <v>2</v>
      </c>
      <c r="I651" s="1008" t="s">
        <v>3989</v>
      </c>
      <c r="J651" s="1008" t="s">
        <v>1761</v>
      </c>
      <c r="K651" s="1007" t="s">
        <v>2244</v>
      </c>
      <c r="L651" s="1009" t="s">
        <v>2354</v>
      </c>
      <c r="M651" s="1006" t="s">
        <v>4037</v>
      </c>
      <c r="N651" s="1009" t="s">
        <v>2231</v>
      </c>
      <c r="O651" s="1006" t="s">
        <v>4037</v>
      </c>
      <c r="P651" s="1009" t="s">
        <v>2236</v>
      </c>
      <c r="Q651" s="1006" t="s">
        <v>4128</v>
      </c>
      <c r="R651" s="1009" t="s">
        <v>2245</v>
      </c>
      <c r="S651" s="1006" t="s">
        <v>4128</v>
      </c>
      <c r="T651" s="1010" t="s">
        <v>2479</v>
      </c>
      <c r="U651" s="1010" t="s">
        <v>2575</v>
      </c>
      <c r="V651" s="952" t="s">
        <v>3914</v>
      </c>
      <c r="W651" s="1007"/>
    </row>
    <row r="652" spans="1:23" x14ac:dyDescent="0.2">
      <c r="A652" s="1006" t="s">
        <v>5105</v>
      </c>
      <c r="B652" s="1007">
        <v>26</v>
      </c>
      <c r="C652" s="1007">
        <v>32</v>
      </c>
      <c r="D652" s="1007">
        <v>45</v>
      </c>
      <c r="E652" s="1007">
        <v>16</v>
      </c>
      <c r="F652" s="1007">
        <v>32</v>
      </c>
      <c r="G652" s="1007">
        <v>56</v>
      </c>
      <c r="H652" s="1007">
        <v>3</v>
      </c>
      <c r="I652" s="1008" t="s">
        <v>3989</v>
      </c>
      <c r="J652" s="1008" t="s">
        <v>1761</v>
      </c>
      <c r="K652" s="1007" t="s">
        <v>2244</v>
      </c>
      <c r="L652" s="1009" t="s">
        <v>2354</v>
      </c>
      <c r="M652" s="1006" t="s">
        <v>4037</v>
      </c>
      <c r="N652" s="1009" t="s">
        <v>2231</v>
      </c>
      <c r="O652" s="1006" t="s">
        <v>4037</v>
      </c>
      <c r="P652" s="1009" t="s">
        <v>2236</v>
      </c>
      <c r="Q652" s="1006" t="s">
        <v>4128</v>
      </c>
      <c r="R652" s="1009" t="s">
        <v>2245</v>
      </c>
      <c r="S652" s="1006" t="s">
        <v>4128</v>
      </c>
      <c r="T652" s="1010" t="s">
        <v>2479</v>
      </c>
      <c r="U652" s="1010" t="s">
        <v>2575</v>
      </c>
      <c r="V652" s="952" t="s">
        <v>3914</v>
      </c>
      <c r="W652" s="1007"/>
    </row>
    <row r="653" spans="1:23" x14ac:dyDescent="0.2">
      <c r="A653" s="1006" t="s">
        <v>5106</v>
      </c>
      <c r="B653" s="1007">
        <v>30</v>
      </c>
      <c r="C653" s="1007">
        <v>36</v>
      </c>
      <c r="D653" s="1007">
        <v>50</v>
      </c>
      <c r="E653" s="1007">
        <v>18</v>
      </c>
      <c r="F653" s="1007">
        <v>36</v>
      </c>
      <c r="G653" s="1007">
        <v>63</v>
      </c>
      <c r="H653" s="1007">
        <v>3</v>
      </c>
      <c r="I653" s="1008" t="s">
        <v>3989</v>
      </c>
      <c r="J653" s="1008" t="s">
        <v>1761</v>
      </c>
      <c r="K653" s="1007" t="s">
        <v>2244</v>
      </c>
      <c r="L653" s="1009" t="s">
        <v>2354</v>
      </c>
      <c r="M653" s="1006" t="s">
        <v>4037</v>
      </c>
      <c r="N653" s="1009" t="s">
        <v>2231</v>
      </c>
      <c r="O653" s="1006" t="s">
        <v>4037</v>
      </c>
      <c r="P653" s="1009" t="s">
        <v>2236</v>
      </c>
      <c r="Q653" s="1006" t="s">
        <v>4128</v>
      </c>
      <c r="R653" s="1009" t="s">
        <v>2245</v>
      </c>
      <c r="S653" s="1006" t="s">
        <v>4128</v>
      </c>
      <c r="T653" s="1010" t="s">
        <v>2479</v>
      </c>
      <c r="U653" s="1010" t="s">
        <v>2575</v>
      </c>
      <c r="V653" s="952" t="s">
        <v>3914</v>
      </c>
      <c r="W653" s="1007"/>
    </row>
    <row r="654" spans="1:23" x14ac:dyDescent="0.2">
      <c r="A654" s="1012" t="s">
        <v>5107</v>
      </c>
      <c r="B654" s="1013"/>
      <c r="C654" s="1013"/>
      <c r="D654" s="1013"/>
      <c r="E654" s="1013"/>
      <c r="F654" s="1013"/>
      <c r="G654" s="1013"/>
      <c r="H654" s="1013"/>
      <c r="I654" s="1013"/>
      <c r="J654" s="1013"/>
      <c r="K654" s="1013"/>
      <c r="L654" s="1014"/>
      <c r="M654" s="1013"/>
      <c r="N654" s="1013"/>
      <c r="O654" s="1013"/>
      <c r="P654" s="1013"/>
      <c r="Q654" s="1013"/>
      <c r="R654" s="1013"/>
      <c r="S654" s="1013"/>
      <c r="T654" s="1013"/>
      <c r="U654" s="1013"/>
      <c r="V654" s="1013"/>
      <c r="W654" s="1007"/>
    </row>
    <row r="655" spans="1:23" x14ac:dyDescent="0.2">
      <c r="A655" s="1006" t="s">
        <v>140</v>
      </c>
      <c r="B655" s="1007">
        <v>8</v>
      </c>
      <c r="C655" s="1007">
        <v>8</v>
      </c>
      <c r="D655" s="1007">
        <v>30</v>
      </c>
      <c r="E655" s="1007">
        <v>4</v>
      </c>
      <c r="F655" s="1007">
        <v>8</v>
      </c>
      <c r="G655" s="1007">
        <v>14</v>
      </c>
      <c r="H655" s="1007">
        <v>1</v>
      </c>
      <c r="I655" s="1007"/>
      <c r="J655" s="1007"/>
      <c r="K655" s="1007"/>
      <c r="L655" s="1016"/>
      <c r="M655" s="1007"/>
      <c r="N655" s="1007"/>
      <c r="O655" s="1007"/>
      <c r="P655" s="1007"/>
      <c r="Q655" s="1007"/>
      <c r="R655" s="1007"/>
      <c r="S655" s="1007"/>
      <c r="T655" s="1007"/>
      <c r="U655" s="1007"/>
      <c r="V655" s="1007"/>
      <c r="W655" s="1007"/>
    </row>
    <row r="656" spans="1:23" x14ac:dyDescent="0.2">
      <c r="A656" s="848" t="s">
        <v>4313</v>
      </c>
      <c r="B656" s="1026"/>
      <c r="C656" s="1026"/>
      <c r="D656" s="1026"/>
      <c r="E656" s="1026"/>
      <c r="F656" s="1026"/>
      <c r="G656" s="1026"/>
      <c r="H656" s="1026"/>
      <c r="I656" s="1026"/>
      <c r="J656" s="1026"/>
      <c r="K656" s="1026"/>
      <c r="L656" s="1027"/>
      <c r="M656" s="1026"/>
      <c r="N656" s="1026"/>
      <c r="O656" s="1026"/>
      <c r="P656" s="1026"/>
      <c r="Q656" s="1026"/>
      <c r="R656" s="1026"/>
      <c r="S656" s="1026"/>
      <c r="T656" s="1026"/>
      <c r="U656" s="1026"/>
      <c r="V656" s="1026"/>
      <c r="W656" s="1007"/>
    </row>
    <row r="657" spans="1:23" x14ac:dyDescent="0.2">
      <c r="A657" s="1006" t="s">
        <v>5108</v>
      </c>
      <c r="B657" s="1007">
        <v>3</v>
      </c>
      <c r="C657" s="1007">
        <v>5</v>
      </c>
      <c r="D657" s="1007">
        <v>10</v>
      </c>
      <c r="E657" s="1007">
        <v>2</v>
      </c>
      <c r="F657" s="1007">
        <v>4</v>
      </c>
      <c r="G657" s="1007">
        <v>7</v>
      </c>
      <c r="H657" s="1007">
        <v>1</v>
      </c>
      <c r="I657" s="1008" t="s">
        <v>3994</v>
      </c>
      <c r="J657" s="1008" t="s">
        <v>1761</v>
      </c>
      <c r="K657" s="1007" t="s">
        <v>2244</v>
      </c>
      <c r="L657" s="1009" t="s">
        <v>2354</v>
      </c>
      <c r="M657" s="1006" t="s">
        <v>4037</v>
      </c>
      <c r="N657" s="1009" t="s">
        <v>2231</v>
      </c>
      <c r="O657" s="1006" t="s">
        <v>4037</v>
      </c>
      <c r="P657" s="1009" t="s">
        <v>2236</v>
      </c>
      <c r="Q657" s="1006" t="s">
        <v>4128</v>
      </c>
      <c r="R657" s="1009" t="s">
        <v>2245</v>
      </c>
      <c r="S657" s="1006" t="s">
        <v>4128</v>
      </c>
      <c r="T657" s="1010" t="s">
        <v>2479</v>
      </c>
      <c r="U657" s="1010" t="s">
        <v>2575</v>
      </c>
      <c r="V657" s="952" t="s">
        <v>3914</v>
      </c>
      <c r="W657" s="1007"/>
    </row>
    <row r="658" spans="1:23" x14ac:dyDescent="0.2">
      <c r="A658" s="1006" t="s">
        <v>5109</v>
      </c>
      <c r="B658" s="1007">
        <v>5</v>
      </c>
      <c r="C658" s="1007">
        <v>8</v>
      </c>
      <c r="D658" s="1007">
        <v>20</v>
      </c>
      <c r="E658" s="1007">
        <v>4</v>
      </c>
      <c r="F658" s="1007">
        <v>8</v>
      </c>
      <c r="G658" s="1007">
        <v>14</v>
      </c>
      <c r="H658" s="1007">
        <v>1</v>
      </c>
      <c r="I658" s="1008" t="s">
        <v>3994</v>
      </c>
      <c r="J658" s="1008" t="s">
        <v>1761</v>
      </c>
      <c r="K658" s="1007" t="s">
        <v>2244</v>
      </c>
      <c r="L658" s="1009" t="s">
        <v>2354</v>
      </c>
      <c r="M658" s="1006" t="s">
        <v>4037</v>
      </c>
      <c r="N658" s="1009" t="s">
        <v>2231</v>
      </c>
      <c r="O658" s="1006" t="s">
        <v>4037</v>
      </c>
      <c r="P658" s="1009" t="s">
        <v>2236</v>
      </c>
      <c r="Q658" s="1006" t="s">
        <v>4128</v>
      </c>
      <c r="R658" s="1009" t="s">
        <v>2245</v>
      </c>
      <c r="S658" s="1006" t="s">
        <v>4128</v>
      </c>
      <c r="T658" s="1010" t="s">
        <v>2479</v>
      </c>
      <c r="U658" s="1010" t="s">
        <v>2575</v>
      </c>
      <c r="V658" s="952" t="s">
        <v>3914</v>
      </c>
      <c r="W658" s="1007"/>
    </row>
    <row r="659" spans="1:23" x14ac:dyDescent="0.2">
      <c r="A659" s="1006" t="s">
        <v>5110</v>
      </c>
      <c r="B659" s="1007">
        <v>7</v>
      </c>
      <c r="C659" s="1007">
        <v>9</v>
      </c>
      <c r="D659" s="1007">
        <v>25</v>
      </c>
      <c r="E659" s="1007">
        <v>6</v>
      </c>
      <c r="F659" s="1007">
        <v>12</v>
      </c>
      <c r="G659" s="1007">
        <v>21</v>
      </c>
      <c r="H659" s="1007">
        <v>1</v>
      </c>
      <c r="I659" s="1008" t="s">
        <v>3994</v>
      </c>
      <c r="J659" s="1008" t="s">
        <v>1761</v>
      </c>
      <c r="K659" s="1007" t="s">
        <v>2244</v>
      </c>
      <c r="L659" s="1009" t="s">
        <v>2354</v>
      </c>
      <c r="M659" s="1006" t="s">
        <v>4037</v>
      </c>
      <c r="N659" s="1009" t="s">
        <v>2231</v>
      </c>
      <c r="O659" s="1006" t="s">
        <v>4037</v>
      </c>
      <c r="P659" s="1009" t="s">
        <v>2236</v>
      </c>
      <c r="Q659" s="1006" t="s">
        <v>4128</v>
      </c>
      <c r="R659" s="1009" t="s">
        <v>2245</v>
      </c>
      <c r="S659" s="1006" t="s">
        <v>4128</v>
      </c>
      <c r="T659" s="1010" t="s">
        <v>2479</v>
      </c>
      <c r="U659" s="1010" t="s">
        <v>2575</v>
      </c>
      <c r="V659" s="952" t="s">
        <v>3914</v>
      </c>
      <c r="W659" s="1007"/>
    </row>
    <row r="660" spans="1:23" x14ac:dyDescent="0.2">
      <c r="A660" s="1006" t="s">
        <v>5111</v>
      </c>
      <c r="B660" s="1007">
        <v>9</v>
      </c>
      <c r="C660" s="1007">
        <v>12</v>
      </c>
      <c r="D660" s="1007">
        <v>35</v>
      </c>
      <c r="E660" s="1007">
        <v>8</v>
      </c>
      <c r="F660" s="1007">
        <v>16</v>
      </c>
      <c r="G660" s="1007">
        <v>28</v>
      </c>
      <c r="H660" s="1007">
        <v>2</v>
      </c>
      <c r="I660" s="1008" t="s">
        <v>3994</v>
      </c>
      <c r="J660" s="1008" t="s">
        <v>1761</v>
      </c>
      <c r="K660" s="1007" t="s">
        <v>2244</v>
      </c>
      <c r="L660" s="1009" t="s">
        <v>2354</v>
      </c>
      <c r="M660" s="1006" t="s">
        <v>4037</v>
      </c>
      <c r="N660" s="1009" t="s">
        <v>2231</v>
      </c>
      <c r="O660" s="1006" t="s">
        <v>4037</v>
      </c>
      <c r="P660" s="1009" t="s">
        <v>2236</v>
      </c>
      <c r="Q660" s="1006" t="s">
        <v>4128</v>
      </c>
      <c r="R660" s="1009" t="s">
        <v>2245</v>
      </c>
      <c r="S660" s="1006" t="s">
        <v>4128</v>
      </c>
      <c r="T660" s="1010" t="s">
        <v>2479</v>
      </c>
      <c r="U660" s="1010" t="s">
        <v>2575</v>
      </c>
      <c r="V660" s="952" t="s">
        <v>3914</v>
      </c>
      <c r="W660" s="1007"/>
    </row>
    <row r="661" spans="1:23" x14ac:dyDescent="0.2">
      <c r="A661" s="1006" t="s">
        <v>5112</v>
      </c>
      <c r="B661" s="1007">
        <v>12</v>
      </c>
      <c r="C661" s="1007">
        <v>15</v>
      </c>
      <c r="D661" s="1007">
        <v>50</v>
      </c>
      <c r="E661" s="1007">
        <v>10</v>
      </c>
      <c r="F661" s="1007">
        <v>20</v>
      </c>
      <c r="G661" s="1007">
        <v>35</v>
      </c>
      <c r="H661" s="1007">
        <v>2</v>
      </c>
      <c r="I661" s="1008" t="s">
        <v>3994</v>
      </c>
      <c r="J661" s="1008" t="s">
        <v>1761</v>
      </c>
      <c r="K661" s="1007" t="s">
        <v>2244</v>
      </c>
      <c r="L661" s="1009" t="s">
        <v>2354</v>
      </c>
      <c r="M661" s="1006" t="s">
        <v>4037</v>
      </c>
      <c r="N661" s="1009" t="s">
        <v>2231</v>
      </c>
      <c r="O661" s="1006" t="s">
        <v>4037</v>
      </c>
      <c r="P661" s="1009" t="s">
        <v>2236</v>
      </c>
      <c r="Q661" s="1006" t="s">
        <v>4128</v>
      </c>
      <c r="R661" s="1009" t="s">
        <v>2245</v>
      </c>
      <c r="S661" s="1006" t="s">
        <v>4128</v>
      </c>
      <c r="T661" s="1010" t="s">
        <v>2479</v>
      </c>
      <c r="U661" s="1010" t="s">
        <v>2575</v>
      </c>
      <c r="V661" s="952" t="s">
        <v>3914</v>
      </c>
      <c r="W661" s="1007"/>
    </row>
    <row r="662" spans="1:23" x14ac:dyDescent="0.2">
      <c r="A662" s="1006" t="s">
        <v>5113</v>
      </c>
      <c r="B662" s="1007">
        <v>16</v>
      </c>
      <c r="C662" s="1007">
        <v>20</v>
      </c>
      <c r="D662" s="1007">
        <v>60</v>
      </c>
      <c r="E662" s="1007">
        <v>12</v>
      </c>
      <c r="F662" s="1007">
        <v>24</v>
      </c>
      <c r="G662" s="1007">
        <v>42</v>
      </c>
      <c r="H662" s="1007">
        <v>3</v>
      </c>
      <c r="I662" s="1008" t="s">
        <v>3994</v>
      </c>
      <c r="J662" s="1008" t="s">
        <v>1761</v>
      </c>
      <c r="K662" s="1007" t="s">
        <v>2244</v>
      </c>
      <c r="L662" s="1009" t="s">
        <v>2354</v>
      </c>
      <c r="M662" s="1006" t="s">
        <v>4037</v>
      </c>
      <c r="N662" s="1009" t="s">
        <v>2231</v>
      </c>
      <c r="O662" s="1006" t="s">
        <v>4037</v>
      </c>
      <c r="P662" s="1009" t="s">
        <v>2236</v>
      </c>
      <c r="Q662" s="1006" t="s">
        <v>4128</v>
      </c>
      <c r="R662" s="1009" t="s">
        <v>2245</v>
      </c>
      <c r="S662" s="1006" t="s">
        <v>4128</v>
      </c>
      <c r="T662" s="1010" t="s">
        <v>2479</v>
      </c>
      <c r="U662" s="1010" t="s">
        <v>2575</v>
      </c>
      <c r="V662" s="952" t="s">
        <v>3914</v>
      </c>
      <c r="W662" s="1007"/>
    </row>
    <row r="663" spans="1:23" x14ac:dyDescent="0.2">
      <c r="A663" s="1006" t="s">
        <v>5114</v>
      </c>
      <c r="B663" s="1007">
        <v>18</v>
      </c>
      <c r="C663" s="1007">
        <v>22</v>
      </c>
      <c r="D663" s="1007">
        <v>65</v>
      </c>
      <c r="E663" s="1007">
        <v>14</v>
      </c>
      <c r="F663" s="1007">
        <v>28</v>
      </c>
      <c r="G663" s="1007">
        <v>49</v>
      </c>
      <c r="H663" s="1007">
        <v>3</v>
      </c>
      <c r="I663" s="1008" t="s">
        <v>3994</v>
      </c>
      <c r="J663" s="1008" t="s">
        <v>1761</v>
      </c>
      <c r="K663" s="1007" t="s">
        <v>2244</v>
      </c>
      <c r="L663" s="1009" t="s">
        <v>2354</v>
      </c>
      <c r="M663" s="1006" t="s">
        <v>4037</v>
      </c>
      <c r="N663" s="1009" t="s">
        <v>2231</v>
      </c>
      <c r="O663" s="1006" t="s">
        <v>4037</v>
      </c>
      <c r="P663" s="1009" t="s">
        <v>2236</v>
      </c>
      <c r="Q663" s="1006" t="s">
        <v>4128</v>
      </c>
      <c r="R663" s="1009" t="s">
        <v>2245</v>
      </c>
      <c r="S663" s="1006" t="s">
        <v>4128</v>
      </c>
      <c r="T663" s="1010" t="s">
        <v>2479</v>
      </c>
      <c r="U663" s="1010" t="s">
        <v>2575</v>
      </c>
      <c r="V663" s="952" t="s">
        <v>3914</v>
      </c>
      <c r="W663" s="1007"/>
    </row>
    <row r="664" spans="1:23" x14ac:dyDescent="0.2">
      <c r="A664" s="1012" t="s">
        <v>5107</v>
      </c>
      <c r="B664" s="1013"/>
      <c r="C664" s="1013"/>
      <c r="D664" s="1013"/>
      <c r="E664" s="1013"/>
      <c r="F664" s="1013"/>
      <c r="G664" s="1013"/>
      <c r="H664" s="1013"/>
      <c r="I664" s="1013"/>
      <c r="J664" s="1013"/>
      <c r="K664" s="1013"/>
      <c r="L664" s="1014"/>
      <c r="M664" s="1013"/>
      <c r="N664" s="1013"/>
      <c r="O664" s="1013"/>
      <c r="P664" s="1013"/>
      <c r="Q664" s="1013"/>
      <c r="R664" s="1013"/>
      <c r="S664" s="1013"/>
      <c r="T664" s="1013"/>
      <c r="U664" s="1013"/>
      <c r="V664" s="1013"/>
      <c r="W664" s="1007"/>
    </row>
    <row r="665" spans="1:23" x14ac:dyDescent="0.2">
      <c r="A665" s="1006" t="s">
        <v>140</v>
      </c>
      <c r="B665" s="1007">
        <v>8</v>
      </c>
      <c r="C665" s="1007">
        <v>8</v>
      </c>
      <c r="D665" s="1007">
        <v>30</v>
      </c>
      <c r="E665" s="1007">
        <v>4</v>
      </c>
      <c r="F665" s="1007">
        <v>8</v>
      </c>
      <c r="G665" s="1007">
        <v>14</v>
      </c>
      <c r="H665" s="1007">
        <v>1</v>
      </c>
      <c r="I665" s="1007"/>
      <c r="J665" s="1007"/>
      <c r="K665" s="1007"/>
      <c r="L665" s="1016"/>
      <c r="M665" s="1007"/>
      <c r="N665" s="1007"/>
      <c r="O665" s="1007"/>
      <c r="P665" s="1007"/>
      <c r="Q665" s="1007"/>
      <c r="R665" s="1007"/>
      <c r="S665" s="1007"/>
      <c r="T665" s="1007"/>
      <c r="U665" s="1007"/>
      <c r="V665" s="1007"/>
      <c r="W665" s="1007"/>
    </row>
    <row r="666" spans="1:23" x14ac:dyDescent="0.2">
      <c r="A666" s="848" t="s">
        <v>4316</v>
      </c>
      <c r="B666" s="1026"/>
      <c r="C666" s="1026"/>
      <c r="D666" s="1026"/>
      <c r="E666" s="1026"/>
      <c r="F666" s="1026"/>
      <c r="G666" s="1026"/>
      <c r="H666" s="1026"/>
      <c r="I666" s="1026"/>
      <c r="J666" s="1026"/>
      <c r="K666" s="1026"/>
      <c r="L666" s="1027"/>
      <c r="M666" s="1026"/>
      <c r="N666" s="1026"/>
      <c r="O666" s="1026"/>
      <c r="P666" s="1026"/>
      <c r="Q666" s="1026"/>
      <c r="R666" s="1026"/>
      <c r="S666" s="1026"/>
      <c r="T666" s="1026"/>
      <c r="U666" s="1026"/>
      <c r="V666" s="1026"/>
      <c r="W666" s="1007"/>
    </row>
    <row r="667" spans="1:23" x14ac:dyDescent="0.2">
      <c r="A667" s="1006" t="s">
        <v>5115</v>
      </c>
      <c r="B667" s="1007">
        <v>12</v>
      </c>
      <c r="C667" s="1007">
        <v>15</v>
      </c>
      <c r="D667" s="1007">
        <v>30</v>
      </c>
      <c r="E667" s="1007">
        <v>8</v>
      </c>
      <c r="F667" s="1007">
        <v>16</v>
      </c>
      <c r="G667" s="1007">
        <v>28</v>
      </c>
      <c r="H667" s="1007">
        <v>2</v>
      </c>
      <c r="I667" s="1008" t="s">
        <v>3989</v>
      </c>
      <c r="J667" s="1008" t="s">
        <v>2431</v>
      </c>
      <c r="K667" s="1007" t="s">
        <v>2244</v>
      </c>
      <c r="L667" s="1009" t="s">
        <v>2226</v>
      </c>
      <c r="M667" s="1006" t="s">
        <v>4038</v>
      </c>
      <c r="N667" s="1009" t="s">
        <v>2231</v>
      </c>
      <c r="O667" s="1006" t="s">
        <v>4038</v>
      </c>
      <c r="P667" s="1009" t="s">
        <v>2236</v>
      </c>
      <c r="Q667" s="1006" t="s">
        <v>4038</v>
      </c>
      <c r="R667" s="1009" t="s">
        <v>2245</v>
      </c>
      <c r="S667" s="1006" t="s">
        <v>4128</v>
      </c>
      <c r="T667" s="1010" t="s">
        <v>2475</v>
      </c>
      <c r="U667" s="1010" t="s">
        <v>2570</v>
      </c>
      <c r="V667" s="1010" t="s">
        <v>2571</v>
      </c>
      <c r="W667" s="1007"/>
    </row>
    <row r="668" spans="1:23" x14ac:dyDescent="0.2">
      <c r="A668" s="1012" t="s">
        <v>4803</v>
      </c>
      <c r="B668" s="1013"/>
      <c r="C668" s="1013"/>
      <c r="D668" s="1013"/>
      <c r="E668" s="1013"/>
      <c r="F668" s="1013"/>
      <c r="G668" s="1013"/>
      <c r="H668" s="1013"/>
      <c r="I668" s="1013"/>
      <c r="J668" s="1013"/>
      <c r="K668" s="1013"/>
      <c r="L668" s="1014"/>
      <c r="M668" s="1013"/>
      <c r="N668" s="1013"/>
      <c r="O668" s="1013"/>
      <c r="P668" s="1013"/>
      <c r="Q668" s="1013"/>
      <c r="R668" s="1013"/>
      <c r="S668" s="1013"/>
      <c r="T668" s="1013"/>
      <c r="U668" s="1013"/>
      <c r="V668" s="1013"/>
      <c r="W668" s="1007"/>
    </row>
    <row r="669" spans="1:23" x14ac:dyDescent="0.2">
      <c r="A669" s="1006" t="s">
        <v>4804</v>
      </c>
      <c r="B669" s="1007">
        <v>2</v>
      </c>
      <c r="C669" s="1007">
        <v>2</v>
      </c>
      <c r="D669" s="1007">
        <v>10</v>
      </c>
      <c r="E669" s="1007">
        <v>2</v>
      </c>
      <c r="F669" s="1007">
        <v>4</v>
      </c>
      <c r="G669" s="1007">
        <v>7</v>
      </c>
      <c r="H669" s="1007">
        <v>1</v>
      </c>
      <c r="I669" s="1007"/>
      <c r="J669" s="1007"/>
      <c r="K669" s="1007"/>
      <c r="L669" s="1016"/>
      <c r="M669" s="1007"/>
      <c r="N669" s="1007"/>
      <c r="O669" s="1007"/>
      <c r="P669" s="1007"/>
      <c r="Q669" s="1007"/>
      <c r="R669" s="1007"/>
      <c r="S669" s="1007"/>
      <c r="T669" s="1007"/>
      <c r="U669" s="1007"/>
      <c r="V669" s="1007"/>
      <c r="W669" s="1007"/>
    </row>
    <row r="670" spans="1:23" x14ac:dyDescent="0.2">
      <c r="A670" s="1012" t="s">
        <v>5116</v>
      </c>
      <c r="B670" s="1013"/>
      <c r="C670" s="1013"/>
      <c r="D670" s="1013"/>
      <c r="E670" s="1013"/>
      <c r="F670" s="1013"/>
      <c r="G670" s="1013"/>
      <c r="H670" s="1013"/>
      <c r="I670" s="1013"/>
      <c r="J670" s="1013"/>
      <c r="K670" s="1013"/>
      <c r="L670" s="1014"/>
      <c r="M670" s="1013"/>
      <c r="N670" s="1013"/>
      <c r="O670" s="1013"/>
      <c r="P670" s="1013"/>
      <c r="Q670" s="1013"/>
      <c r="R670" s="1013"/>
      <c r="S670" s="1013"/>
      <c r="T670" s="1013"/>
      <c r="U670" s="1013"/>
      <c r="V670" s="1013"/>
      <c r="W670" s="1007"/>
    </row>
    <row r="671" spans="1:23" x14ac:dyDescent="0.2">
      <c r="A671" s="1006" t="s">
        <v>5117</v>
      </c>
      <c r="B671" s="1007">
        <v>4</v>
      </c>
      <c r="C671" s="1007">
        <v>4</v>
      </c>
      <c r="D671" s="1007">
        <v>20</v>
      </c>
      <c r="E671" s="1007">
        <v>1</v>
      </c>
      <c r="F671" s="1007">
        <v>2</v>
      </c>
      <c r="G671" s="1007">
        <v>4</v>
      </c>
      <c r="H671" s="1007">
        <v>1</v>
      </c>
      <c r="I671" s="1007"/>
      <c r="J671" s="1007"/>
      <c r="K671" s="1007"/>
      <c r="L671" s="1016"/>
      <c r="M671" s="1007"/>
      <c r="N671" s="1007"/>
      <c r="O671" s="1007"/>
      <c r="P671" s="1007"/>
      <c r="Q671" s="1007"/>
      <c r="R671" s="1007"/>
      <c r="S671" s="1007"/>
      <c r="T671" s="1007"/>
      <c r="U671" s="1007"/>
      <c r="V671" s="1007"/>
      <c r="W671" s="1007"/>
    </row>
    <row r="672" spans="1:23" x14ac:dyDescent="0.2">
      <c r="A672" s="1035" t="s">
        <v>5118</v>
      </c>
      <c r="B672" s="1036"/>
      <c r="C672" s="1036"/>
      <c r="D672" s="1036"/>
      <c r="E672" s="1036"/>
      <c r="F672" s="1036"/>
      <c r="G672" s="1036"/>
      <c r="H672" s="1036"/>
      <c r="I672" s="1036"/>
      <c r="J672" s="1036"/>
      <c r="K672" s="1036"/>
      <c r="L672" s="1037"/>
      <c r="M672" s="1036"/>
      <c r="N672" s="1036"/>
      <c r="O672" s="1036"/>
      <c r="P672" s="1036"/>
      <c r="Q672" s="1036"/>
      <c r="R672" s="1036"/>
      <c r="S672" s="1036"/>
      <c r="T672" s="1036"/>
      <c r="U672" s="1036"/>
      <c r="V672" s="1036"/>
      <c r="W672" s="1007"/>
    </row>
    <row r="673" spans="1:23" x14ac:dyDescent="0.2">
      <c r="A673" s="1038" t="s">
        <v>5119</v>
      </c>
      <c r="B673" s="1039"/>
      <c r="C673" s="1039"/>
      <c r="D673" s="1039"/>
      <c r="E673" s="1039"/>
      <c r="F673" s="1039"/>
      <c r="G673" s="1039"/>
      <c r="H673" s="1039"/>
      <c r="I673" s="1039"/>
      <c r="J673" s="1039"/>
      <c r="K673" s="1039"/>
      <c r="L673" s="1040"/>
      <c r="M673" s="1039"/>
      <c r="N673" s="1039"/>
      <c r="O673" s="1039"/>
      <c r="P673" s="1039"/>
      <c r="Q673" s="1039"/>
      <c r="R673" s="1039"/>
      <c r="S673" s="1039"/>
      <c r="T673" s="1039"/>
      <c r="U673" s="1039"/>
      <c r="V673" s="1039"/>
      <c r="W673" s="1007"/>
    </row>
    <row r="674" spans="1:23" x14ac:dyDescent="0.2">
      <c r="A674" s="1006" t="s">
        <v>5120</v>
      </c>
      <c r="B674" s="1007"/>
      <c r="C674" s="1007"/>
      <c r="D674" s="1007">
        <v>-5</v>
      </c>
      <c r="E674" s="1007"/>
      <c r="F674" s="1007"/>
      <c r="G674" s="1007"/>
      <c r="H674" s="1007">
        <v>1</v>
      </c>
      <c r="I674" s="1007"/>
      <c r="J674" s="1008" t="s">
        <v>5121</v>
      </c>
      <c r="K674" s="1007"/>
      <c r="L674" s="1016"/>
      <c r="M674" s="1007"/>
      <c r="N674" s="1007"/>
      <c r="O674" s="1007"/>
      <c r="P674" s="1007"/>
      <c r="Q674" s="1007"/>
      <c r="R674" s="1007"/>
      <c r="S674" s="1007"/>
      <c r="T674" s="1007"/>
      <c r="U674" s="1007"/>
      <c r="V674" s="1007"/>
      <c r="W674" s="1007"/>
    </row>
    <row r="675" spans="1:23" x14ac:dyDescent="0.2">
      <c r="A675" s="1006" t="s">
        <v>5122</v>
      </c>
      <c r="B675" s="1007"/>
      <c r="C675" s="1007"/>
      <c r="D675" s="1007">
        <v>-10</v>
      </c>
      <c r="E675" s="1007"/>
      <c r="F675" s="1007"/>
      <c r="G675" s="1007"/>
      <c r="H675" s="1007">
        <v>1</v>
      </c>
      <c r="I675" s="1007"/>
      <c r="J675" s="1008" t="s">
        <v>5121</v>
      </c>
      <c r="K675" s="1007"/>
      <c r="L675" s="1016"/>
      <c r="M675" s="1007"/>
      <c r="N675" s="1007"/>
      <c r="O675" s="1007"/>
      <c r="P675" s="1007"/>
      <c r="Q675" s="1007"/>
      <c r="R675" s="1007"/>
      <c r="S675" s="1007"/>
      <c r="T675" s="1007"/>
      <c r="U675" s="1007"/>
      <c r="V675" s="1007"/>
      <c r="W675" s="1007"/>
    </row>
    <row r="676" spans="1:23" x14ac:dyDescent="0.2">
      <c r="A676" s="1006" t="s">
        <v>5123</v>
      </c>
      <c r="B676" s="1007"/>
      <c r="C676" s="1007"/>
      <c r="D676" s="1007">
        <v>-15</v>
      </c>
      <c r="E676" s="1007"/>
      <c r="F676" s="1007"/>
      <c r="G676" s="1007"/>
      <c r="H676" s="1007">
        <v>2</v>
      </c>
      <c r="I676" s="1007"/>
      <c r="J676" s="1008" t="s">
        <v>5121</v>
      </c>
      <c r="K676" s="1007"/>
      <c r="L676" s="1016"/>
      <c r="M676" s="1007"/>
      <c r="N676" s="1007"/>
      <c r="O676" s="1007"/>
      <c r="P676" s="1007"/>
      <c r="Q676" s="1007"/>
      <c r="R676" s="1007"/>
      <c r="S676" s="1007"/>
      <c r="T676" s="1007"/>
      <c r="U676" s="1007"/>
      <c r="V676" s="1007"/>
      <c r="W676" s="1007"/>
    </row>
    <row r="677" spans="1:23" x14ac:dyDescent="0.2">
      <c r="A677" s="1038" t="s">
        <v>5124</v>
      </c>
      <c r="B677" s="1039"/>
      <c r="C677" s="1039"/>
      <c r="D677" s="1039"/>
      <c r="E677" s="1039"/>
      <c r="F677" s="1039"/>
      <c r="G677" s="1039"/>
      <c r="H677" s="1039"/>
      <c r="I677" s="1039"/>
      <c r="J677" s="1039"/>
      <c r="K677" s="1039"/>
      <c r="L677" s="1040"/>
      <c r="M677" s="1039"/>
      <c r="N677" s="1039"/>
      <c r="O677" s="1039"/>
      <c r="P677" s="1039"/>
      <c r="Q677" s="1039"/>
      <c r="R677" s="1039"/>
      <c r="S677" s="1039"/>
      <c r="T677" s="1039"/>
      <c r="U677" s="1039"/>
      <c r="V677" s="1039"/>
      <c r="W677" s="1007"/>
    </row>
    <row r="678" spans="1:23" x14ac:dyDescent="0.2">
      <c r="A678" s="1006" t="s">
        <v>5125</v>
      </c>
      <c r="B678" s="1007"/>
      <c r="C678" s="1007"/>
      <c r="D678" s="1007">
        <v>-15</v>
      </c>
      <c r="E678" s="1007"/>
      <c r="F678" s="1007"/>
      <c r="G678" s="1007"/>
      <c r="H678" s="1007">
        <v>1</v>
      </c>
      <c r="I678" s="1007"/>
      <c r="J678" s="1008" t="s">
        <v>5121</v>
      </c>
      <c r="K678" s="1007"/>
      <c r="L678" s="1016"/>
      <c r="M678" s="1007"/>
      <c r="N678" s="1007"/>
      <c r="O678" s="1007"/>
      <c r="P678" s="1007"/>
      <c r="Q678" s="1007"/>
      <c r="R678" s="1007"/>
      <c r="S678" s="1007"/>
      <c r="T678" s="1007"/>
      <c r="U678" s="1007"/>
      <c r="V678" s="1007"/>
      <c r="W678" s="1007"/>
    </row>
    <row r="679" spans="1:23" x14ac:dyDescent="0.2">
      <c r="A679" s="1006" t="s">
        <v>5126</v>
      </c>
      <c r="B679" s="1007"/>
      <c r="C679" s="1007"/>
      <c r="D679" s="1007">
        <v>-10</v>
      </c>
      <c r="E679" s="1007"/>
      <c r="F679" s="1007"/>
      <c r="G679" s="1007"/>
      <c r="H679" s="1007">
        <v>1</v>
      </c>
      <c r="I679" s="1007"/>
      <c r="J679" s="1008" t="s">
        <v>5121</v>
      </c>
      <c r="K679" s="1007"/>
      <c r="L679" s="1016"/>
      <c r="M679" s="1007"/>
      <c r="N679" s="1007"/>
      <c r="O679" s="1007"/>
      <c r="P679" s="1007"/>
      <c r="Q679" s="1007"/>
      <c r="R679" s="1007"/>
      <c r="S679" s="1007"/>
      <c r="T679" s="1007"/>
      <c r="U679" s="1007"/>
      <c r="V679" s="1007"/>
      <c r="W679" s="1007"/>
    </row>
    <row r="680" spans="1:23" x14ac:dyDescent="0.2">
      <c r="A680" s="1038" t="s">
        <v>5127</v>
      </c>
      <c r="B680" s="1039"/>
      <c r="C680" s="1039"/>
      <c r="D680" s="1039"/>
      <c r="E680" s="1039"/>
      <c r="F680" s="1039"/>
      <c r="G680" s="1039"/>
      <c r="H680" s="1039"/>
      <c r="I680" s="1039"/>
      <c r="J680" s="1039"/>
      <c r="K680" s="1039"/>
      <c r="L680" s="1040"/>
      <c r="M680" s="1039"/>
      <c r="N680" s="1039"/>
      <c r="O680" s="1039"/>
      <c r="P680" s="1039"/>
      <c r="Q680" s="1039"/>
      <c r="R680" s="1039"/>
      <c r="S680" s="1039"/>
      <c r="T680" s="1039"/>
      <c r="U680" s="1039"/>
      <c r="V680" s="1039"/>
      <c r="W680" s="1007"/>
    </row>
    <row r="681" spans="1:23" x14ac:dyDescent="0.2">
      <c r="A681" s="1006" t="s">
        <v>5128</v>
      </c>
      <c r="B681" s="1007"/>
      <c r="C681" s="1007"/>
      <c r="D681" s="1007">
        <v>-10</v>
      </c>
      <c r="E681" s="1007"/>
      <c r="F681" s="1007"/>
      <c r="G681" s="1007"/>
      <c r="H681" s="1007">
        <v>1</v>
      </c>
      <c r="I681" s="1007"/>
      <c r="J681" s="1008" t="s">
        <v>1761</v>
      </c>
      <c r="K681" s="1007"/>
      <c r="L681" s="1016"/>
      <c r="M681" s="1007"/>
      <c r="N681" s="1007"/>
      <c r="O681" s="1007"/>
      <c r="P681" s="1007"/>
      <c r="Q681" s="1007"/>
      <c r="R681" s="1007"/>
      <c r="S681" s="1007"/>
      <c r="T681" s="1007"/>
      <c r="U681" s="1007"/>
      <c r="V681" s="1007"/>
      <c r="W681" s="1007"/>
    </row>
    <row r="682" spans="1:23" x14ac:dyDescent="0.2">
      <c r="A682" s="1006" t="s">
        <v>5129</v>
      </c>
      <c r="B682" s="1007"/>
      <c r="C682" s="1007"/>
      <c r="D682" s="1007">
        <v>-10</v>
      </c>
      <c r="E682" s="1007"/>
      <c r="F682" s="1007"/>
      <c r="G682" s="1007"/>
      <c r="H682" s="1007">
        <v>1</v>
      </c>
      <c r="I682" s="1007"/>
      <c r="J682" s="1008" t="s">
        <v>1761</v>
      </c>
      <c r="K682" s="1007"/>
      <c r="L682" s="1016"/>
      <c r="M682" s="1007"/>
      <c r="N682" s="1007"/>
      <c r="O682" s="1007"/>
      <c r="P682" s="1007"/>
      <c r="Q682" s="1007"/>
      <c r="R682" s="1007"/>
      <c r="S682" s="1007"/>
      <c r="T682" s="1007"/>
      <c r="U682" s="1007"/>
      <c r="V682" s="1007"/>
      <c r="W682" s="1007"/>
    </row>
    <row r="683" spans="1:23" x14ac:dyDescent="0.2">
      <c r="A683" s="1006" t="s">
        <v>5130</v>
      </c>
      <c r="B683" s="1007"/>
      <c r="C683" s="1007"/>
      <c r="D683" s="1007">
        <v>-10</v>
      </c>
      <c r="E683" s="1007"/>
      <c r="F683" s="1007"/>
      <c r="G683" s="1007"/>
      <c r="H683" s="1007">
        <v>1</v>
      </c>
      <c r="I683" s="1007"/>
      <c r="J683" s="1008" t="s">
        <v>1761</v>
      </c>
      <c r="K683" s="1007"/>
      <c r="L683" s="1016"/>
      <c r="M683" s="1007"/>
      <c r="N683" s="1007"/>
      <c r="O683" s="1007"/>
      <c r="P683" s="1007"/>
      <c r="Q683" s="1007"/>
      <c r="R683" s="1007"/>
      <c r="S683" s="1007"/>
      <c r="T683" s="1007"/>
      <c r="U683" s="1007"/>
      <c r="V683" s="1007"/>
      <c r="W683" s="1007"/>
    </row>
    <row r="684" spans="1:23" x14ac:dyDescent="0.2">
      <c r="A684" s="1038" t="s">
        <v>5131</v>
      </c>
      <c r="B684" s="1039"/>
      <c r="C684" s="1039"/>
      <c r="D684" s="1039"/>
      <c r="E684" s="1039"/>
      <c r="F684" s="1039"/>
      <c r="G684" s="1039"/>
      <c r="H684" s="1039"/>
      <c r="I684" s="1039"/>
      <c r="J684" s="1039"/>
      <c r="K684" s="1039"/>
      <c r="L684" s="1040"/>
      <c r="M684" s="1039"/>
      <c r="N684" s="1039"/>
      <c r="O684" s="1039"/>
      <c r="P684" s="1039"/>
      <c r="Q684" s="1039"/>
      <c r="R684" s="1039"/>
      <c r="S684" s="1039"/>
      <c r="T684" s="1039"/>
      <c r="U684" s="1039"/>
      <c r="V684" s="1039"/>
      <c r="W684" s="1007"/>
    </row>
    <row r="685" spans="1:23" x14ac:dyDescent="0.2">
      <c r="A685" s="1006" t="s">
        <v>5132</v>
      </c>
      <c r="B685" s="1007"/>
      <c r="C685" s="1007"/>
      <c r="D685" s="1007">
        <v>-5</v>
      </c>
      <c r="E685" s="1007"/>
      <c r="F685" s="1007"/>
      <c r="G685" s="1007"/>
      <c r="H685" s="1007">
        <v>1</v>
      </c>
      <c r="I685" s="1007"/>
      <c r="J685" s="1008" t="s">
        <v>5121</v>
      </c>
      <c r="K685" s="1007"/>
      <c r="L685" s="1016"/>
      <c r="M685" s="1007"/>
      <c r="N685" s="1007"/>
      <c r="O685" s="1007"/>
      <c r="P685" s="1007"/>
      <c r="Q685" s="1007"/>
      <c r="R685" s="1007"/>
      <c r="S685" s="1007"/>
      <c r="T685" s="1007"/>
      <c r="U685" s="1007"/>
      <c r="V685" s="1007"/>
      <c r="W685" s="1007"/>
    </row>
    <row r="686" spans="1:23" x14ac:dyDescent="0.2">
      <c r="A686" s="1006" t="s">
        <v>5133</v>
      </c>
      <c r="B686" s="1007"/>
      <c r="C686" s="1007"/>
      <c r="D686" s="1007">
        <v>-10</v>
      </c>
      <c r="E686" s="1007"/>
      <c r="F686" s="1007"/>
      <c r="G686" s="1007"/>
      <c r="H686" s="1007">
        <v>1</v>
      </c>
      <c r="I686" s="1007"/>
      <c r="J686" s="1008" t="s">
        <v>5121</v>
      </c>
      <c r="K686" s="1007"/>
      <c r="L686" s="1016"/>
      <c r="M686" s="1007"/>
      <c r="N686" s="1007"/>
      <c r="O686" s="1007"/>
      <c r="P686" s="1007"/>
      <c r="Q686" s="1007"/>
      <c r="R686" s="1007"/>
      <c r="S686" s="1007"/>
      <c r="T686" s="1007"/>
      <c r="U686" s="1007"/>
      <c r="V686" s="1007"/>
      <c r="W686" s="1007"/>
    </row>
    <row r="687" spans="1:23" x14ac:dyDescent="0.2">
      <c r="A687" s="1038" t="s">
        <v>5134</v>
      </c>
      <c r="B687" s="1039"/>
      <c r="C687" s="1039"/>
      <c r="D687" s="1039"/>
      <c r="E687" s="1039"/>
      <c r="F687" s="1039"/>
      <c r="G687" s="1039"/>
      <c r="H687" s="1039"/>
      <c r="I687" s="1039"/>
      <c r="J687" s="1039"/>
      <c r="K687" s="1039"/>
      <c r="L687" s="1040"/>
      <c r="M687" s="1039"/>
      <c r="N687" s="1039"/>
      <c r="O687" s="1039"/>
      <c r="P687" s="1039"/>
      <c r="Q687" s="1039"/>
      <c r="R687" s="1039"/>
      <c r="S687" s="1039"/>
      <c r="T687" s="1039"/>
      <c r="U687" s="1039"/>
      <c r="V687" s="1039"/>
      <c r="W687" s="1007"/>
    </row>
    <row r="688" spans="1:23" x14ac:dyDescent="0.2">
      <c r="A688" s="1006" t="s">
        <v>5135</v>
      </c>
      <c r="B688" s="1007"/>
      <c r="C688" s="1007"/>
      <c r="D688" s="1007">
        <v>-10</v>
      </c>
      <c r="E688" s="1007"/>
      <c r="F688" s="1007"/>
      <c r="G688" s="1007"/>
      <c r="H688" s="1007">
        <v>1</v>
      </c>
      <c r="I688" s="1007"/>
      <c r="J688" s="1008" t="s">
        <v>5121</v>
      </c>
      <c r="K688" s="1007"/>
      <c r="L688" s="1016"/>
      <c r="M688" s="1007"/>
      <c r="N688" s="1007"/>
      <c r="O688" s="1007"/>
      <c r="P688" s="1007"/>
      <c r="Q688" s="1007"/>
      <c r="R688" s="1007"/>
      <c r="S688" s="1007"/>
      <c r="T688" s="1007"/>
      <c r="U688" s="1007"/>
      <c r="V688" s="1007"/>
      <c r="W688" s="1007"/>
    </row>
    <row r="689" spans="1:23" x14ac:dyDescent="0.2">
      <c r="A689" s="1006" t="s">
        <v>5136</v>
      </c>
      <c r="B689" s="1007"/>
      <c r="C689" s="1007"/>
      <c r="D689" s="1007">
        <v>-15</v>
      </c>
      <c r="E689" s="1007"/>
      <c r="F689" s="1007"/>
      <c r="G689" s="1007"/>
      <c r="H689" s="1007">
        <v>1</v>
      </c>
      <c r="I689" s="1007"/>
      <c r="J689" s="1008" t="s">
        <v>5121</v>
      </c>
      <c r="K689" s="1007"/>
      <c r="L689" s="1016"/>
      <c r="M689" s="1007"/>
      <c r="N689" s="1007"/>
      <c r="O689" s="1007"/>
      <c r="P689" s="1007"/>
      <c r="Q689" s="1007"/>
      <c r="R689" s="1007"/>
      <c r="S689" s="1007"/>
      <c r="T689" s="1007"/>
      <c r="U689" s="1007"/>
      <c r="V689" s="1007"/>
      <c r="W689" s="1007"/>
    </row>
    <row r="690" spans="1:23" x14ac:dyDescent="0.2">
      <c r="A690" s="1006" t="s">
        <v>5137</v>
      </c>
      <c r="B690" s="1007"/>
      <c r="C690" s="1007"/>
      <c r="D690" s="1007">
        <v>-25</v>
      </c>
      <c r="E690" s="1007"/>
      <c r="F690" s="1007"/>
      <c r="G690" s="1007"/>
      <c r="H690" s="1007">
        <v>2</v>
      </c>
      <c r="I690" s="1007"/>
      <c r="J690" s="1008" t="s">
        <v>5121</v>
      </c>
      <c r="K690" s="1007"/>
      <c r="L690" s="1016"/>
      <c r="M690" s="1007"/>
      <c r="N690" s="1007"/>
      <c r="O690" s="1007"/>
      <c r="P690" s="1007"/>
      <c r="Q690" s="1007"/>
      <c r="R690" s="1007"/>
      <c r="S690" s="1007"/>
      <c r="T690" s="1007"/>
      <c r="U690" s="1007"/>
      <c r="V690" s="1007"/>
      <c r="W690" s="1007"/>
    </row>
    <row r="691" spans="1:23" x14ac:dyDescent="0.2">
      <c r="A691" s="1006" t="s">
        <v>5138</v>
      </c>
      <c r="B691" s="1007"/>
      <c r="C691" s="1007"/>
      <c r="D691" s="1007">
        <v>-10</v>
      </c>
      <c r="E691" s="1007"/>
      <c r="F691" s="1007"/>
      <c r="G691" s="1007"/>
      <c r="H691" s="1007">
        <v>1</v>
      </c>
      <c r="I691" s="1007"/>
      <c r="J691" s="1008" t="s">
        <v>5121</v>
      </c>
      <c r="K691" s="1007"/>
      <c r="L691" s="1016"/>
      <c r="M691" s="1007"/>
      <c r="N691" s="1007"/>
      <c r="O691" s="1007"/>
      <c r="P691" s="1007"/>
      <c r="Q691" s="1007"/>
      <c r="R691" s="1007"/>
      <c r="S691" s="1007"/>
      <c r="T691" s="1007"/>
      <c r="U691" s="1007"/>
      <c r="V691" s="1007"/>
      <c r="W691" s="1007"/>
    </row>
    <row r="692" spans="1:23" x14ac:dyDescent="0.2">
      <c r="A692" s="1038" t="s">
        <v>5139</v>
      </c>
      <c r="B692" s="1039"/>
      <c r="C692" s="1039"/>
      <c r="D692" s="1039"/>
      <c r="E692" s="1039"/>
      <c r="F692" s="1039"/>
      <c r="G692" s="1039"/>
      <c r="H692" s="1039"/>
      <c r="I692" s="1039"/>
      <c r="J692" s="1039"/>
      <c r="K692" s="1039"/>
      <c r="L692" s="1040"/>
      <c r="M692" s="1039"/>
      <c r="N692" s="1039"/>
      <c r="O692" s="1039"/>
      <c r="P692" s="1039"/>
      <c r="Q692" s="1039"/>
      <c r="R692" s="1039"/>
      <c r="S692" s="1039"/>
      <c r="T692" s="1039"/>
      <c r="U692" s="1039"/>
      <c r="V692" s="1039"/>
      <c r="W692" s="1007"/>
    </row>
    <row r="693" spans="1:23" x14ac:dyDescent="0.2">
      <c r="A693" s="1006" t="s">
        <v>5140</v>
      </c>
      <c r="B693" s="1007"/>
      <c r="C693" s="1007"/>
      <c r="D693" s="1007">
        <v>-5</v>
      </c>
      <c r="E693" s="1007"/>
      <c r="F693" s="1007"/>
      <c r="G693" s="1007"/>
      <c r="H693" s="1007">
        <v>1</v>
      </c>
      <c r="I693" s="1007"/>
      <c r="J693" s="1008" t="s">
        <v>1761</v>
      </c>
      <c r="K693" s="1007"/>
      <c r="L693" s="1016"/>
      <c r="M693" s="1007"/>
      <c r="N693" s="1007"/>
      <c r="O693" s="1007"/>
      <c r="P693" s="1007"/>
      <c r="Q693" s="1007"/>
      <c r="R693" s="1007"/>
      <c r="S693" s="1007"/>
      <c r="T693" s="1007"/>
      <c r="U693" s="1007"/>
      <c r="V693" s="1007"/>
      <c r="W693" s="1007"/>
    </row>
    <row r="694" spans="1:23" x14ac:dyDescent="0.2">
      <c r="A694" s="1038" t="s">
        <v>5141</v>
      </c>
      <c r="B694" s="1039"/>
      <c r="C694" s="1039"/>
      <c r="D694" s="1039"/>
      <c r="E694" s="1039"/>
      <c r="F694" s="1039"/>
      <c r="G694" s="1039"/>
      <c r="H694" s="1039"/>
      <c r="I694" s="1039"/>
      <c r="J694" s="1039"/>
      <c r="K694" s="1039"/>
      <c r="L694" s="1040"/>
      <c r="M694" s="1039"/>
      <c r="N694" s="1039"/>
      <c r="O694" s="1039"/>
      <c r="P694" s="1039"/>
      <c r="Q694" s="1039"/>
      <c r="R694" s="1039"/>
      <c r="S694" s="1039"/>
      <c r="T694" s="1039"/>
      <c r="U694" s="1039"/>
      <c r="V694" s="1039"/>
      <c r="W694" s="1007"/>
    </row>
    <row r="695" spans="1:23" x14ac:dyDescent="0.2">
      <c r="A695" s="1006" t="s">
        <v>3172</v>
      </c>
      <c r="B695" s="1007"/>
      <c r="C695" s="1007"/>
      <c r="D695" s="1007">
        <v>-5</v>
      </c>
      <c r="E695" s="1007"/>
      <c r="F695" s="1007"/>
      <c r="G695" s="1007"/>
      <c r="H695" s="1007">
        <v>2</v>
      </c>
      <c r="I695" s="1007"/>
      <c r="J695" s="1008" t="s">
        <v>5121</v>
      </c>
      <c r="K695" s="1007"/>
      <c r="L695" s="1016"/>
      <c r="M695" s="1007"/>
      <c r="N695" s="1007"/>
      <c r="O695" s="1007"/>
      <c r="P695" s="1007"/>
      <c r="Q695" s="1007"/>
      <c r="R695" s="1007"/>
      <c r="S695" s="1007"/>
      <c r="T695" s="1007"/>
      <c r="U695" s="1007"/>
      <c r="V695" s="1007"/>
      <c r="W695" s="1007"/>
    </row>
    <row r="696" spans="1:23" x14ac:dyDescent="0.2">
      <c r="A696" s="1038" t="s">
        <v>5142</v>
      </c>
      <c r="B696" s="1039"/>
      <c r="C696" s="1039"/>
      <c r="D696" s="1039"/>
      <c r="E696" s="1039"/>
      <c r="F696" s="1039"/>
      <c r="G696" s="1039"/>
      <c r="H696" s="1039"/>
      <c r="I696" s="1039"/>
      <c r="J696" s="1039"/>
      <c r="K696" s="1039"/>
      <c r="L696" s="1040"/>
      <c r="M696" s="1039"/>
      <c r="N696" s="1039"/>
      <c r="O696" s="1039"/>
      <c r="P696" s="1039"/>
      <c r="Q696" s="1039"/>
      <c r="R696" s="1039"/>
      <c r="S696" s="1039"/>
      <c r="T696" s="1039"/>
      <c r="U696" s="1039"/>
      <c r="V696" s="1039"/>
      <c r="W696" s="1007"/>
    </row>
    <row r="697" spans="1:23" x14ac:dyDescent="0.2">
      <c r="A697" s="1006" t="s">
        <v>5143</v>
      </c>
      <c r="B697" s="1007"/>
      <c r="C697" s="1007"/>
      <c r="D697" s="1007">
        <v>-5</v>
      </c>
      <c r="E697" s="1007"/>
      <c r="F697" s="1007"/>
      <c r="G697" s="1007"/>
      <c r="H697" s="1007">
        <v>1</v>
      </c>
      <c r="I697" s="1007"/>
      <c r="J697" s="1008" t="s">
        <v>5121</v>
      </c>
      <c r="K697" s="1007"/>
      <c r="L697" s="1016"/>
      <c r="M697" s="1007"/>
      <c r="N697" s="1007"/>
      <c r="O697" s="1007"/>
      <c r="P697" s="1007"/>
      <c r="Q697" s="1007"/>
      <c r="R697" s="1007"/>
      <c r="S697" s="1007"/>
      <c r="T697" s="1007"/>
      <c r="U697" s="1007"/>
      <c r="V697" s="1007"/>
      <c r="W697" s="1007"/>
    </row>
    <row r="698" spans="1:23" x14ac:dyDescent="0.2">
      <c r="A698" s="1006" t="s">
        <v>5144</v>
      </c>
      <c r="B698" s="1007"/>
      <c r="C698" s="1007"/>
      <c r="D698" s="1007">
        <v>-5</v>
      </c>
      <c r="E698" s="1007"/>
      <c r="F698" s="1007"/>
      <c r="G698" s="1007"/>
      <c r="H698" s="1007">
        <v>1</v>
      </c>
      <c r="I698" s="1007"/>
      <c r="J698" s="1008" t="s">
        <v>5121</v>
      </c>
      <c r="K698" s="1007"/>
      <c r="L698" s="1016"/>
      <c r="M698" s="1007"/>
      <c r="N698" s="1007"/>
      <c r="O698" s="1007"/>
      <c r="P698" s="1007"/>
      <c r="Q698" s="1007"/>
      <c r="R698" s="1007"/>
      <c r="S698" s="1007"/>
      <c r="T698" s="1007"/>
      <c r="U698" s="1007"/>
      <c r="V698" s="1007"/>
      <c r="W698" s="1007"/>
    </row>
    <row r="699" spans="1:23" x14ac:dyDescent="0.2">
      <c r="A699" s="1006" t="s">
        <v>5145</v>
      </c>
      <c r="B699" s="1007"/>
      <c r="C699" s="1007"/>
      <c r="D699" s="1007">
        <v>-5</v>
      </c>
      <c r="E699" s="1007"/>
      <c r="F699" s="1007"/>
      <c r="G699" s="1007"/>
      <c r="H699" s="1007">
        <v>1</v>
      </c>
      <c r="I699" s="1007"/>
      <c r="J699" s="1008" t="s">
        <v>5121</v>
      </c>
      <c r="K699" s="1007"/>
      <c r="L699" s="1016"/>
      <c r="M699" s="1007"/>
      <c r="N699" s="1007"/>
      <c r="O699" s="1007"/>
      <c r="P699" s="1007"/>
      <c r="Q699" s="1007"/>
      <c r="R699" s="1007"/>
      <c r="S699" s="1007"/>
      <c r="T699" s="1007"/>
      <c r="U699" s="1007"/>
      <c r="V699" s="1007"/>
      <c r="W699" s="1007"/>
    </row>
    <row r="700" spans="1:23" x14ac:dyDescent="0.2">
      <c r="A700" s="1006" t="s">
        <v>5146</v>
      </c>
      <c r="B700" s="1007"/>
      <c r="C700" s="1007"/>
      <c r="D700" s="1007">
        <v>-5</v>
      </c>
      <c r="E700" s="1007"/>
      <c r="F700" s="1007"/>
      <c r="G700" s="1007"/>
      <c r="H700" s="1007">
        <v>1</v>
      </c>
      <c r="I700" s="1007"/>
      <c r="J700" s="1008" t="s">
        <v>5121</v>
      </c>
      <c r="K700" s="1007"/>
      <c r="L700" s="1016"/>
      <c r="M700" s="1007"/>
      <c r="N700" s="1007"/>
      <c r="O700" s="1007"/>
      <c r="P700" s="1007"/>
      <c r="Q700" s="1007"/>
      <c r="R700" s="1007"/>
      <c r="S700" s="1007"/>
      <c r="T700" s="1007"/>
      <c r="U700" s="1007"/>
      <c r="V700" s="1007"/>
      <c r="W700" s="1007"/>
    </row>
    <row r="701" spans="1:23" x14ac:dyDescent="0.2">
      <c r="A701" s="1006" t="s">
        <v>5147</v>
      </c>
      <c r="B701" s="1007"/>
      <c r="C701" s="1007"/>
      <c r="D701" s="1007">
        <v>-10</v>
      </c>
      <c r="E701" s="1007"/>
      <c r="F701" s="1007"/>
      <c r="G701" s="1007"/>
      <c r="H701" s="1007">
        <v>1</v>
      </c>
      <c r="I701" s="1007"/>
      <c r="J701" s="1008" t="s">
        <v>5121</v>
      </c>
      <c r="K701" s="1007"/>
      <c r="L701" s="1016"/>
      <c r="M701" s="1007"/>
      <c r="N701" s="1007"/>
      <c r="O701" s="1007"/>
      <c r="P701" s="1007"/>
      <c r="Q701" s="1007"/>
      <c r="R701" s="1007"/>
      <c r="S701" s="1007"/>
      <c r="T701" s="1007"/>
      <c r="U701" s="1007"/>
      <c r="V701" s="1007"/>
      <c r="W701" s="1007"/>
    </row>
    <row r="702" spans="1:23" x14ac:dyDescent="0.2">
      <c r="A702" s="1006" t="s">
        <v>5148</v>
      </c>
      <c r="B702" s="1007"/>
      <c r="C702" s="1007"/>
      <c r="D702" s="1007">
        <v>-10</v>
      </c>
      <c r="E702" s="1007"/>
      <c r="F702" s="1007"/>
      <c r="G702" s="1007"/>
      <c r="H702" s="1007">
        <v>1</v>
      </c>
      <c r="I702" s="1007"/>
      <c r="J702" s="1008" t="s">
        <v>5121</v>
      </c>
      <c r="K702" s="1007"/>
      <c r="L702" s="1016"/>
      <c r="M702" s="1007"/>
      <c r="N702" s="1007"/>
      <c r="O702" s="1007"/>
      <c r="P702" s="1007"/>
      <c r="Q702" s="1007"/>
      <c r="R702" s="1007"/>
      <c r="S702" s="1007"/>
      <c r="T702" s="1007"/>
      <c r="U702" s="1007"/>
      <c r="V702" s="1007"/>
      <c r="W702" s="1007"/>
    </row>
    <row r="703" spans="1:23" x14ac:dyDescent="0.2">
      <c r="A703" s="1006" t="s">
        <v>5149</v>
      </c>
      <c r="B703" s="1007"/>
      <c r="C703" s="1007"/>
      <c r="D703" s="1007">
        <v>-10</v>
      </c>
      <c r="E703" s="1007"/>
      <c r="F703" s="1007"/>
      <c r="G703" s="1007"/>
      <c r="H703" s="1007">
        <v>1</v>
      </c>
      <c r="I703" s="1007"/>
      <c r="J703" s="1008" t="s">
        <v>5121</v>
      </c>
      <c r="K703" s="1007"/>
      <c r="L703" s="1016"/>
      <c r="M703" s="1007"/>
      <c r="N703" s="1007"/>
      <c r="O703" s="1007"/>
      <c r="P703" s="1007"/>
      <c r="Q703" s="1007"/>
      <c r="R703" s="1007"/>
      <c r="S703" s="1007"/>
      <c r="T703" s="1007"/>
      <c r="U703" s="1007"/>
      <c r="V703" s="1007"/>
      <c r="W703" s="1007"/>
    </row>
    <row r="704" spans="1:23" x14ac:dyDescent="0.2">
      <c r="A704" s="1006" t="s">
        <v>5150</v>
      </c>
      <c r="B704" s="1007"/>
      <c r="C704" s="1007"/>
      <c r="D704" s="1007">
        <v>-20</v>
      </c>
      <c r="E704" s="1007"/>
      <c r="F704" s="1007"/>
      <c r="G704" s="1007"/>
      <c r="H704" s="1007">
        <v>2</v>
      </c>
      <c r="I704" s="1007"/>
      <c r="J704" s="1008" t="s">
        <v>5121</v>
      </c>
      <c r="K704" s="1007"/>
      <c r="L704" s="1016"/>
      <c r="M704" s="1007"/>
      <c r="N704" s="1007"/>
      <c r="O704" s="1007"/>
      <c r="P704" s="1007"/>
      <c r="Q704" s="1007"/>
      <c r="R704" s="1007"/>
      <c r="S704" s="1007"/>
      <c r="T704" s="1007"/>
      <c r="U704" s="1007"/>
      <c r="V704" s="1007"/>
      <c r="W704" s="1007"/>
    </row>
    <row r="705" spans="1:23" x14ac:dyDescent="0.2">
      <c r="A705" s="1038" t="s">
        <v>5151</v>
      </c>
      <c r="B705" s="1039"/>
      <c r="C705" s="1039"/>
      <c r="D705" s="1039"/>
      <c r="E705" s="1039"/>
      <c r="F705" s="1039"/>
      <c r="G705" s="1039"/>
      <c r="H705" s="1039"/>
      <c r="I705" s="1039"/>
      <c r="J705" s="1039"/>
      <c r="K705" s="1039"/>
      <c r="L705" s="1040"/>
      <c r="M705" s="1039"/>
      <c r="N705" s="1039"/>
      <c r="O705" s="1039"/>
      <c r="P705" s="1039"/>
      <c r="Q705" s="1039"/>
      <c r="R705" s="1039"/>
      <c r="S705" s="1039"/>
      <c r="T705" s="1039"/>
      <c r="U705" s="1039"/>
      <c r="V705" s="1039"/>
      <c r="W705" s="1007"/>
    </row>
    <row r="706" spans="1:23" x14ac:dyDescent="0.2">
      <c r="A706" s="1006" t="s">
        <v>5152</v>
      </c>
      <c r="B706" s="1007"/>
      <c r="C706" s="1007"/>
      <c r="D706" s="1007">
        <v>-20</v>
      </c>
      <c r="E706" s="1007"/>
      <c r="F706" s="1007"/>
      <c r="G706" s="1007"/>
      <c r="H706" s="1007">
        <v>1</v>
      </c>
      <c r="I706" s="1007"/>
      <c r="J706" s="1008" t="s">
        <v>1761</v>
      </c>
      <c r="K706" s="1007"/>
      <c r="L706" s="1016"/>
      <c r="M706" s="1007"/>
      <c r="N706" s="1007"/>
      <c r="O706" s="1007"/>
      <c r="P706" s="1007"/>
      <c r="Q706" s="1007"/>
      <c r="R706" s="1007"/>
      <c r="S706" s="1007"/>
      <c r="T706" s="1007"/>
      <c r="U706" s="1007"/>
      <c r="V706" s="1007"/>
      <c r="W706" s="1007"/>
    </row>
    <row r="707" spans="1:23" x14ac:dyDescent="0.2">
      <c r="A707" s="1006" t="s">
        <v>5153</v>
      </c>
      <c r="B707" s="1007"/>
      <c r="C707" s="1007"/>
      <c r="D707" s="1007">
        <v>-10</v>
      </c>
      <c r="E707" s="1007"/>
      <c r="F707" s="1007"/>
      <c r="G707" s="1007"/>
      <c r="H707" s="1007">
        <v>1</v>
      </c>
      <c r="I707" s="1007"/>
      <c r="J707" s="1008" t="s">
        <v>1761</v>
      </c>
      <c r="K707" s="1007"/>
      <c r="L707" s="1016"/>
      <c r="M707" s="1007"/>
      <c r="N707" s="1007"/>
      <c r="O707" s="1007"/>
      <c r="P707" s="1007"/>
      <c r="Q707" s="1007"/>
      <c r="R707" s="1007"/>
      <c r="S707" s="1007"/>
      <c r="T707" s="1007"/>
      <c r="U707" s="1007"/>
      <c r="V707" s="1007"/>
      <c r="W707" s="1007"/>
    </row>
    <row r="708" spans="1:23" x14ac:dyDescent="0.2">
      <c r="A708" s="1038" t="s">
        <v>5154</v>
      </c>
      <c r="B708" s="1039"/>
      <c r="C708" s="1039"/>
      <c r="D708" s="1039"/>
      <c r="E708" s="1039"/>
      <c r="F708" s="1039"/>
      <c r="G708" s="1039"/>
      <c r="H708" s="1039"/>
      <c r="I708" s="1039"/>
      <c r="J708" s="1039"/>
      <c r="K708" s="1039"/>
      <c r="L708" s="1040"/>
      <c r="M708" s="1039"/>
      <c r="N708" s="1039"/>
      <c r="O708" s="1039"/>
      <c r="P708" s="1039"/>
      <c r="Q708" s="1039"/>
      <c r="R708" s="1039"/>
      <c r="S708" s="1039"/>
      <c r="T708" s="1039"/>
      <c r="U708" s="1039"/>
      <c r="V708" s="1039"/>
      <c r="W708" s="1007"/>
    </row>
    <row r="709" spans="1:23" x14ac:dyDescent="0.2">
      <c r="A709" s="1006" t="s">
        <v>5155</v>
      </c>
      <c r="B709" s="1007"/>
      <c r="C709" s="1007"/>
      <c r="D709" s="1007">
        <v>-5</v>
      </c>
      <c r="E709" s="1007"/>
      <c r="F709" s="1007"/>
      <c r="G709" s="1007"/>
      <c r="H709" s="1007">
        <v>1</v>
      </c>
      <c r="I709" s="1007"/>
      <c r="J709" s="1008" t="s">
        <v>2431</v>
      </c>
      <c r="K709" s="1007"/>
      <c r="L709" s="1016"/>
      <c r="M709" s="1007"/>
      <c r="N709" s="1007"/>
      <c r="O709" s="1007"/>
      <c r="P709" s="1007"/>
      <c r="Q709" s="1007"/>
      <c r="R709" s="1007"/>
      <c r="S709" s="1007"/>
      <c r="T709" s="1007"/>
      <c r="U709" s="1007"/>
      <c r="V709" s="1007"/>
      <c r="W709" s="1007"/>
    </row>
    <row r="710" spans="1:23" x14ac:dyDescent="0.2">
      <c r="A710" s="1006" t="s">
        <v>5156</v>
      </c>
      <c r="B710" s="1007"/>
      <c r="C710" s="1007"/>
      <c r="D710" s="1007">
        <v>-10</v>
      </c>
      <c r="E710" s="1007"/>
      <c r="F710" s="1007"/>
      <c r="G710" s="1007"/>
      <c r="H710" s="1007">
        <v>1</v>
      </c>
      <c r="I710" s="1007"/>
      <c r="J710" s="1008" t="s">
        <v>2431</v>
      </c>
      <c r="K710" s="1007"/>
      <c r="L710" s="1016"/>
      <c r="M710" s="1007"/>
      <c r="N710" s="1007"/>
      <c r="O710" s="1007"/>
      <c r="P710" s="1007"/>
      <c r="Q710" s="1007"/>
      <c r="R710" s="1007"/>
      <c r="S710" s="1007"/>
      <c r="T710" s="1007"/>
      <c r="U710" s="1007"/>
      <c r="V710" s="1007"/>
      <c r="W710" s="1007"/>
    </row>
    <row r="711" spans="1:23" x14ac:dyDescent="0.2">
      <c r="A711" s="1006" t="s">
        <v>5157</v>
      </c>
      <c r="B711" s="1007"/>
      <c r="C711" s="1007"/>
      <c r="D711" s="1007">
        <v>-10</v>
      </c>
      <c r="E711" s="1007"/>
      <c r="F711" s="1007"/>
      <c r="G711" s="1007"/>
      <c r="H711" s="1007">
        <v>1</v>
      </c>
      <c r="I711" s="1007"/>
      <c r="J711" s="1008" t="s">
        <v>2431</v>
      </c>
      <c r="K711" s="1007"/>
      <c r="L711" s="1016"/>
      <c r="M711" s="1007"/>
      <c r="N711" s="1007"/>
      <c r="O711" s="1007"/>
      <c r="P711" s="1007"/>
      <c r="Q711" s="1007"/>
      <c r="R711" s="1007"/>
      <c r="S711" s="1007"/>
      <c r="T711" s="1007"/>
      <c r="U711" s="1007"/>
      <c r="V711" s="1007"/>
      <c r="W711" s="1007"/>
    </row>
    <row r="712" spans="1:23" x14ac:dyDescent="0.2">
      <c r="A712" s="1006" t="s">
        <v>5158</v>
      </c>
      <c r="B712" s="1007"/>
      <c r="C712" s="1007"/>
      <c r="D712" s="1007">
        <v>-15</v>
      </c>
      <c r="E712" s="1007"/>
      <c r="F712" s="1007"/>
      <c r="G712" s="1007"/>
      <c r="H712" s="1007">
        <v>1</v>
      </c>
      <c r="I712" s="1007"/>
      <c r="J712" s="1008" t="s">
        <v>2431</v>
      </c>
      <c r="K712" s="1007"/>
      <c r="L712" s="1016"/>
      <c r="M712" s="1007"/>
      <c r="N712" s="1007"/>
      <c r="O712" s="1007"/>
      <c r="P712" s="1007"/>
      <c r="Q712" s="1007"/>
      <c r="R712" s="1007"/>
      <c r="S712" s="1007"/>
      <c r="T712" s="1007"/>
      <c r="U712" s="1007"/>
      <c r="V712" s="1007"/>
      <c r="W712" s="1007"/>
    </row>
    <row r="713" spans="1:23" x14ac:dyDescent="0.2">
      <c r="A713" s="1006" t="s">
        <v>5159</v>
      </c>
      <c r="B713" s="1007"/>
      <c r="C713" s="1007"/>
      <c r="D713" s="1007">
        <v>-15</v>
      </c>
      <c r="E713" s="1007"/>
      <c r="F713" s="1007"/>
      <c r="G713" s="1007"/>
      <c r="H713" s="1007">
        <v>1</v>
      </c>
      <c r="I713" s="1007"/>
      <c r="J713" s="1008" t="s">
        <v>2431</v>
      </c>
      <c r="K713" s="1007"/>
      <c r="L713" s="1016"/>
      <c r="M713" s="1007"/>
      <c r="N713" s="1007"/>
      <c r="O713" s="1007"/>
      <c r="P713" s="1007"/>
      <c r="Q713" s="1007"/>
      <c r="R713" s="1007"/>
      <c r="S713" s="1007"/>
      <c r="T713" s="1007"/>
      <c r="U713" s="1007"/>
      <c r="V713" s="1007"/>
      <c r="W713" s="1007"/>
    </row>
    <row r="714" spans="1:23" x14ac:dyDescent="0.2">
      <c r="A714" s="1038" t="s">
        <v>5160</v>
      </c>
      <c r="B714" s="1039"/>
      <c r="C714" s="1039"/>
      <c r="D714" s="1039"/>
      <c r="E714" s="1039"/>
      <c r="F714" s="1039"/>
      <c r="G714" s="1039"/>
      <c r="H714" s="1039"/>
      <c r="I714" s="1039"/>
      <c r="J714" s="1039"/>
      <c r="K714" s="1039"/>
      <c r="L714" s="1040"/>
      <c r="M714" s="1039"/>
      <c r="N714" s="1039"/>
      <c r="O714" s="1039"/>
      <c r="P714" s="1039"/>
      <c r="Q714" s="1039"/>
      <c r="R714" s="1039"/>
      <c r="S714" s="1039"/>
      <c r="T714" s="1039"/>
      <c r="U714" s="1039"/>
      <c r="V714" s="1039"/>
      <c r="W714" s="1007"/>
    </row>
    <row r="715" spans="1:23" x14ac:dyDescent="0.2">
      <c r="A715" s="1006" t="s">
        <v>5161</v>
      </c>
      <c r="B715" s="1007"/>
      <c r="C715" s="1007"/>
      <c r="D715" s="1007">
        <v>-5</v>
      </c>
      <c r="E715" s="1007"/>
      <c r="F715" s="1007"/>
      <c r="G715" s="1007"/>
      <c r="H715" s="1007">
        <v>1</v>
      </c>
      <c r="I715" s="1007"/>
      <c r="J715" s="1008" t="s">
        <v>1761</v>
      </c>
      <c r="K715" s="1007"/>
      <c r="L715" s="1016"/>
      <c r="M715" s="1007"/>
      <c r="N715" s="1007"/>
      <c r="O715" s="1007"/>
      <c r="P715" s="1007"/>
      <c r="Q715" s="1007"/>
      <c r="R715" s="1007"/>
      <c r="S715" s="1007"/>
      <c r="T715" s="1007"/>
      <c r="U715" s="1007"/>
      <c r="V715" s="1007"/>
      <c r="W715" s="1007"/>
    </row>
    <row r="716" spans="1:23" x14ac:dyDescent="0.2">
      <c r="A716" s="1006" t="s">
        <v>5162</v>
      </c>
      <c r="B716" s="1007"/>
      <c r="C716" s="1007"/>
      <c r="D716" s="1007">
        <v>-10</v>
      </c>
      <c r="E716" s="1007"/>
      <c r="F716" s="1007"/>
      <c r="G716" s="1007"/>
      <c r="H716" s="1007">
        <v>1</v>
      </c>
      <c r="I716" s="1007"/>
      <c r="J716" s="1008" t="s">
        <v>1761</v>
      </c>
      <c r="K716" s="1007"/>
      <c r="L716" s="1016"/>
      <c r="M716" s="1007"/>
      <c r="N716" s="1007"/>
      <c r="O716" s="1007"/>
      <c r="P716" s="1007"/>
      <c r="Q716" s="1007"/>
      <c r="R716" s="1007"/>
      <c r="S716" s="1007"/>
      <c r="T716" s="1007"/>
      <c r="U716" s="1007"/>
      <c r="V716" s="1007"/>
      <c r="W716" s="1007"/>
    </row>
    <row r="717" spans="1:23" x14ac:dyDescent="0.2">
      <c r="A717" s="1006" t="s">
        <v>5163</v>
      </c>
      <c r="B717" s="1007"/>
      <c r="C717" s="1007"/>
      <c r="D717" s="1007">
        <v>-30</v>
      </c>
      <c r="E717" s="1007"/>
      <c r="F717" s="1007"/>
      <c r="G717" s="1007"/>
      <c r="H717" s="1007">
        <v>2</v>
      </c>
      <c r="I717" s="1007"/>
      <c r="J717" s="1008" t="s">
        <v>1761</v>
      </c>
      <c r="K717" s="1007"/>
      <c r="L717" s="1016"/>
      <c r="M717" s="1007"/>
      <c r="N717" s="1007"/>
      <c r="O717" s="1007"/>
      <c r="P717" s="1007"/>
      <c r="Q717" s="1007"/>
      <c r="R717" s="1007"/>
      <c r="S717" s="1007"/>
      <c r="T717" s="1007"/>
      <c r="U717" s="1007"/>
      <c r="V717" s="1007"/>
      <c r="W717" s="1007"/>
    </row>
    <row r="718" spans="1:23" x14ac:dyDescent="0.2">
      <c r="A718" s="1038" t="s">
        <v>5164</v>
      </c>
      <c r="B718" s="1039"/>
      <c r="C718" s="1039"/>
      <c r="D718" s="1039"/>
      <c r="E718" s="1039"/>
      <c r="F718" s="1039"/>
      <c r="G718" s="1039"/>
      <c r="H718" s="1039"/>
      <c r="I718" s="1039"/>
      <c r="J718" s="1039"/>
      <c r="K718" s="1039"/>
      <c r="L718" s="1040"/>
      <c r="M718" s="1039"/>
      <c r="N718" s="1039"/>
      <c r="O718" s="1039"/>
      <c r="P718" s="1039"/>
      <c r="Q718" s="1039"/>
      <c r="R718" s="1039"/>
      <c r="S718" s="1039"/>
      <c r="T718" s="1039"/>
      <c r="U718" s="1039"/>
      <c r="V718" s="1039"/>
      <c r="W718" s="1007"/>
    </row>
    <row r="719" spans="1:23" x14ac:dyDescent="0.2">
      <c r="A719" s="1006" t="s">
        <v>5165</v>
      </c>
      <c r="B719" s="1007"/>
      <c r="C719" s="1007"/>
      <c r="D719" s="1007">
        <v>-15</v>
      </c>
      <c r="E719" s="1007"/>
      <c r="F719" s="1007"/>
      <c r="G719" s="1007"/>
      <c r="H719" s="1007">
        <v>1</v>
      </c>
      <c r="I719" s="1007"/>
      <c r="J719" s="1008" t="s">
        <v>5121</v>
      </c>
      <c r="K719" s="1007"/>
      <c r="L719" s="1016"/>
      <c r="M719" s="1007"/>
      <c r="N719" s="1007"/>
      <c r="O719" s="1007"/>
      <c r="P719" s="1007"/>
      <c r="Q719" s="1007"/>
      <c r="R719" s="1007"/>
      <c r="S719" s="1007"/>
      <c r="T719" s="1007"/>
      <c r="U719" s="1007"/>
      <c r="V719" s="1007"/>
      <c r="W719" s="1007"/>
    </row>
    <row r="720" spans="1:23" x14ac:dyDescent="0.2">
      <c r="A720" s="1038" t="s">
        <v>5166</v>
      </c>
      <c r="B720" s="1039"/>
      <c r="C720" s="1039"/>
      <c r="D720" s="1039"/>
      <c r="E720" s="1039"/>
      <c r="F720" s="1039"/>
      <c r="G720" s="1039"/>
      <c r="H720" s="1039"/>
      <c r="I720" s="1039"/>
      <c r="J720" s="1039"/>
      <c r="K720" s="1039"/>
      <c r="L720" s="1040"/>
      <c r="M720" s="1039"/>
      <c r="N720" s="1039"/>
      <c r="O720" s="1039"/>
      <c r="P720" s="1039"/>
      <c r="Q720" s="1039"/>
      <c r="R720" s="1039"/>
      <c r="S720" s="1039"/>
      <c r="T720" s="1039"/>
      <c r="U720" s="1039"/>
      <c r="V720" s="1039"/>
      <c r="W720" s="1007"/>
    </row>
    <row r="721" spans="1:23" x14ac:dyDescent="0.2">
      <c r="A721" s="1006" t="s">
        <v>5167</v>
      </c>
      <c r="B721" s="1007"/>
      <c r="C721" s="1007"/>
      <c r="D721" s="1007">
        <v>-10</v>
      </c>
      <c r="E721" s="1007"/>
      <c r="F721" s="1007"/>
      <c r="G721" s="1007"/>
      <c r="H721" s="1007">
        <v>1</v>
      </c>
      <c r="I721" s="1007"/>
      <c r="J721" s="1008" t="s">
        <v>5121</v>
      </c>
      <c r="K721" s="1007"/>
      <c r="L721" s="1016"/>
      <c r="M721" s="1007"/>
      <c r="N721" s="1007"/>
      <c r="O721" s="1007"/>
      <c r="P721" s="1007"/>
      <c r="Q721" s="1007"/>
      <c r="R721" s="1007"/>
      <c r="S721" s="1007"/>
      <c r="T721" s="1007"/>
      <c r="U721" s="1007"/>
      <c r="V721" s="1007"/>
      <c r="W721" s="1007"/>
    </row>
    <row r="722" spans="1:23" x14ac:dyDescent="0.2">
      <c r="A722" s="1038" t="s">
        <v>5168</v>
      </c>
      <c r="B722" s="1039"/>
      <c r="C722" s="1039"/>
      <c r="D722" s="1039"/>
      <c r="E722" s="1039"/>
      <c r="F722" s="1039"/>
      <c r="G722" s="1039"/>
      <c r="H722" s="1039"/>
      <c r="I722" s="1039"/>
      <c r="J722" s="1039"/>
      <c r="K722" s="1039"/>
      <c r="L722" s="1040"/>
      <c r="M722" s="1039"/>
      <c r="N722" s="1039"/>
      <c r="O722" s="1039"/>
      <c r="P722" s="1039"/>
      <c r="Q722" s="1039"/>
      <c r="R722" s="1039"/>
      <c r="S722" s="1039"/>
      <c r="T722" s="1039"/>
      <c r="U722" s="1039"/>
      <c r="V722" s="1039"/>
      <c r="W722" s="1007"/>
    </row>
    <row r="723" spans="1:23" x14ac:dyDescent="0.2">
      <c r="A723" s="1006" t="s">
        <v>5169</v>
      </c>
      <c r="B723" s="1007"/>
      <c r="C723" s="1007"/>
      <c r="D723" s="1007">
        <v>-10</v>
      </c>
      <c r="E723" s="1007"/>
      <c r="F723" s="1007"/>
      <c r="G723" s="1007"/>
      <c r="H723" s="1007">
        <v>1</v>
      </c>
      <c r="I723" s="1007"/>
      <c r="J723" s="1008" t="s">
        <v>5121</v>
      </c>
      <c r="K723" s="1007"/>
      <c r="L723" s="1016"/>
      <c r="M723" s="1007"/>
      <c r="N723" s="1007"/>
      <c r="O723" s="1007"/>
      <c r="P723" s="1007"/>
      <c r="Q723" s="1007"/>
      <c r="R723" s="1007"/>
      <c r="S723" s="1007"/>
      <c r="T723" s="1007"/>
      <c r="U723" s="1007"/>
      <c r="V723" s="1007"/>
      <c r="W723" s="1007"/>
    </row>
    <row r="724" spans="1:23" x14ac:dyDescent="0.2">
      <c r="A724" s="1006" t="s">
        <v>5170</v>
      </c>
      <c r="B724" s="1007"/>
      <c r="C724" s="1007"/>
      <c r="D724" s="1007">
        <v>-15</v>
      </c>
      <c r="E724" s="1007"/>
      <c r="F724" s="1007"/>
      <c r="G724" s="1007"/>
      <c r="H724" s="1007">
        <v>1</v>
      </c>
      <c r="I724" s="1007"/>
      <c r="J724" s="1008" t="s">
        <v>5121</v>
      </c>
      <c r="K724" s="1007"/>
      <c r="L724" s="1016"/>
      <c r="M724" s="1007"/>
      <c r="N724" s="1007"/>
      <c r="O724" s="1007"/>
      <c r="P724" s="1007"/>
      <c r="Q724" s="1007"/>
      <c r="R724" s="1007"/>
      <c r="S724" s="1007"/>
      <c r="T724" s="1007"/>
      <c r="U724" s="1007"/>
      <c r="V724" s="1007"/>
      <c r="W724" s="1007"/>
    </row>
    <row r="725" spans="1:23" x14ac:dyDescent="0.2">
      <c r="A725" s="1006" t="s">
        <v>5171</v>
      </c>
      <c r="B725" s="1007"/>
      <c r="C725" s="1007"/>
      <c r="D725" s="1007">
        <v>-20</v>
      </c>
      <c r="E725" s="1007"/>
      <c r="F725" s="1007"/>
      <c r="G725" s="1007"/>
      <c r="H725" s="1007">
        <v>2</v>
      </c>
      <c r="I725" s="1007"/>
      <c r="J725" s="1008" t="s">
        <v>5121</v>
      </c>
      <c r="K725" s="1007"/>
      <c r="L725" s="1016"/>
      <c r="M725" s="1007"/>
      <c r="N725" s="1007"/>
      <c r="O725" s="1007"/>
      <c r="P725" s="1007"/>
      <c r="Q725" s="1007"/>
      <c r="R725" s="1007"/>
      <c r="S725" s="1007"/>
      <c r="T725" s="1007"/>
      <c r="U725" s="1007"/>
      <c r="V725" s="1007"/>
      <c r="W725" s="1007"/>
    </row>
    <row r="726" spans="1:23" x14ac:dyDescent="0.2">
      <c r="A726" s="1006" t="s">
        <v>5172</v>
      </c>
      <c r="B726" s="1007"/>
      <c r="C726" s="1007"/>
      <c r="D726" s="1007">
        <v>-25</v>
      </c>
      <c r="E726" s="1007"/>
      <c r="F726" s="1007"/>
      <c r="G726" s="1007"/>
      <c r="H726" s="1007">
        <v>2</v>
      </c>
      <c r="I726" s="1007"/>
      <c r="J726" s="1008" t="s">
        <v>5121</v>
      </c>
      <c r="K726" s="1007"/>
      <c r="L726" s="1016"/>
      <c r="M726" s="1007"/>
      <c r="N726" s="1007"/>
      <c r="O726" s="1007"/>
      <c r="P726" s="1007"/>
      <c r="Q726" s="1007"/>
      <c r="R726" s="1007"/>
      <c r="S726" s="1007"/>
      <c r="T726" s="1007"/>
      <c r="U726" s="1007"/>
      <c r="V726" s="1007"/>
      <c r="W726" s="1007"/>
    </row>
    <row r="727" spans="1:23" x14ac:dyDescent="0.2">
      <c r="A727" s="1006" t="s">
        <v>5173</v>
      </c>
      <c r="B727" s="1007"/>
      <c r="C727" s="1007"/>
      <c r="D727" s="1007">
        <v>-30</v>
      </c>
      <c r="E727" s="1007"/>
      <c r="F727" s="1007"/>
      <c r="G727" s="1007"/>
      <c r="H727" s="1007">
        <v>3</v>
      </c>
      <c r="I727" s="1007"/>
      <c r="J727" s="1008" t="s">
        <v>5121</v>
      </c>
      <c r="K727" s="1007"/>
      <c r="L727" s="1016"/>
      <c r="M727" s="1007"/>
      <c r="N727" s="1007"/>
      <c r="O727" s="1007"/>
      <c r="P727" s="1007"/>
      <c r="Q727" s="1007"/>
      <c r="R727" s="1007"/>
      <c r="S727" s="1007"/>
      <c r="T727" s="1007"/>
      <c r="U727" s="1007"/>
      <c r="V727" s="1007"/>
      <c r="W727" s="1007"/>
    </row>
    <row r="728" spans="1:23" x14ac:dyDescent="0.2">
      <c r="A728" s="1038" t="s">
        <v>5174</v>
      </c>
      <c r="B728" s="1039"/>
      <c r="C728" s="1039"/>
      <c r="D728" s="1039"/>
      <c r="E728" s="1039"/>
      <c r="F728" s="1039"/>
      <c r="G728" s="1039"/>
      <c r="H728" s="1039"/>
      <c r="I728" s="1039"/>
      <c r="J728" s="1039"/>
      <c r="K728" s="1039"/>
      <c r="L728" s="1040"/>
      <c r="M728" s="1039"/>
      <c r="N728" s="1039"/>
      <c r="O728" s="1039"/>
      <c r="P728" s="1039"/>
      <c r="Q728" s="1039"/>
      <c r="R728" s="1039"/>
      <c r="S728" s="1039"/>
      <c r="T728" s="1039"/>
      <c r="U728" s="1039"/>
      <c r="V728" s="1039"/>
      <c r="W728" s="1007"/>
    </row>
    <row r="729" spans="1:23" x14ac:dyDescent="0.2">
      <c r="A729" s="1006" t="s">
        <v>5175</v>
      </c>
      <c r="B729" s="1007"/>
      <c r="C729" s="1007"/>
      <c r="D729" s="1007">
        <v>-20</v>
      </c>
      <c r="E729" s="1007"/>
      <c r="F729" s="1007"/>
      <c r="G729" s="1007"/>
      <c r="H729" s="1007">
        <v>2</v>
      </c>
      <c r="I729" s="1007"/>
      <c r="J729" s="1008" t="s">
        <v>5121</v>
      </c>
      <c r="K729" s="1007"/>
      <c r="L729" s="1016"/>
      <c r="M729" s="1007"/>
      <c r="N729" s="1007"/>
      <c r="O729" s="1007"/>
      <c r="P729" s="1007"/>
      <c r="Q729" s="1007"/>
      <c r="R729" s="1007"/>
      <c r="S729" s="1007"/>
      <c r="T729" s="1007"/>
      <c r="U729" s="1007"/>
      <c r="V729" s="1007"/>
      <c r="W729" s="1007"/>
    </row>
    <row r="730" spans="1:23" x14ac:dyDescent="0.2">
      <c r="A730" s="1038" t="s">
        <v>5176</v>
      </c>
      <c r="B730" s="1039"/>
      <c r="C730" s="1039"/>
      <c r="D730" s="1039"/>
      <c r="E730" s="1039"/>
      <c r="F730" s="1039"/>
      <c r="G730" s="1039"/>
      <c r="H730" s="1039"/>
      <c r="I730" s="1039"/>
      <c r="J730" s="1039"/>
      <c r="K730" s="1039"/>
      <c r="L730" s="1040"/>
      <c r="M730" s="1039"/>
      <c r="N730" s="1039"/>
      <c r="O730" s="1039"/>
      <c r="P730" s="1039"/>
      <c r="Q730" s="1039"/>
      <c r="R730" s="1039"/>
      <c r="S730" s="1039"/>
      <c r="T730" s="1039"/>
      <c r="U730" s="1039"/>
      <c r="V730" s="1039"/>
      <c r="W730" s="1007"/>
    </row>
    <row r="731" spans="1:23" x14ac:dyDescent="0.2">
      <c r="A731" s="1006" t="s">
        <v>5177</v>
      </c>
      <c r="B731" s="1007"/>
      <c r="C731" s="1007"/>
      <c r="D731" s="1007">
        <v>-10</v>
      </c>
      <c r="E731" s="1007"/>
      <c r="F731" s="1007"/>
      <c r="G731" s="1007"/>
      <c r="H731" s="1007">
        <v>1</v>
      </c>
      <c r="I731" s="1007"/>
      <c r="J731" s="1008" t="s">
        <v>5121</v>
      </c>
      <c r="K731" s="1007"/>
      <c r="L731" s="1016"/>
      <c r="M731" s="1007"/>
      <c r="N731" s="1007"/>
      <c r="O731" s="1007"/>
      <c r="P731" s="1007"/>
      <c r="Q731" s="1007"/>
      <c r="R731" s="1007"/>
      <c r="S731" s="1007"/>
      <c r="T731" s="1007"/>
      <c r="U731" s="1007"/>
      <c r="V731" s="1007"/>
      <c r="W731" s="1007"/>
    </row>
    <row r="732" spans="1:23" x14ac:dyDescent="0.2">
      <c r="A732" s="1006" t="s">
        <v>5178</v>
      </c>
      <c r="B732" s="1007"/>
      <c r="C732" s="1007"/>
      <c r="D732" s="1007">
        <v>-15</v>
      </c>
      <c r="E732" s="1007"/>
      <c r="F732" s="1007"/>
      <c r="G732" s="1007"/>
      <c r="H732" s="1007">
        <v>1</v>
      </c>
      <c r="I732" s="1007"/>
      <c r="J732" s="1008" t="s">
        <v>5121</v>
      </c>
      <c r="K732" s="1007"/>
      <c r="L732" s="1016"/>
      <c r="M732" s="1007"/>
      <c r="N732" s="1007"/>
      <c r="O732" s="1007"/>
      <c r="P732" s="1007"/>
      <c r="Q732" s="1007"/>
      <c r="R732" s="1007"/>
      <c r="S732" s="1007"/>
      <c r="T732" s="1007"/>
      <c r="U732" s="1007"/>
      <c r="V732" s="1007"/>
      <c r="W732" s="1007"/>
    </row>
    <row r="733" spans="1:23" x14ac:dyDescent="0.2">
      <c r="A733" s="1006" t="s">
        <v>5179</v>
      </c>
      <c r="B733" s="1007"/>
      <c r="C733" s="1007"/>
      <c r="D733" s="1007">
        <v>-25</v>
      </c>
      <c r="E733" s="1007"/>
      <c r="F733" s="1007"/>
      <c r="G733" s="1007"/>
      <c r="H733" s="1007">
        <v>2</v>
      </c>
      <c r="I733" s="1007"/>
      <c r="J733" s="1008" t="s">
        <v>5121</v>
      </c>
      <c r="K733" s="1007"/>
      <c r="L733" s="1016"/>
      <c r="M733" s="1007"/>
      <c r="N733" s="1007"/>
      <c r="O733" s="1007"/>
      <c r="P733" s="1007"/>
      <c r="Q733" s="1007"/>
      <c r="R733" s="1007"/>
      <c r="S733" s="1007"/>
      <c r="T733" s="1007"/>
      <c r="U733" s="1007"/>
      <c r="V733" s="1007"/>
      <c r="W733" s="1007"/>
    </row>
    <row r="734" spans="1:23" x14ac:dyDescent="0.2">
      <c r="A734" s="1038" t="s">
        <v>5180</v>
      </c>
      <c r="B734" s="1039"/>
      <c r="C734" s="1039"/>
      <c r="D734" s="1039"/>
      <c r="E734" s="1039"/>
      <c r="F734" s="1039"/>
      <c r="G734" s="1039"/>
      <c r="H734" s="1039"/>
      <c r="I734" s="1039"/>
      <c r="J734" s="1039"/>
      <c r="K734" s="1039"/>
      <c r="L734" s="1040"/>
      <c r="M734" s="1039"/>
      <c r="N734" s="1039"/>
      <c r="O734" s="1039"/>
      <c r="P734" s="1039"/>
      <c r="Q734" s="1039"/>
      <c r="R734" s="1039"/>
      <c r="S734" s="1039"/>
      <c r="T734" s="1039"/>
      <c r="U734" s="1039"/>
      <c r="V734" s="1039"/>
      <c r="W734" s="1007"/>
    </row>
    <row r="735" spans="1:23" x14ac:dyDescent="0.2">
      <c r="A735" s="1006" t="s">
        <v>5181</v>
      </c>
      <c r="B735" s="1007"/>
      <c r="C735" s="1007"/>
      <c r="D735" s="1007">
        <v>-10</v>
      </c>
      <c r="E735" s="1007"/>
      <c r="F735" s="1007"/>
      <c r="G735" s="1007"/>
      <c r="H735" s="1007">
        <v>1</v>
      </c>
      <c r="I735" s="1007"/>
      <c r="J735" s="1008" t="s">
        <v>5121</v>
      </c>
      <c r="K735" s="1007"/>
      <c r="L735" s="1016"/>
      <c r="M735" s="1007"/>
      <c r="N735" s="1007"/>
      <c r="O735" s="1007"/>
      <c r="P735" s="1007"/>
      <c r="Q735" s="1007"/>
      <c r="R735" s="1007"/>
      <c r="S735" s="1007"/>
      <c r="T735" s="1007"/>
      <c r="U735" s="1007"/>
      <c r="V735" s="1007"/>
      <c r="W735" s="1007"/>
    </row>
    <row r="736" spans="1:23" x14ac:dyDescent="0.2">
      <c r="A736" s="1006" t="s">
        <v>5182</v>
      </c>
      <c r="B736" s="1007"/>
      <c r="C736" s="1007"/>
      <c r="D736" s="1007">
        <v>-5</v>
      </c>
      <c r="E736" s="1007"/>
      <c r="F736" s="1007"/>
      <c r="G736" s="1007"/>
      <c r="H736" s="1007">
        <v>1</v>
      </c>
      <c r="I736" s="1007"/>
      <c r="J736" s="1008" t="s">
        <v>5121</v>
      </c>
      <c r="K736" s="1007"/>
      <c r="L736" s="1016"/>
      <c r="M736" s="1007"/>
      <c r="N736" s="1007"/>
      <c r="O736" s="1007"/>
      <c r="P736" s="1007"/>
      <c r="Q736" s="1007"/>
      <c r="R736" s="1007"/>
      <c r="S736" s="1007"/>
      <c r="T736" s="1007"/>
      <c r="U736" s="1007"/>
      <c r="V736" s="1007"/>
      <c r="W736" s="1007"/>
    </row>
    <row r="737" spans="1:23" x14ac:dyDescent="0.2">
      <c r="A737" s="1038" t="s">
        <v>5183</v>
      </c>
      <c r="B737" s="1039"/>
      <c r="C737" s="1039"/>
      <c r="D737" s="1039"/>
      <c r="E737" s="1039"/>
      <c r="F737" s="1039"/>
      <c r="G737" s="1039"/>
      <c r="H737" s="1039"/>
      <c r="I737" s="1039"/>
      <c r="J737" s="1039"/>
      <c r="K737" s="1039"/>
      <c r="L737" s="1040"/>
      <c r="M737" s="1039"/>
      <c r="N737" s="1039"/>
      <c r="O737" s="1039"/>
      <c r="P737" s="1039"/>
      <c r="Q737" s="1039"/>
      <c r="R737" s="1039"/>
      <c r="S737" s="1039"/>
      <c r="T737" s="1039"/>
      <c r="U737" s="1039"/>
      <c r="V737" s="1039"/>
      <c r="W737" s="1007"/>
    </row>
    <row r="738" spans="1:23" x14ac:dyDescent="0.2">
      <c r="A738" s="1006" t="s">
        <v>5184</v>
      </c>
      <c r="B738" s="1007"/>
      <c r="C738" s="1007"/>
      <c r="D738" s="1007">
        <v>-5</v>
      </c>
      <c r="E738" s="1007"/>
      <c r="F738" s="1007"/>
      <c r="G738" s="1007"/>
      <c r="H738" s="1007">
        <v>1</v>
      </c>
      <c r="I738" s="1007"/>
      <c r="J738" s="1008" t="s">
        <v>5121</v>
      </c>
      <c r="K738" s="1007"/>
      <c r="L738" s="1016"/>
      <c r="M738" s="1007"/>
      <c r="N738" s="1007"/>
      <c r="O738" s="1007"/>
      <c r="P738" s="1007"/>
      <c r="Q738" s="1007"/>
      <c r="R738" s="1007"/>
      <c r="S738" s="1007"/>
      <c r="T738" s="1007"/>
      <c r="U738" s="1007"/>
      <c r="V738" s="1007"/>
      <c r="W738" s="1007"/>
    </row>
    <row r="739" spans="1:23" x14ac:dyDescent="0.2">
      <c r="A739" s="1006" t="s">
        <v>5185</v>
      </c>
      <c r="B739" s="1007"/>
      <c r="C739" s="1007"/>
      <c r="D739" s="1007">
        <v>-10</v>
      </c>
      <c r="E739" s="1007"/>
      <c r="F739" s="1007"/>
      <c r="G739" s="1007"/>
      <c r="H739" s="1007">
        <v>1</v>
      </c>
      <c r="I739" s="1007"/>
      <c r="J739" s="1008" t="s">
        <v>5121</v>
      </c>
      <c r="K739" s="1007"/>
      <c r="L739" s="1016"/>
      <c r="M739" s="1007"/>
      <c r="N739" s="1007"/>
      <c r="O739" s="1007"/>
      <c r="P739" s="1007"/>
      <c r="Q739" s="1007"/>
      <c r="R739" s="1007"/>
      <c r="S739" s="1007"/>
      <c r="T739" s="1007"/>
      <c r="U739" s="1007"/>
      <c r="V739" s="1007"/>
      <c r="W739" s="1007"/>
    </row>
    <row r="740" spans="1:23" x14ac:dyDescent="0.2">
      <c r="A740" s="1006" t="s">
        <v>5186</v>
      </c>
      <c r="B740" s="1007"/>
      <c r="C740" s="1007"/>
      <c r="D740" s="1007">
        <v>-15</v>
      </c>
      <c r="E740" s="1007"/>
      <c r="F740" s="1007"/>
      <c r="G740" s="1007"/>
      <c r="H740" s="1007">
        <v>2</v>
      </c>
      <c r="I740" s="1007"/>
      <c r="J740" s="1008" t="s">
        <v>5121</v>
      </c>
      <c r="K740" s="1007"/>
      <c r="L740" s="1016"/>
      <c r="M740" s="1007"/>
      <c r="N740" s="1007"/>
      <c r="O740" s="1007"/>
      <c r="P740" s="1007"/>
      <c r="Q740" s="1007"/>
      <c r="R740" s="1007"/>
      <c r="S740" s="1007"/>
      <c r="T740" s="1007"/>
      <c r="U740" s="1007"/>
      <c r="V740" s="1007"/>
      <c r="W740" s="1007"/>
    </row>
    <row r="741" spans="1:23" x14ac:dyDescent="0.2">
      <c r="A741" s="1006" t="s">
        <v>5187</v>
      </c>
      <c r="B741" s="1007"/>
      <c r="C741" s="1007"/>
      <c r="D741" s="1007">
        <v>-20</v>
      </c>
      <c r="E741" s="1007"/>
      <c r="F741" s="1007"/>
      <c r="G741" s="1007"/>
      <c r="H741" s="1007">
        <v>2</v>
      </c>
      <c r="I741" s="1007"/>
      <c r="J741" s="1008" t="s">
        <v>5121</v>
      </c>
      <c r="K741" s="1007"/>
      <c r="L741" s="1016"/>
      <c r="M741" s="1007"/>
      <c r="N741" s="1007"/>
      <c r="O741" s="1007"/>
      <c r="P741" s="1007"/>
      <c r="Q741" s="1007"/>
      <c r="R741" s="1007"/>
      <c r="S741" s="1007"/>
      <c r="T741" s="1007"/>
      <c r="U741" s="1007"/>
      <c r="V741" s="1007"/>
      <c r="W741" s="1007"/>
    </row>
    <row r="742" spans="1:23" x14ac:dyDescent="0.2">
      <c r="A742" s="1006" t="s">
        <v>5188</v>
      </c>
      <c r="B742" s="1007"/>
      <c r="C742" s="1007"/>
      <c r="D742" s="1007">
        <v>-25</v>
      </c>
      <c r="E742" s="1007"/>
      <c r="F742" s="1007"/>
      <c r="G742" s="1007"/>
      <c r="H742" s="1007">
        <v>3</v>
      </c>
      <c r="I742" s="1007"/>
      <c r="J742" s="1008" t="s">
        <v>5121</v>
      </c>
      <c r="K742" s="1007"/>
      <c r="L742" s="1016"/>
      <c r="M742" s="1007"/>
      <c r="N742" s="1007"/>
      <c r="O742" s="1007"/>
      <c r="P742" s="1007"/>
      <c r="Q742" s="1007"/>
      <c r="R742" s="1007"/>
      <c r="S742" s="1007"/>
      <c r="T742" s="1007"/>
      <c r="U742" s="1007"/>
      <c r="V742" s="1007"/>
      <c r="W742" s="1007"/>
    </row>
    <row r="743" spans="1:23" x14ac:dyDescent="0.2">
      <c r="A743" s="1038" t="s">
        <v>5189</v>
      </c>
      <c r="B743" s="1039"/>
      <c r="C743" s="1039"/>
      <c r="D743" s="1039"/>
      <c r="E743" s="1039"/>
      <c r="F743" s="1039"/>
      <c r="G743" s="1039"/>
      <c r="H743" s="1039"/>
      <c r="I743" s="1039"/>
      <c r="J743" s="1039"/>
      <c r="K743" s="1039"/>
      <c r="L743" s="1040"/>
      <c r="M743" s="1039"/>
      <c r="N743" s="1039"/>
      <c r="O743" s="1039"/>
      <c r="P743" s="1039"/>
      <c r="Q743" s="1039"/>
      <c r="R743" s="1039"/>
      <c r="S743" s="1039"/>
      <c r="T743" s="1039"/>
      <c r="U743" s="1039"/>
      <c r="V743" s="1039"/>
      <c r="W743" s="1007"/>
    </row>
    <row r="744" spans="1:23" x14ac:dyDescent="0.2">
      <c r="A744" s="1006" t="s">
        <v>5190</v>
      </c>
      <c r="B744" s="1007"/>
      <c r="C744" s="1007"/>
      <c r="D744" s="1007">
        <v>-30</v>
      </c>
      <c r="E744" s="1007"/>
      <c r="F744" s="1007"/>
      <c r="G744" s="1007"/>
      <c r="H744" s="1007">
        <v>1</v>
      </c>
      <c r="I744" s="1007"/>
      <c r="J744" s="1008" t="s">
        <v>5121</v>
      </c>
      <c r="K744" s="1007"/>
      <c r="L744" s="1016"/>
      <c r="M744" s="1007"/>
      <c r="N744" s="1007"/>
      <c r="O744" s="1007"/>
      <c r="P744" s="1007"/>
      <c r="Q744" s="1007"/>
      <c r="R744" s="1007"/>
      <c r="S744" s="1007"/>
      <c r="T744" s="1007"/>
      <c r="U744" s="1007"/>
      <c r="V744" s="1007"/>
      <c r="W744" s="1007"/>
    </row>
    <row r="745" spans="1:23" x14ac:dyDescent="0.2">
      <c r="A745" s="1038" t="s">
        <v>5191</v>
      </c>
      <c r="B745" s="1039"/>
      <c r="C745" s="1039"/>
      <c r="D745" s="1039"/>
      <c r="E745" s="1039"/>
      <c r="F745" s="1039"/>
      <c r="G745" s="1039"/>
      <c r="H745" s="1039"/>
      <c r="I745" s="1039"/>
      <c r="J745" s="1039"/>
      <c r="K745" s="1039"/>
      <c r="L745" s="1040"/>
      <c r="M745" s="1039"/>
      <c r="N745" s="1039"/>
      <c r="O745" s="1039"/>
      <c r="P745" s="1039"/>
      <c r="Q745" s="1039"/>
      <c r="R745" s="1039"/>
      <c r="S745" s="1039"/>
      <c r="T745" s="1039"/>
      <c r="U745" s="1039"/>
      <c r="V745" s="1039"/>
      <c r="W745" s="1007"/>
    </row>
    <row r="746" spans="1:23" x14ac:dyDescent="0.2">
      <c r="A746" s="1006" t="s">
        <v>5192</v>
      </c>
      <c r="B746" s="1007"/>
      <c r="C746" s="1007"/>
      <c r="D746" s="1007">
        <v>-15</v>
      </c>
      <c r="E746" s="1007"/>
      <c r="F746" s="1007"/>
      <c r="G746" s="1007"/>
      <c r="H746" s="1007">
        <v>1</v>
      </c>
      <c r="I746" s="1007"/>
      <c r="J746" s="1008" t="s">
        <v>1761</v>
      </c>
      <c r="K746" s="1007"/>
      <c r="L746" s="1016"/>
      <c r="M746" s="1007"/>
      <c r="N746" s="1007"/>
      <c r="O746" s="1007"/>
      <c r="P746" s="1007"/>
      <c r="Q746" s="1007"/>
      <c r="R746" s="1007"/>
      <c r="S746" s="1007"/>
      <c r="T746" s="1007"/>
      <c r="U746" s="1007"/>
      <c r="V746" s="1007"/>
      <c r="W746" s="1007"/>
    </row>
    <row r="747" spans="1:23" x14ac:dyDescent="0.2">
      <c r="A747" s="1038" t="s">
        <v>5193</v>
      </c>
      <c r="B747" s="1039"/>
      <c r="C747" s="1039"/>
      <c r="D747" s="1039"/>
      <c r="E747" s="1039"/>
      <c r="F747" s="1039"/>
      <c r="G747" s="1039"/>
      <c r="H747" s="1039"/>
      <c r="I747" s="1039"/>
      <c r="J747" s="1039"/>
      <c r="K747" s="1039"/>
      <c r="L747" s="1040"/>
      <c r="M747" s="1039"/>
      <c r="N747" s="1039"/>
      <c r="O747" s="1039"/>
      <c r="P747" s="1039"/>
      <c r="Q747" s="1039"/>
      <c r="R747" s="1039"/>
      <c r="S747" s="1039"/>
      <c r="T747" s="1039"/>
      <c r="U747" s="1039"/>
      <c r="V747" s="1039"/>
      <c r="W747" s="1007"/>
    </row>
    <row r="748" spans="1:23" x14ac:dyDescent="0.2">
      <c r="A748" s="1006" t="s">
        <v>5194</v>
      </c>
      <c r="B748" s="1007"/>
      <c r="C748" s="1007"/>
      <c r="D748" s="1007">
        <v>-5</v>
      </c>
      <c r="E748" s="1007"/>
      <c r="F748" s="1007"/>
      <c r="G748" s="1007"/>
      <c r="H748" s="1007">
        <v>1</v>
      </c>
      <c r="I748" s="1007"/>
      <c r="J748" s="1008" t="s">
        <v>5121</v>
      </c>
      <c r="K748" s="1007"/>
      <c r="L748" s="1016"/>
      <c r="M748" s="1007"/>
      <c r="N748" s="1007"/>
      <c r="O748" s="1007"/>
      <c r="P748" s="1007"/>
      <c r="Q748" s="1007"/>
      <c r="R748" s="1007"/>
      <c r="S748" s="1007"/>
      <c r="T748" s="1007"/>
      <c r="U748" s="1007"/>
      <c r="V748" s="1007"/>
      <c r="W748" s="1007"/>
    </row>
    <row r="749" spans="1:23" x14ac:dyDescent="0.2">
      <c r="A749" s="1006" t="s">
        <v>5195</v>
      </c>
      <c r="B749" s="1007"/>
      <c r="C749" s="1007"/>
      <c r="D749" s="1007">
        <v>-10</v>
      </c>
      <c r="E749" s="1007"/>
      <c r="F749" s="1007"/>
      <c r="G749" s="1007"/>
      <c r="H749" s="1007">
        <v>1</v>
      </c>
      <c r="I749" s="1007"/>
      <c r="J749" s="1008" t="s">
        <v>5121</v>
      </c>
      <c r="K749" s="1007"/>
      <c r="L749" s="1016"/>
      <c r="M749" s="1007"/>
      <c r="N749" s="1007"/>
      <c r="O749" s="1007"/>
      <c r="P749" s="1007"/>
      <c r="Q749" s="1007"/>
      <c r="R749" s="1007"/>
      <c r="S749" s="1007"/>
      <c r="T749" s="1007"/>
      <c r="U749" s="1007"/>
      <c r="V749" s="1007"/>
      <c r="W749" s="1007"/>
    </row>
    <row r="750" spans="1:23" x14ac:dyDescent="0.2">
      <c r="A750" s="1038" t="s">
        <v>5196</v>
      </c>
      <c r="B750" s="1039"/>
      <c r="C750" s="1039"/>
      <c r="D750" s="1039"/>
      <c r="E750" s="1039"/>
      <c r="F750" s="1039"/>
      <c r="G750" s="1039"/>
      <c r="H750" s="1039"/>
      <c r="I750" s="1039"/>
      <c r="J750" s="1039"/>
      <c r="K750" s="1039"/>
      <c r="L750" s="1040"/>
      <c r="M750" s="1039"/>
      <c r="N750" s="1039"/>
      <c r="O750" s="1039"/>
      <c r="P750" s="1039"/>
      <c r="Q750" s="1039"/>
      <c r="R750" s="1039"/>
      <c r="S750" s="1039"/>
      <c r="T750" s="1039"/>
      <c r="U750" s="1039"/>
      <c r="V750" s="1039"/>
      <c r="W750" s="1007"/>
    </row>
    <row r="751" spans="1:23" x14ac:dyDescent="0.2">
      <c r="A751" s="1006" t="s">
        <v>5197</v>
      </c>
      <c r="B751" s="1007"/>
      <c r="C751" s="1007"/>
      <c r="D751" s="1007">
        <v>-5</v>
      </c>
      <c r="E751" s="1007"/>
      <c r="F751" s="1007"/>
      <c r="G751" s="1007"/>
      <c r="H751" s="1007">
        <v>1</v>
      </c>
      <c r="I751" s="1007"/>
      <c r="J751" s="1008" t="s">
        <v>5121</v>
      </c>
      <c r="K751" s="1007"/>
      <c r="L751" s="1016"/>
      <c r="M751" s="1007"/>
      <c r="N751" s="1007"/>
      <c r="O751" s="1007"/>
      <c r="P751" s="1007"/>
      <c r="Q751" s="1007"/>
      <c r="R751" s="1007"/>
      <c r="S751" s="1007"/>
      <c r="T751" s="1007"/>
      <c r="U751" s="1007"/>
      <c r="V751" s="1007"/>
      <c r="W751" s="1007"/>
    </row>
    <row r="752" spans="1:23" x14ac:dyDescent="0.2">
      <c r="A752" s="1006" t="s">
        <v>5198</v>
      </c>
      <c r="B752" s="1007"/>
      <c r="C752" s="1007"/>
      <c r="D752" s="1007">
        <v>-10</v>
      </c>
      <c r="E752" s="1007"/>
      <c r="F752" s="1007"/>
      <c r="G752" s="1007"/>
      <c r="H752" s="1007">
        <v>2</v>
      </c>
      <c r="I752" s="1007"/>
      <c r="J752" s="1008" t="s">
        <v>5121</v>
      </c>
      <c r="K752" s="1007"/>
      <c r="L752" s="1016"/>
      <c r="M752" s="1007"/>
      <c r="N752" s="1007"/>
      <c r="O752" s="1007"/>
      <c r="P752" s="1007"/>
      <c r="Q752" s="1007"/>
      <c r="R752" s="1007"/>
      <c r="S752" s="1007"/>
      <c r="T752" s="1007"/>
      <c r="U752" s="1007"/>
      <c r="V752" s="1007"/>
      <c r="W752" s="1007"/>
    </row>
    <row r="753" spans="1:23" x14ac:dyDescent="0.2">
      <c r="A753" s="1006" t="s">
        <v>5199</v>
      </c>
      <c r="B753" s="1007"/>
      <c r="C753" s="1007"/>
      <c r="D753" s="1007">
        <v>-15</v>
      </c>
      <c r="E753" s="1007"/>
      <c r="F753" s="1007"/>
      <c r="G753" s="1007"/>
      <c r="H753" s="1007">
        <v>3</v>
      </c>
      <c r="I753" s="1007"/>
      <c r="J753" s="1008" t="s">
        <v>5121</v>
      </c>
      <c r="K753" s="1007"/>
      <c r="L753" s="1016"/>
      <c r="M753" s="1007"/>
      <c r="N753" s="1007"/>
      <c r="O753" s="1007"/>
      <c r="P753" s="1007"/>
      <c r="Q753" s="1007"/>
      <c r="R753" s="1007"/>
      <c r="S753" s="1007"/>
      <c r="T753" s="1007"/>
      <c r="U753" s="1007"/>
      <c r="V753" s="1007"/>
      <c r="W753" s="1007"/>
    </row>
    <row r="754" spans="1:23" x14ac:dyDescent="0.2">
      <c r="A754" s="1038" t="s">
        <v>5200</v>
      </c>
      <c r="B754" s="1039"/>
      <c r="C754" s="1039"/>
      <c r="D754" s="1039"/>
      <c r="E754" s="1039"/>
      <c r="F754" s="1039"/>
      <c r="G754" s="1039"/>
      <c r="H754" s="1039"/>
      <c r="I754" s="1039"/>
      <c r="J754" s="1039"/>
      <c r="K754" s="1039"/>
      <c r="L754" s="1040"/>
      <c r="M754" s="1039"/>
      <c r="N754" s="1039"/>
      <c r="O754" s="1039"/>
      <c r="P754" s="1039"/>
      <c r="Q754" s="1039"/>
      <c r="R754" s="1039"/>
      <c r="S754" s="1039"/>
      <c r="T754" s="1039"/>
      <c r="U754" s="1039"/>
      <c r="V754" s="1039"/>
      <c r="W754" s="1007"/>
    </row>
    <row r="755" spans="1:23" x14ac:dyDescent="0.2">
      <c r="A755" s="1006" t="s">
        <v>5201</v>
      </c>
      <c r="B755" s="1007"/>
      <c r="C755" s="1007"/>
      <c r="D755" s="1007">
        <v>-10</v>
      </c>
      <c r="E755" s="1007"/>
      <c r="F755" s="1007"/>
      <c r="G755" s="1007"/>
      <c r="H755" s="1007">
        <v>1</v>
      </c>
      <c r="I755" s="1007"/>
      <c r="J755" s="1008" t="s">
        <v>5121</v>
      </c>
      <c r="K755" s="1007"/>
      <c r="L755" s="1016"/>
      <c r="M755" s="1007"/>
      <c r="N755" s="1007"/>
      <c r="O755" s="1007"/>
      <c r="P755" s="1007"/>
      <c r="Q755" s="1007"/>
      <c r="R755" s="1007"/>
      <c r="S755" s="1007"/>
      <c r="T755" s="1007"/>
      <c r="U755" s="1007"/>
      <c r="V755" s="1007"/>
      <c r="W755" s="1007"/>
    </row>
    <row r="756" spans="1:23" x14ac:dyDescent="0.2">
      <c r="A756" s="1006" t="s">
        <v>5202</v>
      </c>
      <c r="B756" s="1007"/>
      <c r="C756" s="1007"/>
      <c r="D756" s="1007">
        <v>-20</v>
      </c>
      <c r="E756" s="1007"/>
      <c r="F756" s="1007"/>
      <c r="G756" s="1007"/>
      <c r="H756" s="1007">
        <v>1</v>
      </c>
      <c r="I756" s="1007"/>
      <c r="J756" s="1008" t="s">
        <v>5121</v>
      </c>
      <c r="K756" s="1007"/>
      <c r="L756" s="1016"/>
      <c r="M756" s="1007"/>
      <c r="N756" s="1007"/>
      <c r="O756" s="1007"/>
      <c r="P756" s="1007"/>
      <c r="Q756" s="1007"/>
      <c r="R756" s="1007"/>
      <c r="S756" s="1007"/>
      <c r="T756" s="1007"/>
      <c r="U756" s="1007"/>
      <c r="V756" s="1007"/>
      <c r="W756" s="1007"/>
    </row>
    <row r="757" spans="1:23" x14ac:dyDescent="0.2">
      <c r="A757" s="1006" t="s">
        <v>5203</v>
      </c>
      <c r="B757" s="1007"/>
      <c r="C757" s="1007"/>
      <c r="D757" s="1007">
        <v>-25</v>
      </c>
      <c r="E757" s="1007"/>
      <c r="F757" s="1007"/>
      <c r="G757" s="1007"/>
      <c r="H757" s="1007">
        <v>2</v>
      </c>
      <c r="I757" s="1007"/>
      <c r="J757" s="1008" t="s">
        <v>5121</v>
      </c>
      <c r="K757" s="1007"/>
      <c r="L757" s="1016"/>
      <c r="M757" s="1007"/>
      <c r="N757" s="1007"/>
      <c r="O757" s="1007"/>
      <c r="P757" s="1007"/>
      <c r="Q757" s="1007"/>
      <c r="R757" s="1007"/>
      <c r="S757" s="1007"/>
      <c r="T757" s="1007"/>
      <c r="U757" s="1007"/>
      <c r="V757" s="1007"/>
      <c r="W757" s="1007"/>
    </row>
    <row r="758" spans="1:23" x14ac:dyDescent="0.2">
      <c r="A758" s="1006" t="s">
        <v>5204</v>
      </c>
      <c r="B758" s="1007"/>
      <c r="C758" s="1007"/>
      <c r="D758" s="1007">
        <v>-30</v>
      </c>
      <c r="E758" s="1007"/>
      <c r="F758" s="1007"/>
      <c r="G758" s="1007"/>
      <c r="H758" s="1007">
        <v>2</v>
      </c>
      <c r="I758" s="1007"/>
      <c r="J758" s="1008" t="s">
        <v>5121</v>
      </c>
      <c r="K758" s="1007"/>
      <c r="L758" s="1016"/>
      <c r="M758" s="1007"/>
      <c r="N758" s="1007"/>
      <c r="O758" s="1007"/>
      <c r="P758" s="1007"/>
      <c r="Q758" s="1007"/>
      <c r="R758" s="1007"/>
      <c r="S758" s="1007"/>
      <c r="T758" s="1007"/>
      <c r="U758" s="1007"/>
      <c r="V758" s="1007"/>
      <c r="W758" s="1007"/>
    </row>
    <row r="759" spans="1:23" x14ac:dyDescent="0.2">
      <c r="A759" s="1006" t="s">
        <v>5205</v>
      </c>
      <c r="B759" s="1007"/>
      <c r="C759" s="1007"/>
      <c r="D759" s="1007">
        <v>-40</v>
      </c>
      <c r="E759" s="1007"/>
      <c r="F759" s="1007"/>
      <c r="G759" s="1007"/>
      <c r="H759" s="1007">
        <v>3</v>
      </c>
      <c r="I759" s="1007"/>
      <c r="J759" s="1008" t="s">
        <v>5121</v>
      </c>
      <c r="K759" s="1007"/>
      <c r="L759" s="1016"/>
      <c r="M759" s="1007"/>
      <c r="N759" s="1007"/>
      <c r="O759" s="1007"/>
      <c r="P759" s="1007"/>
      <c r="Q759" s="1007"/>
      <c r="R759" s="1007"/>
      <c r="S759" s="1007"/>
      <c r="T759" s="1007"/>
      <c r="U759" s="1007"/>
      <c r="V759" s="1007"/>
      <c r="W759" s="1007"/>
    </row>
    <row r="760" spans="1:23" x14ac:dyDescent="0.2">
      <c r="A760" s="1035" t="s">
        <v>5206</v>
      </c>
      <c r="B760" s="1036"/>
      <c r="C760" s="1036"/>
      <c r="D760" s="1036"/>
      <c r="E760" s="1036"/>
      <c r="F760" s="1036"/>
      <c r="G760" s="1036"/>
      <c r="H760" s="1036"/>
      <c r="I760" s="1036"/>
      <c r="J760" s="1036"/>
      <c r="K760" s="1036"/>
      <c r="L760" s="1037"/>
      <c r="M760" s="1036"/>
      <c r="N760" s="1036"/>
      <c r="O760" s="1036"/>
      <c r="P760" s="1036"/>
      <c r="Q760" s="1036"/>
      <c r="R760" s="1036"/>
      <c r="S760" s="1036"/>
      <c r="T760" s="1036"/>
      <c r="U760" s="1036"/>
      <c r="V760" s="1036"/>
      <c r="W760" s="1007"/>
    </row>
    <row r="761" spans="1:23" x14ac:dyDescent="0.2">
      <c r="A761" s="1038" t="s">
        <v>5207</v>
      </c>
      <c r="B761" s="1039"/>
      <c r="C761" s="1039"/>
      <c r="D761" s="1039"/>
      <c r="E761" s="1039"/>
      <c r="F761" s="1039"/>
      <c r="G761" s="1039"/>
      <c r="H761" s="1039"/>
      <c r="I761" s="1039"/>
      <c r="J761" s="1039"/>
      <c r="K761" s="1039"/>
      <c r="L761" s="1040"/>
      <c r="M761" s="1039"/>
      <c r="N761" s="1039"/>
      <c r="O761" s="1039"/>
      <c r="P761" s="1039"/>
      <c r="Q761" s="1039"/>
      <c r="R761" s="1039"/>
      <c r="S761" s="1039"/>
      <c r="T761" s="1039"/>
      <c r="U761" s="1039"/>
      <c r="V761" s="1039"/>
      <c r="W761" s="1007"/>
    </row>
    <row r="762" spans="1:23" x14ac:dyDescent="0.2">
      <c r="A762" s="1006" t="s">
        <v>5208</v>
      </c>
      <c r="B762" s="1007">
        <v>-1</v>
      </c>
      <c r="C762" s="1007">
        <v>-1</v>
      </c>
      <c r="D762" s="1007">
        <v>10</v>
      </c>
      <c r="E762" s="1007"/>
      <c r="F762" s="1007"/>
      <c r="G762" s="1007"/>
      <c r="H762" s="1007"/>
      <c r="I762" s="1007"/>
      <c r="J762" s="1008"/>
      <c r="K762" s="1007"/>
      <c r="L762" s="1016"/>
      <c r="M762" s="1007"/>
      <c r="N762" s="1007"/>
      <c r="O762" s="1007"/>
      <c r="P762" s="1007"/>
      <c r="Q762" s="1007"/>
      <c r="R762" s="1007"/>
      <c r="S762" s="1007"/>
      <c r="T762" s="1007"/>
      <c r="U762" s="1007"/>
      <c r="V762" s="1007"/>
    </row>
    <row r="763" spans="1:23" x14ac:dyDescent="0.2">
      <c r="A763" s="1006" t="s">
        <v>5209</v>
      </c>
      <c r="B763" s="1007">
        <v>-2</v>
      </c>
      <c r="C763" s="1007">
        <v>-2</v>
      </c>
      <c r="D763" s="1007">
        <v>20</v>
      </c>
      <c r="E763" s="1007"/>
      <c r="F763" s="1007"/>
      <c r="G763" s="1007"/>
      <c r="H763" s="1007"/>
      <c r="I763" s="1007"/>
      <c r="J763" s="1008"/>
      <c r="K763" s="1007"/>
      <c r="L763" s="1016"/>
      <c r="M763" s="1007"/>
      <c r="N763" s="1007"/>
      <c r="O763" s="1007"/>
      <c r="P763" s="1007"/>
      <c r="Q763" s="1007"/>
      <c r="R763" s="1007"/>
      <c r="S763" s="1007"/>
      <c r="T763" s="1007"/>
      <c r="U763" s="1007"/>
      <c r="V763" s="1007"/>
    </row>
    <row r="764" spans="1:23" x14ac:dyDescent="0.2">
      <c r="A764" s="1006" t="s">
        <v>5210</v>
      </c>
      <c r="B764" s="1007">
        <v>-3</v>
      </c>
      <c r="C764" s="1007">
        <v>-3</v>
      </c>
      <c r="D764" s="1007">
        <v>30</v>
      </c>
      <c r="E764" s="1007"/>
      <c r="F764" s="1007"/>
      <c r="G764" s="1007"/>
      <c r="H764" s="1007"/>
      <c r="I764" s="1007"/>
      <c r="J764" s="1008"/>
      <c r="K764" s="1007"/>
      <c r="L764" s="1016"/>
      <c r="M764" s="1007"/>
      <c r="N764" s="1007"/>
      <c r="O764" s="1007"/>
      <c r="P764" s="1007"/>
      <c r="Q764" s="1007"/>
      <c r="R764" s="1007"/>
      <c r="S764" s="1007"/>
      <c r="T764" s="1007"/>
      <c r="U764" s="1007"/>
      <c r="V764" s="1007"/>
    </row>
    <row r="765" spans="1:23" x14ac:dyDescent="0.2">
      <c r="A765" s="1006" t="s">
        <v>5211</v>
      </c>
      <c r="B765" s="1007">
        <v>-4</v>
      </c>
      <c r="C765" s="1007">
        <v>-4</v>
      </c>
      <c r="D765" s="1007">
        <v>40</v>
      </c>
      <c r="E765" s="1007"/>
      <c r="F765" s="1007"/>
      <c r="G765" s="1007"/>
      <c r="H765" s="1007"/>
      <c r="I765" s="1007"/>
      <c r="J765" s="1008"/>
      <c r="K765" s="1007"/>
      <c r="L765" s="1016"/>
      <c r="M765" s="1007"/>
      <c r="N765" s="1007"/>
      <c r="O765" s="1007"/>
      <c r="P765" s="1007"/>
      <c r="Q765" s="1007"/>
      <c r="R765" s="1007"/>
      <c r="S765" s="1007"/>
      <c r="T765" s="1007"/>
      <c r="U765" s="1007"/>
      <c r="V765" s="1007"/>
    </row>
    <row r="766" spans="1:23" x14ac:dyDescent="0.2">
      <c r="A766" s="1006" t="s">
        <v>5212</v>
      </c>
      <c r="B766" s="1007">
        <v>-5</v>
      </c>
      <c r="C766" s="1007">
        <v>-5</v>
      </c>
      <c r="D766" s="1007">
        <v>50</v>
      </c>
      <c r="E766" s="1007"/>
      <c r="F766" s="1007"/>
      <c r="G766" s="1007"/>
      <c r="H766" s="1007"/>
      <c r="I766" s="1007"/>
      <c r="J766" s="1008"/>
      <c r="K766" s="1007"/>
      <c r="L766" s="1016"/>
      <c r="M766" s="1007"/>
      <c r="N766" s="1007"/>
      <c r="O766" s="1007"/>
      <c r="P766" s="1007"/>
      <c r="Q766" s="1007"/>
      <c r="R766" s="1007"/>
      <c r="S766" s="1007"/>
      <c r="T766" s="1007"/>
      <c r="U766" s="1007"/>
      <c r="V766" s="1007"/>
    </row>
    <row r="767" spans="1:23" x14ac:dyDescent="0.2">
      <c r="A767" s="1038" t="s">
        <v>5213</v>
      </c>
      <c r="B767" s="1039"/>
      <c r="C767" s="1039"/>
      <c r="D767" s="1039"/>
      <c r="E767" s="1039"/>
      <c r="F767" s="1039"/>
      <c r="G767" s="1039"/>
      <c r="H767" s="1039"/>
      <c r="I767" s="1039"/>
      <c r="J767" s="1039"/>
      <c r="K767" s="1039"/>
      <c r="L767" s="1040"/>
      <c r="M767" s="1039"/>
      <c r="N767" s="1039"/>
      <c r="O767" s="1039"/>
      <c r="P767" s="1039"/>
      <c r="Q767" s="1039"/>
      <c r="R767" s="1039"/>
      <c r="S767" s="1039"/>
      <c r="T767" s="1039"/>
      <c r="U767" s="1039"/>
      <c r="V767" s="1039"/>
    </row>
    <row r="768" spans="1:23" x14ac:dyDescent="0.2">
      <c r="A768" s="1006" t="s">
        <v>5214</v>
      </c>
      <c r="B768" s="1007">
        <v>2</v>
      </c>
      <c r="C768" s="1007">
        <v>2</v>
      </c>
      <c r="D768" s="1007">
        <v>-5</v>
      </c>
      <c r="E768" s="1007"/>
      <c r="F768" s="1007"/>
      <c r="G768" s="1007"/>
      <c r="H768" s="1007"/>
      <c r="I768" s="1007"/>
      <c r="J768" s="1008"/>
      <c r="K768" s="1007"/>
      <c r="L768" s="1016"/>
      <c r="M768" s="1007"/>
      <c r="N768" s="1007"/>
      <c r="O768" s="1007"/>
      <c r="P768" s="1007"/>
      <c r="Q768" s="1007"/>
      <c r="R768" s="1007"/>
      <c r="S768" s="1007"/>
      <c r="T768" s="1007"/>
      <c r="U768" s="1007"/>
      <c r="V768" s="1007"/>
    </row>
    <row r="769" spans="1:22" x14ac:dyDescent="0.2">
      <c r="A769" s="1006" t="s">
        <v>5215</v>
      </c>
      <c r="B769" s="1007">
        <v>4</v>
      </c>
      <c r="C769" s="1007">
        <v>4</v>
      </c>
      <c r="D769" s="1007">
        <v>-10</v>
      </c>
      <c r="E769" s="1007"/>
      <c r="F769" s="1007"/>
      <c r="G769" s="1007"/>
      <c r="H769" s="1007"/>
      <c r="I769" s="1007"/>
      <c r="J769" s="1008"/>
      <c r="K769" s="1007"/>
      <c r="L769" s="1016"/>
      <c r="M769" s="1007"/>
      <c r="N769" s="1007"/>
      <c r="O769" s="1007"/>
      <c r="P769" s="1007"/>
      <c r="Q769" s="1007"/>
      <c r="R769" s="1007"/>
      <c r="S769" s="1007"/>
      <c r="T769" s="1007"/>
      <c r="U769" s="1007"/>
      <c r="V769" s="1007"/>
    </row>
    <row r="770" spans="1:22" x14ac:dyDescent="0.2">
      <c r="A770" s="1006" t="s">
        <v>5216</v>
      </c>
      <c r="B770" s="1007">
        <v>6</v>
      </c>
      <c r="C770" s="1007">
        <v>6</v>
      </c>
      <c r="D770" s="1007">
        <v>-15</v>
      </c>
      <c r="E770" s="1007"/>
      <c r="F770" s="1007"/>
      <c r="G770" s="1007"/>
      <c r="H770" s="1007"/>
      <c r="I770" s="1007"/>
      <c r="J770" s="1008"/>
      <c r="K770" s="1007"/>
      <c r="L770" s="1016"/>
      <c r="M770" s="1007"/>
      <c r="N770" s="1007"/>
      <c r="O770" s="1007"/>
      <c r="P770" s="1007"/>
      <c r="Q770" s="1007"/>
      <c r="R770" s="1007"/>
      <c r="S770" s="1007"/>
      <c r="T770" s="1007"/>
      <c r="U770" s="1007"/>
      <c r="V770" s="1007"/>
    </row>
    <row r="771" spans="1:22" x14ac:dyDescent="0.2">
      <c r="A771" s="1006" t="s">
        <v>5217</v>
      </c>
      <c r="B771" s="1007">
        <v>8</v>
      </c>
      <c r="C771" s="1007">
        <v>8</v>
      </c>
      <c r="D771" s="1007">
        <v>-20</v>
      </c>
      <c r="E771" s="1007"/>
      <c r="F771" s="1007"/>
      <c r="G771" s="1007"/>
      <c r="H771" s="1007"/>
      <c r="I771" s="1007"/>
      <c r="J771" s="1008"/>
      <c r="K771" s="1007"/>
      <c r="L771" s="1016"/>
      <c r="M771" s="1007"/>
      <c r="N771" s="1007"/>
      <c r="O771" s="1007"/>
      <c r="P771" s="1007"/>
      <c r="Q771" s="1007"/>
      <c r="R771" s="1007"/>
      <c r="S771" s="1007"/>
      <c r="T771" s="1007"/>
      <c r="U771" s="1007"/>
      <c r="V771" s="1007"/>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64" customWidth="1"/>
    <col min="2" max="18" width="5.7109375" style="764"/>
    <col min="19" max="20" width="1.7109375" style="764" customWidth="1"/>
    <col min="21" max="37" width="5.7109375" style="764"/>
    <col min="38" max="39" width="1.7109375" style="764" customWidth="1"/>
    <col min="40" max="56" width="5.7109375" style="764"/>
    <col min="57" max="57" width="1.7109375" style="764" customWidth="1"/>
    <col min="58" max="16384" width="5.7109375" style="764"/>
  </cols>
  <sheetData>
    <row r="1" spans="1:57" ht="12" customHeight="1" thickBot="1" x14ac:dyDescent="0.25">
      <c r="A1" s="1289"/>
      <c r="B1" s="1289"/>
      <c r="C1" s="1289"/>
      <c r="D1" s="1289"/>
      <c r="E1" s="1289"/>
      <c r="F1" s="1289"/>
      <c r="G1" s="1289"/>
      <c r="H1" s="1289"/>
      <c r="I1" s="1289"/>
      <c r="J1" s="1289"/>
      <c r="K1" s="1289"/>
      <c r="L1" s="1289"/>
      <c r="M1" s="1289"/>
      <c r="N1" s="1289"/>
      <c r="O1" s="1289"/>
      <c r="P1" s="1289"/>
      <c r="Q1" s="1289"/>
      <c r="R1" s="1289"/>
      <c r="S1" s="1289"/>
      <c r="T1" s="1289"/>
      <c r="U1" s="1289"/>
      <c r="V1" s="1289"/>
      <c r="W1" s="1289"/>
      <c r="X1" s="1289"/>
      <c r="Y1" s="1289"/>
      <c r="Z1" s="1289"/>
      <c r="AA1" s="1289"/>
      <c r="AB1" s="1289"/>
      <c r="AC1" s="1289"/>
      <c r="AD1" s="1289"/>
      <c r="AE1" s="1289"/>
      <c r="AF1" s="1289"/>
      <c r="AG1" s="1289"/>
      <c r="AH1" s="1289"/>
      <c r="AI1" s="1289"/>
      <c r="AJ1" s="1289"/>
      <c r="AK1" s="1289"/>
      <c r="AL1" s="1289"/>
      <c r="AM1" s="1289"/>
      <c r="AN1" s="1289"/>
      <c r="AO1" s="1289"/>
      <c r="AP1" s="1289"/>
      <c r="AQ1" s="1289"/>
      <c r="AR1" s="1289"/>
      <c r="AS1" s="1289"/>
      <c r="AT1" s="1289"/>
      <c r="AU1" s="1289"/>
      <c r="AV1" s="1289"/>
      <c r="AW1" s="1289"/>
      <c r="AX1" s="1289"/>
      <c r="AY1" s="1289"/>
      <c r="AZ1" s="1289"/>
      <c r="BA1" s="1289"/>
      <c r="BB1" s="1289"/>
      <c r="BC1" s="1289"/>
      <c r="BD1" s="1289"/>
      <c r="BE1" s="1289"/>
    </row>
    <row r="2" spans="1:57" ht="12" customHeight="1" thickBot="1" x14ac:dyDescent="0.25">
      <c r="A2" s="1289"/>
      <c r="B2" s="1290"/>
      <c r="C2" s="1291"/>
      <c r="D2" s="1291"/>
      <c r="E2" s="1291"/>
      <c r="F2" s="1291"/>
      <c r="G2" s="1291"/>
      <c r="H2" s="1291"/>
      <c r="I2" s="1291"/>
      <c r="J2" s="1291"/>
      <c r="K2" s="1291"/>
      <c r="L2" s="1291"/>
      <c r="M2" s="1291"/>
      <c r="N2" s="1291"/>
      <c r="O2" s="1291"/>
      <c r="P2" s="1291"/>
      <c r="Q2" s="1291"/>
      <c r="R2" s="1292"/>
      <c r="S2" s="1289"/>
      <c r="T2" s="1289"/>
      <c r="U2" s="1290"/>
      <c r="V2" s="1291"/>
      <c r="W2" s="1291"/>
      <c r="X2" s="1291"/>
      <c r="Y2" s="1291"/>
      <c r="Z2" s="1291"/>
      <c r="AA2" s="1291"/>
      <c r="AB2" s="1291"/>
      <c r="AC2" s="1291"/>
      <c r="AD2" s="1291"/>
      <c r="AE2" s="1291"/>
      <c r="AF2" s="1291"/>
      <c r="AG2" s="1291"/>
      <c r="AH2" s="1291"/>
      <c r="AI2" s="1291"/>
      <c r="AJ2" s="1291"/>
      <c r="AK2" s="1292"/>
      <c r="AL2" s="1289"/>
      <c r="AM2" s="1289"/>
      <c r="AN2" s="1290"/>
      <c r="AO2" s="1291"/>
      <c r="AP2" s="1291"/>
      <c r="AQ2" s="1291"/>
      <c r="AR2" s="1291"/>
      <c r="AS2" s="1291"/>
      <c r="AT2" s="1291"/>
      <c r="AU2" s="1291"/>
      <c r="AV2" s="1291"/>
      <c r="AW2" s="1291"/>
      <c r="AX2" s="1291"/>
      <c r="AY2" s="1291"/>
      <c r="AZ2" s="1291"/>
      <c r="BA2" s="1291"/>
      <c r="BB2" s="1291"/>
      <c r="BC2" s="1291"/>
      <c r="BD2" s="1292"/>
      <c r="BE2" s="1289"/>
    </row>
    <row r="3" spans="1:57" ht="12" customHeight="1" x14ac:dyDescent="0.2">
      <c r="A3" s="1289"/>
      <c r="B3" s="693"/>
      <c r="C3" s="4298"/>
      <c r="D3" s="4299"/>
      <c r="E3" s="4299"/>
      <c r="F3" s="4299"/>
      <c r="G3" s="4299"/>
      <c r="H3" s="4299"/>
      <c r="I3" s="1293"/>
      <c r="J3" s="1293"/>
      <c r="K3" s="1293"/>
      <c r="L3" s="1293"/>
      <c r="M3" s="1293"/>
      <c r="N3" s="1293"/>
      <c r="O3" s="1293"/>
      <c r="P3" s="1293"/>
      <c r="Q3" s="1294"/>
      <c r="R3" s="1295"/>
      <c r="S3" s="1289"/>
      <c r="T3" s="1289"/>
      <c r="U3" s="693"/>
      <c r="V3" s="4298"/>
      <c r="W3" s="4299"/>
      <c r="X3" s="4299"/>
      <c r="Y3" s="4299"/>
      <c r="Z3" s="4299"/>
      <c r="AA3" s="4299"/>
      <c r="AB3" s="2460"/>
      <c r="AC3" s="2460"/>
      <c r="AD3" s="2460"/>
      <c r="AE3" s="2460"/>
      <c r="AF3" s="2460"/>
      <c r="AG3" s="2460"/>
      <c r="AH3" s="2460"/>
      <c r="AI3" s="2460"/>
      <c r="AJ3" s="1294"/>
      <c r="AK3" s="1295"/>
      <c r="AL3" s="1289"/>
      <c r="AM3" s="1289"/>
      <c r="AN3" s="693"/>
      <c r="AO3" s="4298"/>
      <c r="AP3" s="4299"/>
      <c r="AQ3" s="4299"/>
      <c r="AR3" s="4299"/>
      <c r="AS3" s="4299"/>
      <c r="AT3" s="4299"/>
      <c r="AU3" s="1293"/>
      <c r="AV3" s="1293"/>
      <c r="AW3" s="1293"/>
      <c r="AX3" s="1293"/>
      <c r="AY3" s="1293"/>
      <c r="AZ3" s="1293"/>
      <c r="BA3" s="1293"/>
      <c r="BB3" s="1293"/>
      <c r="BC3" s="1294"/>
      <c r="BD3" s="1295"/>
      <c r="BE3" s="1289"/>
    </row>
    <row r="4" spans="1:57" ht="12" customHeight="1" x14ac:dyDescent="0.2">
      <c r="A4" s="1289"/>
      <c r="B4" s="693"/>
      <c r="C4" s="4300"/>
      <c r="D4" s="4301"/>
      <c r="E4" s="4301"/>
      <c r="F4" s="4301"/>
      <c r="G4" s="4301"/>
      <c r="H4" s="4301"/>
      <c r="I4" s="1298"/>
      <c r="J4" s="4304" t="s">
        <v>2169</v>
      </c>
      <c r="K4" s="4305"/>
      <c r="L4" s="2964" t="str">
        <f>IF(OR(General!$G$22="",General!$G$22=0),"",General!$G$22)</f>
        <v/>
      </c>
      <c r="M4" s="2964"/>
      <c r="N4" s="2964"/>
      <c r="O4" s="2964"/>
      <c r="P4" s="2964"/>
      <c r="Q4" s="892"/>
      <c r="R4" s="1295"/>
      <c r="S4" s="1289"/>
      <c r="T4" s="1289"/>
      <c r="U4" s="693"/>
      <c r="V4" s="4300"/>
      <c r="W4" s="4301"/>
      <c r="X4" s="4301"/>
      <c r="Y4" s="4301"/>
      <c r="Z4" s="4301"/>
      <c r="AA4" s="4301"/>
      <c r="AB4" s="2461"/>
      <c r="AC4" s="4296" t="s">
        <v>8713</v>
      </c>
      <c r="AD4" s="4297"/>
      <c r="AE4" s="4297"/>
      <c r="AF4" s="4297"/>
      <c r="AG4" s="4297"/>
      <c r="AH4" s="4297"/>
      <c r="AI4" s="4297"/>
      <c r="AJ4" s="892"/>
      <c r="AK4" s="1295"/>
      <c r="AL4" s="1289"/>
      <c r="AM4" s="1289"/>
      <c r="AN4" s="693"/>
      <c r="AO4" s="4300"/>
      <c r="AP4" s="4301"/>
      <c r="AQ4" s="4301"/>
      <c r="AR4" s="4301"/>
      <c r="AS4" s="4301"/>
      <c r="AT4" s="4301"/>
      <c r="AU4" s="1298"/>
      <c r="AV4" s="4296" t="s">
        <v>8713</v>
      </c>
      <c r="AW4" s="4297"/>
      <c r="AX4" s="4297"/>
      <c r="AY4" s="4297"/>
      <c r="AZ4" s="4297"/>
      <c r="BA4" s="4297"/>
      <c r="BB4" s="4297"/>
      <c r="BC4" s="892"/>
      <c r="BD4" s="1295"/>
      <c r="BE4" s="1289"/>
    </row>
    <row r="5" spans="1:57" ht="12" customHeight="1" x14ac:dyDescent="0.2">
      <c r="A5" s="1289"/>
      <c r="B5" s="693"/>
      <c r="C5" s="4300"/>
      <c r="D5" s="4301"/>
      <c r="E5" s="4301"/>
      <c r="F5" s="4301"/>
      <c r="G5" s="4301"/>
      <c r="H5" s="4301"/>
      <c r="I5" s="1298"/>
      <c r="J5" s="4292" t="s">
        <v>2170</v>
      </c>
      <c r="K5" s="4293"/>
      <c r="L5" s="4294" t="str">
        <f>Principal!$L$5</f>
        <v>Hechicero</v>
      </c>
      <c r="M5" s="4295"/>
      <c r="N5" s="4295"/>
      <c r="O5" s="1300" t="s">
        <v>2171</v>
      </c>
      <c r="P5" s="1301" t="str">
        <f>Principal!$P$5</f>
        <v>1 + 2</v>
      </c>
      <c r="Q5" s="1302"/>
      <c r="R5" s="1295"/>
      <c r="S5" s="1289"/>
      <c r="T5" s="1289"/>
      <c r="U5" s="693"/>
      <c r="V5" s="4300"/>
      <c r="W5" s="4301"/>
      <c r="X5" s="4301"/>
      <c r="Y5" s="4301"/>
      <c r="Z5" s="4301"/>
      <c r="AA5" s="4301"/>
      <c r="AB5" s="2461"/>
      <c r="AC5" s="4297"/>
      <c r="AD5" s="4297"/>
      <c r="AE5" s="4297"/>
      <c r="AF5" s="4297"/>
      <c r="AG5" s="4297"/>
      <c r="AH5" s="4297"/>
      <c r="AI5" s="4297"/>
      <c r="AJ5" s="1302"/>
      <c r="AK5" s="1295"/>
      <c r="AL5" s="1289"/>
      <c r="AM5" s="1289"/>
      <c r="AN5" s="693"/>
      <c r="AO5" s="4300"/>
      <c r="AP5" s="4301"/>
      <c r="AQ5" s="4301"/>
      <c r="AR5" s="4301"/>
      <c r="AS5" s="4301"/>
      <c r="AT5" s="4301"/>
      <c r="AU5" s="1298"/>
      <c r="AV5" s="4297"/>
      <c r="AW5" s="4297"/>
      <c r="AX5" s="4297"/>
      <c r="AY5" s="4297"/>
      <c r="AZ5" s="4297"/>
      <c r="BA5" s="4297"/>
      <c r="BB5" s="4297"/>
      <c r="BC5" s="1302"/>
      <c r="BD5" s="1295"/>
      <c r="BE5" s="1289"/>
    </row>
    <row r="6" spans="1:57" ht="12" customHeight="1" x14ac:dyDescent="0.2">
      <c r="A6" s="1289"/>
      <c r="B6" s="693"/>
      <c r="C6" s="4300"/>
      <c r="D6" s="4301"/>
      <c r="E6" s="4301"/>
      <c r="F6" s="4301"/>
      <c r="G6" s="4301"/>
      <c r="H6" s="4301"/>
      <c r="I6" s="1298"/>
      <c r="J6" s="4296" t="s">
        <v>8714</v>
      </c>
      <c r="K6" s="4297"/>
      <c r="L6" s="4297"/>
      <c r="M6" s="4297"/>
      <c r="N6" s="4297"/>
      <c r="O6" s="4297"/>
      <c r="P6" s="4297"/>
      <c r="Q6" s="1302"/>
      <c r="R6" s="1295"/>
      <c r="S6" s="1289"/>
      <c r="T6" s="1289"/>
      <c r="U6" s="693"/>
      <c r="V6" s="4300"/>
      <c r="W6" s="4301"/>
      <c r="X6" s="4301"/>
      <c r="Y6" s="4301"/>
      <c r="Z6" s="4301"/>
      <c r="AA6" s="4301"/>
      <c r="AB6" s="2461"/>
      <c r="AC6" s="5020"/>
      <c r="AD6" s="5021"/>
      <c r="AE6" s="5021"/>
      <c r="AF6" s="5021"/>
      <c r="AG6" s="5021"/>
      <c r="AH6" s="5021"/>
      <c r="AI6" s="5021"/>
      <c r="AJ6" s="1302"/>
      <c r="AK6" s="1295"/>
      <c r="AL6" s="1289"/>
      <c r="AM6" s="1289"/>
      <c r="AN6" s="693"/>
      <c r="AO6" s="4300"/>
      <c r="AP6" s="4301"/>
      <c r="AQ6" s="4301"/>
      <c r="AR6" s="4301"/>
      <c r="AS6" s="4301"/>
      <c r="AT6" s="4301"/>
      <c r="AU6" s="1298"/>
      <c r="AV6" s="5020"/>
      <c r="AW6" s="5021"/>
      <c r="AX6" s="5021"/>
      <c r="AY6" s="5021"/>
      <c r="AZ6" s="5021"/>
      <c r="BA6" s="5021"/>
      <c r="BB6" s="5021"/>
      <c r="BC6" s="1302"/>
      <c r="BD6" s="1295"/>
      <c r="BE6" s="1289"/>
    </row>
    <row r="7" spans="1:57" ht="12" customHeight="1" x14ac:dyDescent="0.2">
      <c r="A7" s="1289"/>
      <c r="B7" s="693"/>
      <c r="C7" s="4300"/>
      <c r="D7" s="4301"/>
      <c r="E7" s="4301"/>
      <c r="F7" s="4301"/>
      <c r="G7" s="4301"/>
      <c r="H7" s="4301"/>
      <c r="I7" s="1298"/>
      <c r="J7" s="4297"/>
      <c r="K7" s="4297"/>
      <c r="L7" s="4297"/>
      <c r="M7" s="4297"/>
      <c r="N7" s="4297"/>
      <c r="O7" s="4297"/>
      <c r="P7" s="4297"/>
      <c r="Q7" s="1302"/>
      <c r="R7" s="1295"/>
      <c r="S7" s="1289"/>
      <c r="T7" s="1289"/>
      <c r="U7" s="693"/>
      <c r="V7" s="4300"/>
      <c r="W7" s="4301"/>
      <c r="X7" s="4301"/>
      <c r="Y7" s="4301"/>
      <c r="Z7" s="4301"/>
      <c r="AA7" s="4301"/>
      <c r="AB7" s="2461"/>
      <c r="AC7" s="5021"/>
      <c r="AD7" s="5021"/>
      <c r="AE7" s="5021"/>
      <c r="AF7" s="5021"/>
      <c r="AG7" s="5021"/>
      <c r="AH7" s="5021"/>
      <c r="AI7" s="5021"/>
      <c r="AJ7" s="1302"/>
      <c r="AK7" s="1295"/>
      <c r="AL7" s="1289"/>
      <c r="AM7" s="1289"/>
      <c r="AN7" s="693"/>
      <c r="AO7" s="4300"/>
      <c r="AP7" s="4301"/>
      <c r="AQ7" s="4301"/>
      <c r="AR7" s="4301"/>
      <c r="AS7" s="4301"/>
      <c r="AT7" s="4301"/>
      <c r="AU7" s="1298"/>
      <c r="AV7" s="5021"/>
      <c r="AW7" s="5021"/>
      <c r="AX7" s="5021"/>
      <c r="AY7" s="5021"/>
      <c r="AZ7" s="5021"/>
      <c r="BA7" s="5021"/>
      <c r="BB7" s="5021"/>
      <c r="BC7" s="1302"/>
      <c r="BD7" s="1295"/>
      <c r="BE7" s="1289"/>
    </row>
    <row r="8" spans="1:57" ht="12" customHeight="1" thickBot="1" x14ac:dyDescent="0.25">
      <c r="A8" s="1289"/>
      <c r="B8" s="693"/>
      <c r="C8" s="4302"/>
      <c r="D8" s="4303"/>
      <c r="E8" s="4303"/>
      <c r="F8" s="4303"/>
      <c r="G8" s="4303"/>
      <c r="H8" s="4303"/>
      <c r="I8" s="1307"/>
      <c r="J8" s="1307"/>
      <c r="K8" s="1307"/>
      <c r="L8" s="1307"/>
      <c r="M8" s="1307"/>
      <c r="N8" s="1307"/>
      <c r="O8" s="1307"/>
      <c r="P8" s="1307"/>
      <c r="Q8" s="1308"/>
      <c r="R8" s="1295"/>
      <c r="S8" s="1289"/>
      <c r="T8" s="1289"/>
      <c r="U8" s="693"/>
      <c r="V8" s="4302"/>
      <c r="W8" s="4303"/>
      <c r="X8" s="4303"/>
      <c r="Y8" s="4303"/>
      <c r="Z8" s="4303"/>
      <c r="AA8" s="4303"/>
      <c r="AB8" s="2463"/>
      <c r="AC8" s="2463"/>
      <c r="AD8" s="2463"/>
      <c r="AE8" s="2463"/>
      <c r="AF8" s="2463"/>
      <c r="AG8" s="2463"/>
      <c r="AH8" s="2463"/>
      <c r="AI8" s="2463"/>
      <c r="AJ8" s="1308"/>
      <c r="AK8" s="1295"/>
      <c r="AL8" s="1289"/>
      <c r="AM8" s="1289"/>
      <c r="AN8" s="693"/>
      <c r="AO8" s="4302"/>
      <c r="AP8" s="4303"/>
      <c r="AQ8" s="4303"/>
      <c r="AR8" s="4303"/>
      <c r="AS8" s="4303"/>
      <c r="AT8" s="4303"/>
      <c r="AU8" s="1307"/>
      <c r="AV8" s="1307"/>
      <c r="AW8" s="1307"/>
      <c r="AX8" s="1307"/>
      <c r="AY8" s="1307"/>
      <c r="AZ8" s="1307"/>
      <c r="BA8" s="1307"/>
      <c r="BB8" s="1307"/>
      <c r="BC8" s="1308"/>
      <c r="BD8" s="1295"/>
      <c r="BE8" s="1289"/>
    </row>
    <row r="9" spans="1:57" ht="12" customHeight="1" thickBot="1" x14ac:dyDescent="0.25">
      <c r="A9" s="1289"/>
      <c r="B9" s="693"/>
      <c r="C9" s="820"/>
      <c r="D9" s="820"/>
      <c r="E9" s="820"/>
      <c r="F9" s="820"/>
      <c r="G9" s="820"/>
      <c r="H9" s="820"/>
      <c r="I9" s="820"/>
      <c r="J9" s="820"/>
      <c r="K9" s="820"/>
      <c r="L9" s="820"/>
      <c r="M9" s="820"/>
      <c r="N9" s="820"/>
      <c r="O9" s="820"/>
      <c r="P9" s="820"/>
      <c r="Q9" s="820"/>
      <c r="R9" s="1295"/>
      <c r="S9" s="1289"/>
      <c r="T9" s="1289"/>
      <c r="U9" s="693"/>
      <c r="V9" s="820"/>
      <c r="W9" s="820"/>
      <c r="X9" s="820"/>
      <c r="Y9" s="820"/>
      <c r="Z9" s="820"/>
      <c r="AA9" s="820"/>
      <c r="AB9" s="820"/>
      <c r="AC9" s="820"/>
      <c r="AD9" s="820"/>
      <c r="AE9" s="820"/>
      <c r="AF9" s="820"/>
      <c r="AG9" s="820"/>
      <c r="AH9" s="820"/>
      <c r="AI9" s="820"/>
      <c r="AJ9" s="820"/>
      <c r="AK9" s="1295"/>
      <c r="AL9" s="1289"/>
      <c r="AM9" s="1289"/>
      <c r="AN9" s="693"/>
      <c r="AO9" s="820"/>
      <c r="AP9" s="820"/>
      <c r="AQ9" s="820"/>
      <c r="AR9" s="820"/>
      <c r="AS9" s="820"/>
      <c r="AT9" s="820"/>
      <c r="AU9" s="820"/>
      <c r="AV9" s="820"/>
      <c r="AW9" s="820"/>
      <c r="AX9" s="820"/>
      <c r="AY9" s="820"/>
      <c r="AZ9" s="820"/>
      <c r="BA9" s="820"/>
      <c r="BB9" s="820"/>
      <c r="BC9" s="820"/>
      <c r="BD9" s="1295"/>
      <c r="BE9" s="1289"/>
    </row>
    <row r="10" spans="1:57" ht="12" customHeight="1" x14ac:dyDescent="0.2">
      <c r="A10" s="1289"/>
      <c r="B10" s="693"/>
      <c r="C10" s="5015"/>
      <c r="D10" s="5016"/>
      <c r="E10" s="5016"/>
      <c r="F10" s="5016"/>
      <c r="G10" s="5016"/>
      <c r="H10" s="1309" t="s">
        <v>2171</v>
      </c>
      <c r="I10" s="1310" t="str">
        <f>IF(C10=0,"",VLOOKUP(C10,'Tablas Magia'!$D$6:$Z$680,3,FALSE))</f>
        <v/>
      </c>
      <c r="J10" s="5017" t="s">
        <v>8715</v>
      </c>
      <c r="K10" s="5017"/>
      <c r="L10" s="5017"/>
      <c r="M10" s="5018" t="str">
        <f>IF(C10=0,"",VLOOKUP(C10,'Tablas Magia'!$D$6:$Z$680,2,FALSE))</f>
        <v/>
      </c>
      <c r="N10" s="5018"/>
      <c r="O10" s="5018"/>
      <c r="P10" s="5018"/>
      <c r="Q10" s="5019"/>
      <c r="R10" s="1295"/>
      <c r="S10" s="1289"/>
      <c r="T10" s="1289"/>
      <c r="U10" s="693"/>
      <c r="V10" s="5015"/>
      <c r="W10" s="5016"/>
      <c r="X10" s="5016"/>
      <c r="Y10" s="5016"/>
      <c r="Z10" s="5016"/>
      <c r="AA10" s="1309" t="s">
        <v>2171</v>
      </c>
      <c r="AB10" s="1310" t="str">
        <f>IF(V10=0,"",VLOOKUP(V10,'Tablas Magia'!$D$6:$Z$680,3,FALSE))</f>
        <v/>
      </c>
      <c r="AC10" s="5017" t="s">
        <v>8715</v>
      </c>
      <c r="AD10" s="5017"/>
      <c r="AE10" s="5017"/>
      <c r="AF10" s="5018" t="str">
        <f>IF(V10=0,"",VLOOKUP(V10,'Tablas Magia'!$D$6:$Z$680,2,FALSE))</f>
        <v/>
      </c>
      <c r="AG10" s="5018"/>
      <c r="AH10" s="5018"/>
      <c r="AI10" s="5018"/>
      <c r="AJ10" s="5019"/>
      <c r="AK10" s="1295"/>
      <c r="AL10" s="1289"/>
      <c r="AM10" s="1289"/>
      <c r="AN10" s="693"/>
      <c r="AO10" s="5015"/>
      <c r="AP10" s="5016"/>
      <c r="AQ10" s="5016"/>
      <c r="AR10" s="5016"/>
      <c r="AS10" s="5016"/>
      <c r="AT10" s="1309" t="s">
        <v>2171</v>
      </c>
      <c r="AU10" s="1310" t="str">
        <f>IF(AO10=0,"",VLOOKUP(AO10,'Tablas Magia'!$D$6:$Z$680,3,FALSE))</f>
        <v/>
      </c>
      <c r="AV10" s="5017" t="s">
        <v>8715</v>
      </c>
      <c r="AW10" s="5017"/>
      <c r="AX10" s="5017"/>
      <c r="AY10" s="5018" t="str">
        <f>IF(AO10=0,"",VLOOKUP(AO10,'Tablas Magia'!$D$6:$Z$680,2,FALSE))</f>
        <v/>
      </c>
      <c r="AZ10" s="5018"/>
      <c r="BA10" s="5018"/>
      <c r="BB10" s="5018"/>
      <c r="BC10" s="5019"/>
      <c r="BD10" s="1295"/>
      <c r="BE10" s="1289"/>
    </row>
    <row r="11" spans="1:57" ht="12" customHeight="1" x14ac:dyDescent="0.2">
      <c r="A11" s="1289"/>
      <c r="B11" s="693"/>
      <c r="C11" s="5035" t="s">
        <v>8716</v>
      </c>
      <c r="D11" s="5036"/>
      <c r="E11" s="1311" t="s">
        <v>8717</v>
      </c>
      <c r="F11" s="1311" t="s">
        <v>2365</v>
      </c>
      <c r="G11" s="1311" t="s">
        <v>4020</v>
      </c>
      <c r="H11" s="1312" t="s">
        <v>2716</v>
      </c>
      <c r="I11" s="5032" t="str">
        <f>IF(C10=0,"",VLOOKUP(C10,'Tablas Magia'!$D$6:$Z$680,5,FALSE))</f>
        <v/>
      </c>
      <c r="J11" s="5032"/>
      <c r="K11" s="5033" t="s">
        <v>8718</v>
      </c>
      <c r="L11" s="5033"/>
      <c r="M11" s="5032" t="str">
        <f>IF(C10=0,"",VLOOKUP(C10,'Tablas Magia'!$D$6:$Z$680,6,FALSE))</f>
        <v/>
      </c>
      <c r="N11" s="5032"/>
      <c r="O11" s="5034" t="s">
        <v>8719</v>
      </c>
      <c r="P11" s="5034"/>
      <c r="Q11" s="1313" t="str">
        <f>IF(C10=0,"",VLOOKUP(C10,'Tablas Magia'!$D$6:$Z$680,4,FALSE))</f>
        <v/>
      </c>
      <c r="R11" s="1295"/>
      <c r="S11" s="1289"/>
      <c r="T11" s="1289"/>
      <c r="U11" s="693"/>
      <c r="V11" s="5035" t="s">
        <v>8716</v>
      </c>
      <c r="W11" s="5036"/>
      <c r="X11" s="1311" t="s">
        <v>8717</v>
      </c>
      <c r="Y11" s="1311" t="s">
        <v>2365</v>
      </c>
      <c r="Z11" s="1311" t="s">
        <v>4020</v>
      </c>
      <c r="AA11" s="1312" t="s">
        <v>2716</v>
      </c>
      <c r="AB11" s="5032" t="str">
        <f>IF(V10=0,"",VLOOKUP(V10,'Tablas Magia'!$D$6:$Z$680,5,FALSE))</f>
        <v/>
      </c>
      <c r="AC11" s="5032"/>
      <c r="AD11" s="5033" t="s">
        <v>8718</v>
      </c>
      <c r="AE11" s="5033"/>
      <c r="AF11" s="5032" t="str">
        <f>IF(V10=0,"",VLOOKUP(V10,'Tablas Magia'!$D$6:$Z$680,6,FALSE))</f>
        <v/>
      </c>
      <c r="AG11" s="5032"/>
      <c r="AH11" s="5034" t="s">
        <v>8719</v>
      </c>
      <c r="AI11" s="5034"/>
      <c r="AJ11" s="1313" t="str">
        <f>IF(V10=0,"",VLOOKUP(V10,'Tablas Magia'!$D$6:$Z$680,4,FALSE))</f>
        <v/>
      </c>
      <c r="AK11" s="1295"/>
      <c r="AL11" s="1289"/>
      <c r="AM11" s="1289"/>
      <c r="AN11" s="693"/>
      <c r="AO11" s="5035" t="s">
        <v>8716</v>
      </c>
      <c r="AP11" s="5036"/>
      <c r="AQ11" s="1311" t="s">
        <v>8717</v>
      </c>
      <c r="AR11" s="1311" t="s">
        <v>2365</v>
      </c>
      <c r="AS11" s="1311" t="s">
        <v>4020</v>
      </c>
      <c r="AT11" s="1312" t="s">
        <v>2716</v>
      </c>
      <c r="AU11" s="5032" t="str">
        <f>IF(AO10=0,"",VLOOKUP(AO10,'Tablas Magia'!$D$6:$Z$680,5,FALSE))</f>
        <v/>
      </c>
      <c r="AV11" s="5032"/>
      <c r="AW11" s="5033" t="s">
        <v>8718</v>
      </c>
      <c r="AX11" s="5033"/>
      <c r="AY11" s="5032" t="str">
        <f>IF(AO10=0,"",VLOOKUP(AO10,'Tablas Magia'!$D$6:$Z$680,6,FALSE))</f>
        <v/>
      </c>
      <c r="AZ11" s="5032"/>
      <c r="BA11" s="5034" t="s">
        <v>8719</v>
      </c>
      <c r="BB11" s="5034"/>
      <c r="BC11" s="1313" t="str">
        <f>IF(AO10=0,"",VLOOKUP(AO10,'Tablas Magia'!$D$6:$Z$680,4,FALSE))</f>
        <v/>
      </c>
      <c r="BD11" s="1295"/>
      <c r="BE11" s="1289"/>
    </row>
    <row r="12" spans="1:57" ht="12" customHeight="1" x14ac:dyDescent="0.2">
      <c r="A12" s="1289"/>
      <c r="B12" s="693"/>
      <c r="C12" s="5027" t="s">
        <v>2218</v>
      </c>
      <c r="D12" s="5028"/>
      <c r="E12" s="1314" t="str">
        <f>IF(C10=0,"",VLOOKUP(C10,'Tablas Magia'!$D$6:$Z$680,7,FALSE))</f>
        <v/>
      </c>
      <c r="F12" s="1314" t="str">
        <f>IF(C10=0,"",VLOOKUP(C10,'Tablas Magia'!$D$6:$Z$680,11,FALSE))</f>
        <v/>
      </c>
      <c r="G12" s="1315" t="str">
        <f>IF(C10=0,"",VLOOKUP(C10,'Tablas Magia'!$D$6:$Z$680,15,FALSE))</f>
        <v/>
      </c>
      <c r="H12" s="5029" t="str">
        <f>IF(C10=0,"",VLOOKUP(C10,'Tablas Magia'!$D$6:$Z$680,19,FALSE))</f>
        <v/>
      </c>
      <c r="I12" s="5030"/>
      <c r="J12" s="5030"/>
      <c r="K12" s="5030"/>
      <c r="L12" s="5030"/>
      <c r="M12" s="5030"/>
      <c r="N12" s="5030"/>
      <c r="O12" s="5030"/>
      <c r="P12" s="5030"/>
      <c r="Q12" s="5031"/>
      <c r="R12" s="1295"/>
      <c r="S12" s="1289"/>
      <c r="T12" s="1289"/>
      <c r="U12" s="693"/>
      <c r="V12" s="5027" t="s">
        <v>2218</v>
      </c>
      <c r="W12" s="5028"/>
      <c r="X12" s="1314" t="str">
        <f>IF(V10=0,"",VLOOKUP(V10,'Tablas Magia'!$D$6:$Z$680,7,FALSE))</f>
        <v/>
      </c>
      <c r="Y12" s="1314" t="str">
        <f>IF(V10=0,"",VLOOKUP(V10,'Tablas Magia'!$D$6:$Z$680,11,FALSE))</f>
        <v/>
      </c>
      <c r="Z12" s="1315" t="str">
        <f>IF(V10=0,"",VLOOKUP(V10,'Tablas Magia'!$D$6:$Z$680,15,FALSE))</f>
        <v/>
      </c>
      <c r="AA12" s="5029" t="str">
        <f>IF(V10=0,"",VLOOKUP(V10,'Tablas Magia'!$D$6:$Z$680,19,FALSE))</f>
        <v/>
      </c>
      <c r="AB12" s="5030"/>
      <c r="AC12" s="5030"/>
      <c r="AD12" s="5030"/>
      <c r="AE12" s="5030"/>
      <c r="AF12" s="5030"/>
      <c r="AG12" s="5030"/>
      <c r="AH12" s="5030"/>
      <c r="AI12" s="5030"/>
      <c r="AJ12" s="5031"/>
      <c r="AK12" s="1295"/>
      <c r="AL12" s="1289"/>
      <c r="AM12" s="1289"/>
      <c r="AN12" s="693"/>
      <c r="AO12" s="5027" t="s">
        <v>2218</v>
      </c>
      <c r="AP12" s="5028"/>
      <c r="AQ12" s="1314" t="str">
        <f>IF(AO10=0,"",VLOOKUP(AO10,'Tablas Magia'!$D$6:$Z$680,7,FALSE))</f>
        <v/>
      </c>
      <c r="AR12" s="1314" t="str">
        <f>IF(AO10=0,"",VLOOKUP(AO10,'Tablas Magia'!$D$6:$Z$680,11,FALSE))</f>
        <v/>
      </c>
      <c r="AS12" s="1315" t="str">
        <f>IF(AO10=0,"",VLOOKUP(AO10,'Tablas Magia'!$D$6:$Z$680,15,FALSE))</f>
        <v/>
      </c>
      <c r="AT12" s="5029" t="str">
        <f>IF(AO10=0,"",VLOOKUP(AO10,'Tablas Magia'!$D$6:$Z$680,19,FALSE))</f>
        <v/>
      </c>
      <c r="AU12" s="5030"/>
      <c r="AV12" s="5030"/>
      <c r="AW12" s="5030"/>
      <c r="AX12" s="5030"/>
      <c r="AY12" s="5030"/>
      <c r="AZ12" s="5030"/>
      <c r="BA12" s="5030"/>
      <c r="BB12" s="5030"/>
      <c r="BC12" s="5031"/>
      <c r="BD12" s="1295"/>
      <c r="BE12" s="1289"/>
    </row>
    <row r="13" spans="1:57" ht="12" customHeight="1" x14ac:dyDescent="0.2">
      <c r="A13" s="1289"/>
      <c r="B13" s="693"/>
      <c r="C13" s="5022" t="s">
        <v>5258</v>
      </c>
      <c r="D13" s="5023"/>
      <c r="E13" s="1316" t="str">
        <f>IF(C10=0,"",VLOOKUP(C10,'Tablas Magia'!$D$6:$Z$680,8,FALSE))</f>
        <v/>
      </c>
      <c r="F13" s="1316" t="str">
        <f>IF(C10=0,"",VLOOKUP(C10,'Tablas Magia'!$D$6:$Z$680,12,FALSE))</f>
        <v/>
      </c>
      <c r="G13" s="1317" t="str">
        <f>IF(C10=0,"",VLOOKUP(C10,'Tablas Magia'!$D$6:$Z$680,16,FALSE))</f>
        <v/>
      </c>
      <c r="H13" s="5024" t="str">
        <f>IF(C10=0,"",VLOOKUP(C10,'Tablas Magia'!$D$6:$Z$680,20,FALSE))</f>
        <v/>
      </c>
      <c r="I13" s="5025"/>
      <c r="J13" s="5025"/>
      <c r="K13" s="5025"/>
      <c r="L13" s="5025"/>
      <c r="M13" s="5025"/>
      <c r="N13" s="5025"/>
      <c r="O13" s="5025"/>
      <c r="P13" s="5025"/>
      <c r="Q13" s="5026"/>
      <c r="R13" s="1295"/>
      <c r="S13" s="1289"/>
      <c r="T13" s="1289"/>
      <c r="U13" s="693"/>
      <c r="V13" s="5022" t="s">
        <v>5258</v>
      </c>
      <c r="W13" s="5023"/>
      <c r="X13" s="1316" t="str">
        <f>IF(V10=0,"",VLOOKUP(V10,'Tablas Magia'!$D$6:$Z$680,8,FALSE))</f>
        <v/>
      </c>
      <c r="Y13" s="1316" t="str">
        <f>IF(V10=0,"",VLOOKUP(V10,'Tablas Magia'!$D$6:$Z$680,12,FALSE))</f>
        <v/>
      </c>
      <c r="Z13" s="1317" t="str">
        <f>IF(V10=0,"",VLOOKUP(V10,'Tablas Magia'!$D$6:$Z$680,16,FALSE))</f>
        <v/>
      </c>
      <c r="AA13" s="5024" t="str">
        <f>IF(V10=0,"",VLOOKUP(V10,'Tablas Magia'!$D$6:$Z$680,20,FALSE))</f>
        <v/>
      </c>
      <c r="AB13" s="5025"/>
      <c r="AC13" s="5025"/>
      <c r="AD13" s="5025"/>
      <c r="AE13" s="5025"/>
      <c r="AF13" s="5025"/>
      <c r="AG13" s="5025"/>
      <c r="AH13" s="5025"/>
      <c r="AI13" s="5025"/>
      <c r="AJ13" s="5026"/>
      <c r="AK13" s="1295"/>
      <c r="AL13" s="1289"/>
      <c r="AM13" s="1289"/>
      <c r="AN13" s="693"/>
      <c r="AO13" s="5022" t="s">
        <v>5258</v>
      </c>
      <c r="AP13" s="5023"/>
      <c r="AQ13" s="1316" t="str">
        <f>IF(AO10=0,"",VLOOKUP(AO10,'Tablas Magia'!$D$6:$Z$680,8,FALSE))</f>
        <v/>
      </c>
      <c r="AR13" s="1316" t="str">
        <f>IF(AO10=0,"",VLOOKUP(AO10,'Tablas Magia'!$D$6:$Z$680,12,FALSE))</f>
        <v/>
      </c>
      <c r="AS13" s="1317" t="str">
        <f>IF(AO10=0,"",VLOOKUP(AO10,'Tablas Magia'!$D$6:$Z$680,16,FALSE))</f>
        <v/>
      </c>
      <c r="AT13" s="5024" t="str">
        <f>IF(AO10=0,"",VLOOKUP(AO10,'Tablas Magia'!$D$6:$Z$680,20,FALSE))</f>
        <v/>
      </c>
      <c r="AU13" s="5025"/>
      <c r="AV13" s="5025"/>
      <c r="AW13" s="5025"/>
      <c r="AX13" s="5025"/>
      <c r="AY13" s="5025"/>
      <c r="AZ13" s="5025"/>
      <c r="BA13" s="5025"/>
      <c r="BB13" s="5025"/>
      <c r="BC13" s="5026"/>
      <c r="BD13" s="1295"/>
      <c r="BE13" s="1289"/>
    </row>
    <row r="14" spans="1:57" ht="12" customHeight="1" x14ac:dyDescent="0.2">
      <c r="A14" s="1289"/>
      <c r="B14" s="693"/>
      <c r="C14" s="5027" t="s">
        <v>5259</v>
      </c>
      <c r="D14" s="5028"/>
      <c r="E14" s="1314" t="str">
        <f>IF(C10=0,"",VLOOKUP(C10,'Tablas Magia'!$D$6:$Z$680,9,FALSE))</f>
        <v/>
      </c>
      <c r="F14" s="1314" t="str">
        <f>IF(C10=0,"",VLOOKUP(C10,'Tablas Magia'!$D$6:$Z$680,13,FALSE))</f>
        <v/>
      </c>
      <c r="G14" s="1315" t="str">
        <f>IF(C10=0,"",VLOOKUP(C10,'Tablas Magia'!$D$6:$Z$680,17,FALSE))</f>
        <v/>
      </c>
      <c r="H14" s="5029" t="str">
        <f>IF(C10=0,"",VLOOKUP(C10,'Tablas Magia'!$D$6:$Z$680,21,FALSE))</f>
        <v/>
      </c>
      <c r="I14" s="5030"/>
      <c r="J14" s="5030"/>
      <c r="K14" s="5030"/>
      <c r="L14" s="5030"/>
      <c r="M14" s="5030"/>
      <c r="N14" s="5030"/>
      <c r="O14" s="5030"/>
      <c r="P14" s="5030"/>
      <c r="Q14" s="5031"/>
      <c r="R14" s="1295"/>
      <c r="S14" s="1289"/>
      <c r="T14" s="1289"/>
      <c r="U14" s="693"/>
      <c r="V14" s="5027" t="s">
        <v>5259</v>
      </c>
      <c r="W14" s="5028"/>
      <c r="X14" s="1314" t="str">
        <f>IF(V10=0,"",VLOOKUP(V10,'Tablas Magia'!$D$6:$Z$680,9,FALSE))</f>
        <v/>
      </c>
      <c r="Y14" s="1314" t="str">
        <f>IF(V10=0,"",VLOOKUP(V10,'Tablas Magia'!$D$6:$Z$680,13,FALSE))</f>
        <v/>
      </c>
      <c r="Z14" s="1315" t="str">
        <f>IF(V10=0,"",VLOOKUP(V10,'Tablas Magia'!$D$6:$Z$680,17,FALSE))</f>
        <v/>
      </c>
      <c r="AA14" s="5029" t="str">
        <f>IF(V10=0,"",VLOOKUP(V10,'Tablas Magia'!$D$6:$Z$680,21,FALSE))</f>
        <v/>
      </c>
      <c r="AB14" s="5030"/>
      <c r="AC14" s="5030"/>
      <c r="AD14" s="5030"/>
      <c r="AE14" s="5030"/>
      <c r="AF14" s="5030"/>
      <c r="AG14" s="5030"/>
      <c r="AH14" s="5030"/>
      <c r="AI14" s="5030"/>
      <c r="AJ14" s="5031"/>
      <c r="AK14" s="1295"/>
      <c r="AL14" s="1289"/>
      <c r="AM14" s="1289"/>
      <c r="AN14" s="693"/>
      <c r="AO14" s="5027" t="s">
        <v>5259</v>
      </c>
      <c r="AP14" s="5028"/>
      <c r="AQ14" s="1314" t="str">
        <f>IF(AO10=0,"",VLOOKUP(AO10,'Tablas Magia'!$D$6:$Z$680,9,FALSE))</f>
        <v/>
      </c>
      <c r="AR14" s="1314" t="str">
        <f>IF(AO10=0,"",VLOOKUP(AO10,'Tablas Magia'!$D$6:$Z$680,13,FALSE))</f>
        <v/>
      </c>
      <c r="AS14" s="1315" t="str">
        <f>IF(AO10=0,"",VLOOKUP(AO10,'Tablas Magia'!$D$6:$Z$680,17,FALSE))</f>
        <v/>
      </c>
      <c r="AT14" s="5029" t="str">
        <f>IF(AO10=0,"",VLOOKUP(AO10,'Tablas Magia'!$D$6:$Z$680,21,FALSE))</f>
        <v/>
      </c>
      <c r="AU14" s="5030"/>
      <c r="AV14" s="5030"/>
      <c r="AW14" s="5030"/>
      <c r="AX14" s="5030"/>
      <c r="AY14" s="5030"/>
      <c r="AZ14" s="5030"/>
      <c r="BA14" s="5030"/>
      <c r="BB14" s="5030"/>
      <c r="BC14" s="5031"/>
      <c r="BD14" s="1295"/>
      <c r="BE14" s="1289"/>
    </row>
    <row r="15" spans="1:57" ht="12" customHeight="1" thickBot="1" x14ac:dyDescent="0.25">
      <c r="A15" s="1289"/>
      <c r="B15" s="693"/>
      <c r="C15" s="5037" t="s">
        <v>5260</v>
      </c>
      <c r="D15" s="5038"/>
      <c r="E15" s="1318" t="str">
        <f>IF(C10=0,"",VLOOKUP(C10,'Tablas Magia'!$D$6:$Z$680,10,FALSE))</f>
        <v/>
      </c>
      <c r="F15" s="1318" t="str">
        <f>IF(C10=0,"",VLOOKUP(C10,'Tablas Magia'!$D$6:$Z$680,14,FALSE))</f>
        <v/>
      </c>
      <c r="G15" s="1319" t="str">
        <f>IF(C10=0,"",VLOOKUP(C10,'Tablas Magia'!$D$6:$Z$680,18,FALSE))</f>
        <v/>
      </c>
      <c r="H15" s="5039" t="str">
        <f>IF(C10=0,"",VLOOKUP(C10,'Tablas Magia'!$D$6:$Z$680,22,FALSE))</f>
        <v/>
      </c>
      <c r="I15" s="5040"/>
      <c r="J15" s="5040"/>
      <c r="K15" s="5040"/>
      <c r="L15" s="5040"/>
      <c r="M15" s="5040"/>
      <c r="N15" s="5040"/>
      <c r="O15" s="5040"/>
      <c r="P15" s="5040"/>
      <c r="Q15" s="5041"/>
      <c r="R15" s="1295"/>
      <c r="S15" s="1289"/>
      <c r="T15" s="1289"/>
      <c r="U15" s="693"/>
      <c r="V15" s="5037" t="s">
        <v>5260</v>
      </c>
      <c r="W15" s="5038"/>
      <c r="X15" s="1318" t="str">
        <f>IF(V10=0,"",VLOOKUP(V10,'Tablas Magia'!$D$6:$Z$680,10,FALSE))</f>
        <v/>
      </c>
      <c r="Y15" s="1318" t="str">
        <f>IF(V10=0,"",VLOOKUP(V10,'Tablas Magia'!$D$6:$Z$680,14,FALSE))</f>
        <v/>
      </c>
      <c r="Z15" s="1319" t="str">
        <f>IF(V10=0,"",VLOOKUP(V10,'Tablas Magia'!$D$6:$Z$680,18,FALSE))</f>
        <v/>
      </c>
      <c r="AA15" s="5039" t="str">
        <f>IF(V10=0,"",VLOOKUP(V10,'Tablas Magia'!$D$6:$Z$680,22,FALSE))</f>
        <v/>
      </c>
      <c r="AB15" s="5040"/>
      <c r="AC15" s="5040"/>
      <c r="AD15" s="5040"/>
      <c r="AE15" s="5040"/>
      <c r="AF15" s="5040"/>
      <c r="AG15" s="5040"/>
      <c r="AH15" s="5040"/>
      <c r="AI15" s="5040"/>
      <c r="AJ15" s="5041"/>
      <c r="AK15" s="1295"/>
      <c r="AL15" s="1289"/>
      <c r="AM15" s="1289"/>
      <c r="AN15" s="693"/>
      <c r="AO15" s="5037" t="s">
        <v>5260</v>
      </c>
      <c r="AP15" s="5038"/>
      <c r="AQ15" s="1318" t="str">
        <f>IF(AO10=0,"",VLOOKUP(AO10,'Tablas Magia'!$D$6:$Z$680,10,FALSE))</f>
        <v/>
      </c>
      <c r="AR15" s="1318" t="str">
        <f>IF(AO10=0,"",VLOOKUP(AO10,'Tablas Magia'!$D$6:$Z$680,14,FALSE))</f>
        <v/>
      </c>
      <c r="AS15" s="1319" t="str">
        <f>IF(AO10=0,"",VLOOKUP(AO10,'Tablas Magia'!$D$6:$Z$680,18,FALSE))</f>
        <v/>
      </c>
      <c r="AT15" s="5039" t="str">
        <f>IF(AO10=0,"",VLOOKUP(AO10,'Tablas Magia'!$D$6:$Z$680,22,FALSE))</f>
        <v/>
      </c>
      <c r="AU15" s="5040"/>
      <c r="AV15" s="5040"/>
      <c r="AW15" s="5040"/>
      <c r="AX15" s="5040"/>
      <c r="AY15" s="5040"/>
      <c r="AZ15" s="5040"/>
      <c r="BA15" s="5040"/>
      <c r="BB15" s="5040"/>
      <c r="BC15" s="5041"/>
      <c r="BD15" s="1295"/>
      <c r="BE15" s="1289"/>
    </row>
    <row r="16" spans="1:57" ht="12" customHeight="1" x14ac:dyDescent="0.2">
      <c r="A16" s="1289"/>
      <c r="B16" s="693"/>
      <c r="C16" s="5042" t="str">
        <f>IF(C10=0,"",VLOOKUP(C10,'Tablas Magia'!$D$6:$Z$680,23,FALSE))</f>
        <v/>
      </c>
      <c r="D16" s="5043"/>
      <c r="E16" s="5043"/>
      <c r="F16" s="5043"/>
      <c r="G16" s="5043"/>
      <c r="H16" s="5043"/>
      <c r="I16" s="5043"/>
      <c r="J16" s="5043"/>
      <c r="K16" s="5043"/>
      <c r="L16" s="5043"/>
      <c r="M16" s="5043"/>
      <c r="N16" s="5043"/>
      <c r="O16" s="5043"/>
      <c r="P16" s="5043"/>
      <c r="Q16" s="5044"/>
      <c r="R16" s="1295"/>
      <c r="S16" s="1289"/>
      <c r="T16" s="1289"/>
      <c r="U16" s="693"/>
      <c r="V16" s="5042" t="str">
        <f>IF(V10=0,"",VLOOKUP(V10,'Tablas Magia'!$D$6:$Z$680,23,FALSE))</f>
        <v/>
      </c>
      <c r="W16" s="5043"/>
      <c r="X16" s="5043"/>
      <c r="Y16" s="5043"/>
      <c r="Z16" s="5043"/>
      <c r="AA16" s="5043"/>
      <c r="AB16" s="5043"/>
      <c r="AC16" s="5043"/>
      <c r="AD16" s="5043"/>
      <c r="AE16" s="5043"/>
      <c r="AF16" s="5043"/>
      <c r="AG16" s="5043"/>
      <c r="AH16" s="5043"/>
      <c r="AI16" s="5043"/>
      <c r="AJ16" s="5044"/>
      <c r="AK16" s="1295"/>
      <c r="AL16" s="1289"/>
      <c r="AM16" s="1289"/>
      <c r="AN16" s="693"/>
      <c r="AO16" s="5042" t="str">
        <f>IF(AO10=0,"",VLOOKUP(AO10,'Tablas Magia'!$D$6:$Z$680,23,FALSE))</f>
        <v/>
      </c>
      <c r="AP16" s="5043"/>
      <c r="AQ16" s="5043"/>
      <c r="AR16" s="5043"/>
      <c r="AS16" s="5043"/>
      <c r="AT16" s="5043"/>
      <c r="AU16" s="5043"/>
      <c r="AV16" s="5043"/>
      <c r="AW16" s="5043"/>
      <c r="AX16" s="5043"/>
      <c r="AY16" s="5043"/>
      <c r="AZ16" s="5043"/>
      <c r="BA16" s="5043"/>
      <c r="BB16" s="5043"/>
      <c r="BC16" s="5044"/>
      <c r="BD16" s="1295"/>
      <c r="BE16" s="1289"/>
    </row>
    <row r="17" spans="1:57" ht="12" customHeight="1" x14ac:dyDescent="0.2">
      <c r="A17" s="1289"/>
      <c r="B17" s="693"/>
      <c r="C17" s="5045"/>
      <c r="D17" s="5046"/>
      <c r="E17" s="5046"/>
      <c r="F17" s="5046"/>
      <c r="G17" s="5046"/>
      <c r="H17" s="5046"/>
      <c r="I17" s="5046"/>
      <c r="J17" s="5046"/>
      <c r="K17" s="5046"/>
      <c r="L17" s="5046"/>
      <c r="M17" s="5046"/>
      <c r="N17" s="5046"/>
      <c r="O17" s="5046"/>
      <c r="P17" s="5046"/>
      <c r="Q17" s="5047"/>
      <c r="R17" s="1295"/>
      <c r="S17" s="1289"/>
      <c r="T17" s="1289"/>
      <c r="U17" s="693"/>
      <c r="V17" s="5045"/>
      <c r="W17" s="5046"/>
      <c r="X17" s="5046"/>
      <c r="Y17" s="5046"/>
      <c r="Z17" s="5046"/>
      <c r="AA17" s="5046"/>
      <c r="AB17" s="5046"/>
      <c r="AC17" s="5046"/>
      <c r="AD17" s="5046"/>
      <c r="AE17" s="5046"/>
      <c r="AF17" s="5046"/>
      <c r="AG17" s="5046"/>
      <c r="AH17" s="5046"/>
      <c r="AI17" s="5046"/>
      <c r="AJ17" s="5047"/>
      <c r="AK17" s="1295"/>
      <c r="AL17" s="1289"/>
      <c r="AM17" s="1289"/>
      <c r="AN17" s="693"/>
      <c r="AO17" s="5045"/>
      <c r="AP17" s="5046"/>
      <c r="AQ17" s="5046"/>
      <c r="AR17" s="5046"/>
      <c r="AS17" s="5046"/>
      <c r="AT17" s="5046"/>
      <c r="AU17" s="5046"/>
      <c r="AV17" s="5046"/>
      <c r="AW17" s="5046"/>
      <c r="AX17" s="5046"/>
      <c r="AY17" s="5046"/>
      <c r="AZ17" s="5046"/>
      <c r="BA17" s="5046"/>
      <c r="BB17" s="5046"/>
      <c r="BC17" s="5047"/>
      <c r="BD17" s="1295"/>
      <c r="BE17" s="1289"/>
    </row>
    <row r="18" spans="1:57" ht="12" customHeight="1" x14ac:dyDescent="0.2">
      <c r="A18" s="1289"/>
      <c r="B18" s="693"/>
      <c r="C18" s="5045"/>
      <c r="D18" s="5046"/>
      <c r="E18" s="5046"/>
      <c r="F18" s="5046"/>
      <c r="G18" s="5046"/>
      <c r="H18" s="5046"/>
      <c r="I18" s="5046"/>
      <c r="J18" s="5046"/>
      <c r="K18" s="5046"/>
      <c r="L18" s="5046"/>
      <c r="M18" s="5046"/>
      <c r="N18" s="5046"/>
      <c r="O18" s="5046"/>
      <c r="P18" s="5046"/>
      <c r="Q18" s="5047"/>
      <c r="R18" s="1295"/>
      <c r="S18" s="1289"/>
      <c r="T18" s="1289"/>
      <c r="U18" s="693"/>
      <c r="V18" s="5045"/>
      <c r="W18" s="5046"/>
      <c r="X18" s="5046"/>
      <c r="Y18" s="5046"/>
      <c r="Z18" s="5046"/>
      <c r="AA18" s="5046"/>
      <c r="AB18" s="5046"/>
      <c r="AC18" s="5046"/>
      <c r="AD18" s="5046"/>
      <c r="AE18" s="5046"/>
      <c r="AF18" s="5046"/>
      <c r="AG18" s="5046"/>
      <c r="AH18" s="5046"/>
      <c r="AI18" s="5046"/>
      <c r="AJ18" s="5047"/>
      <c r="AK18" s="1295"/>
      <c r="AL18" s="1289"/>
      <c r="AM18" s="1289"/>
      <c r="AN18" s="693"/>
      <c r="AO18" s="5045"/>
      <c r="AP18" s="5046"/>
      <c r="AQ18" s="5046"/>
      <c r="AR18" s="5046"/>
      <c r="AS18" s="5046"/>
      <c r="AT18" s="5046"/>
      <c r="AU18" s="5046"/>
      <c r="AV18" s="5046"/>
      <c r="AW18" s="5046"/>
      <c r="AX18" s="5046"/>
      <c r="AY18" s="5046"/>
      <c r="AZ18" s="5046"/>
      <c r="BA18" s="5046"/>
      <c r="BB18" s="5046"/>
      <c r="BC18" s="5047"/>
      <c r="BD18" s="1295"/>
      <c r="BE18" s="1289"/>
    </row>
    <row r="19" spans="1:57" ht="12" customHeight="1" thickBot="1" x14ac:dyDescent="0.25">
      <c r="A19" s="1289"/>
      <c r="B19" s="693"/>
      <c r="C19" s="5048"/>
      <c r="D19" s="5049"/>
      <c r="E19" s="5049"/>
      <c r="F19" s="5049"/>
      <c r="G19" s="5049"/>
      <c r="H19" s="5049"/>
      <c r="I19" s="5049"/>
      <c r="J19" s="5049"/>
      <c r="K19" s="5049"/>
      <c r="L19" s="5049"/>
      <c r="M19" s="5049"/>
      <c r="N19" s="5049"/>
      <c r="O19" s="5049"/>
      <c r="P19" s="5049"/>
      <c r="Q19" s="5050"/>
      <c r="R19" s="1295"/>
      <c r="S19" s="1289"/>
      <c r="T19" s="1289"/>
      <c r="U19" s="693"/>
      <c r="V19" s="5048"/>
      <c r="W19" s="5049"/>
      <c r="X19" s="5049"/>
      <c r="Y19" s="5049"/>
      <c r="Z19" s="5049"/>
      <c r="AA19" s="5049"/>
      <c r="AB19" s="5049"/>
      <c r="AC19" s="5049"/>
      <c r="AD19" s="5049"/>
      <c r="AE19" s="5049"/>
      <c r="AF19" s="5049"/>
      <c r="AG19" s="5049"/>
      <c r="AH19" s="5049"/>
      <c r="AI19" s="5049"/>
      <c r="AJ19" s="5050"/>
      <c r="AK19" s="1295"/>
      <c r="AL19" s="1289"/>
      <c r="AM19" s="1289"/>
      <c r="AN19" s="693"/>
      <c r="AO19" s="5048"/>
      <c r="AP19" s="5049"/>
      <c r="AQ19" s="5049"/>
      <c r="AR19" s="5049"/>
      <c r="AS19" s="5049"/>
      <c r="AT19" s="5049"/>
      <c r="AU19" s="5049"/>
      <c r="AV19" s="5049"/>
      <c r="AW19" s="5049"/>
      <c r="AX19" s="5049"/>
      <c r="AY19" s="5049"/>
      <c r="AZ19" s="5049"/>
      <c r="BA19" s="5049"/>
      <c r="BB19" s="5049"/>
      <c r="BC19" s="5050"/>
      <c r="BD19" s="1295"/>
      <c r="BE19" s="1289"/>
    </row>
    <row r="20" spans="1:57" ht="12" customHeight="1" thickBot="1" x14ac:dyDescent="0.25">
      <c r="A20" s="1289"/>
      <c r="B20" s="693"/>
      <c r="C20" s="1320"/>
      <c r="D20" s="1320"/>
      <c r="E20" s="1320"/>
      <c r="F20" s="1320"/>
      <c r="G20" s="1320"/>
      <c r="H20" s="1321"/>
      <c r="I20" s="1322"/>
      <c r="J20" s="1323"/>
      <c r="K20" s="1323"/>
      <c r="L20" s="1323"/>
      <c r="M20" s="825"/>
      <c r="N20" s="825"/>
      <c r="O20" s="825"/>
      <c r="P20" s="825"/>
      <c r="Q20" s="825"/>
      <c r="R20" s="1295"/>
      <c r="S20" s="1289"/>
      <c r="T20" s="1289"/>
      <c r="U20" s="693"/>
      <c r="V20" s="1320"/>
      <c r="W20" s="1320"/>
      <c r="X20" s="1320"/>
      <c r="Y20" s="1320"/>
      <c r="Z20" s="1320"/>
      <c r="AA20" s="1321"/>
      <c r="AB20" s="1322"/>
      <c r="AC20" s="1323"/>
      <c r="AD20" s="1323"/>
      <c r="AE20" s="1323"/>
      <c r="AF20" s="825"/>
      <c r="AG20" s="825"/>
      <c r="AH20" s="825"/>
      <c r="AI20" s="825"/>
      <c r="AJ20" s="825"/>
      <c r="AK20" s="1295"/>
      <c r="AL20" s="1289"/>
      <c r="AM20" s="1289"/>
      <c r="AN20" s="693"/>
      <c r="AO20" s="1320"/>
      <c r="AP20" s="1320"/>
      <c r="AQ20" s="1320"/>
      <c r="AR20" s="1320"/>
      <c r="AS20" s="1320"/>
      <c r="AT20" s="1321"/>
      <c r="AU20" s="1322"/>
      <c r="AV20" s="1323"/>
      <c r="AW20" s="1323"/>
      <c r="AX20" s="1323"/>
      <c r="AY20" s="825"/>
      <c r="AZ20" s="825"/>
      <c r="BA20" s="825"/>
      <c r="BB20" s="825"/>
      <c r="BC20" s="825"/>
      <c r="BD20" s="1295"/>
      <c r="BE20" s="1289"/>
    </row>
    <row r="21" spans="1:57" ht="12" customHeight="1" x14ac:dyDescent="0.2">
      <c r="A21" s="1289"/>
      <c r="B21" s="693"/>
      <c r="C21" s="5015"/>
      <c r="D21" s="5016"/>
      <c r="E21" s="5016"/>
      <c r="F21" s="5016"/>
      <c r="G21" s="5016"/>
      <c r="H21" s="1309" t="s">
        <v>2171</v>
      </c>
      <c r="I21" s="1310" t="str">
        <f>IF(C21=0,"",VLOOKUP(C21,'Tablas Magia'!$D$6:$Z$680,3,FALSE))</f>
        <v/>
      </c>
      <c r="J21" s="5017" t="s">
        <v>8715</v>
      </c>
      <c r="K21" s="5017"/>
      <c r="L21" s="5017"/>
      <c r="M21" s="5018" t="str">
        <f>IF(C21=0,"",VLOOKUP(C21,'Tablas Magia'!$D$6:$Z$680,2,FALSE))</f>
        <v/>
      </c>
      <c r="N21" s="5018"/>
      <c r="O21" s="5018"/>
      <c r="P21" s="5018"/>
      <c r="Q21" s="5019"/>
      <c r="R21" s="1295"/>
      <c r="S21" s="1289"/>
      <c r="T21" s="1289"/>
      <c r="U21" s="693"/>
      <c r="V21" s="5015"/>
      <c r="W21" s="5016"/>
      <c r="X21" s="5016"/>
      <c r="Y21" s="5016"/>
      <c r="Z21" s="5016"/>
      <c r="AA21" s="1309" t="s">
        <v>2171</v>
      </c>
      <c r="AB21" s="1310" t="str">
        <f>IF(V21=0,"",VLOOKUP(V21,'Tablas Magia'!$D$6:$Z$680,3,FALSE))</f>
        <v/>
      </c>
      <c r="AC21" s="5017" t="s">
        <v>8715</v>
      </c>
      <c r="AD21" s="5017"/>
      <c r="AE21" s="5017"/>
      <c r="AF21" s="5018" t="str">
        <f>IF(V21=0,"",VLOOKUP(V21,'Tablas Magia'!$D$6:$Z$680,2,FALSE))</f>
        <v/>
      </c>
      <c r="AG21" s="5018"/>
      <c r="AH21" s="5018"/>
      <c r="AI21" s="5018"/>
      <c r="AJ21" s="5019"/>
      <c r="AK21" s="1295"/>
      <c r="AL21" s="1289"/>
      <c r="AM21" s="1289"/>
      <c r="AN21" s="693"/>
      <c r="AO21" s="5015"/>
      <c r="AP21" s="5016"/>
      <c r="AQ21" s="5016"/>
      <c r="AR21" s="5016"/>
      <c r="AS21" s="5016"/>
      <c r="AT21" s="1309" t="s">
        <v>2171</v>
      </c>
      <c r="AU21" s="1310" t="str">
        <f>IF(AO21=0,"",VLOOKUP(AO21,'Tablas Magia'!$D$6:$Z$680,3,FALSE))</f>
        <v/>
      </c>
      <c r="AV21" s="5017" t="s">
        <v>8715</v>
      </c>
      <c r="AW21" s="5017"/>
      <c r="AX21" s="5017"/>
      <c r="AY21" s="5018" t="str">
        <f>IF(AO21=0,"",VLOOKUP(AO21,'Tablas Magia'!$D$6:$Z$680,2,FALSE))</f>
        <v/>
      </c>
      <c r="AZ21" s="5018"/>
      <c r="BA21" s="5018"/>
      <c r="BB21" s="5018"/>
      <c r="BC21" s="5019"/>
      <c r="BD21" s="1295"/>
      <c r="BE21" s="1289"/>
    </row>
    <row r="22" spans="1:57" ht="12" customHeight="1" x14ac:dyDescent="0.2">
      <c r="A22" s="1289"/>
      <c r="B22" s="693"/>
      <c r="C22" s="5035" t="s">
        <v>8716</v>
      </c>
      <c r="D22" s="5036"/>
      <c r="E22" s="1311" t="s">
        <v>8717</v>
      </c>
      <c r="F22" s="1311" t="s">
        <v>2365</v>
      </c>
      <c r="G22" s="1311" t="s">
        <v>4020</v>
      </c>
      <c r="H22" s="1312" t="s">
        <v>2716</v>
      </c>
      <c r="I22" s="5032" t="str">
        <f>IF(C21=0,"",VLOOKUP(C21,'Tablas Magia'!$D$6:$Z$680,5,FALSE))</f>
        <v/>
      </c>
      <c r="J22" s="5032"/>
      <c r="K22" s="5033" t="s">
        <v>8718</v>
      </c>
      <c r="L22" s="5033"/>
      <c r="M22" s="5032" t="str">
        <f>IF(C21=0,"",VLOOKUP(C21,'Tablas Magia'!$D$6:$Z$680,6,FALSE))</f>
        <v/>
      </c>
      <c r="N22" s="5032"/>
      <c r="O22" s="5034" t="s">
        <v>8719</v>
      </c>
      <c r="P22" s="5034"/>
      <c r="Q22" s="1313" t="str">
        <f>IF(C21=0,"",VLOOKUP(C21,'Tablas Magia'!$D$6:$Z$680,4,FALSE))</f>
        <v/>
      </c>
      <c r="R22" s="1295"/>
      <c r="S22" s="1289"/>
      <c r="T22" s="1289"/>
      <c r="U22" s="693"/>
      <c r="V22" s="5035" t="s">
        <v>8716</v>
      </c>
      <c r="W22" s="5036"/>
      <c r="X22" s="1311" t="s">
        <v>8717</v>
      </c>
      <c r="Y22" s="1311" t="s">
        <v>2365</v>
      </c>
      <c r="Z22" s="1311" t="s">
        <v>4020</v>
      </c>
      <c r="AA22" s="1312" t="s">
        <v>2716</v>
      </c>
      <c r="AB22" s="5032" t="str">
        <f>IF(V21=0,"",VLOOKUP(V21,'Tablas Magia'!$D$6:$Z$680,5,FALSE))</f>
        <v/>
      </c>
      <c r="AC22" s="5032"/>
      <c r="AD22" s="5033" t="s">
        <v>8718</v>
      </c>
      <c r="AE22" s="5033"/>
      <c r="AF22" s="5032" t="str">
        <f>IF(V21=0,"",VLOOKUP(V21,'Tablas Magia'!$D$6:$Z$680,6,FALSE))</f>
        <v/>
      </c>
      <c r="AG22" s="5032"/>
      <c r="AH22" s="5034" t="s">
        <v>8719</v>
      </c>
      <c r="AI22" s="5034"/>
      <c r="AJ22" s="1313" t="str">
        <f>IF(V21=0,"",VLOOKUP(V21,'Tablas Magia'!$D$6:$Z$680,4,FALSE))</f>
        <v/>
      </c>
      <c r="AK22" s="1295"/>
      <c r="AL22" s="1289"/>
      <c r="AM22" s="1289"/>
      <c r="AN22" s="693"/>
      <c r="AO22" s="5035" t="s">
        <v>8716</v>
      </c>
      <c r="AP22" s="5036"/>
      <c r="AQ22" s="1311" t="s">
        <v>8717</v>
      </c>
      <c r="AR22" s="1311" t="s">
        <v>2365</v>
      </c>
      <c r="AS22" s="1311" t="s">
        <v>4020</v>
      </c>
      <c r="AT22" s="1312" t="s">
        <v>2716</v>
      </c>
      <c r="AU22" s="5032" t="str">
        <f>IF(AO21=0,"",VLOOKUP(AO21,'Tablas Magia'!$D$6:$Z$680,5,FALSE))</f>
        <v/>
      </c>
      <c r="AV22" s="5032"/>
      <c r="AW22" s="5033" t="s">
        <v>8718</v>
      </c>
      <c r="AX22" s="5033"/>
      <c r="AY22" s="5032" t="str">
        <f>IF(AO21=0,"",VLOOKUP(AO21,'Tablas Magia'!$D$6:$Z$680,6,FALSE))</f>
        <v/>
      </c>
      <c r="AZ22" s="5032"/>
      <c r="BA22" s="5034" t="s">
        <v>8719</v>
      </c>
      <c r="BB22" s="5034"/>
      <c r="BC22" s="1313" t="str">
        <f>IF(AO21=0,"",VLOOKUP(AO21,'Tablas Magia'!$D$6:$Z$680,4,FALSE))</f>
        <v/>
      </c>
      <c r="BD22" s="1295"/>
      <c r="BE22" s="1289"/>
    </row>
    <row r="23" spans="1:57" ht="12" customHeight="1" x14ac:dyDescent="0.2">
      <c r="A23" s="1289"/>
      <c r="B23" s="693"/>
      <c r="C23" s="5027" t="s">
        <v>2218</v>
      </c>
      <c r="D23" s="5028"/>
      <c r="E23" s="1314" t="str">
        <f>IF(C21=0,"",VLOOKUP(C21,'Tablas Magia'!$D$6:$Z$680,7,FALSE))</f>
        <v/>
      </c>
      <c r="F23" s="1314" t="str">
        <f>IF(C21=0,"",VLOOKUP(C21,'Tablas Magia'!$D$6:$Z$680,11,FALSE))</f>
        <v/>
      </c>
      <c r="G23" s="1315" t="str">
        <f>IF(C21=0,"",VLOOKUP(C21,'Tablas Magia'!$D$6:$Z$680,15,FALSE))</f>
        <v/>
      </c>
      <c r="H23" s="5029" t="str">
        <f>IF(C21=0,"",VLOOKUP(C21,'Tablas Magia'!$D$6:$Z$680,19,FALSE))</f>
        <v/>
      </c>
      <c r="I23" s="5030"/>
      <c r="J23" s="5030"/>
      <c r="K23" s="5030"/>
      <c r="L23" s="5030"/>
      <c r="M23" s="5030"/>
      <c r="N23" s="5030"/>
      <c r="O23" s="5030"/>
      <c r="P23" s="5030"/>
      <c r="Q23" s="5031"/>
      <c r="R23" s="1295"/>
      <c r="S23" s="1289"/>
      <c r="T23" s="1289"/>
      <c r="U23" s="693"/>
      <c r="V23" s="5027" t="s">
        <v>2218</v>
      </c>
      <c r="W23" s="5028"/>
      <c r="X23" s="1314" t="str">
        <f>IF(V21=0,"",VLOOKUP(V21,'Tablas Magia'!$D$6:$Z$680,7,FALSE))</f>
        <v/>
      </c>
      <c r="Y23" s="1314" t="str">
        <f>IF(V21=0,"",VLOOKUP(V21,'Tablas Magia'!$D$6:$Z$680,11,FALSE))</f>
        <v/>
      </c>
      <c r="Z23" s="1315" t="str">
        <f>IF(V21=0,"",VLOOKUP(V21,'Tablas Magia'!$D$6:$Z$680,15,FALSE))</f>
        <v/>
      </c>
      <c r="AA23" s="5029" t="str">
        <f>IF(V21=0,"",VLOOKUP(V21,'Tablas Magia'!$D$6:$Z$680,19,FALSE))</f>
        <v/>
      </c>
      <c r="AB23" s="5030"/>
      <c r="AC23" s="5030"/>
      <c r="AD23" s="5030"/>
      <c r="AE23" s="5030"/>
      <c r="AF23" s="5030"/>
      <c r="AG23" s="5030"/>
      <c r="AH23" s="5030"/>
      <c r="AI23" s="5030"/>
      <c r="AJ23" s="5031"/>
      <c r="AK23" s="1295"/>
      <c r="AL23" s="1289"/>
      <c r="AM23" s="1289"/>
      <c r="AN23" s="693"/>
      <c r="AO23" s="5027" t="s">
        <v>2218</v>
      </c>
      <c r="AP23" s="5028"/>
      <c r="AQ23" s="1314" t="str">
        <f>IF(AO21=0,"",VLOOKUP(AO21,'Tablas Magia'!$D$6:$Z$680,7,FALSE))</f>
        <v/>
      </c>
      <c r="AR23" s="1314" t="str">
        <f>IF(AO21=0,"",VLOOKUP(AO21,'Tablas Magia'!$D$6:$Z$680,11,FALSE))</f>
        <v/>
      </c>
      <c r="AS23" s="1315" t="str">
        <f>IF(AO21=0,"",VLOOKUP(AO21,'Tablas Magia'!$D$6:$Z$680,15,FALSE))</f>
        <v/>
      </c>
      <c r="AT23" s="5029" t="str">
        <f>IF(AO21=0,"",VLOOKUP(AO21,'Tablas Magia'!$D$6:$Z$680,19,FALSE))</f>
        <v/>
      </c>
      <c r="AU23" s="5030"/>
      <c r="AV23" s="5030"/>
      <c r="AW23" s="5030"/>
      <c r="AX23" s="5030"/>
      <c r="AY23" s="5030"/>
      <c r="AZ23" s="5030"/>
      <c r="BA23" s="5030"/>
      <c r="BB23" s="5030"/>
      <c r="BC23" s="5031"/>
      <c r="BD23" s="1295"/>
      <c r="BE23" s="1289"/>
    </row>
    <row r="24" spans="1:57" ht="12" customHeight="1" x14ac:dyDescent="0.2">
      <c r="A24" s="1289"/>
      <c r="B24" s="693"/>
      <c r="C24" s="5022" t="s">
        <v>5258</v>
      </c>
      <c r="D24" s="5023"/>
      <c r="E24" s="1316" t="str">
        <f>IF(C21=0,"",VLOOKUP(C21,'Tablas Magia'!$D$6:$Z$680,8,FALSE))</f>
        <v/>
      </c>
      <c r="F24" s="1316" t="str">
        <f>IF(C21=0,"",VLOOKUP(C21,'Tablas Magia'!$D$6:$Z$680,12,FALSE))</f>
        <v/>
      </c>
      <c r="G24" s="1317" t="str">
        <f>IF(C21=0,"",VLOOKUP(C21,'Tablas Magia'!$D$6:$Z$680,16,FALSE))</f>
        <v/>
      </c>
      <c r="H24" s="5024" t="str">
        <f>IF(C21=0,"",VLOOKUP(C21,'Tablas Magia'!$D$6:$Z$680,20,FALSE))</f>
        <v/>
      </c>
      <c r="I24" s="5025"/>
      <c r="J24" s="5025"/>
      <c r="K24" s="5025"/>
      <c r="L24" s="5025"/>
      <c r="M24" s="5025"/>
      <c r="N24" s="5025"/>
      <c r="O24" s="5025"/>
      <c r="P24" s="5025"/>
      <c r="Q24" s="5026"/>
      <c r="R24" s="1295"/>
      <c r="S24" s="1289"/>
      <c r="T24" s="1289"/>
      <c r="U24" s="693"/>
      <c r="V24" s="5022" t="s">
        <v>5258</v>
      </c>
      <c r="W24" s="5023"/>
      <c r="X24" s="1316" t="str">
        <f>IF(V21=0,"",VLOOKUP(V21,'Tablas Magia'!$D$6:$Z$680,8,FALSE))</f>
        <v/>
      </c>
      <c r="Y24" s="1316" t="str">
        <f>IF(V21=0,"",VLOOKUP(V21,'Tablas Magia'!$D$6:$Z$680,12,FALSE))</f>
        <v/>
      </c>
      <c r="Z24" s="1317" t="str">
        <f>IF(V21=0,"",VLOOKUP(V21,'Tablas Magia'!$D$6:$Z$680,16,FALSE))</f>
        <v/>
      </c>
      <c r="AA24" s="5024" t="str">
        <f>IF(V21=0,"",VLOOKUP(V21,'Tablas Magia'!$D$6:$Z$680,20,FALSE))</f>
        <v/>
      </c>
      <c r="AB24" s="5025"/>
      <c r="AC24" s="5025"/>
      <c r="AD24" s="5025"/>
      <c r="AE24" s="5025"/>
      <c r="AF24" s="5025"/>
      <c r="AG24" s="5025"/>
      <c r="AH24" s="5025"/>
      <c r="AI24" s="5025"/>
      <c r="AJ24" s="5026"/>
      <c r="AK24" s="1295"/>
      <c r="AL24" s="1289"/>
      <c r="AM24" s="1289"/>
      <c r="AN24" s="693"/>
      <c r="AO24" s="5022" t="s">
        <v>5258</v>
      </c>
      <c r="AP24" s="5023"/>
      <c r="AQ24" s="1316" t="str">
        <f>IF(AO21=0,"",VLOOKUP(AO21,'Tablas Magia'!$D$6:$Z$680,8,FALSE))</f>
        <v/>
      </c>
      <c r="AR24" s="1316" t="str">
        <f>IF(AO21=0,"",VLOOKUP(AO21,'Tablas Magia'!$D$6:$Z$680,12,FALSE))</f>
        <v/>
      </c>
      <c r="AS24" s="1317" t="str">
        <f>IF(AO21=0,"",VLOOKUP(AO21,'Tablas Magia'!$D$6:$Z$680,16,FALSE))</f>
        <v/>
      </c>
      <c r="AT24" s="5024" t="str">
        <f>IF(AO21=0,"",VLOOKUP(AO21,'Tablas Magia'!$D$6:$Z$680,20,FALSE))</f>
        <v/>
      </c>
      <c r="AU24" s="5025"/>
      <c r="AV24" s="5025"/>
      <c r="AW24" s="5025"/>
      <c r="AX24" s="5025"/>
      <c r="AY24" s="5025"/>
      <c r="AZ24" s="5025"/>
      <c r="BA24" s="5025"/>
      <c r="BB24" s="5025"/>
      <c r="BC24" s="5026"/>
      <c r="BD24" s="1295"/>
      <c r="BE24" s="1289"/>
    </row>
    <row r="25" spans="1:57" ht="12" customHeight="1" x14ac:dyDescent="0.2">
      <c r="A25" s="1289"/>
      <c r="B25" s="693"/>
      <c r="C25" s="5027" t="s">
        <v>5259</v>
      </c>
      <c r="D25" s="5028"/>
      <c r="E25" s="1314" t="str">
        <f>IF(C21=0,"",VLOOKUP(C21,'Tablas Magia'!$D$6:$Z$680,9,FALSE))</f>
        <v/>
      </c>
      <c r="F25" s="1314" t="str">
        <f>IF(C21=0,"",VLOOKUP(C21,'Tablas Magia'!$D$6:$Z$680,13,FALSE))</f>
        <v/>
      </c>
      <c r="G25" s="1315" t="str">
        <f>IF(C21=0,"",VLOOKUP(C21,'Tablas Magia'!$D$6:$Z$680,17,FALSE))</f>
        <v/>
      </c>
      <c r="H25" s="5029" t="str">
        <f>IF(C21=0,"",VLOOKUP(C21,'Tablas Magia'!$D$6:$Z$680,21,FALSE))</f>
        <v/>
      </c>
      <c r="I25" s="5030"/>
      <c r="J25" s="5030"/>
      <c r="K25" s="5030"/>
      <c r="L25" s="5030"/>
      <c r="M25" s="5030"/>
      <c r="N25" s="5030"/>
      <c r="O25" s="5030"/>
      <c r="P25" s="5030"/>
      <c r="Q25" s="5031"/>
      <c r="R25" s="1295"/>
      <c r="S25" s="1289"/>
      <c r="T25" s="1289"/>
      <c r="U25" s="693"/>
      <c r="V25" s="5027" t="s">
        <v>5259</v>
      </c>
      <c r="W25" s="5028"/>
      <c r="X25" s="1314" t="str">
        <f>IF(V21=0,"",VLOOKUP(V21,'Tablas Magia'!$D$6:$Z$680,9,FALSE))</f>
        <v/>
      </c>
      <c r="Y25" s="1314" t="str">
        <f>IF(V21=0,"",VLOOKUP(V21,'Tablas Magia'!$D$6:$Z$680,13,FALSE))</f>
        <v/>
      </c>
      <c r="Z25" s="1315" t="str">
        <f>IF(V21=0,"",VLOOKUP(V21,'Tablas Magia'!$D$6:$Z$680,17,FALSE))</f>
        <v/>
      </c>
      <c r="AA25" s="5029" t="str">
        <f>IF(V21=0,"",VLOOKUP(V21,'Tablas Magia'!$D$6:$Z$680,21,FALSE))</f>
        <v/>
      </c>
      <c r="AB25" s="5030"/>
      <c r="AC25" s="5030"/>
      <c r="AD25" s="5030"/>
      <c r="AE25" s="5030"/>
      <c r="AF25" s="5030"/>
      <c r="AG25" s="5030"/>
      <c r="AH25" s="5030"/>
      <c r="AI25" s="5030"/>
      <c r="AJ25" s="5031"/>
      <c r="AK25" s="1295"/>
      <c r="AL25" s="1289"/>
      <c r="AM25" s="1289"/>
      <c r="AN25" s="693"/>
      <c r="AO25" s="5027" t="s">
        <v>5259</v>
      </c>
      <c r="AP25" s="5028"/>
      <c r="AQ25" s="1314" t="str">
        <f>IF(AO21=0,"",VLOOKUP(AO21,'Tablas Magia'!$D$6:$Z$680,9,FALSE))</f>
        <v/>
      </c>
      <c r="AR25" s="1314" t="str">
        <f>IF(AO21=0,"",VLOOKUP(AO21,'Tablas Magia'!$D$6:$Z$680,13,FALSE))</f>
        <v/>
      </c>
      <c r="AS25" s="1315" t="str">
        <f>IF(AO21=0,"",VLOOKUP(AO21,'Tablas Magia'!$D$6:$Z$680,17,FALSE))</f>
        <v/>
      </c>
      <c r="AT25" s="5029" t="str">
        <f>IF(AO21=0,"",VLOOKUP(AO21,'Tablas Magia'!$D$6:$Z$680,21,FALSE))</f>
        <v/>
      </c>
      <c r="AU25" s="5030"/>
      <c r="AV25" s="5030"/>
      <c r="AW25" s="5030"/>
      <c r="AX25" s="5030"/>
      <c r="AY25" s="5030"/>
      <c r="AZ25" s="5030"/>
      <c r="BA25" s="5030"/>
      <c r="BB25" s="5030"/>
      <c r="BC25" s="5031"/>
      <c r="BD25" s="1295"/>
      <c r="BE25" s="1289"/>
    </row>
    <row r="26" spans="1:57" ht="12" customHeight="1" thickBot="1" x14ac:dyDescent="0.25">
      <c r="A26" s="1289"/>
      <c r="B26" s="693"/>
      <c r="C26" s="5037" t="s">
        <v>5260</v>
      </c>
      <c r="D26" s="5038"/>
      <c r="E26" s="1318" t="str">
        <f>IF(C21=0,"",VLOOKUP(C21,'Tablas Magia'!$D$6:$Z$680,10,FALSE))</f>
        <v/>
      </c>
      <c r="F26" s="1318" t="str">
        <f>IF(C21=0,"",VLOOKUP(C21,'Tablas Magia'!$D$6:$Z$680,14,FALSE))</f>
        <v/>
      </c>
      <c r="G26" s="1319" t="str">
        <f>IF(C21=0,"",VLOOKUP(C21,'Tablas Magia'!$D$6:$Z$680,18,FALSE))</f>
        <v/>
      </c>
      <c r="H26" s="5039" t="str">
        <f>IF(C21=0,"",VLOOKUP(C21,'Tablas Magia'!$D$6:$Z$680,22,FALSE))</f>
        <v/>
      </c>
      <c r="I26" s="5040"/>
      <c r="J26" s="5040"/>
      <c r="K26" s="5040"/>
      <c r="L26" s="5040"/>
      <c r="M26" s="5040"/>
      <c r="N26" s="5040"/>
      <c r="O26" s="5040"/>
      <c r="P26" s="5040"/>
      <c r="Q26" s="5041"/>
      <c r="R26" s="1295"/>
      <c r="S26" s="1289"/>
      <c r="T26" s="1289"/>
      <c r="U26" s="693"/>
      <c r="V26" s="5037" t="s">
        <v>5260</v>
      </c>
      <c r="W26" s="5038"/>
      <c r="X26" s="1318" t="str">
        <f>IF(V21=0,"",VLOOKUP(V21,'Tablas Magia'!$D$6:$Z$680,10,FALSE))</f>
        <v/>
      </c>
      <c r="Y26" s="1318" t="str">
        <f>IF(V21=0,"",VLOOKUP(V21,'Tablas Magia'!$D$6:$Z$680,14,FALSE))</f>
        <v/>
      </c>
      <c r="Z26" s="1319" t="str">
        <f>IF(V21=0,"",VLOOKUP(V21,'Tablas Magia'!$D$6:$Z$680,18,FALSE))</f>
        <v/>
      </c>
      <c r="AA26" s="5039" t="str">
        <f>IF(V21=0,"",VLOOKUP(V21,'Tablas Magia'!$D$6:$Z$680,22,FALSE))</f>
        <v/>
      </c>
      <c r="AB26" s="5040"/>
      <c r="AC26" s="5040"/>
      <c r="AD26" s="5040"/>
      <c r="AE26" s="5040"/>
      <c r="AF26" s="5040"/>
      <c r="AG26" s="5040"/>
      <c r="AH26" s="5040"/>
      <c r="AI26" s="5040"/>
      <c r="AJ26" s="5041"/>
      <c r="AK26" s="1295"/>
      <c r="AL26" s="1289"/>
      <c r="AM26" s="1289"/>
      <c r="AN26" s="693"/>
      <c r="AO26" s="5037" t="s">
        <v>5260</v>
      </c>
      <c r="AP26" s="5038"/>
      <c r="AQ26" s="1318" t="str">
        <f>IF(AO21=0,"",VLOOKUP(AO21,'Tablas Magia'!$D$6:$Z$680,10,FALSE))</f>
        <v/>
      </c>
      <c r="AR26" s="1318" t="str">
        <f>IF(AO21=0,"",VLOOKUP(AO21,'Tablas Magia'!$D$6:$Z$680,14,FALSE))</f>
        <v/>
      </c>
      <c r="AS26" s="1319" t="str">
        <f>IF(AO21=0,"",VLOOKUP(AO21,'Tablas Magia'!$D$6:$Z$680,18,FALSE))</f>
        <v/>
      </c>
      <c r="AT26" s="5039" t="str">
        <f>IF(AO21=0,"",VLOOKUP(AO21,'Tablas Magia'!$D$6:$Z$680,22,FALSE))</f>
        <v/>
      </c>
      <c r="AU26" s="5040"/>
      <c r="AV26" s="5040"/>
      <c r="AW26" s="5040"/>
      <c r="AX26" s="5040"/>
      <c r="AY26" s="5040"/>
      <c r="AZ26" s="5040"/>
      <c r="BA26" s="5040"/>
      <c r="BB26" s="5040"/>
      <c r="BC26" s="5041"/>
      <c r="BD26" s="1295"/>
      <c r="BE26" s="1289"/>
    </row>
    <row r="27" spans="1:57" ht="12" customHeight="1" x14ac:dyDescent="0.2">
      <c r="A27" s="1289"/>
      <c r="B27" s="693"/>
      <c r="C27" s="5042" t="str">
        <f>IF(C21=0,"",VLOOKUP(C21,'Tablas Magia'!$D$6:$Z$680,23,FALSE))</f>
        <v/>
      </c>
      <c r="D27" s="5043"/>
      <c r="E27" s="5043"/>
      <c r="F27" s="5043"/>
      <c r="G27" s="5043"/>
      <c r="H27" s="5043"/>
      <c r="I27" s="5043"/>
      <c r="J27" s="5043"/>
      <c r="K27" s="5043"/>
      <c r="L27" s="5043"/>
      <c r="M27" s="5043"/>
      <c r="N27" s="5043"/>
      <c r="O27" s="5043"/>
      <c r="P27" s="5043"/>
      <c r="Q27" s="5044"/>
      <c r="R27" s="1295"/>
      <c r="S27" s="1289"/>
      <c r="T27" s="1289"/>
      <c r="U27" s="693"/>
      <c r="V27" s="5042" t="str">
        <f>IF(V21=0,"",VLOOKUP(V21,'Tablas Magia'!$D$6:$Z$680,23,FALSE))</f>
        <v/>
      </c>
      <c r="W27" s="5043"/>
      <c r="X27" s="5043"/>
      <c r="Y27" s="5043"/>
      <c r="Z27" s="5043"/>
      <c r="AA27" s="5043"/>
      <c r="AB27" s="5043"/>
      <c r="AC27" s="5043"/>
      <c r="AD27" s="5043"/>
      <c r="AE27" s="5043"/>
      <c r="AF27" s="5043"/>
      <c r="AG27" s="5043"/>
      <c r="AH27" s="5043"/>
      <c r="AI27" s="5043"/>
      <c r="AJ27" s="5044"/>
      <c r="AK27" s="1295"/>
      <c r="AL27" s="1289"/>
      <c r="AM27" s="1289"/>
      <c r="AN27" s="693"/>
      <c r="AO27" s="5042" t="str">
        <f>IF(AO21=0,"",VLOOKUP(AO21,'Tablas Magia'!$D$6:$Z$680,23,FALSE))</f>
        <v/>
      </c>
      <c r="AP27" s="5043"/>
      <c r="AQ27" s="5043"/>
      <c r="AR27" s="5043"/>
      <c r="AS27" s="5043"/>
      <c r="AT27" s="5043"/>
      <c r="AU27" s="5043"/>
      <c r="AV27" s="5043"/>
      <c r="AW27" s="5043"/>
      <c r="AX27" s="5043"/>
      <c r="AY27" s="5043"/>
      <c r="AZ27" s="5043"/>
      <c r="BA27" s="5043"/>
      <c r="BB27" s="5043"/>
      <c r="BC27" s="5044"/>
      <c r="BD27" s="1295"/>
      <c r="BE27" s="1289"/>
    </row>
    <row r="28" spans="1:57" ht="12" customHeight="1" x14ac:dyDescent="0.2">
      <c r="A28" s="1289"/>
      <c r="B28" s="693"/>
      <c r="C28" s="5045"/>
      <c r="D28" s="5046"/>
      <c r="E28" s="5046"/>
      <c r="F28" s="5046"/>
      <c r="G28" s="5046"/>
      <c r="H28" s="5046"/>
      <c r="I28" s="5046"/>
      <c r="J28" s="5046"/>
      <c r="K28" s="5046"/>
      <c r="L28" s="5046"/>
      <c r="M28" s="5046"/>
      <c r="N28" s="5046"/>
      <c r="O28" s="5046"/>
      <c r="P28" s="5046"/>
      <c r="Q28" s="5047"/>
      <c r="R28" s="1295"/>
      <c r="S28" s="1289"/>
      <c r="T28" s="1289"/>
      <c r="U28" s="693"/>
      <c r="V28" s="5045"/>
      <c r="W28" s="5046"/>
      <c r="X28" s="5046"/>
      <c r="Y28" s="5046"/>
      <c r="Z28" s="5046"/>
      <c r="AA28" s="5046"/>
      <c r="AB28" s="5046"/>
      <c r="AC28" s="5046"/>
      <c r="AD28" s="5046"/>
      <c r="AE28" s="5046"/>
      <c r="AF28" s="5046"/>
      <c r="AG28" s="5046"/>
      <c r="AH28" s="5046"/>
      <c r="AI28" s="5046"/>
      <c r="AJ28" s="5047"/>
      <c r="AK28" s="1295"/>
      <c r="AL28" s="1289"/>
      <c r="AM28" s="1289"/>
      <c r="AN28" s="693"/>
      <c r="AO28" s="5045"/>
      <c r="AP28" s="5046"/>
      <c r="AQ28" s="5046"/>
      <c r="AR28" s="5046"/>
      <c r="AS28" s="5046"/>
      <c r="AT28" s="5046"/>
      <c r="AU28" s="5046"/>
      <c r="AV28" s="5046"/>
      <c r="AW28" s="5046"/>
      <c r="AX28" s="5046"/>
      <c r="AY28" s="5046"/>
      <c r="AZ28" s="5046"/>
      <c r="BA28" s="5046"/>
      <c r="BB28" s="5046"/>
      <c r="BC28" s="5047"/>
      <c r="BD28" s="1295"/>
      <c r="BE28" s="1289"/>
    </row>
    <row r="29" spans="1:57" ht="12" customHeight="1" x14ac:dyDescent="0.2">
      <c r="A29" s="1289"/>
      <c r="B29" s="693"/>
      <c r="C29" s="5045"/>
      <c r="D29" s="5046"/>
      <c r="E29" s="5046"/>
      <c r="F29" s="5046"/>
      <c r="G29" s="5046"/>
      <c r="H29" s="5046"/>
      <c r="I29" s="5046"/>
      <c r="J29" s="5046"/>
      <c r="K29" s="5046"/>
      <c r="L29" s="5046"/>
      <c r="M29" s="5046"/>
      <c r="N29" s="5046"/>
      <c r="O29" s="5046"/>
      <c r="P29" s="5046"/>
      <c r="Q29" s="5047"/>
      <c r="R29" s="1295"/>
      <c r="S29" s="1289"/>
      <c r="T29" s="1289"/>
      <c r="U29" s="693"/>
      <c r="V29" s="5045"/>
      <c r="W29" s="5046"/>
      <c r="X29" s="5046"/>
      <c r="Y29" s="5046"/>
      <c r="Z29" s="5046"/>
      <c r="AA29" s="5046"/>
      <c r="AB29" s="5046"/>
      <c r="AC29" s="5046"/>
      <c r="AD29" s="5046"/>
      <c r="AE29" s="5046"/>
      <c r="AF29" s="5046"/>
      <c r="AG29" s="5046"/>
      <c r="AH29" s="5046"/>
      <c r="AI29" s="5046"/>
      <c r="AJ29" s="5047"/>
      <c r="AK29" s="1295"/>
      <c r="AL29" s="1289"/>
      <c r="AM29" s="1289"/>
      <c r="AN29" s="693"/>
      <c r="AO29" s="5045"/>
      <c r="AP29" s="5046"/>
      <c r="AQ29" s="5046"/>
      <c r="AR29" s="5046"/>
      <c r="AS29" s="5046"/>
      <c r="AT29" s="5046"/>
      <c r="AU29" s="5046"/>
      <c r="AV29" s="5046"/>
      <c r="AW29" s="5046"/>
      <c r="AX29" s="5046"/>
      <c r="AY29" s="5046"/>
      <c r="AZ29" s="5046"/>
      <c r="BA29" s="5046"/>
      <c r="BB29" s="5046"/>
      <c r="BC29" s="5047"/>
      <c r="BD29" s="1295"/>
      <c r="BE29" s="1289"/>
    </row>
    <row r="30" spans="1:57" ht="12" customHeight="1" thickBot="1" x14ac:dyDescent="0.25">
      <c r="A30" s="1289"/>
      <c r="B30" s="693"/>
      <c r="C30" s="5048"/>
      <c r="D30" s="5049"/>
      <c r="E30" s="5049"/>
      <c r="F30" s="5049"/>
      <c r="G30" s="5049"/>
      <c r="H30" s="5049"/>
      <c r="I30" s="5049"/>
      <c r="J30" s="5049"/>
      <c r="K30" s="5049"/>
      <c r="L30" s="5049"/>
      <c r="M30" s="5049"/>
      <c r="N30" s="5049"/>
      <c r="O30" s="5049"/>
      <c r="P30" s="5049"/>
      <c r="Q30" s="5050"/>
      <c r="R30" s="1295"/>
      <c r="S30" s="1289"/>
      <c r="T30" s="1289"/>
      <c r="U30" s="693"/>
      <c r="V30" s="5048"/>
      <c r="W30" s="5049"/>
      <c r="X30" s="5049"/>
      <c r="Y30" s="5049"/>
      <c r="Z30" s="5049"/>
      <c r="AA30" s="5049"/>
      <c r="AB30" s="5049"/>
      <c r="AC30" s="5049"/>
      <c r="AD30" s="5049"/>
      <c r="AE30" s="5049"/>
      <c r="AF30" s="5049"/>
      <c r="AG30" s="5049"/>
      <c r="AH30" s="5049"/>
      <c r="AI30" s="5049"/>
      <c r="AJ30" s="5050"/>
      <c r="AK30" s="1295"/>
      <c r="AL30" s="1289"/>
      <c r="AM30" s="1289"/>
      <c r="AN30" s="693"/>
      <c r="AO30" s="5048"/>
      <c r="AP30" s="5049"/>
      <c r="AQ30" s="5049"/>
      <c r="AR30" s="5049"/>
      <c r="AS30" s="5049"/>
      <c r="AT30" s="5049"/>
      <c r="AU30" s="5049"/>
      <c r="AV30" s="5049"/>
      <c r="AW30" s="5049"/>
      <c r="AX30" s="5049"/>
      <c r="AY30" s="5049"/>
      <c r="AZ30" s="5049"/>
      <c r="BA30" s="5049"/>
      <c r="BB30" s="5049"/>
      <c r="BC30" s="5050"/>
      <c r="BD30" s="1295"/>
      <c r="BE30" s="1289"/>
    </row>
    <row r="31" spans="1:57" ht="12" customHeight="1" thickBot="1" x14ac:dyDescent="0.25">
      <c r="A31" s="1289"/>
      <c r="B31" s="693"/>
      <c r="C31" s="1323"/>
      <c r="D31" s="1323"/>
      <c r="E31" s="1327"/>
      <c r="F31" s="1327"/>
      <c r="G31" s="1327"/>
      <c r="H31" s="1323"/>
      <c r="I31" s="825"/>
      <c r="J31" s="825"/>
      <c r="K31" s="1323"/>
      <c r="L31" s="1323"/>
      <c r="M31" s="825"/>
      <c r="N31" s="825"/>
      <c r="O31" s="1328"/>
      <c r="P31" s="1328"/>
      <c r="Q31" s="825"/>
      <c r="R31" s="1295"/>
      <c r="S31" s="1289"/>
      <c r="T31" s="1289"/>
      <c r="U31" s="693"/>
      <c r="V31" s="1323"/>
      <c r="W31" s="1323"/>
      <c r="X31" s="1327"/>
      <c r="Y31" s="1327"/>
      <c r="Z31" s="1327"/>
      <c r="AA31" s="1323"/>
      <c r="AB31" s="825"/>
      <c r="AC31" s="825"/>
      <c r="AD31" s="1323"/>
      <c r="AE31" s="1323"/>
      <c r="AF31" s="825"/>
      <c r="AG31" s="825"/>
      <c r="AH31" s="1328"/>
      <c r="AI31" s="1328"/>
      <c r="AJ31" s="825"/>
      <c r="AK31" s="1295"/>
      <c r="AL31" s="1289"/>
      <c r="AM31" s="1289"/>
      <c r="AN31" s="693"/>
      <c r="AO31" s="1323"/>
      <c r="AP31" s="1323"/>
      <c r="AQ31" s="1327"/>
      <c r="AR31" s="1327"/>
      <c r="AS31" s="1327"/>
      <c r="AT31" s="1323"/>
      <c r="AU31" s="825"/>
      <c r="AV31" s="825"/>
      <c r="AW31" s="1323"/>
      <c r="AX31" s="1323"/>
      <c r="AY31" s="825"/>
      <c r="AZ31" s="825"/>
      <c r="BA31" s="1328"/>
      <c r="BB31" s="1328"/>
      <c r="BC31" s="825"/>
      <c r="BD31" s="1295"/>
      <c r="BE31" s="1289"/>
    </row>
    <row r="32" spans="1:57" ht="12" customHeight="1" x14ac:dyDescent="0.2">
      <c r="A32" s="1289"/>
      <c r="B32" s="693"/>
      <c r="C32" s="5015"/>
      <c r="D32" s="5016"/>
      <c r="E32" s="5016"/>
      <c r="F32" s="5016"/>
      <c r="G32" s="5016"/>
      <c r="H32" s="1309" t="s">
        <v>2171</v>
      </c>
      <c r="I32" s="1310" t="str">
        <f>IF(C32=0,"",VLOOKUP(C32,'Tablas Magia'!$D$6:$Z$680,3,FALSE))</f>
        <v/>
      </c>
      <c r="J32" s="5017" t="s">
        <v>8715</v>
      </c>
      <c r="K32" s="5017"/>
      <c r="L32" s="5017"/>
      <c r="M32" s="5018" t="str">
        <f>IF(C32=0,"",VLOOKUP(C32,'Tablas Magia'!$D$6:$Z$680,2,FALSE))</f>
        <v/>
      </c>
      <c r="N32" s="5018"/>
      <c r="O32" s="5018"/>
      <c r="P32" s="5018"/>
      <c r="Q32" s="5019"/>
      <c r="R32" s="1295"/>
      <c r="S32" s="1289"/>
      <c r="T32" s="1289"/>
      <c r="U32" s="693"/>
      <c r="V32" s="5015"/>
      <c r="W32" s="5016"/>
      <c r="X32" s="5016"/>
      <c r="Y32" s="5016"/>
      <c r="Z32" s="5016"/>
      <c r="AA32" s="1309" t="s">
        <v>2171</v>
      </c>
      <c r="AB32" s="1310" t="str">
        <f>IF(V32=0,"",VLOOKUP(V32,'Tablas Magia'!$D$6:$Z$680,3,FALSE))</f>
        <v/>
      </c>
      <c r="AC32" s="5017" t="s">
        <v>8715</v>
      </c>
      <c r="AD32" s="5017"/>
      <c r="AE32" s="5017"/>
      <c r="AF32" s="5018" t="str">
        <f>IF(V32=0,"",VLOOKUP(V32,'Tablas Magia'!$D$6:$Z$680,2,FALSE))</f>
        <v/>
      </c>
      <c r="AG32" s="5018"/>
      <c r="AH32" s="5018"/>
      <c r="AI32" s="5018"/>
      <c r="AJ32" s="5019"/>
      <c r="AK32" s="1295"/>
      <c r="AL32" s="1289"/>
      <c r="AM32" s="1289"/>
      <c r="AN32" s="693"/>
      <c r="AO32" s="5015"/>
      <c r="AP32" s="5016"/>
      <c r="AQ32" s="5016"/>
      <c r="AR32" s="5016"/>
      <c r="AS32" s="5016"/>
      <c r="AT32" s="1309" t="s">
        <v>2171</v>
      </c>
      <c r="AU32" s="1310" t="str">
        <f>IF(AO32=0,"",VLOOKUP(AO32,'Tablas Magia'!$D$6:$Z$680,3,FALSE))</f>
        <v/>
      </c>
      <c r="AV32" s="5017" t="s">
        <v>8715</v>
      </c>
      <c r="AW32" s="5017"/>
      <c r="AX32" s="5017"/>
      <c r="AY32" s="5018" t="str">
        <f>IF(AO32=0,"",VLOOKUP(AO32,'Tablas Magia'!$D$6:$Z$680,2,FALSE))</f>
        <v/>
      </c>
      <c r="AZ32" s="5018"/>
      <c r="BA32" s="5018"/>
      <c r="BB32" s="5018"/>
      <c r="BC32" s="5019"/>
      <c r="BD32" s="1295"/>
      <c r="BE32" s="1289"/>
    </row>
    <row r="33" spans="1:57" ht="12" customHeight="1" x14ac:dyDescent="0.2">
      <c r="A33" s="1289"/>
      <c r="B33" s="693"/>
      <c r="C33" s="5035" t="s">
        <v>8716</v>
      </c>
      <c r="D33" s="5036"/>
      <c r="E33" s="1311" t="s">
        <v>8717</v>
      </c>
      <c r="F33" s="1311" t="s">
        <v>2365</v>
      </c>
      <c r="G33" s="1311" t="s">
        <v>4020</v>
      </c>
      <c r="H33" s="1312" t="s">
        <v>2716</v>
      </c>
      <c r="I33" s="5032" t="str">
        <f>IF(C32=0,"",VLOOKUP(C32,'Tablas Magia'!$D$6:$Z$680,5,FALSE))</f>
        <v/>
      </c>
      <c r="J33" s="5032"/>
      <c r="K33" s="5033" t="s">
        <v>8718</v>
      </c>
      <c r="L33" s="5033"/>
      <c r="M33" s="5032" t="str">
        <f>IF(C32=0,"",VLOOKUP(C32,'Tablas Magia'!$D$6:$Z$680,6,FALSE))</f>
        <v/>
      </c>
      <c r="N33" s="5032"/>
      <c r="O33" s="5034" t="s">
        <v>8719</v>
      </c>
      <c r="P33" s="5034"/>
      <c r="Q33" s="1313" t="str">
        <f>IF(C32=0,"",VLOOKUP(C32,'Tablas Magia'!$D$6:$Z$680,4,FALSE))</f>
        <v/>
      </c>
      <c r="R33" s="1295"/>
      <c r="S33" s="1289"/>
      <c r="T33" s="1289"/>
      <c r="U33" s="693"/>
      <c r="V33" s="5035" t="s">
        <v>8716</v>
      </c>
      <c r="W33" s="5036"/>
      <c r="X33" s="1311" t="s">
        <v>8717</v>
      </c>
      <c r="Y33" s="1311" t="s">
        <v>2365</v>
      </c>
      <c r="Z33" s="1311" t="s">
        <v>4020</v>
      </c>
      <c r="AA33" s="1312" t="s">
        <v>2716</v>
      </c>
      <c r="AB33" s="5032" t="str">
        <f>IF(V32=0,"",VLOOKUP(V32,'Tablas Magia'!$D$6:$Z$680,5,FALSE))</f>
        <v/>
      </c>
      <c r="AC33" s="5032"/>
      <c r="AD33" s="5033" t="s">
        <v>8718</v>
      </c>
      <c r="AE33" s="5033"/>
      <c r="AF33" s="5032" t="str">
        <f>IF(V32=0,"",VLOOKUP(V32,'Tablas Magia'!$D$6:$Z$680,6,FALSE))</f>
        <v/>
      </c>
      <c r="AG33" s="5032"/>
      <c r="AH33" s="5034" t="s">
        <v>8719</v>
      </c>
      <c r="AI33" s="5034"/>
      <c r="AJ33" s="1313" t="str">
        <f>IF(V32=0,"",VLOOKUP(V32,'Tablas Magia'!$D$6:$Z$680,4,FALSE))</f>
        <v/>
      </c>
      <c r="AK33" s="1295"/>
      <c r="AL33" s="1289"/>
      <c r="AM33" s="1289"/>
      <c r="AN33" s="693"/>
      <c r="AO33" s="5035" t="s">
        <v>8716</v>
      </c>
      <c r="AP33" s="5036"/>
      <c r="AQ33" s="1311" t="s">
        <v>8717</v>
      </c>
      <c r="AR33" s="1311" t="s">
        <v>2365</v>
      </c>
      <c r="AS33" s="1311" t="s">
        <v>4020</v>
      </c>
      <c r="AT33" s="1312" t="s">
        <v>2716</v>
      </c>
      <c r="AU33" s="5032" t="str">
        <f>IF(AO32=0,"",VLOOKUP(AO32,'Tablas Magia'!$D$6:$Z$680,5,FALSE))</f>
        <v/>
      </c>
      <c r="AV33" s="5032"/>
      <c r="AW33" s="5033" t="s">
        <v>8718</v>
      </c>
      <c r="AX33" s="5033"/>
      <c r="AY33" s="5032" t="str">
        <f>IF(AO32=0,"",VLOOKUP(AO32,'Tablas Magia'!$D$6:$Z$680,6,FALSE))</f>
        <v/>
      </c>
      <c r="AZ33" s="5032"/>
      <c r="BA33" s="5034" t="s">
        <v>8719</v>
      </c>
      <c r="BB33" s="5034"/>
      <c r="BC33" s="1313" t="str">
        <f>IF(AO32=0,"",VLOOKUP(AO32,'Tablas Magia'!$D$6:$Z$680,4,FALSE))</f>
        <v/>
      </c>
      <c r="BD33" s="1295"/>
      <c r="BE33" s="1289"/>
    </row>
    <row r="34" spans="1:57" ht="12" customHeight="1" x14ac:dyDescent="0.2">
      <c r="A34" s="1289"/>
      <c r="B34" s="693"/>
      <c r="C34" s="5027" t="s">
        <v>2218</v>
      </c>
      <c r="D34" s="5028"/>
      <c r="E34" s="1314" t="str">
        <f>IF(C32=0,"",VLOOKUP(C32,'Tablas Magia'!$D$6:$Z$680,7,FALSE))</f>
        <v/>
      </c>
      <c r="F34" s="1314" t="str">
        <f>IF(C32=0,"",VLOOKUP(C32,'Tablas Magia'!$D$6:$Z$680,11,FALSE))</f>
        <v/>
      </c>
      <c r="G34" s="1315" t="str">
        <f>IF(C32=0,"",VLOOKUP(C32,'Tablas Magia'!$D$6:$Z$680,15,FALSE))</f>
        <v/>
      </c>
      <c r="H34" s="5029" t="str">
        <f>IF(C32=0,"",VLOOKUP(C32,'Tablas Magia'!$D$6:$Z$680,19,FALSE))</f>
        <v/>
      </c>
      <c r="I34" s="5030"/>
      <c r="J34" s="5030"/>
      <c r="K34" s="5030"/>
      <c r="L34" s="5030"/>
      <c r="M34" s="5030"/>
      <c r="N34" s="5030"/>
      <c r="O34" s="5030"/>
      <c r="P34" s="5030"/>
      <c r="Q34" s="5031"/>
      <c r="R34" s="1295"/>
      <c r="S34" s="1289"/>
      <c r="T34" s="1289"/>
      <c r="U34" s="693"/>
      <c r="V34" s="5027" t="s">
        <v>2218</v>
      </c>
      <c r="W34" s="5028"/>
      <c r="X34" s="1314" t="str">
        <f>IF(V32=0,"",VLOOKUP(V32,'Tablas Magia'!$D$6:$Z$680,7,FALSE))</f>
        <v/>
      </c>
      <c r="Y34" s="1314" t="str">
        <f>IF(V32=0,"",VLOOKUP(V32,'Tablas Magia'!$D$6:$Z$680,11,FALSE))</f>
        <v/>
      </c>
      <c r="Z34" s="1315" t="str">
        <f>IF(V32=0,"",VLOOKUP(V32,'Tablas Magia'!$D$6:$Z$680,15,FALSE))</f>
        <v/>
      </c>
      <c r="AA34" s="5029" t="str">
        <f>IF(V32=0,"",VLOOKUP(V32,'Tablas Magia'!$D$6:$Z$680,19,FALSE))</f>
        <v/>
      </c>
      <c r="AB34" s="5030"/>
      <c r="AC34" s="5030"/>
      <c r="AD34" s="5030"/>
      <c r="AE34" s="5030"/>
      <c r="AF34" s="5030"/>
      <c r="AG34" s="5030"/>
      <c r="AH34" s="5030"/>
      <c r="AI34" s="5030"/>
      <c r="AJ34" s="5031"/>
      <c r="AK34" s="1295"/>
      <c r="AL34" s="1289"/>
      <c r="AM34" s="1289"/>
      <c r="AN34" s="693"/>
      <c r="AO34" s="5027" t="s">
        <v>2218</v>
      </c>
      <c r="AP34" s="5028"/>
      <c r="AQ34" s="1314" t="str">
        <f>IF(AO32=0,"",VLOOKUP(AO32,'Tablas Magia'!$D$6:$Z$680,7,FALSE))</f>
        <v/>
      </c>
      <c r="AR34" s="1314" t="str">
        <f>IF(AO32=0,"",VLOOKUP(AO32,'Tablas Magia'!$D$6:$Z$680,11,FALSE))</f>
        <v/>
      </c>
      <c r="AS34" s="1315" t="str">
        <f>IF(AO32=0,"",VLOOKUP(AO32,'Tablas Magia'!$D$6:$Z$680,15,FALSE))</f>
        <v/>
      </c>
      <c r="AT34" s="5029" t="str">
        <f>IF(AO32=0,"",VLOOKUP(AO32,'Tablas Magia'!$D$6:$Z$680,19,FALSE))</f>
        <v/>
      </c>
      <c r="AU34" s="5030"/>
      <c r="AV34" s="5030"/>
      <c r="AW34" s="5030"/>
      <c r="AX34" s="5030"/>
      <c r="AY34" s="5030"/>
      <c r="AZ34" s="5030"/>
      <c r="BA34" s="5030"/>
      <c r="BB34" s="5030"/>
      <c r="BC34" s="5031"/>
      <c r="BD34" s="1295"/>
      <c r="BE34" s="1289"/>
    </row>
    <row r="35" spans="1:57" ht="12" customHeight="1" x14ac:dyDescent="0.2">
      <c r="A35" s="1289"/>
      <c r="B35" s="693"/>
      <c r="C35" s="5022" t="s">
        <v>5258</v>
      </c>
      <c r="D35" s="5023"/>
      <c r="E35" s="1316" t="str">
        <f>IF(C32=0,"",VLOOKUP(C32,'Tablas Magia'!$D$6:$Z$680,8,FALSE))</f>
        <v/>
      </c>
      <c r="F35" s="1316" t="str">
        <f>IF(C32=0,"",VLOOKUP(C32,'Tablas Magia'!$D$6:$Z$680,12,FALSE))</f>
        <v/>
      </c>
      <c r="G35" s="1317" t="str">
        <f>IF(C32=0,"",VLOOKUP(C32,'Tablas Magia'!$D$6:$Z$680,16,FALSE))</f>
        <v/>
      </c>
      <c r="H35" s="5024" t="str">
        <f>IF(C32=0,"",VLOOKUP(C32,'Tablas Magia'!$D$6:$Z$680,20,FALSE))</f>
        <v/>
      </c>
      <c r="I35" s="5025"/>
      <c r="J35" s="5025"/>
      <c r="K35" s="5025"/>
      <c r="L35" s="5025"/>
      <c r="M35" s="5025"/>
      <c r="N35" s="5025"/>
      <c r="O35" s="5025"/>
      <c r="P35" s="5025"/>
      <c r="Q35" s="5026"/>
      <c r="R35" s="1295"/>
      <c r="S35" s="1289"/>
      <c r="T35" s="1289"/>
      <c r="U35" s="693"/>
      <c r="V35" s="5022" t="s">
        <v>5258</v>
      </c>
      <c r="W35" s="5023"/>
      <c r="X35" s="1316" t="str">
        <f>IF(V32=0,"",VLOOKUP(V32,'Tablas Magia'!$D$6:$Z$680,8,FALSE))</f>
        <v/>
      </c>
      <c r="Y35" s="1316" t="str">
        <f>IF(V32=0,"",VLOOKUP(V32,'Tablas Magia'!$D$6:$Z$680,12,FALSE))</f>
        <v/>
      </c>
      <c r="Z35" s="1317" t="str">
        <f>IF(V32=0,"",VLOOKUP(V32,'Tablas Magia'!$D$6:$Z$680,16,FALSE))</f>
        <v/>
      </c>
      <c r="AA35" s="5024" t="str">
        <f>IF(V32=0,"",VLOOKUP(V32,'Tablas Magia'!$D$6:$Z$680,20,FALSE))</f>
        <v/>
      </c>
      <c r="AB35" s="5025"/>
      <c r="AC35" s="5025"/>
      <c r="AD35" s="5025"/>
      <c r="AE35" s="5025"/>
      <c r="AF35" s="5025"/>
      <c r="AG35" s="5025"/>
      <c r="AH35" s="5025"/>
      <c r="AI35" s="5025"/>
      <c r="AJ35" s="5026"/>
      <c r="AK35" s="1295"/>
      <c r="AL35" s="1289"/>
      <c r="AM35" s="1289"/>
      <c r="AN35" s="693"/>
      <c r="AO35" s="5022" t="s">
        <v>5258</v>
      </c>
      <c r="AP35" s="5023"/>
      <c r="AQ35" s="1316" t="str">
        <f>IF(AO32=0,"",VLOOKUP(AO32,'Tablas Magia'!$D$6:$Z$680,8,FALSE))</f>
        <v/>
      </c>
      <c r="AR35" s="1316" t="str">
        <f>IF(AO32=0,"",VLOOKUP(AO32,'Tablas Magia'!$D$6:$Z$680,12,FALSE))</f>
        <v/>
      </c>
      <c r="AS35" s="1317" t="str">
        <f>IF(AO32=0,"",VLOOKUP(AO32,'Tablas Magia'!$D$6:$Z$680,16,FALSE))</f>
        <v/>
      </c>
      <c r="AT35" s="5024" t="str">
        <f>IF(AO32=0,"",VLOOKUP(AO32,'Tablas Magia'!$D$6:$Z$680,20,FALSE))</f>
        <v/>
      </c>
      <c r="AU35" s="5025"/>
      <c r="AV35" s="5025"/>
      <c r="AW35" s="5025"/>
      <c r="AX35" s="5025"/>
      <c r="AY35" s="5025"/>
      <c r="AZ35" s="5025"/>
      <c r="BA35" s="5025"/>
      <c r="BB35" s="5025"/>
      <c r="BC35" s="5026"/>
      <c r="BD35" s="1295"/>
      <c r="BE35" s="1289"/>
    </row>
    <row r="36" spans="1:57" ht="12" customHeight="1" x14ac:dyDescent="0.2">
      <c r="A36" s="1289"/>
      <c r="B36" s="693"/>
      <c r="C36" s="5027" t="s">
        <v>5259</v>
      </c>
      <c r="D36" s="5028"/>
      <c r="E36" s="1314" t="str">
        <f>IF(C32=0,"",VLOOKUP(C32,'Tablas Magia'!$D$6:$Z$680,9,FALSE))</f>
        <v/>
      </c>
      <c r="F36" s="1314" t="str">
        <f>IF(C32=0,"",VLOOKUP(C32,'Tablas Magia'!$D$6:$Z$680,13,FALSE))</f>
        <v/>
      </c>
      <c r="G36" s="1315" t="str">
        <f>IF(C32=0,"",VLOOKUP(C32,'Tablas Magia'!$D$6:$Z$680,17,FALSE))</f>
        <v/>
      </c>
      <c r="H36" s="5029" t="str">
        <f>IF(C32=0,"",VLOOKUP(C32,'Tablas Magia'!$D$6:$Z$680,21,FALSE))</f>
        <v/>
      </c>
      <c r="I36" s="5030"/>
      <c r="J36" s="5030"/>
      <c r="K36" s="5030"/>
      <c r="L36" s="5030"/>
      <c r="M36" s="5030"/>
      <c r="N36" s="5030"/>
      <c r="O36" s="5030"/>
      <c r="P36" s="5030"/>
      <c r="Q36" s="5031"/>
      <c r="R36" s="1295"/>
      <c r="S36" s="1289"/>
      <c r="T36" s="1289"/>
      <c r="U36" s="693"/>
      <c r="V36" s="5027" t="s">
        <v>5259</v>
      </c>
      <c r="W36" s="5028"/>
      <c r="X36" s="1314" t="str">
        <f>IF(V32=0,"",VLOOKUP(V32,'Tablas Magia'!$D$6:$Z$680,9,FALSE))</f>
        <v/>
      </c>
      <c r="Y36" s="1314" t="str">
        <f>IF(V32=0,"",VLOOKUP(V32,'Tablas Magia'!$D$6:$Z$680,13,FALSE))</f>
        <v/>
      </c>
      <c r="Z36" s="1315" t="str">
        <f>IF(V32=0,"",VLOOKUP(V32,'Tablas Magia'!$D$6:$Z$680,17,FALSE))</f>
        <v/>
      </c>
      <c r="AA36" s="5029" t="str">
        <f>IF(V32=0,"",VLOOKUP(V32,'Tablas Magia'!$D$6:$Z$680,21,FALSE))</f>
        <v/>
      </c>
      <c r="AB36" s="5030"/>
      <c r="AC36" s="5030"/>
      <c r="AD36" s="5030"/>
      <c r="AE36" s="5030"/>
      <c r="AF36" s="5030"/>
      <c r="AG36" s="5030"/>
      <c r="AH36" s="5030"/>
      <c r="AI36" s="5030"/>
      <c r="AJ36" s="5031"/>
      <c r="AK36" s="1295"/>
      <c r="AL36" s="1289"/>
      <c r="AM36" s="1289"/>
      <c r="AN36" s="693"/>
      <c r="AO36" s="5027" t="s">
        <v>5259</v>
      </c>
      <c r="AP36" s="5028"/>
      <c r="AQ36" s="1314" t="str">
        <f>IF(AO32=0,"",VLOOKUP(AO32,'Tablas Magia'!$D$6:$Z$680,9,FALSE))</f>
        <v/>
      </c>
      <c r="AR36" s="1314" t="str">
        <f>IF(AO32=0,"",VLOOKUP(AO32,'Tablas Magia'!$D$6:$Z$680,13,FALSE))</f>
        <v/>
      </c>
      <c r="AS36" s="1315" t="str">
        <f>IF(AO32=0,"",VLOOKUP(AO32,'Tablas Magia'!$D$6:$Z$680,17,FALSE))</f>
        <v/>
      </c>
      <c r="AT36" s="5029" t="str">
        <f>IF(AO32=0,"",VLOOKUP(AO32,'Tablas Magia'!$D$6:$Z$680,21,FALSE))</f>
        <v/>
      </c>
      <c r="AU36" s="5030"/>
      <c r="AV36" s="5030"/>
      <c r="AW36" s="5030"/>
      <c r="AX36" s="5030"/>
      <c r="AY36" s="5030"/>
      <c r="AZ36" s="5030"/>
      <c r="BA36" s="5030"/>
      <c r="BB36" s="5030"/>
      <c r="BC36" s="5031"/>
      <c r="BD36" s="1295"/>
      <c r="BE36" s="1289"/>
    </row>
    <row r="37" spans="1:57" ht="12" customHeight="1" thickBot="1" x14ac:dyDescent="0.25">
      <c r="A37" s="1289"/>
      <c r="B37" s="693"/>
      <c r="C37" s="5037" t="s">
        <v>5260</v>
      </c>
      <c r="D37" s="5038"/>
      <c r="E37" s="1318" t="str">
        <f>IF(C32=0,"",VLOOKUP(C32,'Tablas Magia'!$D$6:$Z$680,10,FALSE))</f>
        <v/>
      </c>
      <c r="F37" s="1318" t="str">
        <f>IF(C32=0,"",VLOOKUP(C32,'Tablas Magia'!$D$6:$Z$680,14,FALSE))</f>
        <v/>
      </c>
      <c r="G37" s="1319" t="str">
        <f>IF(C32=0,"",VLOOKUP(C32,'Tablas Magia'!$D$6:$Z$680,18,FALSE))</f>
        <v/>
      </c>
      <c r="H37" s="5039" t="str">
        <f>IF(C32=0,"",VLOOKUP(C32,'Tablas Magia'!$D$6:$Z$680,22,FALSE))</f>
        <v/>
      </c>
      <c r="I37" s="5040"/>
      <c r="J37" s="5040"/>
      <c r="K37" s="5040"/>
      <c r="L37" s="5040"/>
      <c r="M37" s="5040"/>
      <c r="N37" s="5040"/>
      <c r="O37" s="5040"/>
      <c r="P37" s="5040"/>
      <c r="Q37" s="5041"/>
      <c r="R37" s="1295"/>
      <c r="S37" s="1289"/>
      <c r="T37" s="1289"/>
      <c r="U37" s="693"/>
      <c r="V37" s="5037" t="s">
        <v>5260</v>
      </c>
      <c r="W37" s="5038"/>
      <c r="X37" s="1318" t="str">
        <f>IF(V32=0,"",VLOOKUP(V32,'Tablas Magia'!$D$6:$Z$680,10,FALSE))</f>
        <v/>
      </c>
      <c r="Y37" s="1318" t="str">
        <f>IF(V32=0,"",VLOOKUP(V32,'Tablas Magia'!$D$6:$Z$680,14,FALSE))</f>
        <v/>
      </c>
      <c r="Z37" s="1319" t="str">
        <f>IF(V32=0,"",VLOOKUP(V32,'Tablas Magia'!$D$6:$Z$680,18,FALSE))</f>
        <v/>
      </c>
      <c r="AA37" s="5039" t="str">
        <f>IF(V32=0,"",VLOOKUP(V32,'Tablas Magia'!$D$6:$Z$680,22,FALSE))</f>
        <v/>
      </c>
      <c r="AB37" s="5040"/>
      <c r="AC37" s="5040"/>
      <c r="AD37" s="5040"/>
      <c r="AE37" s="5040"/>
      <c r="AF37" s="5040"/>
      <c r="AG37" s="5040"/>
      <c r="AH37" s="5040"/>
      <c r="AI37" s="5040"/>
      <c r="AJ37" s="5041"/>
      <c r="AK37" s="1295"/>
      <c r="AL37" s="1289"/>
      <c r="AM37" s="1289"/>
      <c r="AN37" s="693"/>
      <c r="AO37" s="5037" t="s">
        <v>5260</v>
      </c>
      <c r="AP37" s="5038"/>
      <c r="AQ37" s="1318" t="str">
        <f>IF(AO32=0,"",VLOOKUP(AO32,'Tablas Magia'!$D$6:$Z$680,10,FALSE))</f>
        <v/>
      </c>
      <c r="AR37" s="1318" t="str">
        <f>IF(AO32=0,"",VLOOKUP(AO32,'Tablas Magia'!$D$6:$Z$680,14,FALSE))</f>
        <v/>
      </c>
      <c r="AS37" s="1319" t="str">
        <f>IF(AO32=0,"",VLOOKUP(AO32,'Tablas Magia'!$D$6:$Z$680,18,FALSE))</f>
        <v/>
      </c>
      <c r="AT37" s="5039" t="str">
        <f>IF(AO32=0,"",VLOOKUP(AO32,'Tablas Magia'!$D$6:$Z$680,22,FALSE))</f>
        <v/>
      </c>
      <c r="AU37" s="5040"/>
      <c r="AV37" s="5040"/>
      <c r="AW37" s="5040"/>
      <c r="AX37" s="5040"/>
      <c r="AY37" s="5040"/>
      <c r="AZ37" s="5040"/>
      <c r="BA37" s="5040"/>
      <c r="BB37" s="5040"/>
      <c r="BC37" s="5041"/>
      <c r="BD37" s="1295"/>
      <c r="BE37" s="1289"/>
    </row>
    <row r="38" spans="1:57" ht="12" customHeight="1" x14ac:dyDescent="0.2">
      <c r="A38" s="1289"/>
      <c r="B38" s="693"/>
      <c r="C38" s="5042" t="str">
        <f>IF(C32=0,"",VLOOKUP(C32,'Tablas Magia'!$D$6:$Z$680,23,FALSE))</f>
        <v/>
      </c>
      <c r="D38" s="5043"/>
      <c r="E38" s="5043"/>
      <c r="F38" s="5043"/>
      <c r="G38" s="5043"/>
      <c r="H38" s="5043"/>
      <c r="I38" s="5043"/>
      <c r="J38" s="5043"/>
      <c r="K38" s="5043"/>
      <c r="L38" s="5043"/>
      <c r="M38" s="5043"/>
      <c r="N38" s="5043"/>
      <c r="O38" s="5043"/>
      <c r="P38" s="5043"/>
      <c r="Q38" s="5044"/>
      <c r="R38" s="1295"/>
      <c r="S38" s="1289"/>
      <c r="T38" s="1289"/>
      <c r="U38" s="693"/>
      <c r="V38" s="5042" t="str">
        <f>IF(V32=0,"",VLOOKUP(V32,'Tablas Magia'!$D$6:$Z$680,23,FALSE))</f>
        <v/>
      </c>
      <c r="W38" s="5043"/>
      <c r="X38" s="5043"/>
      <c r="Y38" s="5043"/>
      <c r="Z38" s="5043"/>
      <c r="AA38" s="5043"/>
      <c r="AB38" s="5043"/>
      <c r="AC38" s="5043"/>
      <c r="AD38" s="5043"/>
      <c r="AE38" s="5043"/>
      <c r="AF38" s="5043"/>
      <c r="AG38" s="5043"/>
      <c r="AH38" s="5043"/>
      <c r="AI38" s="5043"/>
      <c r="AJ38" s="5044"/>
      <c r="AK38" s="1295"/>
      <c r="AL38" s="1289"/>
      <c r="AM38" s="1289"/>
      <c r="AN38" s="693"/>
      <c r="AO38" s="5042" t="str">
        <f>IF(AO32=0,"",VLOOKUP(AO32,'Tablas Magia'!$D$6:$Z$680,23,FALSE))</f>
        <v/>
      </c>
      <c r="AP38" s="5043"/>
      <c r="AQ38" s="5043"/>
      <c r="AR38" s="5043"/>
      <c r="AS38" s="5043"/>
      <c r="AT38" s="5043"/>
      <c r="AU38" s="5043"/>
      <c r="AV38" s="5043"/>
      <c r="AW38" s="5043"/>
      <c r="AX38" s="5043"/>
      <c r="AY38" s="5043"/>
      <c r="AZ38" s="5043"/>
      <c r="BA38" s="5043"/>
      <c r="BB38" s="5043"/>
      <c r="BC38" s="5044"/>
      <c r="BD38" s="1295"/>
      <c r="BE38" s="1289"/>
    </row>
    <row r="39" spans="1:57" ht="12" customHeight="1" x14ac:dyDescent="0.2">
      <c r="A39" s="1289"/>
      <c r="B39" s="693"/>
      <c r="C39" s="5045"/>
      <c r="D39" s="5046"/>
      <c r="E39" s="5046"/>
      <c r="F39" s="5046"/>
      <c r="G39" s="5046"/>
      <c r="H39" s="5046"/>
      <c r="I39" s="5046"/>
      <c r="J39" s="5046"/>
      <c r="K39" s="5046"/>
      <c r="L39" s="5046"/>
      <c r="M39" s="5046"/>
      <c r="N39" s="5046"/>
      <c r="O39" s="5046"/>
      <c r="P39" s="5046"/>
      <c r="Q39" s="5047"/>
      <c r="R39" s="1295"/>
      <c r="S39" s="1289"/>
      <c r="T39" s="1289"/>
      <c r="U39" s="693"/>
      <c r="V39" s="5045"/>
      <c r="W39" s="5046"/>
      <c r="X39" s="5046"/>
      <c r="Y39" s="5046"/>
      <c r="Z39" s="5046"/>
      <c r="AA39" s="5046"/>
      <c r="AB39" s="5046"/>
      <c r="AC39" s="5046"/>
      <c r="AD39" s="5046"/>
      <c r="AE39" s="5046"/>
      <c r="AF39" s="5046"/>
      <c r="AG39" s="5046"/>
      <c r="AH39" s="5046"/>
      <c r="AI39" s="5046"/>
      <c r="AJ39" s="5047"/>
      <c r="AK39" s="1295"/>
      <c r="AL39" s="1289"/>
      <c r="AM39" s="1289"/>
      <c r="AN39" s="693"/>
      <c r="AO39" s="5045"/>
      <c r="AP39" s="5046"/>
      <c r="AQ39" s="5046"/>
      <c r="AR39" s="5046"/>
      <c r="AS39" s="5046"/>
      <c r="AT39" s="5046"/>
      <c r="AU39" s="5046"/>
      <c r="AV39" s="5046"/>
      <c r="AW39" s="5046"/>
      <c r="AX39" s="5046"/>
      <c r="AY39" s="5046"/>
      <c r="AZ39" s="5046"/>
      <c r="BA39" s="5046"/>
      <c r="BB39" s="5046"/>
      <c r="BC39" s="5047"/>
      <c r="BD39" s="1295"/>
      <c r="BE39" s="1289"/>
    </row>
    <row r="40" spans="1:57" ht="12" customHeight="1" x14ac:dyDescent="0.2">
      <c r="A40" s="1289"/>
      <c r="B40" s="693"/>
      <c r="C40" s="5045"/>
      <c r="D40" s="5046"/>
      <c r="E40" s="5046"/>
      <c r="F40" s="5046"/>
      <c r="G40" s="5046"/>
      <c r="H40" s="5046"/>
      <c r="I40" s="5046"/>
      <c r="J40" s="5046"/>
      <c r="K40" s="5046"/>
      <c r="L40" s="5046"/>
      <c r="M40" s="5046"/>
      <c r="N40" s="5046"/>
      <c r="O40" s="5046"/>
      <c r="P40" s="5046"/>
      <c r="Q40" s="5047"/>
      <c r="R40" s="1295"/>
      <c r="S40" s="1289"/>
      <c r="T40" s="1289"/>
      <c r="U40" s="693"/>
      <c r="V40" s="5045"/>
      <c r="W40" s="5046"/>
      <c r="X40" s="5046"/>
      <c r="Y40" s="5046"/>
      <c r="Z40" s="5046"/>
      <c r="AA40" s="5046"/>
      <c r="AB40" s="5046"/>
      <c r="AC40" s="5046"/>
      <c r="AD40" s="5046"/>
      <c r="AE40" s="5046"/>
      <c r="AF40" s="5046"/>
      <c r="AG40" s="5046"/>
      <c r="AH40" s="5046"/>
      <c r="AI40" s="5046"/>
      <c r="AJ40" s="5047"/>
      <c r="AK40" s="1295"/>
      <c r="AL40" s="1289"/>
      <c r="AM40" s="1289"/>
      <c r="AN40" s="693"/>
      <c r="AO40" s="5045"/>
      <c r="AP40" s="5046"/>
      <c r="AQ40" s="5046"/>
      <c r="AR40" s="5046"/>
      <c r="AS40" s="5046"/>
      <c r="AT40" s="5046"/>
      <c r="AU40" s="5046"/>
      <c r="AV40" s="5046"/>
      <c r="AW40" s="5046"/>
      <c r="AX40" s="5046"/>
      <c r="AY40" s="5046"/>
      <c r="AZ40" s="5046"/>
      <c r="BA40" s="5046"/>
      <c r="BB40" s="5046"/>
      <c r="BC40" s="5047"/>
      <c r="BD40" s="1295"/>
      <c r="BE40" s="1289"/>
    </row>
    <row r="41" spans="1:57" ht="12" customHeight="1" thickBot="1" x14ac:dyDescent="0.25">
      <c r="A41" s="1289"/>
      <c r="B41" s="693"/>
      <c r="C41" s="5048"/>
      <c r="D41" s="5049"/>
      <c r="E41" s="5049"/>
      <c r="F41" s="5049"/>
      <c r="G41" s="5049"/>
      <c r="H41" s="5049"/>
      <c r="I41" s="5049"/>
      <c r="J41" s="5049"/>
      <c r="K41" s="5049"/>
      <c r="L41" s="5049"/>
      <c r="M41" s="5049"/>
      <c r="N41" s="5049"/>
      <c r="O41" s="5049"/>
      <c r="P41" s="5049"/>
      <c r="Q41" s="5050"/>
      <c r="R41" s="1295"/>
      <c r="S41" s="1289"/>
      <c r="T41" s="1289"/>
      <c r="U41" s="693"/>
      <c r="V41" s="5048"/>
      <c r="W41" s="5049"/>
      <c r="X41" s="5049"/>
      <c r="Y41" s="5049"/>
      <c r="Z41" s="5049"/>
      <c r="AA41" s="5049"/>
      <c r="AB41" s="5049"/>
      <c r="AC41" s="5049"/>
      <c r="AD41" s="5049"/>
      <c r="AE41" s="5049"/>
      <c r="AF41" s="5049"/>
      <c r="AG41" s="5049"/>
      <c r="AH41" s="5049"/>
      <c r="AI41" s="5049"/>
      <c r="AJ41" s="5050"/>
      <c r="AK41" s="1295"/>
      <c r="AL41" s="1289"/>
      <c r="AM41" s="1289"/>
      <c r="AN41" s="693"/>
      <c r="AO41" s="5048"/>
      <c r="AP41" s="5049"/>
      <c r="AQ41" s="5049"/>
      <c r="AR41" s="5049"/>
      <c r="AS41" s="5049"/>
      <c r="AT41" s="5049"/>
      <c r="AU41" s="5049"/>
      <c r="AV41" s="5049"/>
      <c r="AW41" s="5049"/>
      <c r="AX41" s="5049"/>
      <c r="AY41" s="5049"/>
      <c r="AZ41" s="5049"/>
      <c r="BA41" s="5049"/>
      <c r="BB41" s="5049"/>
      <c r="BC41" s="5050"/>
      <c r="BD41" s="1295"/>
      <c r="BE41" s="1289"/>
    </row>
    <row r="42" spans="1:57" ht="12" customHeight="1" thickBot="1" x14ac:dyDescent="0.25">
      <c r="A42" s="1289"/>
      <c r="B42" s="693"/>
      <c r="C42" s="1330"/>
      <c r="D42" s="1330"/>
      <c r="E42" s="1331"/>
      <c r="F42" s="1331"/>
      <c r="G42" s="1331"/>
      <c r="H42" s="1331"/>
      <c r="I42" s="1331"/>
      <c r="J42" s="1331"/>
      <c r="K42" s="1331"/>
      <c r="L42" s="1331"/>
      <c r="M42" s="1331"/>
      <c r="N42" s="1331"/>
      <c r="O42" s="1331"/>
      <c r="P42" s="1331"/>
      <c r="Q42" s="1331"/>
      <c r="R42" s="1295"/>
      <c r="S42" s="1289"/>
      <c r="T42" s="1289"/>
      <c r="U42" s="693"/>
      <c r="V42" s="1330"/>
      <c r="W42" s="1330"/>
      <c r="X42" s="1331"/>
      <c r="Y42" s="1331"/>
      <c r="Z42" s="1331"/>
      <c r="AA42" s="1331"/>
      <c r="AB42" s="1331"/>
      <c r="AC42" s="1331"/>
      <c r="AD42" s="1331"/>
      <c r="AE42" s="1331"/>
      <c r="AF42" s="1331"/>
      <c r="AG42" s="1331"/>
      <c r="AH42" s="1331"/>
      <c r="AI42" s="1331"/>
      <c r="AJ42" s="1331"/>
      <c r="AK42" s="1295"/>
      <c r="AL42" s="1289"/>
      <c r="AM42" s="1289"/>
      <c r="AN42" s="693"/>
      <c r="AO42" s="1330"/>
      <c r="AP42" s="1330"/>
      <c r="AQ42" s="1331"/>
      <c r="AR42" s="1331"/>
      <c r="AS42" s="1331"/>
      <c r="AT42" s="1331"/>
      <c r="AU42" s="1331"/>
      <c r="AV42" s="1331"/>
      <c r="AW42" s="1331"/>
      <c r="AX42" s="1331"/>
      <c r="AY42" s="1331"/>
      <c r="AZ42" s="1331"/>
      <c r="BA42" s="1331"/>
      <c r="BB42" s="1331"/>
      <c r="BC42" s="1331"/>
      <c r="BD42" s="1295"/>
      <c r="BE42" s="1289"/>
    </row>
    <row r="43" spans="1:57" ht="12" customHeight="1" x14ac:dyDescent="0.2">
      <c r="A43" s="1289"/>
      <c r="B43" s="693"/>
      <c r="C43" s="5015"/>
      <c r="D43" s="5016"/>
      <c r="E43" s="5016"/>
      <c r="F43" s="5016"/>
      <c r="G43" s="5016"/>
      <c r="H43" s="1309" t="s">
        <v>2171</v>
      </c>
      <c r="I43" s="1310" t="str">
        <f>IF(C43=0,"",VLOOKUP(C43,'Tablas Magia'!$D$6:$Z$680,3,FALSE))</f>
        <v/>
      </c>
      <c r="J43" s="5017" t="s">
        <v>8715</v>
      </c>
      <c r="K43" s="5017"/>
      <c r="L43" s="5017"/>
      <c r="M43" s="5018" t="str">
        <f>IF(C43=0,"",VLOOKUP(C43,'Tablas Magia'!$D$6:$Z$680,2,FALSE))</f>
        <v/>
      </c>
      <c r="N43" s="5018"/>
      <c r="O43" s="5018"/>
      <c r="P43" s="5018"/>
      <c r="Q43" s="5019"/>
      <c r="R43" s="1295"/>
      <c r="S43" s="1289"/>
      <c r="T43" s="1289"/>
      <c r="U43" s="693"/>
      <c r="V43" s="5015"/>
      <c r="W43" s="5016"/>
      <c r="X43" s="5016"/>
      <c r="Y43" s="5016"/>
      <c r="Z43" s="5016"/>
      <c r="AA43" s="1309" t="s">
        <v>2171</v>
      </c>
      <c r="AB43" s="1310" t="str">
        <f>IF(V43=0,"",VLOOKUP(V43,'Tablas Magia'!$D$6:$Z$680,3,FALSE))</f>
        <v/>
      </c>
      <c r="AC43" s="5017" t="s">
        <v>8715</v>
      </c>
      <c r="AD43" s="5017"/>
      <c r="AE43" s="5017"/>
      <c r="AF43" s="5018" t="str">
        <f>IF(V43=0,"",VLOOKUP(V43,'Tablas Magia'!$D$6:$Z$680,2,FALSE))</f>
        <v/>
      </c>
      <c r="AG43" s="5018"/>
      <c r="AH43" s="5018"/>
      <c r="AI43" s="5018"/>
      <c r="AJ43" s="5019"/>
      <c r="AK43" s="1295"/>
      <c r="AL43" s="1289"/>
      <c r="AM43" s="1289"/>
      <c r="AN43" s="693"/>
      <c r="AO43" s="5015"/>
      <c r="AP43" s="5016"/>
      <c r="AQ43" s="5016"/>
      <c r="AR43" s="5016"/>
      <c r="AS43" s="5016"/>
      <c r="AT43" s="1309" t="s">
        <v>2171</v>
      </c>
      <c r="AU43" s="1310" t="str">
        <f>IF(AO43=0,"",VLOOKUP(AO43,'Tablas Magia'!$D$6:$Z$680,3,FALSE))</f>
        <v/>
      </c>
      <c r="AV43" s="5017" t="s">
        <v>8715</v>
      </c>
      <c r="AW43" s="5017"/>
      <c r="AX43" s="5017"/>
      <c r="AY43" s="5018" t="str">
        <f>IF(AO43=0,"",VLOOKUP(AO43,'Tablas Magia'!$D$6:$Z$680,2,FALSE))</f>
        <v/>
      </c>
      <c r="AZ43" s="5018"/>
      <c r="BA43" s="5018"/>
      <c r="BB43" s="5018"/>
      <c r="BC43" s="5019"/>
      <c r="BD43" s="1295"/>
      <c r="BE43" s="1289"/>
    </row>
    <row r="44" spans="1:57" ht="12" customHeight="1" x14ac:dyDescent="0.2">
      <c r="A44" s="1289"/>
      <c r="B44" s="693"/>
      <c r="C44" s="5035" t="s">
        <v>8716</v>
      </c>
      <c r="D44" s="5036"/>
      <c r="E44" s="1311" t="s">
        <v>8717</v>
      </c>
      <c r="F44" s="1311" t="s">
        <v>2365</v>
      </c>
      <c r="G44" s="1311" t="s">
        <v>4020</v>
      </c>
      <c r="H44" s="1312" t="s">
        <v>2716</v>
      </c>
      <c r="I44" s="5032" t="str">
        <f>IF(C43=0,"",VLOOKUP(C43,'Tablas Magia'!$D$6:$Z$680,5,FALSE))</f>
        <v/>
      </c>
      <c r="J44" s="5032"/>
      <c r="K44" s="5033" t="s">
        <v>8718</v>
      </c>
      <c r="L44" s="5033"/>
      <c r="M44" s="5032" t="str">
        <f>IF(C43=0,"",VLOOKUP(C43,'Tablas Magia'!$D$6:$Z$680,6,FALSE))</f>
        <v/>
      </c>
      <c r="N44" s="5032"/>
      <c r="O44" s="5034" t="s">
        <v>8719</v>
      </c>
      <c r="P44" s="5034"/>
      <c r="Q44" s="1313" t="str">
        <f>IF(C43=0,"",VLOOKUP(C43,'Tablas Magia'!$D$6:$Z$680,4,FALSE))</f>
        <v/>
      </c>
      <c r="R44" s="1295"/>
      <c r="S44" s="1289"/>
      <c r="T44" s="1289"/>
      <c r="U44" s="693"/>
      <c r="V44" s="5035" t="s">
        <v>8716</v>
      </c>
      <c r="W44" s="5036"/>
      <c r="X44" s="1311" t="s">
        <v>8717</v>
      </c>
      <c r="Y44" s="1311" t="s">
        <v>2365</v>
      </c>
      <c r="Z44" s="1311" t="s">
        <v>4020</v>
      </c>
      <c r="AA44" s="1312" t="s">
        <v>2716</v>
      </c>
      <c r="AB44" s="5032" t="str">
        <f>IF(V43=0,"",VLOOKUP(V43,'Tablas Magia'!$D$6:$Z$680,5,FALSE))</f>
        <v/>
      </c>
      <c r="AC44" s="5032"/>
      <c r="AD44" s="5033" t="s">
        <v>8718</v>
      </c>
      <c r="AE44" s="5033"/>
      <c r="AF44" s="5032" t="str">
        <f>IF(V43=0,"",VLOOKUP(V43,'Tablas Magia'!$D$6:$Z$680,6,FALSE))</f>
        <v/>
      </c>
      <c r="AG44" s="5032"/>
      <c r="AH44" s="5034" t="s">
        <v>8719</v>
      </c>
      <c r="AI44" s="5034"/>
      <c r="AJ44" s="1313" t="str">
        <f>IF(V43=0,"",VLOOKUP(V43,'Tablas Magia'!$D$6:$Z$680,4,FALSE))</f>
        <v/>
      </c>
      <c r="AK44" s="1295"/>
      <c r="AL44" s="1289"/>
      <c r="AM44" s="1289"/>
      <c r="AN44" s="693"/>
      <c r="AO44" s="5035" t="s">
        <v>8716</v>
      </c>
      <c r="AP44" s="5036"/>
      <c r="AQ44" s="1311" t="s">
        <v>8717</v>
      </c>
      <c r="AR44" s="1311" t="s">
        <v>2365</v>
      </c>
      <c r="AS44" s="1311" t="s">
        <v>4020</v>
      </c>
      <c r="AT44" s="1312" t="s">
        <v>2716</v>
      </c>
      <c r="AU44" s="5032" t="str">
        <f>IF(AO43=0,"",VLOOKUP(AO43,'Tablas Magia'!$D$6:$Z$680,5,FALSE))</f>
        <v/>
      </c>
      <c r="AV44" s="5032"/>
      <c r="AW44" s="5033" t="s">
        <v>8718</v>
      </c>
      <c r="AX44" s="5033"/>
      <c r="AY44" s="5032" t="str">
        <f>IF(AO43=0,"",VLOOKUP(AO43,'Tablas Magia'!$D$6:$Z$680,6,FALSE))</f>
        <v/>
      </c>
      <c r="AZ44" s="5032"/>
      <c r="BA44" s="5034" t="s">
        <v>8719</v>
      </c>
      <c r="BB44" s="5034"/>
      <c r="BC44" s="1313" t="str">
        <f>IF(AO43=0,"",VLOOKUP(AO43,'Tablas Magia'!$D$6:$Z$680,4,FALSE))</f>
        <v/>
      </c>
      <c r="BD44" s="1295"/>
      <c r="BE44" s="1289"/>
    </row>
    <row r="45" spans="1:57" ht="12" customHeight="1" x14ac:dyDescent="0.2">
      <c r="A45" s="1289"/>
      <c r="B45" s="693"/>
      <c r="C45" s="5027" t="s">
        <v>2218</v>
      </c>
      <c r="D45" s="5028"/>
      <c r="E45" s="1314" t="str">
        <f>IF(C43=0,"",VLOOKUP(C43,'Tablas Magia'!$D$6:$Z$680,7,FALSE))</f>
        <v/>
      </c>
      <c r="F45" s="1314" t="str">
        <f>IF(C43=0,"",VLOOKUP(C43,'Tablas Magia'!$D$6:$Z$680,11,FALSE))</f>
        <v/>
      </c>
      <c r="G45" s="1315" t="str">
        <f>IF(C43=0,"",VLOOKUP(C43,'Tablas Magia'!$D$6:$Z$680,15,FALSE))</f>
        <v/>
      </c>
      <c r="H45" s="5029" t="str">
        <f>IF(C43=0,"",VLOOKUP(C43,'Tablas Magia'!$D$6:$Z$680,19,FALSE))</f>
        <v/>
      </c>
      <c r="I45" s="5030"/>
      <c r="J45" s="5030"/>
      <c r="K45" s="5030"/>
      <c r="L45" s="5030"/>
      <c r="M45" s="5030"/>
      <c r="N45" s="5030"/>
      <c r="O45" s="5030"/>
      <c r="P45" s="5030"/>
      <c r="Q45" s="5031"/>
      <c r="R45" s="1295"/>
      <c r="S45" s="1289"/>
      <c r="T45" s="1289"/>
      <c r="U45" s="693"/>
      <c r="V45" s="5027" t="s">
        <v>2218</v>
      </c>
      <c r="W45" s="5028"/>
      <c r="X45" s="1314" t="str">
        <f>IF(V43=0,"",VLOOKUP(V43,'Tablas Magia'!$D$6:$Z$680,7,FALSE))</f>
        <v/>
      </c>
      <c r="Y45" s="1314" t="str">
        <f>IF(V43=0,"",VLOOKUP(V43,'Tablas Magia'!$D$6:$Z$680,11,FALSE))</f>
        <v/>
      </c>
      <c r="Z45" s="1315" t="str">
        <f>IF(V43=0,"",VLOOKUP(V43,'Tablas Magia'!$D$6:$Z$680,15,FALSE))</f>
        <v/>
      </c>
      <c r="AA45" s="5029" t="str">
        <f>IF(V43=0,"",VLOOKUP(V43,'Tablas Magia'!$D$6:$Z$680,19,FALSE))</f>
        <v/>
      </c>
      <c r="AB45" s="5030"/>
      <c r="AC45" s="5030"/>
      <c r="AD45" s="5030"/>
      <c r="AE45" s="5030"/>
      <c r="AF45" s="5030"/>
      <c r="AG45" s="5030"/>
      <c r="AH45" s="5030"/>
      <c r="AI45" s="5030"/>
      <c r="AJ45" s="5031"/>
      <c r="AK45" s="1295"/>
      <c r="AL45" s="1289"/>
      <c r="AM45" s="1289"/>
      <c r="AN45" s="693"/>
      <c r="AO45" s="5027" t="s">
        <v>2218</v>
      </c>
      <c r="AP45" s="5028"/>
      <c r="AQ45" s="1314" t="str">
        <f>IF(AO43=0,"",VLOOKUP(AO43,'Tablas Magia'!$D$6:$Z$680,7,FALSE))</f>
        <v/>
      </c>
      <c r="AR45" s="1314" t="str">
        <f>IF(AO43=0,"",VLOOKUP(AO43,'Tablas Magia'!$D$6:$Z$680,11,FALSE))</f>
        <v/>
      </c>
      <c r="AS45" s="1315" t="str">
        <f>IF(AO43=0,"",VLOOKUP(AO43,'Tablas Magia'!$D$6:$Z$680,15,FALSE))</f>
        <v/>
      </c>
      <c r="AT45" s="5029" t="str">
        <f>IF(AO43=0,"",VLOOKUP(AO43,'Tablas Magia'!$D$6:$Z$680,19,FALSE))</f>
        <v/>
      </c>
      <c r="AU45" s="5030"/>
      <c r="AV45" s="5030"/>
      <c r="AW45" s="5030"/>
      <c r="AX45" s="5030"/>
      <c r="AY45" s="5030"/>
      <c r="AZ45" s="5030"/>
      <c r="BA45" s="5030"/>
      <c r="BB45" s="5030"/>
      <c r="BC45" s="5031"/>
      <c r="BD45" s="1295"/>
      <c r="BE45" s="1289"/>
    </row>
    <row r="46" spans="1:57" ht="12" customHeight="1" x14ac:dyDescent="0.2">
      <c r="A46" s="1289"/>
      <c r="B46" s="693"/>
      <c r="C46" s="5022" t="s">
        <v>5258</v>
      </c>
      <c r="D46" s="5023"/>
      <c r="E46" s="1316" t="str">
        <f>IF(C43=0,"",VLOOKUP(C43,'Tablas Magia'!$D$6:$Z$680,8,FALSE))</f>
        <v/>
      </c>
      <c r="F46" s="1316" t="str">
        <f>IF(C43=0,"",VLOOKUP(C43,'Tablas Magia'!$D$6:$Z$680,12,FALSE))</f>
        <v/>
      </c>
      <c r="G46" s="1317" t="str">
        <f>IF(C43=0,"",VLOOKUP(C43,'Tablas Magia'!$D$6:$Z$680,16,FALSE))</f>
        <v/>
      </c>
      <c r="H46" s="5024" t="str">
        <f>IF(C43=0,"",VLOOKUP(C43,'Tablas Magia'!$D$6:$Z$680,20,FALSE))</f>
        <v/>
      </c>
      <c r="I46" s="5025"/>
      <c r="J46" s="5025"/>
      <c r="K46" s="5025"/>
      <c r="L46" s="5025"/>
      <c r="M46" s="5025"/>
      <c r="N46" s="5025"/>
      <c r="O46" s="5025"/>
      <c r="P46" s="5025"/>
      <c r="Q46" s="5026"/>
      <c r="R46" s="1295"/>
      <c r="S46" s="1289"/>
      <c r="T46" s="1289"/>
      <c r="U46" s="693"/>
      <c r="V46" s="5022" t="s">
        <v>5258</v>
      </c>
      <c r="W46" s="5023"/>
      <c r="X46" s="1316" t="str">
        <f>IF(V43=0,"",VLOOKUP(V43,'Tablas Magia'!$D$6:$Z$680,8,FALSE))</f>
        <v/>
      </c>
      <c r="Y46" s="1316" t="str">
        <f>IF(V43=0,"",VLOOKUP(V43,'Tablas Magia'!$D$6:$Z$680,12,FALSE))</f>
        <v/>
      </c>
      <c r="Z46" s="1317" t="str">
        <f>IF(V43=0,"",VLOOKUP(V43,'Tablas Magia'!$D$6:$Z$680,16,FALSE))</f>
        <v/>
      </c>
      <c r="AA46" s="5024" t="str">
        <f>IF(V43=0,"",VLOOKUP(V43,'Tablas Magia'!$D$6:$Z$680,20,FALSE))</f>
        <v/>
      </c>
      <c r="AB46" s="5025"/>
      <c r="AC46" s="5025"/>
      <c r="AD46" s="5025"/>
      <c r="AE46" s="5025"/>
      <c r="AF46" s="5025"/>
      <c r="AG46" s="5025"/>
      <c r="AH46" s="5025"/>
      <c r="AI46" s="5025"/>
      <c r="AJ46" s="5026"/>
      <c r="AK46" s="1295"/>
      <c r="AL46" s="1289"/>
      <c r="AM46" s="1289"/>
      <c r="AN46" s="693"/>
      <c r="AO46" s="5022" t="s">
        <v>5258</v>
      </c>
      <c r="AP46" s="5023"/>
      <c r="AQ46" s="1316" t="str">
        <f>IF(AO43=0,"",VLOOKUP(AO43,'Tablas Magia'!$D$6:$Z$680,8,FALSE))</f>
        <v/>
      </c>
      <c r="AR46" s="1316" t="str">
        <f>IF(AO43=0,"",VLOOKUP(AO43,'Tablas Magia'!$D$6:$Z$680,12,FALSE))</f>
        <v/>
      </c>
      <c r="AS46" s="1317" t="str">
        <f>IF(AO43=0,"",VLOOKUP(AO43,'Tablas Magia'!$D$6:$Z$680,16,FALSE))</f>
        <v/>
      </c>
      <c r="AT46" s="5024" t="str">
        <f>IF(AO43=0,"",VLOOKUP(AO43,'Tablas Magia'!$D$6:$Z$680,20,FALSE))</f>
        <v/>
      </c>
      <c r="AU46" s="5025"/>
      <c r="AV46" s="5025"/>
      <c r="AW46" s="5025"/>
      <c r="AX46" s="5025"/>
      <c r="AY46" s="5025"/>
      <c r="AZ46" s="5025"/>
      <c r="BA46" s="5025"/>
      <c r="BB46" s="5025"/>
      <c r="BC46" s="5026"/>
      <c r="BD46" s="1295"/>
      <c r="BE46" s="1289"/>
    </row>
    <row r="47" spans="1:57" ht="12" customHeight="1" x14ac:dyDescent="0.2">
      <c r="A47" s="1289"/>
      <c r="B47" s="693"/>
      <c r="C47" s="5027" t="s">
        <v>5259</v>
      </c>
      <c r="D47" s="5028"/>
      <c r="E47" s="1314" t="str">
        <f>IF(C43=0,"",VLOOKUP(C43,'Tablas Magia'!$D$6:$Z$680,9,FALSE))</f>
        <v/>
      </c>
      <c r="F47" s="1314" t="str">
        <f>IF(C43=0,"",VLOOKUP(C43,'Tablas Magia'!$D$6:$Z$680,13,FALSE))</f>
        <v/>
      </c>
      <c r="G47" s="1315" t="str">
        <f>IF(C43=0,"",VLOOKUP(C43,'Tablas Magia'!$D$6:$Z$680,17,FALSE))</f>
        <v/>
      </c>
      <c r="H47" s="5029" t="str">
        <f>IF(C43=0,"",VLOOKUP(C43,'Tablas Magia'!$D$6:$Z$680,21,FALSE))</f>
        <v/>
      </c>
      <c r="I47" s="5030"/>
      <c r="J47" s="5030"/>
      <c r="K47" s="5030"/>
      <c r="L47" s="5030"/>
      <c r="M47" s="5030"/>
      <c r="N47" s="5030"/>
      <c r="O47" s="5030"/>
      <c r="P47" s="5030"/>
      <c r="Q47" s="5031"/>
      <c r="R47" s="1295"/>
      <c r="S47" s="1289"/>
      <c r="T47" s="1289"/>
      <c r="U47" s="693"/>
      <c r="V47" s="5027" t="s">
        <v>5259</v>
      </c>
      <c r="W47" s="5028"/>
      <c r="X47" s="1314" t="str">
        <f>IF(V43=0,"",VLOOKUP(V43,'Tablas Magia'!$D$6:$Z$680,9,FALSE))</f>
        <v/>
      </c>
      <c r="Y47" s="1314" t="str">
        <f>IF(V43=0,"",VLOOKUP(V43,'Tablas Magia'!$D$6:$Z$680,13,FALSE))</f>
        <v/>
      </c>
      <c r="Z47" s="1315" t="str">
        <f>IF(V43=0,"",VLOOKUP(V43,'Tablas Magia'!$D$6:$Z$680,17,FALSE))</f>
        <v/>
      </c>
      <c r="AA47" s="5029" t="str">
        <f>IF(V43=0,"",VLOOKUP(V43,'Tablas Magia'!$D$6:$Z$680,21,FALSE))</f>
        <v/>
      </c>
      <c r="AB47" s="5030"/>
      <c r="AC47" s="5030"/>
      <c r="AD47" s="5030"/>
      <c r="AE47" s="5030"/>
      <c r="AF47" s="5030"/>
      <c r="AG47" s="5030"/>
      <c r="AH47" s="5030"/>
      <c r="AI47" s="5030"/>
      <c r="AJ47" s="5031"/>
      <c r="AK47" s="1295"/>
      <c r="AL47" s="1289"/>
      <c r="AM47" s="1289"/>
      <c r="AN47" s="693"/>
      <c r="AO47" s="5027" t="s">
        <v>5259</v>
      </c>
      <c r="AP47" s="5028"/>
      <c r="AQ47" s="1314" t="str">
        <f>IF(AO43=0,"",VLOOKUP(AO43,'Tablas Magia'!$D$6:$Z$680,9,FALSE))</f>
        <v/>
      </c>
      <c r="AR47" s="1314" t="str">
        <f>IF(AO43=0,"",VLOOKUP(AO43,'Tablas Magia'!$D$6:$Z$680,13,FALSE))</f>
        <v/>
      </c>
      <c r="AS47" s="1315" t="str">
        <f>IF(AO43=0,"",VLOOKUP(AO43,'Tablas Magia'!$D$6:$Z$680,17,FALSE))</f>
        <v/>
      </c>
      <c r="AT47" s="5029" t="str">
        <f>IF(AO43=0,"",VLOOKUP(AO43,'Tablas Magia'!$D$6:$Z$680,21,FALSE))</f>
        <v/>
      </c>
      <c r="AU47" s="5030"/>
      <c r="AV47" s="5030"/>
      <c r="AW47" s="5030"/>
      <c r="AX47" s="5030"/>
      <c r="AY47" s="5030"/>
      <c r="AZ47" s="5030"/>
      <c r="BA47" s="5030"/>
      <c r="BB47" s="5030"/>
      <c r="BC47" s="5031"/>
      <c r="BD47" s="1295"/>
      <c r="BE47" s="1289"/>
    </row>
    <row r="48" spans="1:57" ht="12" customHeight="1" thickBot="1" x14ac:dyDescent="0.25">
      <c r="A48" s="1289"/>
      <c r="B48" s="693"/>
      <c r="C48" s="5037" t="s">
        <v>5260</v>
      </c>
      <c r="D48" s="5038"/>
      <c r="E48" s="1318" t="str">
        <f>IF(C43=0,"",VLOOKUP(C43,'Tablas Magia'!$D$6:$Z$680,10,FALSE))</f>
        <v/>
      </c>
      <c r="F48" s="1318" t="str">
        <f>IF(C43=0,"",VLOOKUP(C43,'Tablas Magia'!$D$6:$Z$680,14,FALSE))</f>
        <v/>
      </c>
      <c r="G48" s="1319" t="str">
        <f>IF(C43=0,"",VLOOKUP(C43,'Tablas Magia'!$D$6:$Z$680,18,FALSE))</f>
        <v/>
      </c>
      <c r="H48" s="5039" t="str">
        <f>IF(C43=0,"",VLOOKUP(C43,'Tablas Magia'!$D$6:$Z$680,22,FALSE))</f>
        <v/>
      </c>
      <c r="I48" s="5040"/>
      <c r="J48" s="5040"/>
      <c r="K48" s="5040"/>
      <c r="L48" s="5040"/>
      <c r="M48" s="5040"/>
      <c r="N48" s="5040"/>
      <c r="O48" s="5040"/>
      <c r="P48" s="5040"/>
      <c r="Q48" s="5041"/>
      <c r="R48" s="1295"/>
      <c r="S48" s="1289"/>
      <c r="T48" s="1289"/>
      <c r="U48" s="693"/>
      <c r="V48" s="5037" t="s">
        <v>5260</v>
      </c>
      <c r="W48" s="5038"/>
      <c r="X48" s="1318" t="str">
        <f>IF(V43=0,"",VLOOKUP(V43,'Tablas Magia'!$D$6:$Z$680,10,FALSE))</f>
        <v/>
      </c>
      <c r="Y48" s="1318" t="str">
        <f>IF(V43=0,"",VLOOKUP(V43,'Tablas Magia'!$D$6:$Z$680,14,FALSE))</f>
        <v/>
      </c>
      <c r="Z48" s="1319" t="str">
        <f>IF(V43=0,"",VLOOKUP(V43,'Tablas Magia'!$D$6:$Z$680,18,FALSE))</f>
        <v/>
      </c>
      <c r="AA48" s="5039" t="str">
        <f>IF(V43=0,"",VLOOKUP(V43,'Tablas Magia'!$D$6:$Z$680,22,FALSE))</f>
        <v/>
      </c>
      <c r="AB48" s="5040"/>
      <c r="AC48" s="5040"/>
      <c r="AD48" s="5040"/>
      <c r="AE48" s="5040"/>
      <c r="AF48" s="5040"/>
      <c r="AG48" s="5040"/>
      <c r="AH48" s="5040"/>
      <c r="AI48" s="5040"/>
      <c r="AJ48" s="5041"/>
      <c r="AK48" s="1295"/>
      <c r="AL48" s="1289"/>
      <c r="AM48" s="1289"/>
      <c r="AN48" s="693"/>
      <c r="AO48" s="5037" t="s">
        <v>5260</v>
      </c>
      <c r="AP48" s="5038"/>
      <c r="AQ48" s="1318" t="str">
        <f>IF(AO43=0,"",VLOOKUP(AO43,'Tablas Magia'!$D$6:$Z$680,10,FALSE))</f>
        <v/>
      </c>
      <c r="AR48" s="1318" t="str">
        <f>IF(AO43=0,"",VLOOKUP(AO43,'Tablas Magia'!$D$6:$Z$680,14,FALSE))</f>
        <v/>
      </c>
      <c r="AS48" s="1319" t="str">
        <f>IF(AO43=0,"",VLOOKUP(AO43,'Tablas Magia'!$D$6:$Z$680,18,FALSE))</f>
        <v/>
      </c>
      <c r="AT48" s="5039" t="str">
        <f>IF(AO43=0,"",VLOOKUP(AO43,'Tablas Magia'!$D$6:$Z$680,22,FALSE))</f>
        <v/>
      </c>
      <c r="AU48" s="5040"/>
      <c r="AV48" s="5040"/>
      <c r="AW48" s="5040"/>
      <c r="AX48" s="5040"/>
      <c r="AY48" s="5040"/>
      <c r="AZ48" s="5040"/>
      <c r="BA48" s="5040"/>
      <c r="BB48" s="5040"/>
      <c r="BC48" s="5041"/>
      <c r="BD48" s="1295"/>
      <c r="BE48" s="1289"/>
    </row>
    <row r="49" spans="1:57" ht="12" customHeight="1" x14ac:dyDescent="0.2">
      <c r="A49" s="1289"/>
      <c r="B49" s="693"/>
      <c r="C49" s="5042" t="str">
        <f>IF(C43=0,"",VLOOKUP(C43,'Tablas Magia'!$D$6:$Z$680,23,FALSE))</f>
        <v/>
      </c>
      <c r="D49" s="5043"/>
      <c r="E49" s="5043"/>
      <c r="F49" s="5043"/>
      <c r="G49" s="5043"/>
      <c r="H49" s="5043"/>
      <c r="I49" s="5043"/>
      <c r="J49" s="5043"/>
      <c r="K49" s="5043"/>
      <c r="L49" s="5043"/>
      <c r="M49" s="5043"/>
      <c r="N49" s="5043"/>
      <c r="O49" s="5043"/>
      <c r="P49" s="5043"/>
      <c r="Q49" s="5044"/>
      <c r="R49" s="1295"/>
      <c r="S49" s="1289"/>
      <c r="T49" s="1289"/>
      <c r="U49" s="693"/>
      <c r="V49" s="5042" t="str">
        <f>IF(V43=0,"",VLOOKUP(V43,'Tablas Magia'!$D$6:$Z$680,23,FALSE))</f>
        <v/>
      </c>
      <c r="W49" s="5043"/>
      <c r="X49" s="5043"/>
      <c r="Y49" s="5043"/>
      <c r="Z49" s="5043"/>
      <c r="AA49" s="5043"/>
      <c r="AB49" s="5043"/>
      <c r="AC49" s="5043"/>
      <c r="AD49" s="5043"/>
      <c r="AE49" s="5043"/>
      <c r="AF49" s="5043"/>
      <c r="AG49" s="5043"/>
      <c r="AH49" s="5043"/>
      <c r="AI49" s="5043"/>
      <c r="AJ49" s="5044"/>
      <c r="AK49" s="1295"/>
      <c r="AL49" s="1289"/>
      <c r="AM49" s="1289"/>
      <c r="AN49" s="693"/>
      <c r="AO49" s="5042" t="str">
        <f>IF(AO43=0,"",VLOOKUP(AO43,'Tablas Magia'!$D$6:$Z$680,23,FALSE))</f>
        <v/>
      </c>
      <c r="AP49" s="5043"/>
      <c r="AQ49" s="5043"/>
      <c r="AR49" s="5043"/>
      <c r="AS49" s="5043"/>
      <c r="AT49" s="5043"/>
      <c r="AU49" s="5043"/>
      <c r="AV49" s="5043"/>
      <c r="AW49" s="5043"/>
      <c r="AX49" s="5043"/>
      <c r="AY49" s="5043"/>
      <c r="AZ49" s="5043"/>
      <c r="BA49" s="5043"/>
      <c r="BB49" s="5043"/>
      <c r="BC49" s="5044"/>
      <c r="BD49" s="1295"/>
      <c r="BE49" s="1289"/>
    </row>
    <row r="50" spans="1:57" ht="12" customHeight="1" x14ac:dyDescent="0.2">
      <c r="A50" s="1289"/>
      <c r="B50" s="693"/>
      <c r="C50" s="5045"/>
      <c r="D50" s="5046"/>
      <c r="E50" s="5046"/>
      <c r="F50" s="5046"/>
      <c r="G50" s="5046"/>
      <c r="H50" s="5046"/>
      <c r="I50" s="5046"/>
      <c r="J50" s="5046"/>
      <c r="K50" s="5046"/>
      <c r="L50" s="5046"/>
      <c r="M50" s="5046"/>
      <c r="N50" s="5046"/>
      <c r="O50" s="5046"/>
      <c r="P50" s="5046"/>
      <c r="Q50" s="5047"/>
      <c r="R50" s="1295"/>
      <c r="S50" s="1289"/>
      <c r="T50" s="1289"/>
      <c r="U50" s="693"/>
      <c r="V50" s="5045"/>
      <c r="W50" s="5046"/>
      <c r="X50" s="5046"/>
      <c r="Y50" s="5046"/>
      <c r="Z50" s="5046"/>
      <c r="AA50" s="5046"/>
      <c r="AB50" s="5046"/>
      <c r="AC50" s="5046"/>
      <c r="AD50" s="5046"/>
      <c r="AE50" s="5046"/>
      <c r="AF50" s="5046"/>
      <c r="AG50" s="5046"/>
      <c r="AH50" s="5046"/>
      <c r="AI50" s="5046"/>
      <c r="AJ50" s="5047"/>
      <c r="AK50" s="1295"/>
      <c r="AL50" s="1289"/>
      <c r="AM50" s="1289"/>
      <c r="AN50" s="693"/>
      <c r="AO50" s="5045"/>
      <c r="AP50" s="5046"/>
      <c r="AQ50" s="5046"/>
      <c r="AR50" s="5046"/>
      <c r="AS50" s="5046"/>
      <c r="AT50" s="5046"/>
      <c r="AU50" s="5046"/>
      <c r="AV50" s="5046"/>
      <c r="AW50" s="5046"/>
      <c r="AX50" s="5046"/>
      <c r="AY50" s="5046"/>
      <c r="AZ50" s="5046"/>
      <c r="BA50" s="5046"/>
      <c r="BB50" s="5046"/>
      <c r="BC50" s="5047"/>
      <c r="BD50" s="1295"/>
      <c r="BE50" s="1289"/>
    </row>
    <row r="51" spans="1:57" ht="12" customHeight="1" x14ac:dyDescent="0.2">
      <c r="A51" s="1289"/>
      <c r="B51" s="693"/>
      <c r="C51" s="5045"/>
      <c r="D51" s="5046"/>
      <c r="E51" s="5046"/>
      <c r="F51" s="5046"/>
      <c r="G51" s="5046"/>
      <c r="H51" s="5046"/>
      <c r="I51" s="5046"/>
      <c r="J51" s="5046"/>
      <c r="K51" s="5046"/>
      <c r="L51" s="5046"/>
      <c r="M51" s="5046"/>
      <c r="N51" s="5046"/>
      <c r="O51" s="5046"/>
      <c r="P51" s="5046"/>
      <c r="Q51" s="5047"/>
      <c r="R51" s="1295"/>
      <c r="S51" s="1289"/>
      <c r="T51" s="1289"/>
      <c r="U51" s="693"/>
      <c r="V51" s="5045"/>
      <c r="W51" s="5046"/>
      <c r="X51" s="5046"/>
      <c r="Y51" s="5046"/>
      <c r="Z51" s="5046"/>
      <c r="AA51" s="5046"/>
      <c r="AB51" s="5046"/>
      <c r="AC51" s="5046"/>
      <c r="AD51" s="5046"/>
      <c r="AE51" s="5046"/>
      <c r="AF51" s="5046"/>
      <c r="AG51" s="5046"/>
      <c r="AH51" s="5046"/>
      <c r="AI51" s="5046"/>
      <c r="AJ51" s="5047"/>
      <c r="AK51" s="1295"/>
      <c r="AL51" s="1289"/>
      <c r="AM51" s="1289"/>
      <c r="AN51" s="693"/>
      <c r="AO51" s="5045"/>
      <c r="AP51" s="5046"/>
      <c r="AQ51" s="5046"/>
      <c r="AR51" s="5046"/>
      <c r="AS51" s="5046"/>
      <c r="AT51" s="5046"/>
      <c r="AU51" s="5046"/>
      <c r="AV51" s="5046"/>
      <c r="AW51" s="5046"/>
      <c r="AX51" s="5046"/>
      <c r="AY51" s="5046"/>
      <c r="AZ51" s="5046"/>
      <c r="BA51" s="5046"/>
      <c r="BB51" s="5046"/>
      <c r="BC51" s="5047"/>
      <c r="BD51" s="1295"/>
      <c r="BE51" s="1289"/>
    </row>
    <row r="52" spans="1:57" ht="12" customHeight="1" thickBot="1" x14ac:dyDescent="0.25">
      <c r="A52" s="1289"/>
      <c r="B52" s="693"/>
      <c r="C52" s="5048"/>
      <c r="D52" s="5049"/>
      <c r="E52" s="5049"/>
      <c r="F52" s="5049"/>
      <c r="G52" s="5049"/>
      <c r="H52" s="5049"/>
      <c r="I52" s="5049"/>
      <c r="J52" s="5049"/>
      <c r="K52" s="5049"/>
      <c r="L52" s="5049"/>
      <c r="M52" s="5049"/>
      <c r="N52" s="5049"/>
      <c r="O52" s="5049"/>
      <c r="P52" s="5049"/>
      <c r="Q52" s="5050"/>
      <c r="R52" s="1295"/>
      <c r="S52" s="1289"/>
      <c r="T52" s="1289"/>
      <c r="U52" s="693"/>
      <c r="V52" s="5048"/>
      <c r="W52" s="5049"/>
      <c r="X52" s="5049"/>
      <c r="Y52" s="5049"/>
      <c r="Z52" s="5049"/>
      <c r="AA52" s="5049"/>
      <c r="AB52" s="5049"/>
      <c r="AC52" s="5049"/>
      <c r="AD52" s="5049"/>
      <c r="AE52" s="5049"/>
      <c r="AF52" s="5049"/>
      <c r="AG52" s="5049"/>
      <c r="AH52" s="5049"/>
      <c r="AI52" s="5049"/>
      <c r="AJ52" s="5050"/>
      <c r="AK52" s="1295"/>
      <c r="AL52" s="1289"/>
      <c r="AM52" s="1289"/>
      <c r="AN52" s="693"/>
      <c r="AO52" s="5048"/>
      <c r="AP52" s="5049"/>
      <c r="AQ52" s="5049"/>
      <c r="AR52" s="5049"/>
      <c r="AS52" s="5049"/>
      <c r="AT52" s="5049"/>
      <c r="AU52" s="5049"/>
      <c r="AV52" s="5049"/>
      <c r="AW52" s="5049"/>
      <c r="AX52" s="5049"/>
      <c r="AY52" s="5049"/>
      <c r="AZ52" s="5049"/>
      <c r="BA52" s="5049"/>
      <c r="BB52" s="5049"/>
      <c r="BC52" s="5050"/>
      <c r="BD52" s="1295"/>
      <c r="BE52" s="1289"/>
    </row>
    <row r="53" spans="1:57" ht="12" customHeight="1" thickBot="1" x14ac:dyDescent="0.25">
      <c r="A53" s="1289"/>
      <c r="B53" s="693"/>
      <c r="C53" s="1330"/>
      <c r="D53" s="1330"/>
      <c r="E53" s="1316"/>
      <c r="F53" s="1316"/>
      <c r="G53" s="1316"/>
      <c r="H53" s="1331"/>
      <c r="I53" s="1331"/>
      <c r="J53" s="1331"/>
      <c r="K53" s="1331"/>
      <c r="L53" s="1331"/>
      <c r="M53" s="1331"/>
      <c r="N53" s="1331"/>
      <c r="O53" s="1331"/>
      <c r="P53" s="1331"/>
      <c r="Q53" s="1331"/>
      <c r="R53" s="1295"/>
      <c r="S53" s="1289"/>
      <c r="T53" s="1289"/>
      <c r="U53" s="693"/>
      <c r="V53" s="1330"/>
      <c r="W53" s="1330"/>
      <c r="X53" s="1316"/>
      <c r="Y53" s="1316"/>
      <c r="Z53" s="1316"/>
      <c r="AA53" s="1331"/>
      <c r="AB53" s="1331"/>
      <c r="AC53" s="1331"/>
      <c r="AD53" s="1331"/>
      <c r="AE53" s="1331"/>
      <c r="AF53" s="1331"/>
      <c r="AG53" s="1331"/>
      <c r="AH53" s="1331"/>
      <c r="AI53" s="1331"/>
      <c r="AJ53" s="1331"/>
      <c r="AK53" s="1295"/>
      <c r="AL53" s="1289"/>
      <c r="AM53" s="1289"/>
      <c r="AN53" s="693"/>
      <c r="AO53" s="1330"/>
      <c r="AP53" s="1330"/>
      <c r="AQ53" s="1316"/>
      <c r="AR53" s="1316"/>
      <c r="AS53" s="1316"/>
      <c r="AT53" s="1331"/>
      <c r="AU53" s="1331"/>
      <c r="AV53" s="1331"/>
      <c r="AW53" s="1331"/>
      <c r="AX53" s="1331"/>
      <c r="AY53" s="1331"/>
      <c r="AZ53" s="1331"/>
      <c r="BA53" s="1331"/>
      <c r="BB53" s="1331"/>
      <c r="BC53" s="1331"/>
      <c r="BD53" s="1295"/>
      <c r="BE53" s="1289"/>
    </row>
    <row r="54" spans="1:57" ht="12" customHeight="1" x14ac:dyDescent="0.2">
      <c r="A54" s="1289"/>
      <c r="B54" s="693"/>
      <c r="C54" s="5015"/>
      <c r="D54" s="5016"/>
      <c r="E54" s="5016"/>
      <c r="F54" s="5016"/>
      <c r="G54" s="5016"/>
      <c r="H54" s="1309" t="s">
        <v>2171</v>
      </c>
      <c r="I54" s="1310" t="str">
        <f>IF(C54=0,"",VLOOKUP(C54,'Tablas Magia'!$D$6:$Z$680,3,FALSE))</f>
        <v/>
      </c>
      <c r="J54" s="5017" t="s">
        <v>8715</v>
      </c>
      <c r="K54" s="5017"/>
      <c r="L54" s="5017"/>
      <c r="M54" s="5018" t="str">
        <f>IF(C54=0,"",VLOOKUP(C54,'Tablas Magia'!$D$6:$Z$680,2,FALSE))</f>
        <v/>
      </c>
      <c r="N54" s="5018"/>
      <c r="O54" s="5018"/>
      <c r="P54" s="5018"/>
      <c r="Q54" s="5019"/>
      <c r="R54" s="1295"/>
      <c r="S54" s="1289"/>
      <c r="T54" s="1289"/>
      <c r="U54" s="693"/>
      <c r="V54" s="5015"/>
      <c r="W54" s="5016"/>
      <c r="X54" s="5016"/>
      <c r="Y54" s="5016"/>
      <c r="Z54" s="5016"/>
      <c r="AA54" s="1309" t="s">
        <v>2171</v>
      </c>
      <c r="AB54" s="1310" t="str">
        <f>IF(V54=0,"",VLOOKUP(V54,'Tablas Magia'!$D$6:$Z$680,3,FALSE))</f>
        <v/>
      </c>
      <c r="AC54" s="5017" t="s">
        <v>8715</v>
      </c>
      <c r="AD54" s="5017"/>
      <c r="AE54" s="5017"/>
      <c r="AF54" s="5018" t="str">
        <f>IF(V54=0,"",VLOOKUP(V54,'Tablas Magia'!$D$6:$Z$680,2,FALSE))</f>
        <v/>
      </c>
      <c r="AG54" s="5018"/>
      <c r="AH54" s="5018"/>
      <c r="AI54" s="5018"/>
      <c r="AJ54" s="5019"/>
      <c r="AK54" s="1295"/>
      <c r="AL54" s="1289"/>
      <c r="AM54" s="1289"/>
      <c r="AN54" s="693"/>
      <c r="AO54" s="5015"/>
      <c r="AP54" s="5016"/>
      <c r="AQ54" s="5016"/>
      <c r="AR54" s="5016"/>
      <c r="AS54" s="5016"/>
      <c r="AT54" s="1309" t="s">
        <v>2171</v>
      </c>
      <c r="AU54" s="1310" t="str">
        <f>IF(AO54=0,"",VLOOKUP(AO54,'Tablas Magia'!$D$6:$Z$680,3,FALSE))</f>
        <v/>
      </c>
      <c r="AV54" s="5017" t="s">
        <v>8715</v>
      </c>
      <c r="AW54" s="5017"/>
      <c r="AX54" s="5017"/>
      <c r="AY54" s="5018" t="str">
        <f>IF(AO54=0,"",VLOOKUP(AO54,'Tablas Magia'!$D$6:$Z$680,2,FALSE))</f>
        <v/>
      </c>
      <c r="AZ54" s="5018"/>
      <c r="BA54" s="5018"/>
      <c r="BB54" s="5018"/>
      <c r="BC54" s="5019"/>
      <c r="BD54" s="1295"/>
      <c r="BE54" s="1289"/>
    </row>
    <row r="55" spans="1:57" ht="12" customHeight="1" x14ac:dyDescent="0.2">
      <c r="A55" s="1289"/>
      <c r="B55" s="693"/>
      <c r="C55" s="5035" t="s">
        <v>8716</v>
      </c>
      <c r="D55" s="5036"/>
      <c r="E55" s="1311" t="s">
        <v>8717</v>
      </c>
      <c r="F55" s="1311" t="s">
        <v>2365</v>
      </c>
      <c r="G55" s="1311" t="s">
        <v>4020</v>
      </c>
      <c r="H55" s="1312" t="s">
        <v>2716</v>
      </c>
      <c r="I55" s="5032" t="str">
        <f>IF(C54=0,"",VLOOKUP(C54,'Tablas Magia'!$D$6:$Z$680,5,FALSE))</f>
        <v/>
      </c>
      <c r="J55" s="5032"/>
      <c r="K55" s="5033" t="s">
        <v>8718</v>
      </c>
      <c r="L55" s="5033"/>
      <c r="M55" s="5032" t="str">
        <f>IF(C54=0,"",VLOOKUP(C54,'Tablas Magia'!$D$6:$Z$680,6,FALSE))</f>
        <v/>
      </c>
      <c r="N55" s="5032"/>
      <c r="O55" s="5034" t="s">
        <v>8719</v>
      </c>
      <c r="P55" s="5034"/>
      <c r="Q55" s="1313" t="str">
        <f>IF(C54=0,"",VLOOKUP(C54,'Tablas Magia'!$D$6:$Z$680,4,FALSE))</f>
        <v/>
      </c>
      <c r="R55" s="1295"/>
      <c r="S55" s="1289"/>
      <c r="T55" s="1289"/>
      <c r="U55" s="693"/>
      <c r="V55" s="5035" t="s">
        <v>8716</v>
      </c>
      <c r="W55" s="5036"/>
      <c r="X55" s="1311" t="s">
        <v>8717</v>
      </c>
      <c r="Y55" s="1311" t="s">
        <v>2365</v>
      </c>
      <c r="Z55" s="1311" t="s">
        <v>4020</v>
      </c>
      <c r="AA55" s="1312" t="s">
        <v>2716</v>
      </c>
      <c r="AB55" s="5032" t="str">
        <f>IF(V54=0,"",VLOOKUP(V54,'Tablas Magia'!$D$6:$Z$680,5,FALSE))</f>
        <v/>
      </c>
      <c r="AC55" s="5032"/>
      <c r="AD55" s="5033" t="s">
        <v>8718</v>
      </c>
      <c r="AE55" s="5033"/>
      <c r="AF55" s="5032" t="str">
        <f>IF(V54=0,"",VLOOKUP(V54,'Tablas Magia'!$D$6:$Z$680,6,FALSE))</f>
        <v/>
      </c>
      <c r="AG55" s="5032"/>
      <c r="AH55" s="5034" t="s">
        <v>8719</v>
      </c>
      <c r="AI55" s="5034"/>
      <c r="AJ55" s="1313" t="str">
        <f>IF(V54=0,"",VLOOKUP(V54,'Tablas Magia'!$D$6:$Z$680,4,FALSE))</f>
        <v/>
      </c>
      <c r="AK55" s="1295"/>
      <c r="AL55" s="1289"/>
      <c r="AM55" s="1289"/>
      <c r="AN55" s="693"/>
      <c r="AO55" s="5035" t="s">
        <v>8716</v>
      </c>
      <c r="AP55" s="5036"/>
      <c r="AQ55" s="1311" t="s">
        <v>8717</v>
      </c>
      <c r="AR55" s="1311" t="s">
        <v>2365</v>
      </c>
      <c r="AS55" s="1311" t="s">
        <v>4020</v>
      </c>
      <c r="AT55" s="1312" t="s">
        <v>2716</v>
      </c>
      <c r="AU55" s="5032" t="str">
        <f>IF(AO54=0,"",VLOOKUP(AO54,'Tablas Magia'!$D$6:$Z$680,5,FALSE))</f>
        <v/>
      </c>
      <c r="AV55" s="5032"/>
      <c r="AW55" s="5033" t="s">
        <v>8718</v>
      </c>
      <c r="AX55" s="5033"/>
      <c r="AY55" s="5032" t="str">
        <f>IF(AO54=0,"",VLOOKUP(AO54,'Tablas Magia'!$D$6:$Z$680,6,FALSE))</f>
        <v/>
      </c>
      <c r="AZ55" s="5032"/>
      <c r="BA55" s="5034" t="s">
        <v>8719</v>
      </c>
      <c r="BB55" s="5034"/>
      <c r="BC55" s="1313" t="str">
        <f>IF(AO54=0,"",VLOOKUP(AO54,'Tablas Magia'!$D$6:$Z$680,4,FALSE))</f>
        <v/>
      </c>
      <c r="BD55" s="1295"/>
      <c r="BE55" s="1289"/>
    </row>
    <row r="56" spans="1:57" ht="12" customHeight="1" x14ac:dyDescent="0.2">
      <c r="A56" s="1289"/>
      <c r="B56" s="693"/>
      <c r="C56" s="5027" t="s">
        <v>2218</v>
      </c>
      <c r="D56" s="5028"/>
      <c r="E56" s="1314" t="str">
        <f>IF(C54=0,"",VLOOKUP(C54,'Tablas Magia'!$D$6:$Z$680,7,FALSE))</f>
        <v/>
      </c>
      <c r="F56" s="1314" t="str">
        <f>IF(C54=0,"",VLOOKUP(C54,'Tablas Magia'!$D$6:$Z$680,11,FALSE))</f>
        <v/>
      </c>
      <c r="G56" s="1315" t="str">
        <f>IF(C54=0,"",VLOOKUP(C54,'Tablas Magia'!$D$6:$Z$680,15,FALSE))</f>
        <v/>
      </c>
      <c r="H56" s="5029" t="str">
        <f>IF(C54=0,"",VLOOKUP(C54,'Tablas Magia'!$D$6:$Z$680,19,FALSE))</f>
        <v/>
      </c>
      <c r="I56" s="5030"/>
      <c r="J56" s="5030"/>
      <c r="K56" s="5030"/>
      <c r="L56" s="5030"/>
      <c r="M56" s="5030"/>
      <c r="N56" s="5030"/>
      <c r="O56" s="5030"/>
      <c r="P56" s="5030"/>
      <c r="Q56" s="5031"/>
      <c r="R56" s="1295"/>
      <c r="S56" s="1289"/>
      <c r="T56" s="1289"/>
      <c r="U56" s="693"/>
      <c r="V56" s="5027" t="s">
        <v>2218</v>
      </c>
      <c r="W56" s="5028"/>
      <c r="X56" s="1314" t="str">
        <f>IF(V54=0,"",VLOOKUP(V54,'Tablas Magia'!$D$6:$Z$680,7,FALSE))</f>
        <v/>
      </c>
      <c r="Y56" s="1314" t="str">
        <f>IF(V54=0,"",VLOOKUP(V54,'Tablas Magia'!$D$6:$Z$680,11,FALSE))</f>
        <v/>
      </c>
      <c r="Z56" s="1315" t="str">
        <f>IF(V54=0,"",VLOOKUP(V54,'Tablas Magia'!$D$6:$Z$680,15,FALSE))</f>
        <v/>
      </c>
      <c r="AA56" s="5029" t="str">
        <f>IF(V54=0,"",VLOOKUP(V54,'Tablas Magia'!$D$6:$Z$680,19,FALSE))</f>
        <v/>
      </c>
      <c r="AB56" s="5030"/>
      <c r="AC56" s="5030"/>
      <c r="AD56" s="5030"/>
      <c r="AE56" s="5030"/>
      <c r="AF56" s="5030"/>
      <c r="AG56" s="5030"/>
      <c r="AH56" s="5030"/>
      <c r="AI56" s="5030"/>
      <c r="AJ56" s="5031"/>
      <c r="AK56" s="1295"/>
      <c r="AL56" s="1289"/>
      <c r="AM56" s="1289"/>
      <c r="AN56" s="693"/>
      <c r="AO56" s="5027" t="s">
        <v>2218</v>
      </c>
      <c r="AP56" s="5028"/>
      <c r="AQ56" s="1314" t="str">
        <f>IF(AO54=0,"",VLOOKUP(AO54,'Tablas Magia'!$D$6:$Z$680,7,FALSE))</f>
        <v/>
      </c>
      <c r="AR56" s="1314" t="str">
        <f>IF(AO54=0,"",VLOOKUP(AO54,'Tablas Magia'!$D$6:$Z$680,11,FALSE))</f>
        <v/>
      </c>
      <c r="AS56" s="1315" t="str">
        <f>IF(AO54=0,"",VLOOKUP(AO54,'Tablas Magia'!$D$6:$Z$680,15,FALSE))</f>
        <v/>
      </c>
      <c r="AT56" s="5029" t="str">
        <f>IF(AO54=0,"",VLOOKUP(AO54,'Tablas Magia'!$D$6:$Z$680,19,FALSE))</f>
        <v/>
      </c>
      <c r="AU56" s="5030"/>
      <c r="AV56" s="5030"/>
      <c r="AW56" s="5030"/>
      <c r="AX56" s="5030"/>
      <c r="AY56" s="5030"/>
      <c r="AZ56" s="5030"/>
      <c r="BA56" s="5030"/>
      <c r="BB56" s="5030"/>
      <c r="BC56" s="5031"/>
      <c r="BD56" s="1295"/>
      <c r="BE56" s="1289"/>
    </row>
    <row r="57" spans="1:57" ht="12" customHeight="1" x14ac:dyDescent="0.2">
      <c r="A57" s="1289"/>
      <c r="B57" s="693"/>
      <c r="C57" s="5022" t="s">
        <v>5258</v>
      </c>
      <c r="D57" s="5023"/>
      <c r="E57" s="1316" t="str">
        <f>IF(C54=0,"",VLOOKUP(C54,'Tablas Magia'!$D$6:$Z$680,8,FALSE))</f>
        <v/>
      </c>
      <c r="F57" s="1316" t="str">
        <f>IF(C54=0,"",VLOOKUP(C54,'Tablas Magia'!$D$6:$Z$680,12,FALSE))</f>
        <v/>
      </c>
      <c r="G57" s="1317" t="str">
        <f>IF(C54=0,"",VLOOKUP(C54,'Tablas Magia'!$D$6:$Z$680,16,FALSE))</f>
        <v/>
      </c>
      <c r="H57" s="5024" t="str">
        <f>IF(C54=0,"",VLOOKUP(C54,'Tablas Magia'!$D$6:$Z$680,20,FALSE))</f>
        <v/>
      </c>
      <c r="I57" s="5025"/>
      <c r="J57" s="5025"/>
      <c r="K57" s="5025"/>
      <c r="L57" s="5025"/>
      <c r="M57" s="5025"/>
      <c r="N57" s="5025"/>
      <c r="O57" s="5025"/>
      <c r="P57" s="5025"/>
      <c r="Q57" s="5026"/>
      <c r="R57" s="1295"/>
      <c r="S57" s="1289"/>
      <c r="T57" s="1289"/>
      <c r="U57" s="693"/>
      <c r="V57" s="5022" t="s">
        <v>5258</v>
      </c>
      <c r="W57" s="5023"/>
      <c r="X57" s="1316" t="str">
        <f>IF(V54=0,"",VLOOKUP(V54,'Tablas Magia'!$D$6:$Z$680,8,FALSE))</f>
        <v/>
      </c>
      <c r="Y57" s="1316" t="str">
        <f>IF(V54=0,"",VLOOKUP(V54,'Tablas Magia'!$D$6:$Z$680,12,FALSE))</f>
        <v/>
      </c>
      <c r="Z57" s="1317" t="str">
        <f>IF(V54=0,"",VLOOKUP(V54,'Tablas Magia'!$D$6:$Z$680,16,FALSE))</f>
        <v/>
      </c>
      <c r="AA57" s="5024" t="str">
        <f>IF(V54=0,"",VLOOKUP(V54,'Tablas Magia'!$D$6:$Z$680,20,FALSE))</f>
        <v/>
      </c>
      <c r="AB57" s="5025"/>
      <c r="AC57" s="5025"/>
      <c r="AD57" s="5025"/>
      <c r="AE57" s="5025"/>
      <c r="AF57" s="5025"/>
      <c r="AG57" s="5025"/>
      <c r="AH57" s="5025"/>
      <c r="AI57" s="5025"/>
      <c r="AJ57" s="5026"/>
      <c r="AK57" s="1295"/>
      <c r="AL57" s="1289"/>
      <c r="AM57" s="1289"/>
      <c r="AN57" s="693"/>
      <c r="AO57" s="5022" t="s">
        <v>5258</v>
      </c>
      <c r="AP57" s="5023"/>
      <c r="AQ57" s="1316" t="str">
        <f>IF(AO54=0,"",VLOOKUP(AO54,'Tablas Magia'!$D$6:$Z$680,8,FALSE))</f>
        <v/>
      </c>
      <c r="AR57" s="1316" t="str">
        <f>IF(AO54=0,"",VLOOKUP(AO54,'Tablas Magia'!$D$6:$Z$680,12,FALSE))</f>
        <v/>
      </c>
      <c r="AS57" s="1317" t="str">
        <f>IF(AO54=0,"",VLOOKUP(AO54,'Tablas Magia'!$D$6:$Z$680,16,FALSE))</f>
        <v/>
      </c>
      <c r="AT57" s="5024" t="str">
        <f>IF(AO54=0,"",VLOOKUP(AO54,'Tablas Magia'!$D$6:$Z$680,20,FALSE))</f>
        <v/>
      </c>
      <c r="AU57" s="5025"/>
      <c r="AV57" s="5025"/>
      <c r="AW57" s="5025"/>
      <c r="AX57" s="5025"/>
      <c r="AY57" s="5025"/>
      <c r="AZ57" s="5025"/>
      <c r="BA57" s="5025"/>
      <c r="BB57" s="5025"/>
      <c r="BC57" s="5026"/>
      <c r="BD57" s="1295"/>
      <c r="BE57" s="1289"/>
    </row>
    <row r="58" spans="1:57" ht="12" customHeight="1" x14ac:dyDescent="0.2">
      <c r="A58" s="1289"/>
      <c r="B58" s="693"/>
      <c r="C58" s="5027" t="s">
        <v>5259</v>
      </c>
      <c r="D58" s="5028"/>
      <c r="E58" s="1314" t="str">
        <f>IF(C54=0,"",VLOOKUP(C54,'Tablas Magia'!$D$6:$Z$680,9,FALSE))</f>
        <v/>
      </c>
      <c r="F58" s="1314" t="str">
        <f>IF(C54=0,"",VLOOKUP(C54,'Tablas Magia'!$D$6:$Z$680,13,FALSE))</f>
        <v/>
      </c>
      <c r="G58" s="1315" t="str">
        <f>IF(C54=0,"",VLOOKUP(C54,'Tablas Magia'!$D$6:$Z$680,17,FALSE))</f>
        <v/>
      </c>
      <c r="H58" s="5029" t="str">
        <f>IF(C54=0,"",VLOOKUP(C54,'Tablas Magia'!$D$6:$Z$680,21,FALSE))</f>
        <v/>
      </c>
      <c r="I58" s="5030"/>
      <c r="J58" s="5030"/>
      <c r="K58" s="5030"/>
      <c r="L58" s="5030"/>
      <c r="M58" s="5030"/>
      <c r="N58" s="5030"/>
      <c r="O58" s="5030"/>
      <c r="P58" s="5030"/>
      <c r="Q58" s="5031"/>
      <c r="R58" s="1295"/>
      <c r="S58" s="1289"/>
      <c r="T58" s="1289"/>
      <c r="U58" s="693"/>
      <c r="V58" s="5027" t="s">
        <v>5259</v>
      </c>
      <c r="W58" s="5028"/>
      <c r="X58" s="1314" t="str">
        <f>IF(V54=0,"",VLOOKUP(V54,'Tablas Magia'!$D$6:$Z$680,9,FALSE))</f>
        <v/>
      </c>
      <c r="Y58" s="1314" t="str">
        <f>IF(V54=0,"",VLOOKUP(V54,'Tablas Magia'!$D$6:$Z$680,13,FALSE))</f>
        <v/>
      </c>
      <c r="Z58" s="1315" t="str">
        <f>IF(V54=0,"",VLOOKUP(V54,'Tablas Magia'!$D$6:$Z$680,17,FALSE))</f>
        <v/>
      </c>
      <c r="AA58" s="5029" t="str">
        <f>IF(V54=0,"",VLOOKUP(V54,'Tablas Magia'!$D$6:$Z$680,21,FALSE))</f>
        <v/>
      </c>
      <c r="AB58" s="5030"/>
      <c r="AC58" s="5030"/>
      <c r="AD58" s="5030"/>
      <c r="AE58" s="5030"/>
      <c r="AF58" s="5030"/>
      <c r="AG58" s="5030"/>
      <c r="AH58" s="5030"/>
      <c r="AI58" s="5030"/>
      <c r="AJ58" s="5031"/>
      <c r="AK58" s="1295"/>
      <c r="AL58" s="1289"/>
      <c r="AM58" s="1289"/>
      <c r="AN58" s="693"/>
      <c r="AO58" s="5027" t="s">
        <v>5259</v>
      </c>
      <c r="AP58" s="5028"/>
      <c r="AQ58" s="1314" t="str">
        <f>IF(AO54=0,"",VLOOKUP(AO54,'Tablas Magia'!$D$6:$Z$680,9,FALSE))</f>
        <v/>
      </c>
      <c r="AR58" s="1314" t="str">
        <f>IF(AO54=0,"",VLOOKUP(AO54,'Tablas Magia'!$D$6:$Z$680,13,FALSE))</f>
        <v/>
      </c>
      <c r="AS58" s="1315" t="str">
        <f>IF(AO54=0,"",VLOOKUP(AO54,'Tablas Magia'!$D$6:$Z$680,17,FALSE))</f>
        <v/>
      </c>
      <c r="AT58" s="5029" t="str">
        <f>IF(AO54=0,"",VLOOKUP(AO54,'Tablas Magia'!$D$6:$Z$680,21,FALSE))</f>
        <v/>
      </c>
      <c r="AU58" s="5030"/>
      <c r="AV58" s="5030"/>
      <c r="AW58" s="5030"/>
      <c r="AX58" s="5030"/>
      <c r="AY58" s="5030"/>
      <c r="AZ58" s="5030"/>
      <c r="BA58" s="5030"/>
      <c r="BB58" s="5030"/>
      <c r="BC58" s="5031"/>
      <c r="BD58" s="1295"/>
      <c r="BE58" s="1289"/>
    </row>
    <row r="59" spans="1:57" ht="12" customHeight="1" thickBot="1" x14ac:dyDescent="0.25">
      <c r="A59" s="1289"/>
      <c r="B59" s="693"/>
      <c r="C59" s="5037" t="s">
        <v>5260</v>
      </c>
      <c r="D59" s="5038"/>
      <c r="E59" s="1318" t="str">
        <f>IF(C54=0,"",VLOOKUP(C54,'Tablas Magia'!$D$6:$Z$680,10,FALSE))</f>
        <v/>
      </c>
      <c r="F59" s="1318" t="str">
        <f>IF(C54=0,"",VLOOKUP(C54,'Tablas Magia'!$D$6:$Z$680,14,FALSE))</f>
        <v/>
      </c>
      <c r="G59" s="1319" t="str">
        <f>IF(C54=0,"",VLOOKUP(C54,'Tablas Magia'!$D$6:$Z$680,18,FALSE))</f>
        <v/>
      </c>
      <c r="H59" s="5039" t="str">
        <f>IF(C54=0,"",VLOOKUP(C54,'Tablas Magia'!$D$6:$Z$680,22,FALSE))</f>
        <v/>
      </c>
      <c r="I59" s="5040"/>
      <c r="J59" s="5040"/>
      <c r="K59" s="5040"/>
      <c r="L59" s="5040"/>
      <c r="M59" s="5040"/>
      <c r="N59" s="5040"/>
      <c r="O59" s="5040"/>
      <c r="P59" s="5040"/>
      <c r="Q59" s="5041"/>
      <c r="R59" s="1295"/>
      <c r="S59" s="1289"/>
      <c r="T59" s="1289"/>
      <c r="U59" s="693"/>
      <c r="V59" s="5037" t="s">
        <v>5260</v>
      </c>
      <c r="W59" s="5038"/>
      <c r="X59" s="1318" t="str">
        <f>IF(V54=0,"",VLOOKUP(V54,'Tablas Magia'!$D$6:$Z$680,10,FALSE))</f>
        <v/>
      </c>
      <c r="Y59" s="1318" t="str">
        <f>IF(V54=0,"",VLOOKUP(V54,'Tablas Magia'!$D$6:$Z$680,14,FALSE))</f>
        <v/>
      </c>
      <c r="Z59" s="1319" t="str">
        <f>IF(V54=0,"",VLOOKUP(V54,'Tablas Magia'!$D$6:$Z$680,18,FALSE))</f>
        <v/>
      </c>
      <c r="AA59" s="5039" t="str">
        <f>IF(V54=0,"",VLOOKUP(V54,'Tablas Magia'!$D$6:$Z$680,22,FALSE))</f>
        <v/>
      </c>
      <c r="AB59" s="5040"/>
      <c r="AC59" s="5040"/>
      <c r="AD59" s="5040"/>
      <c r="AE59" s="5040"/>
      <c r="AF59" s="5040"/>
      <c r="AG59" s="5040"/>
      <c r="AH59" s="5040"/>
      <c r="AI59" s="5040"/>
      <c r="AJ59" s="5041"/>
      <c r="AK59" s="1295"/>
      <c r="AL59" s="1289"/>
      <c r="AM59" s="1289"/>
      <c r="AN59" s="693"/>
      <c r="AO59" s="5037" t="s">
        <v>5260</v>
      </c>
      <c r="AP59" s="5038"/>
      <c r="AQ59" s="1318" t="str">
        <f>IF(AO54=0,"",VLOOKUP(AO54,'Tablas Magia'!$D$6:$Z$680,10,FALSE))</f>
        <v/>
      </c>
      <c r="AR59" s="1318" t="str">
        <f>IF(AO54=0,"",VLOOKUP(AO54,'Tablas Magia'!$D$6:$Z$680,14,FALSE))</f>
        <v/>
      </c>
      <c r="AS59" s="1319" t="str">
        <f>IF(AO54=0,"",VLOOKUP(AO54,'Tablas Magia'!$D$6:$Z$680,18,FALSE))</f>
        <v/>
      </c>
      <c r="AT59" s="5039" t="str">
        <f>IF(AO54=0,"",VLOOKUP(AO54,'Tablas Magia'!$D$6:$Z$680,22,FALSE))</f>
        <v/>
      </c>
      <c r="AU59" s="5040"/>
      <c r="AV59" s="5040"/>
      <c r="AW59" s="5040"/>
      <c r="AX59" s="5040"/>
      <c r="AY59" s="5040"/>
      <c r="AZ59" s="5040"/>
      <c r="BA59" s="5040"/>
      <c r="BB59" s="5040"/>
      <c r="BC59" s="5041"/>
      <c r="BD59" s="1295"/>
      <c r="BE59" s="1289"/>
    </row>
    <row r="60" spans="1:57" ht="12" customHeight="1" x14ac:dyDescent="0.2">
      <c r="A60" s="1289"/>
      <c r="B60" s="693"/>
      <c r="C60" s="5042" t="str">
        <f>IF(C54=0,"",VLOOKUP(C54,'Tablas Magia'!$D$6:$Z$680,23,FALSE))</f>
        <v/>
      </c>
      <c r="D60" s="5043"/>
      <c r="E60" s="5043"/>
      <c r="F60" s="5043"/>
      <c r="G60" s="5043"/>
      <c r="H60" s="5043"/>
      <c r="I60" s="5043"/>
      <c r="J60" s="5043"/>
      <c r="K60" s="5043"/>
      <c r="L60" s="5043"/>
      <c r="M60" s="5043"/>
      <c r="N60" s="5043"/>
      <c r="O60" s="5043"/>
      <c r="P60" s="5043"/>
      <c r="Q60" s="5044"/>
      <c r="R60" s="1295"/>
      <c r="S60" s="1289"/>
      <c r="T60" s="1289"/>
      <c r="U60" s="693"/>
      <c r="V60" s="5042" t="str">
        <f>IF(V54=0,"",VLOOKUP(V54,'Tablas Magia'!$D$6:$Z$680,23,FALSE))</f>
        <v/>
      </c>
      <c r="W60" s="5043"/>
      <c r="X60" s="5043"/>
      <c r="Y60" s="5043"/>
      <c r="Z60" s="5043"/>
      <c r="AA60" s="5043"/>
      <c r="AB60" s="5043"/>
      <c r="AC60" s="5043"/>
      <c r="AD60" s="5043"/>
      <c r="AE60" s="5043"/>
      <c r="AF60" s="5043"/>
      <c r="AG60" s="5043"/>
      <c r="AH60" s="5043"/>
      <c r="AI60" s="5043"/>
      <c r="AJ60" s="5044"/>
      <c r="AK60" s="1295"/>
      <c r="AL60" s="1289"/>
      <c r="AM60" s="1289"/>
      <c r="AN60" s="693"/>
      <c r="AO60" s="5042" t="str">
        <f>IF(AO54=0,"",VLOOKUP(AO54,'Tablas Magia'!$D$6:$Z$680,23,FALSE))</f>
        <v/>
      </c>
      <c r="AP60" s="5043"/>
      <c r="AQ60" s="5043"/>
      <c r="AR60" s="5043"/>
      <c r="AS60" s="5043"/>
      <c r="AT60" s="5043"/>
      <c r="AU60" s="5043"/>
      <c r="AV60" s="5043"/>
      <c r="AW60" s="5043"/>
      <c r="AX60" s="5043"/>
      <c r="AY60" s="5043"/>
      <c r="AZ60" s="5043"/>
      <c r="BA60" s="5043"/>
      <c r="BB60" s="5043"/>
      <c r="BC60" s="5044"/>
      <c r="BD60" s="1295"/>
      <c r="BE60" s="1289"/>
    </row>
    <row r="61" spans="1:57" ht="12" customHeight="1" x14ac:dyDescent="0.2">
      <c r="A61" s="1289"/>
      <c r="B61" s="693"/>
      <c r="C61" s="5045"/>
      <c r="D61" s="5046"/>
      <c r="E61" s="5046"/>
      <c r="F61" s="5046"/>
      <c r="G61" s="5046"/>
      <c r="H61" s="5046"/>
      <c r="I61" s="5046"/>
      <c r="J61" s="5046"/>
      <c r="K61" s="5046"/>
      <c r="L61" s="5046"/>
      <c r="M61" s="5046"/>
      <c r="N61" s="5046"/>
      <c r="O61" s="5046"/>
      <c r="P61" s="5046"/>
      <c r="Q61" s="5047"/>
      <c r="R61" s="1295"/>
      <c r="S61" s="1289"/>
      <c r="T61" s="1289"/>
      <c r="U61" s="693"/>
      <c r="V61" s="5045"/>
      <c r="W61" s="5046"/>
      <c r="X61" s="5046"/>
      <c r="Y61" s="5046"/>
      <c r="Z61" s="5046"/>
      <c r="AA61" s="5046"/>
      <c r="AB61" s="5046"/>
      <c r="AC61" s="5046"/>
      <c r="AD61" s="5046"/>
      <c r="AE61" s="5046"/>
      <c r="AF61" s="5046"/>
      <c r="AG61" s="5046"/>
      <c r="AH61" s="5046"/>
      <c r="AI61" s="5046"/>
      <c r="AJ61" s="5047"/>
      <c r="AK61" s="1295"/>
      <c r="AL61" s="1289"/>
      <c r="AM61" s="1289"/>
      <c r="AN61" s="693"/>
      <c r="AO61" s="5045"/>
      <c r="AP61" s="5046"/>
      <c r="AQ61" s="5046"/>
      <c r="AR61" s="5046"/>
      <c r="AS61" s="5046"/>
      <c r="AT61" s="5046"/>
      <c r="AU61" s="5046"/>
      <c r="AV61" s="5046"/>
      <c r="AW61" s="5046"/>
      <c r="AX61" s="5046"/>
      <c r="AY61" s="5046"/>
      <c r="AZ61" s="5046"/>
      <c r="BA61" s="5046"/>
      <c r="BB61" s="5046"/>
      <c r="BC61" s="5047"/>
      <c r="BD61" s="1295"/>
      <c r="BE61" s="1289"/>
    </row>
    <row r="62" spans="1:57" ht="12" customHeight="1" x14ac:dyDescent="0.2">
      <c r="A62" s="1289"/>
      <c r="B62" s="693"/>
      <c r="C62" s="5045"/>
      <c r="D62" s="5046"/>
      <c r="E62" s="5046"/>
      <c r="F62" s="5046"/>
      <c r="G62" s="5046"/>
      <c r="H62" s="5046"/>
      <c r="I62" s="5046"/>
      <c r="J62" s="5046"/>
      <c r="K62" s="5046"/>
      <c r="L62" s="5046"/>
      <c r="M62" s="5046"/>
      <c r="N62" s="5046"/>
      <c r="O62" s="5046"/>
      <c r="P62" s="5046"/>
      <c r="Q62" s="5047"/>
      <c r="R62" s="1295"/>
      <c r="S62" s="1289"/>
      <c r="T62" s="1289"/>
      <c r="U62" s="693"/>
      <c r="V62" s="5045"/>
      <c r="W62" s="5046"/>
      <c r="X62" s="5046"/>
      <c r="Y62" s="5046"/>
      <c r="Z62" s="5046"/>
      <c r="AA62" s="5046"/>
      <c r="AB62" s="5046"/>
      <c r="AC62" s="5046"/>
      <c r="AD62" s="5046"/>
      <c r="AE62" s="5046"/>
      <c r="AF62" s="5046"/>
      <c r="AG62" s="5046"/>
      <c r="AH62" s="5046"/>
      <c r="AI62" s="5046"/>
      <c r="AJ62" s="5047"/>
      <c r="AK62" s="1295"/>
      <c r="AL62" s="1289"/>
      <c r="AM62" s="1289"/>
      <c r="AN62" s="693"/>
      <c r="AO62" s="5045"/>
      <c r="AP62" s="5046"/>
      <c r="AQ62" s="5046"/>
      <c r="AR62" s="5046"/>
      <c r="AS62" s="5046"/>
      <c r="AT62" s="5046"/>
      <c r="AU62" s="5046"/>
      <c r="AV62" s="5046"/>
      <c r="AW62" s="5046"/>
      <c r="AX62" s="5046"/>
      <c r="AY62" s="5046"/>
      <c r="AZ62" s="5046"/>
      <c r="BA62" s="5046"/>
      <c r="BB62" s="5046"/>
      <c r="BC62" s="5047"/>
      <c r="BD62" s="1295"/>
      <c r="BE62" s="1289"/>
    </row>
    <row r="63" spans="1:57" ht="12" customHeight="1" thickBot="1" x14ac:dyDescent="0.25">
      <c r="A63" s="1289"/>
      <c r="B63" s="693"/>
      <c r="C63" s="5048"/>
      <c r="D63" s="5049"/>
      <c r="E63" s="5049"/>
      <c r="F63" s="5049"/>
      <c r="G63" s="5049"/>
      <c r="H63" s="5049"/>
      <c r="I63" s="5049"/>
      <c r="J63" s="5049"/>
      <c r="K63" s="5049"/>
      <c r="L63" s="5049"/>
      <c r="M63" s="5049"/>
      <c r="N63" s="5049"/>
      <c r="O63" s="5049"/>
      <c r="P63" s="5049"/>
      <c r="Q63" s="5050"/>
      <c r="R63" s="1295"/>
      <c r="S63" s="1289"/>
      <c r="T63" s="1289"/>
      <c r="U63" s="693"/>
      <c r="V63" s="5048"/>
      <c r="W63" s="5049"/>
      <c r="X63" s="5049"/>
      <c r="Y63" s="5049"/>
      <c r="Z63" s="5049"/>
      <c r="AA63" s="5049"/>
      <c r="AB63" s="5049"/>
      <c r="AC63" s="5049"/>
      <c r="AD63" s="5049"/>
      <c r="AE63" s="5049"/>
      <c r="AF63" s="5049"/>
      <c r="AG63" s="5049"/>
      <c r="AH63" s="5049"/>
      <c r="AI63" s="5049"/>
      <c r="AJ63" s="5050"/>
      <c r="AK63" s="1295"/>
      <c r="AL63" s="1289"/>
      <c r="AM63" s="1289"/>
      <c r="AN63" s="693"/>
      <c r="AO63" s="5048"/>
      <c r="AP63" s="5049"/>
      <c r="AQ63" s="5049"/>
      <c r="AR63" s="5049"/>
      <c r="AS63" s="5049"/>
      <c r="AT63" s="5049"/>
      <c r="AU63" s="5049"/>
      <c r="AV63" s="5049"/>
      <c r="AW63" s="5049"/>
      <c r="AX63" s="5049"/>
      <c r="AY63" s="5049"/>
      <c r="AZ63" s="5049"/>
      <c r="BA63" s="5049"/>
      <c r="BB63" s="5049"/>
      <c r="BC63" s="5050"/>
      <c r="BD63" s="1295"/>
      <c r="BE63" s="1289"/>
    </row>
    <row r="64" spans="1:57" ht="12" customHeight="1" x14ac:dyDescent="0.2">
      <c r="A64" s="1289"/>
      <c r="B64" s="693"/>
      <c r="C64" s="1330"/>
      <c r="D64" s="1330"/>
      <c r="E64" s="1316"/>
      <c r="F64" s="1316"/>
      <c r="G64" s="1316"/>
      <c r="H64" s="1331"/>
      <c r="I64" s="1331"/>
      <c r="J64" s="1331"/>
      <c r="K64" s="1331"/>
      <c r="L64" s="1331"/>
      <c r="M64" s="1331"/>
      <c r="N64" s="1331"/>
      <c r="O64" s="1331"/>
      <c r="P64" s="1331"/>
      <c r="Q64" s="1331"/>
      <c r="R64" s="1295"/>
      <c r="S64" s="1289"/>
      <c r="T64" s="1289"/>
      <c r="U64" s="693"/>
      <c r="V64" s="1330"/>
      <c r="W64" s="1330"/>
      <c r="X64" s="1316"/>
      <c r="Y64" s="1316"/>
      <c r="Z64" s="1316"/>
      <c r="AA64" s="1331"/>
      <c r="AB64" s="1331"/>
      <c r="AC64" s="1331"/>
      <c r="AD64" s="1331"/>
      <c r="AE64" s="1331"/>
      <c r="AF64" s="1331"/>
      <c r="AG64" s="1331"/>
      <c r="AH64" s="1331"/>
      <c r="AI64" s="1331"/>
      <c r="AJ64" s="1331"/>
      <c r="AK64" s="1295"/>
      <c r="AL64" s="1289"/>
      <c r="AM64" s="1289"/>
      <c r="AN64" s="693"/>
      <c r="AO64" s="1330"/>
      <c r="AP64" s="1330"/>
      <c r="AQ64" s="1316"/>
      <c r="AR64" s="1316"/>
      <c r="AS64" s="1316"/>
      <c r="AT64" s="1331"/>
      <c r="AU64" s="1331"/>
      <c r="AV64" s="1331"/>
      <c r="AW64" s="1331"/>
      <c r="AX64" s="1331"/>
      <c r="AY64" s="1331"/>
      <c r="AZ64" s="1331"/>
      <c r="BA64" s="1331"/>
      <c r="BB64" s="1331"/>
      <c r="BC64" s="1331"/>
      <c r="BD64" s="1295"/>
      <c r="BE64" s="1289"/>
    </row>
    <row r="65" spans="1:57" ht="12" customHeight="1" thickBot="1" x14ac:dyDescent="0.25">
      <c r="A65" s="1289"/>
      <c r="B65" s="694"/>
      <c r="C65" s="1332"/>
      <c r="D65" s="1332"/>
      <c r="E65" s="1332"/>
      <c r="F65" s="1332"/>
      <c r="G65" s="1332"/>
      <c r="H65" s="1332"/>
      <c r="I65" s="1332"/>
      <c r="J65" s="1332"/>
      <c r="K65" s="1332"/>
      <c r="L65" s="1332"/>
      <c r="M65" s="1332"/>
      <c r="N65" s="1332"/>
      <c r="O65" s="1332"/>
      <c r="P65" s="1332"/>
      <c r="Q65" s="1332"/>
      <c r="R65" s="1333"/>
      <c r="S65" s="1289"/>
      <c r="T65" s="1289"/>
      <c r="U65" s="694"/>
      <c r="V65" s="1332"/>
      <c r="W65" s="1332"/>
      <c r="X65" s="1332"/>
      <c r="Y65" s="1332"/>
      <c r="Z65" s="1332"/>
      <c r="AA65" s="1332"/>
      <c r="AB65" s="1332"/>
      <c r="AC65" s="1332"/>
      <c r="AD65" s="1332"/>
      <c r="AE65" s="1332"/>
      <c r="AF65" s="1332"/>
      <c r="AG65" s="1332"/>
      <c r="AH65" s="1332"/>
      <c r="AI65" s="1332"/>
      <c r="AJ65" s="1332"/>
      <c r="AK65" s="1333"/>
      <c r="AL65" s="1289"/>
      <c r="AM65" s="1289"/>
      <c r="AN65" s="694"/>
      <c r="AO65" s="1332"/>
      <c r="AP65" s="1332"/>
      <c r="AQ65" s="1332"/>
      <c r="AR65" s="1332"/>
      <c r="AS65" s="1332"/>
      <c r="AT65" s="1332"/>
      <c r="AU65" s="1332"/>
      <c r="AV65" s="1332"/>
      <c r="AW65" s="1332"/>
      <c r="AX65" s="1332"/>
      <c r="AY65" s="1332"/>
      <c r="AZ65" s="1332"/>
      <c r="BA65" s="1332"/>
      <c r="BB65" s="1332"/>
      <c r="BC65" s="1332"/>
      <c r="BD65" s="1333"/>
      <c r="BE65" s="1289"/>
    </row>
    <row r="66" spans="1:57" ht="12" customHeight="1" x14ac:dyDescent="0.2">
      <c r="A66" s="1289"/>
      <c r="B66" s="1289"/>
      <c r="C66" s="1289"/>
      <c r="D66" s="1289"/>
      <c r="E66" s="1289"/>
      <c r="F66" s="1289"/>
      <c r="G66" s="1289"/>
      <c r="H66" s="1289"/>
      <c r="I66" s="1289"/>
      <c r="J66" s="1289"/>
      <c r="K66" s="1289"/>
      <c r="L66" s="1289"/>
      <c r="M66" s="1289"/>
      <c r="N66" s="1289"/>
      <c r="O66" s="1289"/>
      <c r="P66" s="1289"/>
      <c r="Q66" s="1289"/>
      <c r="R66" s="1289"/>
      <c r="S66" s="1289"/>
      <c r="T66" s="1289"/>
      <c r="U66" s="1289"/>
      <c r="V66" s="1289"/>
      <c r="W66" s="1289"/>
      <c r="X66" s="1289"/>
      <c r="Y66" s="1289"/>
      <c r="Z66" s="1289"/>
      <c r="AA66" s="1289"/>
      <c r="AB66" s="1289"/>
      <c r="AC66" s="1289"/>
      <c r="AD66" s="1289"/>
      <c r="AE66" s="1289"/>
      <c r="AF66" s="1289"/>
      <c r="AG66" s="1289"/>
      <c r="AH66" s="1289"/>
      <c r="AI66" s="1289"/>
      <c r="AJ66" s="1289"/>
      <c r="AK66" s="1289"/>
      <c r="AL66" s="1289"/>
      <c r="AM66" s="1289"/>
      <c r="AN66" s="1289"/>
      <c r="AO66" s="1289"/>
      <c r="AP66" s="1289"/>
      <c r="AQ66" s="1289"/>
      <c r="AR66" s="1289"/>
      <c r="AS66" s="1289"/>
      <c r="AT66" s="1289"/>
      <c r="AU66" s="1289"/>
      <c r="AV66" s="1289"/>
      <c r="AW66" s="1289"/>
      <c r="AX66" s="1289"/>
      <c r="AY66" s="1289"/>
      <c r="AZ66" s="1289"/>
      <c r="BA66" s="1289"/>
      <c r="BB66" s="1289"/>
      <c r="BC66" s="1289"/>
      <c r="BD66" s="1289"/>
      <c r="BE66" s="1289"/>
    </row>
    <row r="67" spans="1:57" ht="12" customHeight="1" x14ac:dyDescent="0.2">
      <c r="A67" s="781"/>
      <c r="B67" s="781"/>
      <c r="C67" s="781"/>
      <c r="D67" s="781"/>
      <c r="E67" s="781"/>
      <c r="F67" s="781"/>
      <c r="G67" s="781"/>
      <c r="H67" s="781"/>
      <c r="I67" s="781"/>
      <c r="J67" s="781"/>
      <c r="K67" s="781"/>
      <c r="L67" s="781"/>
      <c r="M67" s="781"/>
      <c r="N67" s="781"/>
      <c r="O67" s="781"/>
      <c r="P67" s="781"/>
      <c r="Q67" s="781"/>
      <c r="R67" s="781"/>
      <c r="S67" s="781"/>
      <c r="T67" s="781"/>
      <c r="U67" s="781"/>
      <c r="V67" s="781"/>
      <c r="Y67" s="820"/>
      <c r="Z67" s="1337"/>
      <c r="AD67" s="1334"/>
      <c r="AE67" s="1334"/>
      <c r="AI67" s="1336"/>
      <c r="AJ67" s="1336"/>
      <c r="AK67" s="1338"/>
      <c r="AL67" s="1338"/>
      <c r="AM67" s="781"/>
      <c r="AN67" s="781"/>
      <c r="AO67" s="781"/>
      <c r="AR67" s="820"/>
      <c r="AS67" s="1337"/>
      <c r="AW67" s="1334"/>
      <c r="AX67" s="1334"/>
      <c r="BB67" s="1336"/>
      <c r="BC67" s="1336"/>
      <c r="BD67" s="1338"/>
      <c r="BE67" s="1338"/>
    </row>
    <row r="68" spans="1:57" ht="12" customHeight="1" x14ac:dyDescent="0.2">
      <c r="A68" s="781"/>
      <c r="B68" s="832"/>
      <c r="C68" s="781"/>
      <c r="D68" s="781"/>
      <c r="E68" s="781"/>
      <c r="F68" s="781"/>
      <c r="G68" s="781"/>
      <c r="H68" s="781"/>
      <c r="I68" s="781"/>
      <c r="J68" s="781"/>
      <c r="K68" s="781"/>
      <c r="L68" s="781"/>
      <c r="M68" s="781"/>
      <c r="N68" s="781"/>
      <c r="O68" s="781"/>
      <c r="P68" s="781"/>
      <c r="Q68" s="781"/>
      <c r="R68" s="781"/>
      <c r="S68" s="781"/>
      <c r="T68" s="781"/>
      <c r="U68" s="781"/>
      <c r="V68" s="781"/>
      <c r="AD68" s="1334"/>
      <c r="AE68" s="1334"/>
      <c r="AI68" s="1336"/>
      <c r="AJ68" s="1336"/>
      <c r="AK68" s="1338"/>
      <c r="AL68" s="1338"/>
      <c r="AM68" s="781"/>
      <c r="AN68" s="781"/>
      <c r="AO68" s="781"/>
      <c r="AW68" s="1334"/>
      <c r="AX68" s="1334"/>
      <c r="BB68" s="1336"/>
      <c r="BC68" s="1336"/>
      <c r="BD68" s="1338"/>
      <c r="BE68" s="1338"/>
    </row>
    <row r="69" spans="1:57" ht="12" customHeight="1" x14ac:dyDescent="0.2">
      <c r="A69" s="781"/>
      <c r="B69" s="832"/>
      <c r="R69" s="781"/>
      <c r="S69" s="781"/>
      <c r="T69" s="781"/>
      <c r="U69" s="781"/>
      <c r="V69" s="781"/>
      <c r="AA69" s="1337"/>
      <c r="AB69" s="1337"/>
      <c r="AC69" s="820"/>
      <c r="AI69" s="820"/>
      <c r="AJ69" s="820"/>
      <c r="AK69" s="820"/>
      <c r="AL69" s="820"/>
      <c r="AM69" s="781"/>
      <c r="AN69" s="781"/>
      <c r="AO69" s="781"/>
      <c r="AT69" s="1337"/>
      <c r="AU69" s="1337"/>
      <c r="AV69" s="820"/>
      <c r="BB69" s="820"/>
      <c r="BC69" s="820"/>
      <c r="BD69" s="820"/>
      <c r="BE69" s="820"/>
    </row>
    <row r="70" spans="1:57" ht="12" customHeight="1" x14ac:dyDescent="0.2">
      <c r="A70" s="781"/>
      <c r="B70" s="832"/>
      <c r="R70" s="781"/>
      <c r="S70" s="781"/>
      <c r="T70" s="781"/>
      <c r="U70" s="781"/>
      <c r="V70" s="781"/>
      <c r="AA70" s="1337"/>
      <c r="AB70" s="1337"/>
      <c r="AC70" s="820"/>
      <c r="AI70" s="820"/>
      <c r="AJ70" s="820"/>
      <c r="AK70" s="820"/>
      <c r="AL70" s="820"/>
      <c r="AM70" s="781"/>
      <c r="AN70" s="781"/>
      <c r="AO70" s="781"/>
      <c r="AT70" s="1337"/>
      <c r="AU70" s="1337"/>
      <c r="AV70" s="820"/>
      <c r="BB70" s="820"/>
      <c r="BC70" s="820"/>
      <c r="BD70" s="820"/>
      <c r="BE70" s="820"/>
    </row>
    <row r="71" spans="1:57" ht="12" customHeight="1" x14ac:dyDescent="0.2">
      <c r="A71" s="781"/>
      <c r="B71" s="832"/>
      <c r="R71" s="781"/>
      <c r="S71" s="781"/>
      <c r="T71" s="781"/>
      <c r="U71" s="781"/>
      <c r="V71" s="781"/>
      <c r="AA71" s="1337"/>
      <c r="AB71" s="1337"/>
      <c r="AC71" s="820"/>
      <c r="AI71" s="820"/>
      <c r="AJ71" s="820"/>
      <c r="AK71" s="820"/>
      <c r="AL71" s="820"/>
      <c r="AM71" s="781"/>
      <c r="AN71" s="781"/>
      <c r="AO71" s="781"/>
      <c r="AT71" s="1337"/>
      <c r="AU71" s="1337"/>
      <c r="AV71" s="820"/>
      <c r="BB71" s="820"/>
      <c r="BC71" s="820"/>
      <c r="BD71" s="820"/>
      <c r="BE71" s="820"/>
    </row>
    <row r="72" spans="1:57" ht="12" customHeight="1" x14ac:dyDescent="0.2">
      <c r="A72" s="781"/>
      <c r="B72" s="832"/>
      <c r="R72" s="781"/>
      <c r="S72" s="781"/>
      <c r="T72" s="781"/>
      <c r="U72" s="781"/>
      <c r="V72" s="781"/>
      <c r="AA72" s="1337"/>
      <c r="AB72" s="1337"/>
      <c r="AC72" s="820"/>
      <c r="AI72" s="820"/>
      <c r="AJ72" s="820"/>
      <c r="AK72" s="820"/>
      <c r="AL72" s="820"/>
      <c r="AM72" s="781"/>
      <c r="AN72" s="781"/>
      <c r="AO72" s="781"/>
      <c r="AT72" s="1337"/>
      <c r="AU72" s="1337"/>
      <c r="AV72" s="820"/>
      <c r="BB72" s="820"/>
      <c r="BC72" s="820"/>
      <c r="BD72" s="820"/>
      <c r="BE72" s="820"/>
    </row>
    <row r="73" spans="1:57" ht="12" customHeight="1" x14ac:dyDescent="0.2">
      <c r="A73" s="781"/>
      <c r="B73" s="832"/>
      <c r="R73" s="781"/>
      <c r="AA73" s="1337"/>
      <c r="AB73" s="1337"/>
      <c r="AC73" s="820"/>
      <c r="AI73" s="820"/>
      <c r="AJ73" s="820"/>
      <c r="AK73" s="820"/>
      <c r="AL73" s="820"/>
      <c r="AT73" s="1337"/>
      <c r="AU73" s="1337"/>
      <c r="AV73" s="820"/>
      <c r="BB73" s="820"/>
      <c r="BC73" s="820"/>
      <c r="BD73" s="820"/>
      <c r="BE73" s="820"/>
    </row>
    <row r="74" spans="1:57" ht="12" customHeight="1" x14ac:dyDescent="0.2">
      <c r="A74" s="781"/>
      <c r="B74" s="832"/>
      <c r="R74" s="781"/>
      <c r="S74" s="781"/>
      <c r="T74" s="781"/>
      <c r="U74" s="781"/>
      <c r="V74" s="781"/>
      <c r="AA74" s="1337"/>
      <c r="AB74" s="1337"/>
      <c r="AC74" s="820"/>
      <c r="AI74" s="820"/>
      <c r="AJ74" s="820"/>
      <c r="AK74" s="820"/>
      <c r="AL74" s="820"/>
      <c r="AM74" s="781"/>
      <c r="AN74" s="781"/>
      <c r="AO74" s="781"/>
      <c r="AT74" s="1337"/>
      <c r="AU74" s="1337"/>
      <c r="AV74" s="820"/>
      <c r="BB74" s="820"/>
      <c r="BC74" s="820"/>
      <c r="BD74" s="820"/>
      <c r="BE74" s="820"/>
    </row>
    <row r="75" spans="1:57" ht="12" customHeight="1" x14ac:dyDescent="0.2">
      <c r="A75" s="781"/>
      <c r="B75" s="832"/>
      <c r="R75" s="781"/>
      <c r="S75" s="781"/>
      <c r="T75" s="781"/>
      <c r="U75" s="781"/>
      <c r="V75" s="781"/>
      <c r="AA75" s="1337"/>
      <c r="AB75" s="1337"/>
      <c r="AC75" s="820"/>
      <c r="AM75" s="781"/>
      <c r="AN75" s="781"/>
      <c r="AO75" s="781"/>
      <c r="AT75" s="1337"/>
      <c r="AU75" s="1337"/>
      <c r="AV75" s="820"/>
    </row>
    <row r="76" spans="1:57" ht="12" customHeight="1" x14ac:dyDescent="0.2">
      <c r="A76" s="781"/>
      <c r="B76" s="832"/>
      <c r="R76" s="781"/>
      <c r="S76" s="781"/>
      <c r="T76" s="781"/>
      <c r="U76" s="781"/>
      <c r="V76" s="781"/>
      <c r="AA76" s="1337"/>
      <c r="AB76" s="1337"/>
      <c r="AC76" s="820"/>
      <c r="AM76" s="781"/>
      <c r="AN76" s="781"/>
      <c r="AO76" s="781"/>
      <c r="AT76" s="1337"/>
      <c r="AU76" s="1337"/>
      <c r="AV76" s="820"/>
    </row>
    <row r="77" spans="1:57" ht="12" customHeight="1" x14ac:dyDescent="0.2">
      <c r="A77" s="781"/>
      <c r="B77" s="781"/>
      <c r="R77" s="781"/>
      <c r="S77" s="781"/>
      <c r="T77" s="781"/>
      <c r="U77" s="781"/>
      <c r="V77" s="781"/>
      <c r="Y77" s="820"/>
      <c r="Z77" s="1337"/>
      <c r="AA77" s="1337"/>
      <c r="AB77" s="1337"/>
      <c r="AC77" s="820"/>
      <c r="AM77" s="781"/>
      <c r="AN77" s="781"/>
      <c r="AO77" s="781"/>
      <c r="AR77" s="820"/>
      <c r="AS77" s="1337"/>
      <c r="AT77" s="1337"/>
      <c r="AU77" s="1337"/>
      <c r="AV77" s="820"/>
    </row>
    <row r="78" spans="1:57" ht="12" customHeight="1" x14ac:dyDescent="0.2">
      <c r="A78" s="781"/>
      <c r="B78" s="781"/>
      <c r="R78" s="781"/>
      <c r="S78" s="781"/>
      <c r="T78" s="781"/>
      <c r="U78" s="781"/>
      <c r="V78" s="781"/>
      <c r="Y78" s="820"/>
      <c r="Z78" s="1337"/>
      <c r="AA78" s="1337"/>
      <c r="AB78" s="1337"/>
      <c r="AC78" s="820"/>
      <c r="AM78" s="781"/>
      <c r="AN78" s="781"/>
      <c r="AO78" s="781"/>
      <c r="AR78" s="820"/>
      <c r="AS78" s="1337"/>
      <c r="AT78" s="1337"/>
      <c r="AU78" s="1337"/>
      <c r="AV78" s="820"/>
    </row>
    <row r="79" spans="1:57" ht="12" customHeight="1" x14ac:dyDescent="0.2">
      <c r="A79" s="781"/>
      <c r="B79" s="781"/>
      <c r="R79" s="781"/>
      <c r="S79" s="781"/>
      <c r="T79" s="781"/>
      <c r="U79" s="781"/>
      <c r="V79" s="781"/>
      <c r="Y79" s="820"/>
      <c r="Z79" s="1337"/>
      <c r="AA79" s="1337"/>
      <c r="AB79" s="1337"/>
      <c r="AC79" s="820"/>
      <c r="AM79" s="781"/>
      <c r="AN79" s="781"/>
      <c r="AO79" s="781"/>
      <c r="AR79" s="820"/>
      <c r="AS79" s="1337"/>
      <c r="AT79" s="1337"/>
      <c r="AU79" s="1337"/>
      <c r="AV79" s="820"/>
    </row>
    <row r="80" spans="1:57" ht="12" customHeight="1" x14ac:dyDescent="0.2">
      <c r="A80" s="781"/>
      <c r="B80" s="781"/>
      <c r="K80" s="781"/>
      <c r="R80" s="781"/>
      <c r="S80" s="781"/>
      <c r="T80" s="781"/>
      <c r="U80" s="781"/>
      <c r="V80" s="781"/>
      <c r="Y80" s="820"/>
      <c r="Z80" s="1337"/>
      <c r="AA80" s="1337"/>
      <c r="AB80" s="1337"/>
      <c r="AC80" s="820"/>
      <c r="AM80" s="781"/>
      <c r="AN80" s="781"/>
      <c r="AO80" s="781"/>
      <c r="AR80" s="820"/>
      <c r="AS80" s="1337"/>
      <c r="AT80" s="1337"/>
      <c r="AU80" s="1337"/>
      <c r="AV80" s="820"/>
    </row>
    <row r="81" spans="1:39" ht="12" customHeight="1" x14ac:dyDescent="0.2">
      <c r="A81" s="781"/>
      <c r="B81" s="781"/>
      <c r="R81" s="781"/>
      <c r="S81" s="781"/>
      <c r="T81" s="781"/>
      <c r="AM81" s="781"/>
    </row>
    <row r="82" spans="1:39" ht="12" customHeight="1" x14ac:dyDescent="0.2">
      <c r="A82" s="781"/>
      <c r="B82" s="781"/>
    </row>
    <row r="83" spans="1:39" ht="12" customHeight="1" x14ac:dyDescent="0.2">
      <c r="A83" s="781"/>
      <c r="B83" s="781"/>
    </row>
    <row r="84" spans="1:39" ht="12" customHeight="1" x14ac:dyDescent="0.2">
      <c r="A84" s="781"/>
      <c r="B84" s="781"/>
    </row>
    <row r="85" spans="1:39" ht="12" customHeight="1" x14ac:dyDescent="0.2">
      <c r="A85" s="781"/>
      <c r="B85" s="781"/>
    </row>
    <row r="86" spans="1:39" ht="12" customHeight="1" x14ac:dyDescent="0.2">
      <c r="A86" s="781"/>
      <c r="B86" s="781"/>
    </row>
    <row r="87" spans="1:39" ht="12" customHeight="1" x14ac:dyDescent="0.2">
      <c r="A87" s="781"/>
      <c r="B87" s="781"/>
    </row>
    <row r="88" spans="1:39" ht="12" customHeight="1" x14ac:dyDescent="0.2">
      <c r="A88" s="781"/>
      <c r="B88" s="781"/>
    </row>
    <row r="89" spans="1:39" ht="12" customHeight="1" x14ac:dyDescent="0.2">
      <c r="A89" s="781"/>
      <c r="B89" s="781"/>
      <c r="D89" s="820"/>
      <c r="E89" s="820"/>
      <c r="F89" s="1340"/>
      <c r="G89" s="1330"/>
      <c r="H89" s="1330"/>
      <c r="I89" s="1341"/>
      <c r="J89" s="1337"/>
      <c r="K89" s="1337"/>
      <c r="L89" s="1337"/>
      <c r="M89" s="820"/>
    </row>
    <row r="90" spans="1:39" ht="12" customHeight="1" x14ac:dyDescent="0.2">
      <c r="A90" s="781"/>
      <c r="B90" s="781"/>
      <c r="D90" s="820"/>
      <c r="E90" s="820"/>
      <c r="F90" s="1340"/>
      <c r="G90" s="1330"/>
      <c r="H90" s="1330"/>
      <c r="I90" s="1341"/>
      <c r="J90" s="1337"/>
      <c r="K90" s="1337"/>
      <c r="L90" s="1337"/>
      <c r="M90" s="820"/>
    </row>
    <row r="91" spans="1:39" ht="12" customHeight="1" x14ac:dyDescent="0.2">
      <c r="A91" s="781"/>
      <c r="B91" s="781"/>
      <c r="D91" s="820"/>
      <c r="E91" s="820"/>
      <c r="F91" s="1340"/>
      <c r="G91" s="1330"/>
      <c r="H91" s="1330"/>
      <c r="I91" s="1341"/>
      <c r="J91" s="1337"/>
      <c r="K91" s="1337"/>
      <c r="L91" s="1337"/>
      <c r="M91" s="820"/>
    </row>
    <row r="92" spans="1:39" ht="12" customHeight="1" x14ac:dyDescent="0.2">
      <c r="A92" s="781"/>
      <c r="B92" s="781"/>
      <c r="D92" s="820"/>
      <c r="E92" s="820"/>
      <c r="F92" s="1340"/>
      <c r="G92" s="1330"/>
      <c r="H92" s="1330"/>
      <c r="I92" s="1341"/>
      <c r="J92" s="1337"/>
      <c r="K92" s="1337"/>
      <c r="L92" s="1337"/>
      <c r="M92" s="820"/>
    </row>
    <row r="93" spans="1:39" ht="12" customHeight="1" x14ac:dyDescent="0.2">
      <c r="A93" s="781"/>
      <c r="B93" s="781"/>
      <c r="D93" s="820"/>
      <c r="E93" s="820"/>
      <c r="F93" s="1340"/>
      <c r="G93" s="1330"/>
      <c r="H93" s="1330"/>
      <c r="I93" s="1341"/>
      <c r="J93" s="1337"/>
      <c r="K93" s="1337"/>
      <c r="L93" s="1337"/>
      <c r="M93" s="820"/>
    </row>
    <row r="94" spans="1:39" ht="12" customHeight="1" x14ac:dyDescent="0.2">
      <c r="A94" s="781"/>
      <c r="B94" s="781"/>
      <c r="D94" s="820"/>
      <c r="E94" s="820"/>
      <c r="F94" s="1340"/>
      <c r="G94" s="1330"/>
      <c r="H94" s="1330"/>
      <c r="I94" s="1341"/>
      <c r="J94" s="1337"/>
      <c r="K94" s="1337"/>
      <c r="L94" s="1337"/>
      <c r="M94" s="820"/>
    </row>
    <row r="95" spans="1:39" ht="12" customHeight="1" x14ac:dyDescent="0.2">
      <c r="A95" s="781"/>
      <c r="B95" s="781"/>
      <c r="D95" s="820"/>
      <c r="E95" s="820"/>
      <c r="F95" s="820"/>
      <c r="G95" s="820"/>
      <c r="H95" s="820"/>
      <c r="I95" s="820"/>
      <c r="J95" s="820"/>
      <c r="K95" s="820"/>
      <c r="L95" s="820"/>
      <c r="M95" s="820"/>
    </row>
    <row r="96" spans="1:39" ht="12" customHeight="1" x14ac:dyDescent="0.2">
      <c r="A96" s="781"/>
      <c r="B96" s="781"/>
      <c r="D96" s="820"/>
      <c r="E96" s="820"/>
      <c r="F96" s="820"/>
      <c r="G96" s="820"/>
      <c r="H96" s="820"/>
      <c r="I96" s="820"/>
      <c r="J96" s="820"/>
      <c r="K96" s="820"/>
      <c r="L96" s="820"/>
      <c r="M96" s="820"/>
    </row>
    <row r="97" spans="1:13" ht="12" customHeight="1" x14ac:dyDescent="0.2">
      <c r="A97" s="781"/>
      <c r="B97" s="781"/>
      <c r="D97" s="820"/>
      <c r="E97" s="820"/>
      <c r="F97" s="820"/>
      <c r="G97" s="820"/>
      <c r="H97" s="820"/>
      <c r="I97" s="820"/>
      <c r="J97" s="820"/>
      <c r="K97" s="820"/>
      <c r="L97" s="820"/>
      <c r="M97" s="820"/>
    </row>
    <row r="98" spans="1:13" ht="12" customHeight="1" x14ac:dyDescent="0.2">
      <c r="A98" s="781"/>
      <c r="B98" s="781"/>
      <c r="D98" s="820"/>
      <c r="E98" s="820"/>
      <c r="F98" s="820"/>
      <c r="G98" s="820"/>
      <c r="H98" s="820"/>
      <c r="I98" s="820"/>
      <c r="J98" s="820"/>
      <c r="K98" s="820"/>
      <c r="L98" s="820"/>
      <c r="M98" s="820"/>
    </row>
    <row r="99" spans="1:13" ht="12" customHeight="1" x14ac:dyDescent="0.2">
      <c r="A99" s="781"/>
      <c r="B99" s="781"/>
    </row>
    <row r="100" spans="1:13" ht="12" customHeight="1" x14ac:dyDescent="0.2">
      <c r="A100" s="781"/>
      <c r="B100" s="781"/>
    </row>
    <row r="101" spans="1:13" ht="12" customHeight="1" x14ac:dyDescent="0.2">
      <c r="A101" s="781"/>
      <c r="B101" s="781"/>
    </row>
    <row r="102" spans="1:13" ht="12" customHeight="1" x14ac:dyDescent="0.2">
      <c r="A102" s="781"/>
      <c r="B102" s="781"/>
    </row>
    <row r="103" spans="1:13" ht="12" customHeight="1" x14ac:dyDescent="0.2">
      <c r="A103" s="781"/>
      <c r="B103" s="781"/>
    </row>
    <row r="104" spans="1:13" ht="12" customHeight="1" x14ac:dyDescent="0.2">
      <c r="A104" s="781"/>
      <c r="B104" s="781"/>
    </row>
    <row r="105" spans="1:13" ht="12" customHeight="1" x14ac:dyDescent="0.2">
      <c r="A105" s="781"/>
      <c r="B105" s="781"/>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64" customWidth="1"/>
    <col min="2" max="2" width="2.5703125" style="2473" customWidth="1"/>
    <col min="3" max="17" width="5.7109375" style="764"/>
    <col min="18" max="18" width="2.7109375" style="764" customWidth="1"/>
    <col min="19" max="20" width="0.42578125" style="764" customWidth="1"/>
    <col min="21" max="21" width="2.5703125" style="2096" customWidth="1"/>
    <col min="22" max="36" width="5.7109375" style="764"/>
    <col min="37" max="37" width="1.85546875" style="764" customWidth="1"/>
    <col min="38" max="39" width="0.5703125" style="764" customWidth="1"/>
    <col min="40" max="40" width="2.5703125" style="2096" customWidth="1"/>
    <col min="41" max="55" width="5.7109375" style="764"/>
    <col min="56" max="56" width="1.85546875" style="764" customWidth="1"/>
    <col min="57" max="58" width="0.5703125" style="764" customWidth="1"/>
    <col min="59" max="59" width="2.5703125" style="2096" customWidth="1"/>
    <col min="60" max="74" width="5.7109375" style="764"/>
    <col min="75" max="75" width="1.85546875" style="764" customWidth="1"/>
    <col min="76" max="77" width="0.5703125" style="764" customWidth="1"/>
    <col min="78" max="78" width="2.5703125" style="2096" customWidth="1"/>
    <col min="79" max="93" width="5.7109375" style="764"/>
    <col min="94" max="94" width="2.28515625" style="764" customWidth="1"/>
    <col min="95" max="95" width="2.7109375" style="764" customWidth="1"/>
    <col min="96" max="16384" width="5.7109375" style="764"/>
  </cols>
  <sheetData>
    <row r="1" spans="1:95" ht="12" customHeight="1" thickBot="1" x14ac:dyDescent="0.25">
      <c r="A1" s="1289"/>
      <c r="B1" s="2469"/>
      <c r="C1" s="1289"/>
      <c r="D1" s="1289"/>
      <c r="E1" s="1289"/>
      <c r="F1" s="1289"/>
      <c r="G1" s="1289"/>
      <c r="H1" s="1289"/>
      <c r="I1" s="1289"/>
      <c r="J1" s="1289"/>
      <c r="K1" s="1289"/>
      <c r="L1" s="1289"/>
      <c r="M1" s="1289"/>
      <c r="N1" s="1289"/>
      <c r="O1" s="1289"/>
      <c r="P1" s="1289"/>
      <c r="Q1" s="1289"/>
      <c r="R1" s="1289"/>
      <c r="S1" s="1289"/>
      <c r="T1" s="1289"/>
      <c r="U1" s="2469"/>
      <c r="V1" s="1289"/>
      <c r="W1" s="1289"/>
      <c r="X1" s="1289"/>
      <c r="Y1" s="1289"/>
      <c r="Z1" s="1289"/>
      <c r="AA1" s="1289"/>
      <c r="AB1" s="1289"/>
      <c r="AC1" s="1289"/>
      <c r="AD1" s="1289"/>
      <c r="AE1" s="1289"/>
      <c r="AF1" s="1289"/>
      <c r="AG1" s="1289"/>
      <c r="AH1" s="1289"/>
      <c r="AI1" s="1289"/>
      <c r="AJ1" s="1289"/>
      <c r="AK1" s="1289"/>
      <c r="AL1" s="1289"/>
      <c r="AM1" s="1289"/>
      <c r="AN1" s="2469"/>
      <c r="AO1" s="1289"/>
      <c r="AP1" s="1289"/>
      <c r="AQ1" s="1289"/>
      <c r="AR1" s="1289"/>
      <c r="AS1" s="1289"/>
      <c r="AT1" s="1289"/>
      <c r="AU1" s="1289"/>
      <c r="AV1" s="1289"/>
      <c r="AW1" s="1289"/>
      <c r="AX1" s="1289"/>
      <c r="AY1" s="1289"/>
      <c r="AZ1" s="1289"/>
      <c r="BA1" s="1289"/>
      <c r="BB1" s="1289"/>
      <c r="BC1" s="1289"/>
      <c r="BD1" s="1289"/>
      <c r="BE1" s="1289"/>
      <c r="BF1" s="1289"/>
      <c r="BG1" s="2469"/>
      <c r="BH1" s="1289"/>
      <c r="BI1" s="1289"/>
      <c r="BJ1" s="1289"/>
      <c r="BK1" s="1289"/>
      <c r="BL1" s="1289"/>
      <c r="BM1" s="1289"/>
      <c r="BN1" s="1289"/>
      <c r="BO1" s="1289"/>
      <c r="BP1" s="1289"/>
      <c r="BQ1" s="1289"/>
      <c r="BR1" s="1289"/>
      <c r="BS1" s="1289"/>
      <c r="BT1" s="1289"/>
      <c r="BU1" s="1289"/>
      <c r="BV1" s="1289"/>
      <c r="BW1" s="1289"/>
      <c r="BX1" s="1289"/>
      <c r="BY1" s="1289"/>
      <c r="BZ1" s="2469"/>
      <c r="CA1" s="1289"/>
      <c r="CB1" s="1289"/>
      <c r="CC1" s="1289"/>
      <c r="CD1" s="1289"/>
      <c r="CE1" s="1289"/>
      <c r="CF1" s="1289"/>
      <c r="CG1" s="1289"/>
      <c r="CH1" s="1289"/>
      <c r="CI1" s="1289"/>
      <c r="CJ1" s="1289"/>
      <c r="CK1" s="1289"/>
      <c r="CL1" s="1289"/>
      <c r="CM1" s="1289"/>
      <c r="CN1" s="1289"/>
      <c r="CO1" s="1289"/>
      <c r="CP1" s="1289"/>
      <c r="CQ1" s="1289"/>
    </row>
    <row r="2" spans="1:95" ht="12" customHeight="1" thickBot="1" x14ac:dyDescent="0.25">
      <c r="A2" s="1289"/>
      <c r="B2" s="2470"/>
      <c r="C2" s="1291"/>
      <c r="D2" s="1291"/>
      <c r="E2" s="1291"/>
      <c r="F2" s="1291"/>
      <c r="G2" s="1291"/>
      <c r="H2" s="1291"/>
      <c r="I2" s="1291"/>
      <c r="J2" s="1291"/>
      <c r="K2" s="1291"/>
      <c r="L2" s="1291"/>
      <c r="M2" s="1291"/>
      <c r="N2" s="1291"/>
      <c r="O2" s="1291"/>
      <c r="P2" s="1291"/>
      <c r="Q2" s="1291"/>
      <c r="R2" s="1292"/>
      <c r="S2" s="1289"/>
      <c r="T2" s="1289"/>
      <c r="U2" s="2470"/>
      <c r="V2" s="1291"/>
      <c r="W2" s="1291"/>
      <c r="X2" s="1291"/>
      <c r="Y2" s="1291"/>
      <c r="Z2" s="1291"/>
      <c r="AA2" s="1291"/>
      <c r="AB2" s="1291"/>
      <c r="AC2" s="1291"/>
      <c r="AD2" s="1291"/>
      <c r="AE2" s="1291"/>
      <c r="AF2" s="1291"/>
      <c r="AG2" s="1291"/>
      <c r="AH2" s="1291"/>
      <c r="AI2" s="1291"/>
      <c r="AJ2" s="1291"/>
      <c r="AK2" s="1292"/>
      <c r="AL2" s="1289"/>
      <c r="AM2" s="1289"/>
      <c r="AN2" s="2470"/>
      <c r="AO2" s="1291"/>
      <c r="AP2" s="1291"/>
      <c r="AQ2" s="1291"/>
      <c r="AR2" s="1291"/>
      <c r="AS2" s="1291"/>
      <c r="AT2" s="1291"/>
      <c r="AU2" s="1291"/>
      <c r="AV2" s="1291"/>
      <c r="AW2" s="1291"/>
      <c r="AX2" s="1291"/>
      <c r="AY2" s="1291"/>
      <c r="AZ2" s="1291"/>
      <c r="BA2" s="1291"/>
      <c r="BB2" s="1291"/>
      <c r="BC2" s="1291"/>
      <c r="BD2" s="1292"/>
      <c r="BE2" s="1289"/>
      <c r="BF2" s="1289"/>
      <c r="BG2" s="2470"/>
      <c r="BH2" s="1291"/>
      <c r="BI2" s="1291"/>
      <c r="BJ2" s="1291"/>
      <c r="BK2" s="1291"/>
      <c r="BL2" s="1291"/>
      <c r="BM2" s="1291"/>
      <c r="BN2" s="1291"/>
      <c r="BO2" s="1291"/>
      <c r="BP2" s="1291"/>
      <c r="BQ2" s="1291"/>
      <c r="BR2" s="1291"/>
      <c r="BS2" s="1291"/>
      <c r="BT2" s="1291"/>
      <c r="BU2" s="1291"/>
      <c r="BV2" s="1291"/>
      <c r="BW2" s="1292"/>
      <c r="BX2" s="1289"/>
      <c r="BY2" s="1289"/>
      <c r="BZ2" s="2470"/>
      <c r="CA2" s="1291"/>
      <c r="CB2" s="1291"/>
      <c r="CC2" s="1291"/>
      <c r="CD2" s="1291"/>
      <c r="CE2" s="1291"/>
      <c r="CF2" s="1291"/>
      <c r="CG2" s="1291"/>
      <c r="CH2" s="1291"/>
      <c r="CI2" s="1291"/>
      <c r="CJ2" s="1291"/>
      <c r="CK2" s="1291"/>
      <c r="CL2" s="1291"/>
      <c r="CM2" s="1291"/>
      <c r="CN2" s="1291"/>
      <c r="CO2" s="1291"/>
      <c r="CP2" s="1292"/>
      <c r="CQ2" s="1289"/>
    </row>
    <row r="3" spans="1:95" ht="12" customHeight="1" thickBot="1" x14ac:dyDescent="0.25">
      <c r="A3" s="1289"/>
      <c r="B3" s="2471"/>
      <c r="C3" s="2459"/>
      <c r="D3" s="2460"/>
      <c r="E3" s="2460"/>
      <c r="F3" s="2460"/>
      <c r="G3" s="2460"/>
      <c r="H3" s="2460"/>
      <c r="I3" s="2460"/>
      <c r="J3" s="2460"/>
      <c r="K3" s="2460"/>
      <c r="L3" s="2460"/>
      <c r="M3" s="2460"/>
      <c r="N3" s="2460"/>
      <c r="O3" s="2460"/>
      <c r="P3" s="2460"/>
      <c r="Q3" s="1294"/>
      <c r="R3" s="1295"/>
      <c r="S3" s="1289"/>
      <c r="T3" s="1289"/>
      <c r="U3" s="2471"/>
      <c r="V3" s="2459"/>
      <c r="W3" s="2460"/>
      <c r="X3" s="2460"/>
      <c r="Y3" s="2460"/>
      <c r="Z3" s="2460"/>
      <c r="AA3" s="2460"/>
      <c r="AB3" s="2460"/>
      <c r="AC3" s="2460"/>
      <c r="AD3" s="2460"/>
      <c r="AE3" s="2460"/>
      <c r="AF3" s="2460"/>
      <c r="AG3" s="2460"/>
      <c r="AH3" s="2460"/>
      <c r="AI3" s="2460"/>
      <c r="AJ3" s="1294"/>
      <c r="AK3" s="1295"/>
      <c r="AL3" s="1289"/>
      <c r="AM3" s="1289"/>
      <c r="AN3" s="2471"/>
      <c r="AO3" s="2459"/>
      <c r="AP3" s="2460"/>
      <c r="AQ3" s="2460"/>
      <c r="AR3" s="2460"/>
      <c r="AS3" s="2460"/>
      <c r="AT3" s="2460"/>
      <c r="AU3" s="2460"/>
      <c r="AV3" s="2460"/>
      <c r="AW3" s="2460"/>
      <c r="AX3" s="2460"/>
      <c r="AY3" s="2460"/>
      <c r="AZ3" s="2460"/>
      <c r="BA3" s="2460"/>
      <c r="BB3" s="2460"/>
      <c r="BC3" s="1294"/>
      <c r="BD3" s="1295"/>
      <c r="BE3" s="1289"/>
      <c r="BF3" s="1289"/>
      <c r="BG3" s="2471"/>
      <c r="BH3" s="2459"/>
      <c r="BI3" s="2460"/>
      <c r="BJ3" s="2460"/>
      <c r="BK3" s="2460"/>
      <c r="BL3" s="2460"/>
      <c r="BM3" s="2460"/>
      <c r="BN3" s="2460"/>
      <c r="BO3" s="2460"/>
      <c r="BP3" s="2460"/>
      <c r="BQ3" s="2460"/>
      <c r="BR3" s="2460"/>
      <c r="BS3" s="2460"/>
      <c r="BT3" s="2460"/>
      <c r="BU3" s="2460"/>
      <c r="BV3" s="1294"/>
      <c r="BW3" s="1295"/>
      <c r="BX3" s="1289"/>
      <c r="BY3" s="1289"/>
      <c r="BZ3" s="2471"/>
      <c r="CA3" s="2459"/>
      <c r="CB3" s="2460"/>
      <c r="CC3" s="2460"/>
      <c r="CD3" s="2460"/>
      <c r="CE3" s="2460"/>
      <c r="CF3" s="2460"/>
      <c r="CG3" s="2460"/>
      <c r="CH3" s="2460"/>
      <c r="CI3" s="2460"/>
      <c r="CJ3" s="2460"/>
      <c r="CK3" s="2460"/>
      <c r="CL3" s="2460"/>
      <c r="CM3" s="2460"/>
      <c r="CN3" s="2460"/>
      <c r="CO3" s="1294"/>
      <c r="CP3" s="1295"/>
      <c r="CQ3" s="1289"/>
    </row>
    <row r="4" spans="1:95" s="2480" customFormat="1" ht="12" customHeight="1" thickBot="1" x14ac:dyDescent="0.25">
      <c r="A4" s="2474"/>
      <c r="B4" s="2479"/>
      <c r="C4" s="2475"/>
      <c r="D4" s="2491" t="s">
        <v>9665</v>
      </c>
      <c r="E4" s="5055" t="s">
        <v>2479</v>
      </c>
      <c r="F4" s="5055"/>
      <c r="G4" s="5055"/>
      <c r="H4" s="5061" t="s">
        <v>9666</v>
      </c>
      <c r="I4" s="5062"/>
      <c r="J4" s="5055" t="s">
        <v>260</v>
      </c>
      <c r="K4" s="5055"/>
      <c r="L4" s="5056"/>
      <c r="M4" s="2476"/>
      <c r="N4" s="2476"/>
      <c r="O4" s="2489" t="s">
        <v>9664</v>
      </c>
      <c r="P4" s="2490" t="str">
        <f>B8&amp;"-"&amp;B108</f>
        <v>2-20</v>
      </c>
      <c r="Q4" s="2477"/>
      <c r="R4" s="2478"/>
      <c r="S4" s="2474"/>
      <c r="T4" s="2474"/>
      <c r="U4" s="2479"/>
      <c r="V4" s="2475"/>
      <c r="W4" s="2493" t="s">
        <v>9665</v>
      </c>
      <c r="X4" s="5059" t="str">
        <f>IF($E$4="","",$E$4)</f>
        <v>Fuego</v>
      </c>
      <c r="Y4" s="5059"/>
      <c r="Z4" s="5059"/>
      <c r="AA4" s="5057" t="s">
        <v>9666</v>
      </c>
      <c r="AB4" s="5058"/>
      <c r="AC4" s="5059" t="str">
        <f>IF($J$4="","",$J$4)</f>
        <v>Guerra</v>
      </c>
      <c r="AD4" s="5059"/>
      <c r="AE4" s="5060"/>
      <c r="AF4" s="2476"/>
      <c r="AG4" s="2476"/>
      <c r="AH4" s="2489" t="s">
        <v>9664</v>
      </c>
      <c r="AI4" s="2490" t="str">
        <f>U8&amp;"-"&amp;U108</f>
        <v>22-40</v>
      </c>
      <c r="AJ4" s="2477"/>
      <c r="AK4" s="2478"/>
      <c r="AL4" s="2474"/>
      <c r="AM4" s="2474"/>
      <c r="AN4" s="2479"/>
      <c r="AO4" s="2475"/>
      <c r="AP4" s="2493" t="s">
        <v>9665</v>
      </c>
      <c r="AQ4" s="5059" t="str">
        <f>IF($E$4="","",$E$4)</f>
        <v>Fuego</v>
      </c>
      <c r="AR4" s="5059"/>
      <c r="AS4" s="5059"/>
      <c r="AT4" s="5057" t="s">
        <v>9666</v>
      </c>
      <c r="AU4" s="5058"/>
      <c r="AV4" s="5059" t="str">
        <f>IF($J$4="","",$J$4)</f>
        <v>Guerra</v>
      </c>
      <c r="AW4" s="5059"/>
      <c r="AX4" s="5060"/>
      <c r="AY4" s="2476"/>
      <c r="AZ4" s="2476"/>
      <c r="BA4" s="2489" t="s">
        <v>9664</v>
      </c>
      <c r="BB4" s="2490" t="str">
        <f>AN8&amp;"-"&amp;AN108</f>
        <v>42-60</v>
      </c>
      <c r="BC4" s="2477"/>
      <c r="BD4" s="2478"/>
      <c r="BE4" s="2474"/>
      <c r="BF4" s="2474"/>
      <c r="BG4" s="2479"/>
      <c r="BH4" s="2475"/>
      <c r="BI4" s="2493" t="s">
        <v>9665</v>
      </c>
      <c r="BJ4" s="5059" t="str">
        <f>IF($E$4="","",$E$4)</f>
        <v>Fuego</v>
      </c>
      <c r="BK4" s="5059"/>
      <c r="BL4" s="5059"/>
      <c r="BM4" s="5057" t="s">
        <v>9666</v>
      </c>
      <c r="BN4" s="5058"/>
      <c r="BO4" s="5059" t="str">
        <f>IF($J$4="","",$J$4)</f>
        <v>Guerra</v>
      </c>
      <c r="BP4" s="5059"/>
      <c r="BQ4" s="5060"/>
      <c r="BR4" s="2476"/>
      <c r="BS4" s="2476"/>
      <c r="BT4" s="2489" t="s">
        <v>9664</v>
      </c>
      <c r="BU4" s="2490" t="str">
        <f>BG8&amp;"-"&amp;BG108</f>
        <v>62-80</v>
      </c>
      <c r="BV4" s="2477"/>
      <c r="BW4" s="2478"/>
      <c r="BX4" s="2474"/>
      <c r="BY4" s="2474"/>
      <c r="BZ4" s="2479"/>
      <c r="CA4" s="2475"/>
      <c r="CB4" s="2493" t="s">
        <v>9665</v>
      </c>
      <c r="CC4" s="5059" t="str">
        <f>IF($E$4="","",$E$4)</f>
        <v>Fuego</v>
      </c>
      <c r="CD4" s="5059"/>
      <c r="CE4" s="5059"/>
      <c r="CF4" s="5057" t="s">
        <v>9666</v>
      </c>
      <c r="CG4" s="5058"/>
      <c r="CH4" s="5059" t="str">
        <f>IF($J$4="","",$J$4)</f>
        <v>Guerra</v>
      </c>
      <c r="CI4" s="5059"/>
      <c r="CJ4" s="5060"/>
      <c r="CK4" s="2476"/>
      <c r="CL4" s="2476"/>
      <c r="CM4" s="2489" t="s">
        <v>9664</v>
      </c>
      <c r="CN4" s="2494" t="str">
        <f>BZ8&amp;"-"&amp;BZ108</f>
        <v>82-100</v>
      </c>
      <c r="CO4" s="2477"/>
      <c r="CP4" s="2478"/>
      <c r="CQ4" s="2474"/>
    </row>
    <row r="5" spans="1:95" ht="12" customHeight="1" thickBot="1" x14ac:dyDescent="0.25">
      <c r="A5" s="1289"/>
      <c r="B5" s="2471"/>
      <c r="C5" s="2462"/>
      <c r="D5" s="2463"/>
      <c r="E5" s="2463"/>
      <c r="F5" s="2463"/>
      <c r="G5" s="2463"/>
      <c r="H5" s="2463"/>
      <c r="I5" s="2463"/>
      <c r="J5" s="2463"/>
      <c r="K5" s="2463"/>
      <c r="L5" s="2463"/>
      <c r="M5" s="2463"/>
      <c r="N5" s="2463"/>
      <c r="O5" s="2463"/>
      <c r="P5" s="2463"/>
      <c r="Q5" s="1308"/>
      <c r="R5" s="1295"/>
      <c r="S5" s="1289"/>
      <c r="T5" s="1289"/>
      <c r="U5" s="2471"/>
      <c r="V5" s="2462"/>
      <c r="W5" s="2463"/>
      <c r="X5" s="2463"/>
      <c r="Y5" s="2463"/>
      <c r="Z5" s="2463"/>
      <c r="AA5" s="2463"/>
      <c r="AB5" s="2463"/>
      <c r="AC5" s="2463"/>
      <c r="AD5" s="2463"/>
      <c r="AE5" s="2463"/>
      <c r="AF5" s="2463"/>
      <c r="AG5" s="2463"/>
      <c r="AH5" s="2463"/>
      <c r="AI5" s="2463"/>
      <c r="AJ5" s="1308"/>
      <c r="AK5" s="1295"/>
      <c r="AL5" s="1289"/>
      <c r="AM5" s="1289"/>
      <c r="AN5" s="2471"/>
      <c r="AO5" s="2462"/>
      <c r="AP5" s="2463"/>
      <c r="AQ5" s="2463"/>
      <c r="AR5" s="2463"/>
      <c r="AS5" s="2463"/>
      <c r="AT5" s="2463"/>
      <c r="AU5" s="2463"/>
      <c r="AV5" s="2463"/>
      <c r="AW5" s="2463"/>
      <c r="AX5" s="2463"/>
      <c r="AY5" s="2463"/>
      <c r="AZ5" s="2463"/>
      <c r="BA5" s="2463"/>
      <c r="BB5" s="2463"/>
      <c r="BC5" s="1308"/>
      <c r="BD5" s="1295"/>
      <c r="BE5" s="1289"/>
      <c r="BF5" s="1289"/>
      <c r="BG5" s="2471"/>
      <c r="BH5" s="2462"/>
      <c r="BI5" s="2463"/>
      <c r="BJ5" s="2463"/>
      <c r="BK5" s="2463"/>
      <c r="BL5" s="2463"/>
      <c r="BM5" s="2463"/>
      <c r="BN5" s="2463"/>
      <c r="BO5" s="2463"/>
      <c r="BP5" s="2463"/>
      <c r="BQ5" s="2463"/>
      <c r="BR5" s="2463"/>
      <c r="BS5" s="2463"/>
      <c r="BT5" s="2463"/>
      <c r="BU5" s="2463"/>
      <c r="BV5" s="1308"/>
      <c r="BW5" s="1295"/>
      <c r="BX5" s="1289"/>
      <c r="BY5" s="1289"/>
      <c r="BZ5" s="2471"/>
      <c r="CA5" s="2462"/>
      <c r="CB5" s="2463"/>
      <c r="CC5" s="2463"/>
      <c r="CD5" s="2463"/>
      <c r="CE5" s="2463"/>
      <c r="CF5" s="2463"/>
      <c r="CG5" s="2463"/>
      <c r="CH5" s="2463"/>
      <c r="CI5" s="2463"/>
      <c r="CJ5" s="2463"/>
      <c r="CK5" s="2463"/>
      <c r="CL5" s="2463"/>
      <c r="CM5" s="2463"/>
      <c r="CN5" s="2463"/>
      <c r="CO5" s="1308"/>
      <c r="CP5" s="1295"/>
      <c r="CQ5" s="1289"/>
    </row>
    <row r="6" spans="1:95" ht="12" customHeight="1" x14ac:dyDescent="0.2">
      <c r="A6" s="1289"/>
      <c r="B6" s="2471"/>
      <c r="D6" s="2492"/>
      <c r="R6" s="1295"/>
      <c r="S6" s="1289"/>
      <c r="T6" s="1289"/>
      <c r="U6" s="2471"/>
      <c r="V6" s="2487"/>
      <c r="W6" s="2487"/>
      <c r="X6" s="2487"/>
      <c r="Y6" s="2487"/>
      <c r="Z6" s="2487"/>
      <c r="AA6" s="2487"/>
      <c r="AC6" s="2487"/>
      <c r="AD6" s="2487"/>
      <c r="AE6" s="2487"/>
      <c r="AF6" s="2487"/>
      <c r="AG6" s="2487"/>
      <c r="AH6" s="2487"/>
      <c r="AI6" s="2487"/>
      <c r="AK6" s="1295"/>
      <c r="AL6" s="1289"/>
      <c r="AM6" s="1289"/>
      <c r="AN6" s="2471"/>
      <c r="AO6" s="2487"/>
      <c r="AP6" s="2487"/>
      <c r="AQ6" s="2487"/>
      <c r="AR6" s="2487"/>
      <c r="AS6" s="2487"/>
      <c r="AT6" s="2487"/>
      <c r="AV6" s="2487"/>
      <c r="AW6" s="2487"/>
      <c r="AX6" s="2487"/>
      <c r="AY6" s="2487"/>
      <c r="AZ6" s="2487"/>
      <c r="BA6" s="2487"/>
      <c r="BB6" s="2487"/>
      <c r="BD6" s="1295"/>
      <c r="BE6" s="1289"/>
      <c r="BF6" s="1289"/>
      <c r="BG6" s="2471"/>
      <c r="BH6" s="2487"/>
      <c r="BI6" s="2487"/>
      <c r="BJ6" s="2487"/>
      <c r="BK6" s="2487"/>
      <c r="BL6" s="2487"/>
      <c r="BM6" s="2487"/>
      <c r="BO6" s="2487"/>
      <c r="BP6" s="2487"/>
      <c r="BQ6" s="2487"/>
      <c r="BR6" s="2487"/>
      <c r="BS6" s="2487"/>
      <c r="BT6" s="2487"/>
      <c r="BU6" s="2487"/>
      <c r="BW6" s="1295"/>
      <c r="BX6" s="1289"/>
      <c r="BY6" s="1289"/>
      <c r="BZ6" s="2471"/>
      <c r="CP6" s="1295"/>
      <c r="CQ6" s="1289"/>
    </row>
    <row r="7" spans="1:95" ht="12" customHeight="1" thickBot="1" x14ac:dyDescent="0.25">
      <c r="A7" s="1289"/>
      <c r="B7" s="2488"/>
      <c r="C7" s="5054" t="str">
        <f>B8&amp;"-"&amp;B52</f>
        <v>2-10</v>
      </c>
      <c r="D7" s="5054"/>
      <c r="E7" s="5054"/>
      <c r="F7" s="5054"/>
      <c r="G7" s="5054"/>
      <c r="H7" s="5054"/>
      <c r="I7" s="5054"/>
      <c r="J7" s="5054"/>
      <c r="K7" s="5054"/>
      <c r="L7" s="5054"/>
      <c r="M7" s="5054"/>
      <c r="N7" s="5054"/>
      <c r="O7" s="5054"/>
      <c r="P7" s="5054"/>
      <c r="Q7" s="5054"/>
      <c r="R7" s="2483"/>
      <c r="S7" s="1289"/>
      <c r="T7" s="1289"/>
      <c r="U7" s="2482"/>
      <c r="V7" s="5054" t="str">
        <f>U8&amp;"-"&amp;U52</f>
        <v>22-30</v>
      </c>
      <c r="W7" s="5054"/>
      <c r="X7" s="5054"/>
      <c r="Y7" s="5054"/>
      <c r="Z7" s="5054"/>
      <c r="AA7" s="5054"/>
      <c r="AB7" s="5054"/>
      <c r="AC7" s="5054"/>
      <c r="AD7" s="5054"/>
      <c r="AE7" s="5054"/>
      <c r="AF7" s="5054"/>
      <c r="AG7" s="5054"/>
      <c r="AH7" s="5054"/>
      <c r="AI7" s="5054"/>
      <c r="AJ7" s="5054"/>
      <c r="AK7" s="2483"/>
      <c r="AL7" s="1289"/>
      <c r="AM7" s="2486"/>
      <c r="AN7" s="2482"/>
      <c r="AO7" s="5054" t="str">
        <f>AN8&amp;"-"&amp;AN52</f>
        <v>42-50</v>
      </c>
      <c r="AP7" s="5054"/>
      <c r="AQ7" s="5054"/>
      <c r="AR7" s="5054"/>
      <c r="AS7" s="5054"/>
      <c r="AT7" s="5054"/>
      <c r="AU7" s="5054"/>
      <c r="AV7" s="5054"/>
      <c r="AW7" s="5054"/>
      <c r="AX7" s="5054"/>
      <c r="AY7" s="5054"/>
      <c r="AZ7" s="5054"/>
      <c r="BA7" s="5054"/>
      <c r="BB7" s="5054"/>
      <c r="BC7" s="5054"/>
      <c r="BD7" s="2483"/>
      <c r="BE7" s="1289"/>
      <c r="BF7" s="1289"/>
      <c r="BG7" s="2482"/>
      <c r="BH7" s="5054" t="str">
        <f>BG8&amp;"-"&amp;BG52</f>
        <v>62-70</v>
      </c>
      <c r="BI7" s="5054"/>
      <c r="BJ7" s="5054"/>
      <c r="BK7" s="5054"/>
      <c r="BL7" s="5054"/>
      <c r="BM7" s="5054"/>
      <c r="BN7" s="5054"/>
      <c r="BO7" s="5054"/>
      <c r="BP7" s="5054"/>
      <c r="BQ7" s="5054"/>
      <c r="BR7" s="5054"/>
      <c r="BS7" s="5054"/>
      <c r="BT7" s="5054"/>
      <c r="BU7" s="5054"/>
      <c r="BV7" s="5054"/>
      <c r="BW7" s="2483"/>
      <c r="BX7" s="1289"/>
      <c r="BY7" s="1289"/>
      <c r="BZ7" s="2482"/>
      <c r="CA7" s="5054" t="str">
        <f>BZ8&amp;"-"&amp;BZ52</f>
        <v>82-90</v>
      </c>
      <c r="CB7" s="5054"/>
      <c r="CC7" s="5054"/>
      <c r="CD7" s="5054"/>
      <c r="CE7" s="5054"/>
      <c r="CF7" s="5054"/>
      <c r="CG7" s="5054"/>
      <c r="CH7" s="5054"/>
      <c r="CI7" s="5054"/>
      <c r="CJ7" s="5054"/>
      <c r="CK7" s="5054"/>
      <c r="CL7" s="5054"/>
      <c r="CM7" s="5054"/>
      <c r="CN7" s="5054"/>
      <c r="CO7" s="5054"/>
      <c r="CP7" s="2483"/>
      <c r="CQ7" s="1289"/>
    </row>
    <row r="8" spans="1:95" ht="12" customHeight="1" x14ac:dyDescent="0.2">
      <c r="A8" s="1289"/>
      <c r="B8" s="2471">
        <v>2</v>
      </c>
      <c r="C8" s="5051"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52"/>
      <c r="E8" s="5052"/>
      <c r="F8" s="5052"/>
      <c r="G8" s="5053"/>
      <c r="H8" s="1309" t="s">
        <v>2171</v>
      </c>
      <c r="I8" s="1310">
        <f>IF(C8=0,"",VLOOKUP(C8,'Tablas Magia'!$D$6:$Z$680,3,FALSE))</f>
        <v>2</v>
      </c>
      <c r="J8" s="5017" t="s">
        <v>8715</v>
      </c>
      <c r="K8" s="5017"/>
      <c r="L8" s="5017"/>
      <c r="M8" s="5018" t="str">
        <f>IF(C8=0,"",VLOOKUP(C8,'Tablas Magia'!$D$6:$Z$680,2,FALSE))</f>
        <v>Fuego</v>
      </c>
      <c r="N8" s="5018"/>
      <c r="O8" s="5018"/>
      <c r="P8" s="5018"/>
      <c r="Q8" s="5019"/>
      <c r="R8" s="1295"/>
      <c r="S8" s="1289"/>
      <c r="T8" s="1289"/>
      <c r="U8" s="2471">
        <f>B8+20</f>
        <v>22</v>
      </c>
      <c r="V8" s="5051"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52"/>
      <c r="X8" s="5052"/>
      <c r="Y8" s="5052"/>
      <c r="Z8" s="5052"/>
      <c r="AA8" s="1309" t="s">
        <v>2171</v>
      </c>
      <c r="AB8" s="1310">
        <f>IF(V8=0,"",VLOOKUP(V8,'Tablas Magia'!$D$6:$Z$680,3,FALSE))</f>
        <v>22</v>
      </c>
      <c r="AC8" s="5017" t="s">
        <v>8715</v>
      </c>
      <c r="AD8" s="5017"/>
      <c r="AE8" s="5017"/>
      <c r="AF8" s="5018" t="str">
        <f>IF(V8=0,"",VLOOKUP(V8,'Tablas Magia'!$D$6:$Z$680,2,FALSE))</f>
        <v>Fuego</v>
      </c>
      <c r="AG8" s="5018"/>
      <c r="AH8" s="5018"/>
      <c r="AI8" s="5018"/>
      <c r="AJ8" s="5019"/>
      <c r="AK8" s="1295"/>
      <c r="AL8" s="1289"/>
      <c r="AM8" s="1289"/>
      <c r="AN8" s="2485">
        <f>U8+20</f>
        <v>42</v>
      </c>
      <c r="AO8" s="5051"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52"/>
      <c r="AQ8" s="5052"/>
      <c r="AR8" s="5052"/>
      <c r="AS8" s="5052"/>
      <c r="AT8" s="1309" t="s">
        <v>2171</v>
      </c>
      <c r="AU8" s="1310">
        <f>IF(AO8=0,"",VLOOKUP(AO8,'Tablas Magia'!$D$6:$Z$680,3,FALSE))</f>
        <v>42</v>
      </c>
      <c r="AV8" s="5017" t="s">
        <v>8715</v>
      </c>
      <c r="AW8" s="5017"/>
      <c r="AX8" s="5017"/>
      <c r="AY8" s="5018" t="str">
        <f>IF(AO8=0,"",VLOOKUP(AO8,'Tablas Magia'!$D$6:$Z$680,2,FALSE))</f>
        <v>Fuego</v>
      </c>
      <c r="AZ8" s="5018"/>
      <c r="BA8" s="5018"/>
      <c r="BB8" s="5018"/>
      <c r="BC8" s="5019"/>
      <c r="BD8" s="1295"/>
      <c r="BE8" s="1289"/>
      <c r="BF8" s="1289"/>
      <c r="BG8" s="2485">
        <f>AN8+20</f>
        <v>62</v>
      </c>
      <c r="BH8" s="5051"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52"/>
      <c r="BJ8" s="5052"/>
      <c r="BK8" s="5052"/>
      <c r="BL8" s="5052"/>
      <c r="BM8" s="1309" t="s">
        <v>2171</v>
      </c>
      <c r="BN8" s="1310">
        <f>IF(BH8=0,"",VLOOKUP(BH8,'Tablas Magia'!$D$6:$Z$680,3,FALSE))</f>
        <v>62</v>
      </c>
      <c r="BO8" s="5017" t="s">
        <v>8715</v>
      </c>
      <c r="BP8" s="5017"/>
      <c r="BQ8" s="5017"/>
      <c r="BR8" s="5018" t="str">
        <f>IF(BH8=0,"",VLOOKUP(BH8,'Tablas Magia'!$D$6:$Z$680,2,FALSE))</f>
        <v>Fuego</v>
      </c>
      <c r="BS8" s="5018"/>
      <c r="BT8" s="5018"/>
      <c r="BU8" s="5018"/>
      <c r="BV8" s="5019"/>
      <c r="BW8" s="1295"/>
      <c r="BX8" s="1289"/>
      <c r="BY8" s="1289"/>
      <c r="BZ8" s="2485">
        <f>BG8+20</f>
        <v>82</v>
      </c>
      <c r="CA8" s="5051"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52"/>
      <c r="CC8" s="5052"/>
      <c r="CD8" s="5052"/>
      <c r="CE8" s="5052"/>
      <c r="CF8" s="1309" t="s">
        <v>2171</v>
      </c>
      <c r="CG8" s="1310">
        <f>IF(CA8=0,"",VLOOKUP(CA8,'Tablas Magia'!$D$6:$Z$680,3,FALSE))</f>
        <v>82</v>
      </c>
      <c r="CH8" s="5017" t="s">
        <v>8715</v>
      </c>
      <c r="CI8" s="5017"/>
      <c r="CJ8" s="5017"/>
      <c r="CK8" s="5018" t="str">
        <f>IF(CA8=0,"",VLOOKUP(CA8,'Tablas Magia'!$D$6:$Z$680,2,FALSE))</f>
        <v>Fuego</v>
      </c>
      <c r="CL8" s="5018"/>
      <c r="CM8" s="5018"/>
      <c r="CN8" s="5018"/>
      <c r="CO8" s="5019"/>
      <c r="CP8" s="1295"/>
      <c r="CQ8" s="1289"/>
    </row>
    <row r="9" spans="1:95" ht="12" customHeight="1" x14ac:dyDescent="0.2">
      <c r="A9" s="1289"/>
      <c r="B9" s="2471"/>
      <c r="C9" s="5035" t="s">
        <v>8716</v>
      </c>
      <c r="D9" s="5036"/>
      <c r="E9" s="1311" t="s">
        <v>8717</v>
      </c>
      <c r="F9" s="1311" t="s">
        <v>2365</v>
      </c>
      <c r="G9" s="1311" t="s">
        <v>4020</v>
      </c>
      <c r="H9" s="1312" t="s">
        <v>2716</v>
      </c>
      <c r="I9" s="5032" t="str">
        <f>IF(C8=0,"",VLOOKUP(C8,'Tablas Magia'!$D$6:$Z$680,5,FALSE))</f>
        <v>Efecto</v>
      </c>
      <c r="J9" s="5032"/>
      <c r="K9" s="5033" t="s">
        <v>8718</v>
      </c>
      <c r="L9" s="5033"/>
      <c r="M9" s="5032" t="str">
        <f>IF(C8=0,"",VLOOKUP(C8,'Tablas Magia'!$D$6:$Z$680,6,FALSE))</f>
        <v>Activa</v>
      </c>
      <c r="N9" s="5032"/>
      <c r="O9" s="5034" t="s">
        <v>8719</v>
      </c>
      <c r="P9" s="5034"/>
      <c r="Q9" s="1313" t="str">
        <f>IF(C8=0,"",VLOOKUP(C8,'Tablas Magia'!$D$6:$Z$680,4,FALSE))</f>
        <v>Si</v>
      </c>
      <c r="R9" s="1295"/>
      <c r="S9" s="1289"/>
      <c r="T9" s="1289"/>
      <c r="U9" s="2471"/>
      <c r="V9" s="5035" t="s">
        <v>8716</v>
      </c>
      <c r="W9" s="5036"/>
      <c r="X9" s="1311" t="s">
        <v>8717</v>
      </c>
      <c r="Y9" s="1311" t="s">
        <v>2365</v>
      </c>
      <c r="Z9" s="1311" t="s">
        <v>4020</v>
      </c>
      <c r="AA9" s="1312" t="s">
        <v>2716</v>
      </c>
      <c r="AB9" s="5032" t="str">
        <f>IF(V8=0,"",VLOOKUP(V8,'Tablas Magia'!$D$6:$Z$680,5,FALSE))</f>
        <v>Defensa</v>
      </c>
      <c r="AC9" s="5032"/>
      <c r="AD9" s="5033" t="s">
        <v>8718</v>
      </c>
      <c r="AE9" s="5033"/>
      <c r="AF9" s="5032" t="str">
        <f>IF(V8=0,"",VLOOKUP(V8,'Tablas Magia'!$D$6:$Z$680,6,FALSE))</f>
        <v>Activa</v>
      </c>
      <c r="AG9" s="5032"/>
      <c r="AH9" s="5034" t="s">
        <v>8719</v>
      </c>
      <c r="AI9" s="5034"/>
      <c r="AJ9" s="1313" t="str">
        <f>IF(V8=0,"",VLOOKUP(V8,'Tablas Magia'!$D$6:$Z$680,4,FALSE))</f>
        <v>No</v>
      </c>
      <c r="AK9" s="1295"/>
      <c r="AL9" s="1289"/>
      <c r="AM9" s="1289"/>
      <c r="AN9" s="2485"/>
      <c r="AO9" s="5035" t="s">
        <v>8716</v>
      </c>
      <c r="AP9" s="5036"/>
      <c r="AQ9" s="1311" t="s">
        <v>8717</v>
      </c>
      <c r="AR9" s="1311" t="s">
        <v>2365</v>
      </c>
      <c r="AS9" s="1311" t="s">
        <v>4020</v>
      </c>
      <c r="AT9" s="1312" t="s">
        <v>2716</v>
      </c>
      <c r="AU9" s="5032" t="str">
        <f>IF(AO8=0,"",VLOOKUP(AO8,'Tablas Magia'!$D$6:$Z$680,5,FALSE))</f>
        <v>Efecto</v>
      </c>
      <c r="AV9" s="5032"/>
      <c r="AW9" s="5033" t="s">
        <v>8718</v>
      </c>
      <c r="AX9" s="5033"/>
      <c r="AY9" s="5032" t="str">
        <f>IF(AO8=0,"",VLOOKUP(AO8,'Tablas Magia'!$D$6:$Z$680,6,FALSE))</f>
        <v>Pasiva</v>
      </c>
      <c r="AZ9" s="5032"/>
      <c r="BA9" s="5034" t="s">
        <v>8719</v>
      </c>
      <c r="BB9" s="5034"/>
      <c r="BC9" s="1313" t="str">
        <f>IF(AO8=0,"",VLOOKUP(AO8,'Tablas Magia'!$D$6:$Z$680,4,FALSE))</f>
        <v>No</v>
      </c>
      <c r="BD9" s="1295"/>
      <c r="BE9" s="1289"/>
      <c r="BF9" s="1289"/>
      <c r="BG9" s="2485"/>
      <c r="BH9" s="5035" t="s">
        <v>8716</v>
      </c>
      <c r="BI9" s="5036"/>
      <c r="BJ9" s="1311" t="s">
        <v>8717</v>
      </c>
      <c r="BK9" s="1311" t="s">
        <v>2365</v>
      </c>
      <c r="BL9" s="1311" t="s">
        <v>4020</v>
      </c>
      <c r="BM9" s="1312" t="s">
        <v>2716</v>
      </c>
      <c r="BN9" s="5032" t="str">
        <f>IF(BH8=0,"",VLOOKUP(BH8,'Tablas Magia'!$D$6:$Z$680,5,FALSE))</f>
        <v>Anímico</v>
      </c>
      <c r="BO9" s="5032"/>
      <c r="BP9" s="5033" t="s">
        <v>8718</v>
      </c>
      <c r="BQ9" s="5033"/>
      <c r="BR9" s="5032" t="str">
        <f>IF(BH8=0,"",VLOOKUP(BH8,'Tablas Magia'!$D$6:$Z$680,6,FALSE))</f>
        <v>Activa</v>
      </c>
      <c r="BS9" s="5032"/>
      <c r="BT9" s="5034" t="s">
        <v>8719</v>
      </c>
      <c r="BU9" s="5034"/>
      <c r="BV9" s="1313" t="str">
        <f>IF(BH8=0,"",VLOOKUP(BH8,'Tablas Magia'!$D$6:$Z$680,4,FALSE))</f>
        <v>No</v>
      </c>
      <c r="BW9" s="1295"/>
      <c r="BX9" s="1289"/>
      <c r="BY9" s="1289"/>
      <c r="BZ9" s="2485"/>
      <c r="CA9" s="5035" t="s">
        <v>8716</v>
      </c>
      <c r="CB9" s="5036"/>
      <c r="CC9" s="1311" t="s">
        <v>8717</v>
      </c>
      <c r="CD9" s="1311" t="s">
        <v>2365</v>
      </c>
      <c r="CE9" s="1311" t="s">
        <v>4020</v>
      </c>
      <c r="CF9" s="1312" t="s">
        <v>2716</v>
      </c>
      <c r="CG9" s="5032" t="str">
        <f>IF(CA8=0,"",VLOOKUP(CA8,'Tablas Magia'!$D$6:$Z$680,5,FALSE))</f>
        <v>Efecto</v>
      </c>
      <c r="CH9" s="5032"/>
      <c r="CI9" s="5033" t="s">
        <v>8718</v>
      </c>
      <c r="CJ9" s="5033"/>
      <c r="CK9" s="5032" t="str">
        <f>IF(CA8=0,"",VLOOKUP(CA8,'Tablas Magia'!$D$6:$Z$680,6,FALSE))</f>
        <v>Activa</v>
      </c>
      <c r="CL9" s="5032"/>
      <c r="CM9" s="5034" t="s">
        <v>8719</v>
      </c>
      <c r="CN9" s="5034"/>
      <c r="CO9" s="1313" t="str">
        <f>IF(CA8=0,"",VLOOKUP(CA8,'Tablas Magia'!$D$6:$Z$680,4,FALSE))</f>
        <v>Si</v>
      </c>
      <c r="CP9" s="1295"/>
      <c r="CQ9" s="1289"/>
    </row>
    <row r="10" spans="1:95" ht="12" customHeight="1" x14ac:dyDescent="0.2">
      <c r="A10" s="1289"/>
      <c r="B10" s="2471"/>
      <c r="C10" s="5027" t="s">
        <v>2218</v>
      </c>
      <c r="D10" s="5028"/>
      <c r="E10" s="1314">
        <f>IF(C8=0,"",VLOOKUP(C8,'Tablas Magia'!$D$6:$Z$680,7,FALSE))</f>
        <v>5</v>
      </c>
      <c r="F10" s="1314">
        <f>IF(C8=0,"",VLOOKUP(C8,'Tablas Magia'!$D$6:$Z$680,11,FALSE))</f>
        <v>30</v>
      </c>
      <c r="G10" s="1315">
        <f>IF(C8=0,"",VLOOKUP(C8,'Tablas Magia'!$D$6:$Z$680,15,FALSE))</f>
        <v>5</v>
      </c>
      <c r="H10" s="5029" t="str">
        <f>IF(C8=0,"",VLOOKUP(C8,'Tablas Magia'!$D$6:$Z$680,19,FALSE))</f>
        <v>1 Intensidad de fuego</v>
      </c>
      <c r="I10" s="5030"/>
      <c r="J10" s="5030"/>
      <c r="K10" s="5030"/>
      <c r="L10" s="5030"/>
      <c r="M10" s="5030"/>
      <c r="N10" s="5030"/>
      <c r="O10" s="5030"/>
      <c r="P10" s="5030"/>
      <c r="Q10" s="5031"/>
      <c r="R10" s="1295"/>
      <c r="S10" s="1289"/>
      <c r="T10" s="1289"/>
      <c r="U10" s="2471"/>
      <c r="V10" s="5027" t="s">
        <v>2218</v>
      </c>
      <c r="W10" s="5028"/>
      <c r="X10" s="1314">
        <f>IF(V8=0,"",VLOOKUP(V8,'Tablas Magia'!$D$6:$Z$680,7,FALSE))</f>
        <v>6</v>
      </c>
      <c r="Y10" s="1314">
        <f>IF(V8=0,"",VLOOKUP(V8,'Tablas Magia'!$D$6:$Z$680,11,FALSE))</f>
        <v>50</v>
      </c>
      <c r="Z10" s="1315">
        <f>IF(V8=0,"",VLOOKUP(V8,'Tablas Magia'!$D$6:$Z$680,15,FALSE))</f>
        <v>5</v>
      </c>
      <c r="AA10" s="5029" t="str">
        <f>IF(V8=0,"",VLOOKUP(V8,'Tablas Magia'!$D$6:$Z$680,19,FALSE))</f>
        <v>Daño 80 / 2 metros de extensión / 300 puntos de Resistencia</v>
      </c>
      <c r="AB10" s="5030"/>
      <c r="AC10" s="5030"/>
      <c r="AD10" s="5030"/>
      <c r="AE10" s="5030"/>
      <c r="AF10" s="5030"/>
      <c r="AG10" s="5030"/>
      <c r="AH10" s="5030"/>
      <c r="AI10" s="5030"/>
      <c r="AJ10" s="5031"/>
      <c r="AK10" s="1295"/>
      <c r="AL10" s="1289"/>
      <c r="AM10" s="1289"/>
      <c r="AN10" s="2485"/>
      <c r="AO10" s="5027" t="s">
        <v>2218</v>
      </c>
      <c r="AP10" s="5028"/>
      <c r="AQ10" s="1314">
        <f>IF(AO8=0,"",VLOOKUP(AO8,'Tablas Magia'!$D$6:$Z$680,7,FALSE))</f>
        <v>6</v>
      </c>
      <c r="AR10" s="1314">
        <f>IF(AO8=0,"",VLOOKUP(AO8,'Tablas Magia'!$D$6:$Z$680,11,FALSE))</f>
        <v>60</v>
      </c>
      <c r="AS10" s="1315" t="str">
        <f>IF(AO8=0,"",VLOOKUP(AO8,'Tablas Magia'!$D$6:$Z$680,15,FALSE))</f>
        <v>No</v>
      </c>
      <c r="AT10" s="5029" t="str">
        <f>IF(AO8=0,"",VLOOKUP(AO8,'Tablas Magia'!$D$6:$Z$680,19,FALSE))</f>
        <v>+20 al nivel de Crítico</v>
      </c>
      <c r="AU10" s="5030"/>
      <c r="AV10" s="5030"/>
      <c r="AW10" s="5030"/>
      <c r="AX10" s="5030"/>
      <c r="AY10" s="5030"/>
      <c r="AZ10" s="5030"/>
      <c r="BA10" s="5030"/>
      <c r="BB10" s="5030"/>
      <c r="BC10" s="5031"/>
      <c r="BD10" s="1295"/>
      <c r="BE10" s="1289"/>
      <c r="BF10" s="1289"/>
      <c r="BG10" s="2485"/>
      <c r="BH10" s="5027" t="s">
        <v>2218</v>
      </c>
      <c r="BI10" s="5028"/>
      <c r="BJ10" s="1314">
        <f>IF(BH8=0,"",VLOOKUP(BH8,'Tablas Magia'!$D$6:$Z$680,7,FALSE))</f>
        <v>6</v>
      </c>
      <c r="BK10" s="1314">
        <f>IF(BH8=0,"",VLOOKUP(BH8,'Tablas Magia'!$D$6:$Z$680,11,FALSE))</f>
        <v>120</v>
      </c>
      <c r="BL10" s="1315" t="str">
        <f>IF(BH8=0,"",VLOOKUP(BH8,'Tablas Magia'!$D$6:$Z$680,15,FALSE))</f>
        <v>No</v>
      </c>
      <c r="BM10" s="5029" t="str">
        <f>IF(BH8=0,"",VLOOKUP(BH8,'Tablas Magia'!$D$6:$Z$680,19,FALSE))</f>
        <v>10 metros de radio/ RM 120</v>
      </c>
      <c r="BN10" s="5030"/>
      <c r="BO10" s="5030"/>
      <c r="BP10" s="5030"/>
      <c r="BQ10" s="5030"/>
      <c r="BR10" s="5030"/>
      <c r="BS10" s="5030"/>
      <c r="BT10" s="5030"/>
      <c r="BU10" s="5030"/>
      <c r="BV10" s="5031"/>
      <c r="BW10" s="1295"/>
      <c r="BX10" s="1289"/>
      <c r="BY10" s="1289"/>
      <c r="BZ10" s="2485"/>
      <c r="CA10" s="5027" t="s">
        <v>2218</v>
      </c>
      <c r="CB10" s="5028"/>
      <c r="CC10" s="1314">
        <f>IF(CA8=0,"",VLOOKUP(CA8,'Tablas Magia'!$D$6:$Z$680,7,FALSE))</f>
        <v>10</v>
      </c>
      <c r="CD10" s="1314">
        <f>IF(CA8=0,"",VLOOKUP(CA8,'Tablas Magia'!$D$6:$Z$680,11,FALSE))</f>
        <v>250</v>
      </c>
      <c r="CE10" s="1315">
        <f>IF(CA8=0,"",VLOOKUP(CA8,'Tablas Magia'!$D$6:$Z$680,15,FALSE))</f>
        <v>50</v>
      </c>
      <c r="CF10" s="5029" t="str">
        <f>IF(CA8=0,"",VLOOKUP(CA8,'Tablas Magia'!$D$6:$Z$680,19,FALSE))</f>
        <v>Nivel 1.</v>
      </c>
      <c r="CG10" s="5030"/>
      <c r="CH10" s="5030"/>
      <c r="CI10" s="5030"/>
      <c r="CJ10" s="5030"/>
      <c r="CK10" s="5030"/>
      <c r="CL10" s="5030"/>
      <c r="CM10" s="5030"/>
      <c r="CN10" s="5030"/>
      <c r="CO10" s="5031"/>
      <c r="CP10" s="1295"/>
      <c r="CQ10" s="1289"/>
    </row>
    <row r="11" spans="1:95" ht="12" customHeight="1" x14ac:dyDescent="0.2">
      <c r="A11" s="1289"/>
      <c r="B11" s="2471"/>
      <c r="C11" s="5022" t="s">
        <v>5258</v>
      </c>
      <c r="D11" s="5023"/>
      <c r="E11" s="1316">
        <f>IF(C8=0,"",VLOOKUP(C8,'Tablas Magia'!$D$6:$Z$680,8,FALSE))</f>
        <v>8</v>
      </c>
      <c r="F11" s="1316">
        <f>IF(C8=0,"",VLOOKUP(C8,'Tablas Magia'!$D$6:$Z$680,12,FALSE))</f>
        <v>80</v>
      </c>
      <c r="G11" s="1317">
        <f>IF(C8=0,"",VLOOKUP(C8,'Tablas Magia'!$D$6:$Z$680,16,FALSE))</f>
        <v>10</v>
      </c>
      <c r="H11" s="5024" t="str">
        <f>IF(C8=0,"",VLOOKUP(C8,'Tablas Magia'!$D$6:$Z$680,20,FALSE))</f>
        <v>6 intensidades de fuego</v>
      </c>
      <c r="I11" s="5025"/>
      <c r="J11" s="5025"/>
      <c r="K11" s="5025"/>
      <c r="L11" s="5025"/>
      <c r="M11" s="5025"/>
      <c r="N11" s="5025"/>
      <c r="O11" s="5025"/>
      <c r="P11" s="5025"/>
      <c r="Q11" s="5026"/>
      <c r="R11" s="1295"/>
      <c r="S11" s="1289"/>
      <c r="T11" s="1289"/>
      <c r="U11" s="2471"/>
      <c r="V11" s="5022" t="s">
        <v>5258</v>
      </c>
      <c r="W11" s="5023"/>
      <c r="X11" s="1316">
        <f>IF(V8=0,"",VLOOKUP(V8,'Tablas Magia'!$D$6:$Z$680,8,FALSE))</f>
        <v>9</v>
      </c>
      <c r="Y11" s="1316">
        <f>IF(V8=0,"",VLOOKUP(V8,'Tablas Magia'!$D$6:$Z$680,12,FALSE))</f>
        <v>90</v>
      </c>
      <c r="Z11" s="1317">
        <f>IF(V8=0,"",VLOOKUP(V8,'Tablas Magia'!$D$6:$Z$680,16,FALSE))</f>
        <v>10</v>
      </c>
      <c r="AA11" s="5024" t="str">
        <f>IF(V8=0,"",VLOOKUP(V8,'Tablas Magia'!$D$6:$Z$680,20,FALSE))</f>
        <v>Daño 90 / 5 metros de extensión / 500 puntos de Resistencia</v>
      </c>
      <c r="AB11" s="5025"/>
      <c r="AC11" s="5025"/>
      <c r="AD11" s="5025"/>
      <c r="AE11" s="5025"/>
      <c r="AF11" s="5025"/>
      <c r="AG11" s="5025"/>
      <c r="AH11" s="5025"/>
      <c r="AI11" s="5025"/>
      <c r="AJ11" s="5026"/>
      <c r="AK11" s="1295"/>
      <c r="AL11" s="1289"/>
      <c r="AM11" s="1289"/>
      <c r="AN11" s="2485"/>
      <c r="AO11" s="5022" t="s">
        <v>5258</v>
      </c>
      <c r="AP11" s="5023"/>
      <c r="AQ11" s="1316">
        <f>IF(AO8=0,"",VLOOKUP(AO8,'Tablas Magia'!$D$6:$Z$680,8,FALSE))</f>
        <v>9</v>
      </c>
      <c r="AR11" s="1316">
        <f>IF(AO8=0,"",VLOOKUP(AO8,'Tablas Magia'!$D$6:$Z$680,12,FALSE))</f>
        <v>90</v>
      </c>
      <c r="AS11" s="1317" t="str">
        <f>IF(AO8=0,"",VLOOKUP(AO8,'Tablas Magia'!$D$6:$Z$680,16,FALSE))</f>
        <v>No</v>
      </c>
      <c r="AT11" s="5024" t="str">
        <f>IF(AO8=0,"",VLOOKUP(AO8,'Tablas Magia'!$D$6:$Z$680,20,FALSE))</f>
        <v>+40 al nivel de Crítico</v>
      </c>
      <c r="AU11" s="5025"/>
      <c r="AV11" s="5025"/>
      <c r="AW11" s="5025"/>
      <c r="AX11" s="5025"/>
      <c r="AY11" s="5025"/>
      <c r="AZ11" s="5025"/>
      <c r="BA11" s="5025"/>
      <c r="BB11" s="5025"/>
      <c r="BC11" s="5026"/>
      <c r="BD11" s="1295"/>
      <c r="BE11" s="1289"/>
      <c r="BF11" s="1289"/>
      <c r="BG11" s="2485"/>
      <c r="BH11" s="5022" t="s">
        <v>5258</v>
      </c>
      <c r="BI11" s="5023"/>
      <c r="BJ11" s="1316">
        <f>IF(BH8=0,"",VLOOKUP(BH8,'Tablas Magia'!$D$6:$Z$680,8,FALSE))</f>
        <v>9</v>
      </c>
      <c r="BK11" s="1316">
        <f>IF(BH8=0,"",VLOOKUP(BH8,'Tablas Magia'!$D$6:$Z$680,12,FALSE))</f>
        <v>180</v>
      </c>
      <c r="BL11" s="1317" t="str">
        <f>IF(BH8=0,"",VLOOKUP(BH8,'Tablas Magia'!$D$6:$Z$680,16,FALSE))</f>
        <v>No</v>
      </c>
      <c r="BM11" s="5024" t="str">
        <f>IF(BH8=0,"",VLOOKUP(BH8,'Tablas Magia'!$D$6:$Z$680,20,FALSE))</f>
        <v>25 metros de radio/ RM 160</v>
      </c>
      <c r="BN11" s="5025"/>
      <c r="BO11" s="5025"/>
      <c r="BP11" s="5025"/>
      <c r="BQ11" s="5025"/>
      <c r="BR11" s="5025"/>
      <c r="BS11" s="5025"/>
      <c r="BT11" s="5025"/>
      <c r="BU11" s="5025"/>
      <c r="BV11" s="5026"/>
      <c r="BW11" s="1295"/>
      <c r="BX11" s="1289"/>
      <c r="BY11" s="1289"/>
      <c r="BZ11" s="2485"/>
      <c r="CA11" s="5022" t="s">
        <v>5258</v>
      </c>
      <c r="CB11" s="5023"/>
      <c r="CC11" s="1316">
        <f>IF(CA8=0,"",VLOOKUP(CA8,'Tablas Magia'!$D$6:$Z$680,8,FALSE))</f>
        <v>12</v>
      </c>
      <c r="CD11" s="1316">
        <f>IF(CA8=0,"",VLOOKUP(CA8,'Tablas Magia'!$D$6:$Z$680,12,FALSE))</f>
        <v>350</v>
      </c>
      <c r="CE11" s="1317">
        <f>IF(CA8=0,"",VLOOKUP(CA8,'Tablas Magia'!$D$6:$Z$680,16,FALSE))</f>
        <v>70</v>
      </c>
      <c r="CF11" s="5024" t="str">
        <f>IF(CA8=0,"",VLOOKUP(CA8,'Tablas Magia'!$D$6:$Z$680,20,FALSE))</f>
        <v>Nivel 3</v>
      </c>
      <c r="CG11" s="5025"/>
      <c r="CH11" s="5025"/>
      <c r="CI11" s="5025"/>
      <c r="CJ11" s="5025"/>
      <c r="CK11" s="5025"/>
      <c r="CL11" s="5025"/>
      <c r="CM11" s="5025"/>
      <c r="CN11" s="5025"/>
      <c r="CO11" s="5026"/>
      <c r="CP11" s="1295"/>
      <c r="CQ11" s="1289"/>
    </row>
    <row r="12" spans="1:95" ht="12" customHeight="1" x14ac:dyDescent="0.2">
      <c r="A12" s="1289"/>
      <c r="B12" s="2471"/>
      <c r="C12" s="5027" t="s">
        <v>5259</v>
      </c>
      <c r="D12" s="5028"/>
      <c r="E12" s="1314">
        <f>IF(C8=0,"",VLOOKUP(C8,'Tablas Magia'!$D$6:$Z$680,9,FALSE))</f>
        <v>10</v>
      </c>
      <c r="F12" s="1314">
        <f>IF(C8=0,"",VLOOKUP(C8,'Tablas Magia'!$D$6:$Z$680,13,FALSE))</f>
        <v>100</v>
      </c>
      <c r="G12" s="1315">
        <f>IF(C8=0,"",VLOOKUP(C8,'Tablas Magia'!$D$6:$Z$680,17,FALSE))</f>
        <v>10</v>
      </c>
      <c r="H12" s="5029" t="str">
        <f>IF(C8=0,"",VLOOKUP(C8,'Tablas Magia'!$D$6:$Z$680,21,FALSE))</f>
        <v>8 Intensidades de fuego</v>
      </c>
      <c r="I12" s="5030"/>
      <c r="J12" s="5030"/>
      <c r="K12" s="5030"/>
      <c r="L12" s="5030"/>
      <c r="M12" s="5030"/>
      <c r="N12" s="5030"/>
      <c r="O12" s="5030"/>
      <c r="P12" s="5030"/>
      <c r="Q12" s="5031"/>
      <c r="R12" s="1295"/>
      <c r="S12" s="1289"/>
      <c r="T12" s="1289"/>
      <c r="U12" s="2471"/>
      <c r="V12" s="5027" t="s">
        <v>5259</v>
      </c>
      <c r="W12" s="5028"/>
      <c r="X12" s="1314">
        <f>IF(V8=0,"",VLOOKUP(V8,'Tablas Magia'!$D$6:$Z$680,9,FALSE))</f>
        <v>12</v>
      </c>
      <c r="Y12" s="1314">
        <f>IF(V8=0,"",VLOOKUP(V8,'Tablas Magia'!$D$6:$Z$680,13,FALSE))</f>
        <v>120</v>
      </c>
      <c r="Z12" s="1315">
        <f>IF(V8=0,"",VLOOKUP(V8,'Tablas Magia'!$D$6:$Z$680,17,FALSE))</f>
        <v>10</v>
      </c>
      <c r="AA12" s="5029" t="str">
        <f>IF(V8=0,"",VLOOKUP(V8,'Tablas Magia'!$D$6:$Z$680,21,FALSE))</f>
        <v>Daño 100 / 10 metros / 800 puntos / Puede detener ataques basados en energía</v>
      </c>
      <c r="AB12" s="5030"/>
      <c r="AC12" s="5030"/>
      <c r="AD12" s="5030"/>
      <c r="AE12" s="5030"/>
      <c r="AF12" s="5030"/>
      <c r="AG12" s="5030"/>
      <c r="AH12" s="5030"/>
      <c r="AI12" s="5030"/>
      <c r="AJ12" s="5031"/>
      <c r="AK12" s="1295"/>
      <c r="AL12" s="1289"/>
      <c r="AM12" s="1289"/>
      <c r="AN12" s="2485"/>
      <c r="AO12" s="5027" t="s">
        <v>5259</v>
      </c>
      <c r="AP12" s="5028"/>
      <c r="AQ12" s="1314">
        <f>IF(AO8=0,"",VLOOKUP(AO8,'Tablas Magia'!$D$6:$Z$680,9,FALSE))</f>
        <v>12</v>
      </c>
      <c r="AR12" s="1314">
        <f>IF(AO8=0,"",VLOOKUP(AO8,'Tablas Magia'!$D$6:$Z$680,13,FALSE))</f>
        <v>120</v>
      </c>
      <c r="AS12" s="1315" t="str">
        <f>IF(AO8=0,"",VLOOKUP(AO8,'Tablas Magia'!$D$6:$Z$680,17,FALSE))</f>
        <v>No</v>
      </c>
      <c r="AT12" s="5029" t="str">
        <f>IF(AO8=0,"",VLOOKUP(AO8,'Tablas Magia'!$D$6:$Z$680,21,FALSE))</f>
        <v>+60 al nivel de Crítico</v>
      </c>
      <c r="AU12" s="5030"/>
      <c r="AV12" s="5030"/>
      <c r="AW12" s="5030"/>
      <c r="AX12" s="5030"/>
      <c r="AY12" s="5030"/>
      <c r="AZ12" s="5030"/>
      <c r="BA12" s="5030"/>
      <c r="BB12" s="5030"/>
      <c r="BC12" s="5031"/>
      <c r="BD12" s="1295"/>
      <c r="BE12" s="1289"/>
      <c r="BF12" s="1289"/>
      <c r="BG12" s="2485"/>
      <c r="BH12" s="5027" t="s">
        <v>5259</v>
      </c>
      <c r="BI12" s="5028"/>
      <c r="BJ12" s="1314">
        <f>IF(BH8=0,"",VLOOKUP(BH8,'Tablas Magia'!$D$6:$Z$680,9,FALSE))</f>
        <v>14</v>
      </c>
      <c r="BK12" s="1314">
        <f>IF(BH8=0,"",VLOOKUP(BH8,'Tablas Magia'!$D$6:$Z$680,13,FALSE))</f>
        <v>240</v>
      </c>
      <c r="BL12" s="1315" t="str">
        <f>IF(BH8=0,"",VLOOKUP(BH8,'Tablas Magia'!$D$6:$Z$680,17,FALSE))</f>
        <v>No</v>
      </c>
      <c r="BM12" s="5029" t="str">
        <f>IF(BH8=0,"",VLOOKUP(BH8,'Tablas Magia'!$D$6:$Z$680,21,FALSE))</f>
        <v>50 metros de radio/ RM 200</v>
      </c>
      <c r="BN12" s="5030"/>
      <c r="BO12" s="5030"/>
      <c r="BP12" s="5030"/>
      <c r="BQ12" s="5030"/>
      <c r="BR12" s="5030"/>
      <c r="BS12" s="5030"/>
      <c r="BT12" s="5030"/>
      <c r="BU12" s="5030"/>
      <c r="BV12" s="5031"/>
      <c r="BW12" s="1295"/>
      <c r="BX12" s="1289"/>
      <c r="BY12" s="1289"/>
      <c r="BZ12" s="2485"/>
      <c r="CA12" s="5027" t="s">
        <v>5259</v>
      </c>
      <c r="CB12" s="5028"/>
      <c r="CC12" s="1314">
        <f>IF(CA8=0,"",VLOOKUP(CA8,'Tablas Magia'!$D$6:$Z$680,9,FALSE))</f>
        <v>14</v>
      </c>
      <c r="CD12" s="1314">
        <f>IF(CA8=0,"",VLOOKUP(CA8,'Tablas Magia'!$D$6:$Z$680,13,FALSE))</f>
        <v>500</v>
      </c>
      <c r="CE12" s="1315">
        <f>IF(CA8=0,"",VLOOKUP(CA8,'Tablas Magia'!$D$6:$Z$680,17,FALSE))</f>
        <v>100</v>
      </c>
      <c r="CF12" s="5029" t="str">
        <f>IF(CA8=0,"",VLOOKUP(CA8,'Tablas Magia'!$D$6:$Z$680,21,FALSE))</f>
        <v>Nivel 6.</v>
      </c>
      <c r="CG12" s="5030"/>
      <c r="CH12" s="5030"/>
      <c r="CI12" s="5030"/>
      <c r="CJ12" s="5030"/>
      <c r="CK12" s="5030"/>
      <c r="CL12" s="5030"/>
      <c r="CM12" s="5030"/>
      <c r="CN12" s="5030"/>
      <c r="CO12" s="5031"/>
      <c r="CP12" s="1295"/>
      <c r="CQ12" s="1289"/>
    </row>
    <row r="13" spans="1:95" ht="12" customHeight="1" thickBot="1" x14ac:dyDescent="0.25">
      <c r="A13" s="1289"/>
      <c r="B13" s="2471"/>
      <c r="C13" s="5037" t="s">
        <v>5260</v>
      </c>
      <c r="D13" s="5038"/>
      <c r="E13" s="1318">
        <f>IF(C8=0,"",VLOOKUP(C8,'Tablas Magia'!$D$6:$Z$680,10,FALSE))</f>
        <v>12</v>
      </c>
      <c r="F13" s="1318">
        <f>IF(C8=0,"",VLOOKUP(C8,'Tablas Magia'!$D$6:$Z$680,14,FALSE))</f>
        <v>120</v>
      </c>
      <c r="G13" s="1319">
        <f>IF(C8=0,"",VLOOKUP(C8,'Tablas Magia'!$D$6:$Z$680,18,FALSE))</f>
        <v>15</v>
      </c>
      <c r="H13" s="5039" t="str">
        <f>IF(C8=0,"",VLOOKUP(C8,'Tablas Magia'!$D$6:$Z$680,22,FALSE))</f>
        <v>10 intensidades de fuego</v>
      </c>
      <c r="I13" s="5040"/>
      <c r="J13" s="5040"/>
      <c r="K13" s="5040"/>
      <c r="L13" s="5040"/>
      <c r="M13" s="5040"/>
      <c r="N13" s="5040"/>
      <c r="O13" s="5040"/>
      <c r="P13" s="5040"/>
      <c r="Q13" s="5041"/>
      <c r="R13" s="1295"/>
      <c r="S13" s="1289"/>
      <c r="T13" s="1289"/>
      <c r="U13" s="2471"/>
      <c r="V13" s="5037" t="s">
        <v>5260</v>
      </c>
      <c r="W13" s="5038"/>
      <c r="X13" s="1318">
        <f>IF(V8=0,"",VLOOKUP(V8,'Tablas Magia'!$D$6:$Z$680,10,FALSE))</f>
        <v>15</v>
      </c>
      <c r="Y13" s="1318">
        <f>IF(V8=0,"",VLOOKUP(V8,'Tablas Magia'!$D$6:$Z$680,14,FALSE))</f>
        <v>150</v>
      </c>
      <c r="Z13" s="1319">
        <f>IF(V8=0,"",VLOOKUP(V8,'Tablas Magia'!$D$6:$Z$680,18,FALSE))</f>
        <v>15</v>
      </c>
      <c r="AA13" s="5039" t="str">
        <f>IF(V8=0,"",VLOOKUP(V8,'Tablas Magia'!$D$6:$Z$680,22,FALSE))</f>
        <v>Daño 100 /15 metros/1000 puntos/Ataque a IMP/ Puede con toda clase ataque</v>
      </c>
      <c r="AB13" s="5040"/>
      <c r="AC13" s="5040"/>
      <c r="AD13" s="5040"/>
      <c r="AE13" s="5040"/>
      <c r="AF13" s="5040"/>
      <c r="AG13" s="5040"/>
      <c r="AH13" s="5040"/>
      <c r="AI13" s="5040"/>
      <c r="AJ13" s="5041"/>
      <c r="AK13" s="1295"/>
      <c r="AL13" s="1289"/>
      <c r="AM13" s="1289"/>
      <c r="AN13" s="2485"/>
      <c r="AO13" s="5037" t="s">
        <v>5260</v>
      </c>
      <c r="AP13" s="5038"/>
      <c r="AQ13" s="1318">
        <f>IF(AO8=0,"",VLOOKUP(AO8,'Tablas Magia'!$D$6:$Z$680,10,FALSE))</f>
        <v>15</v>
      </c>
      <c r="AR13" s="1318">
        <f>IF(AO8=0,"",VLOOKUP(AO8,'Tablas Magia'!$D$6:$Z$680,14,FALSE))</f>
        <v>150</v>
      </c>
      <c r="AS13" s="1319" t="str">
        <f>IF(AO8=0,"",VLOOKUP(AO8,'Tablas Magia'!$D$6:$Z$680,18,FALSE))</f>
        <v>No</v>
      </c>
      <c r="AT13" s="5039" t="str">
        <f>IF(AO8=0,"",VLOOKUP(AO8,'Tablas Magia'!$D$6:$Z$680,22,FALSE))</f>
        <v>+80 al nivel de Crítico</v>
      </c>
      <c r="AU13" s="5040"/>
      <c r="AV13" s="5040"/>
      <c r="AW13" s="5040"/>
      <c r="AX13" s="5040"/>
      <c r="AY13" s="5040"/>
      <c r="AZ13" s="5040"/>
      <c r="BA13" s="5040"/>
      <c r="BB13" s="5040"/>
      <c r="BC13" s="5041"/>
      <c r="BD13" s="1295"/>
      <c r="BE13" s="1289"/>
      <c r="BF13" s="1289"/>
      <c r="BG13" s="2485"/>
      <c r="BH13" s="5037" t="s">
        <v>5260</v>
      </c>
      <c r="BI13" s="5038"/>
      <c r="BJ13" s="1318">
        <f>IF(BH8=0,"",VLOOKUP(BH8,'Tablas Magia'!$D$6:$Z$680,10,FALSE))</f>
        <v>15</v>
      </c>
      <c r="BK13" s="1318">
        <f>IF(BH8=0,"",VLOOKUP(BH8,'Tablas Magia'!$D$6:$Z$680,14,FALSE))</f>
        <v>300</v>
      </c>
      <c r="BL13" s="1319" t="str">
        <f>IF(BH8=0,"",VLOOKUP(BH8,'Tablas Magia'!$D$6:$Z$680,18,FALSE))</f>
        <v>No</v>
      </c>
      <c r="BM13" s="5039" t="str">
        <f>IF(BH8=0,"",VLOOKUP(BH8,'Tablas Magia'!$D$6:$Z$680,22,FALSE))</f>
        <v>150 metros de radio / RM 220</v>
      </c>
      <c r="BN13" s="5040"/>
      <c r="BO13" s="5040"/>
      <c r="BP13" s="5040"/>
      <c r="BQ13" s="5040"/>
      <c r="BR13" s="5040"/>
      <c r="BS13" s="5040"/>
      <c r="BT13" s="5040"/>
      <c r="BU13" s="5040"/>
      <c r="BV13" s="5041"/>
      <c r="BW13" s="1295"/>
      <c r="BX13" s="1289"/>
      <c r="BY13" s="1289"/>
      <c r="BZ13" s="2485"/>
      <c r="CA13" s="5037" t="s">
        <v>5260</v>
      </c>
      <c r="CB13" s="5038"/>
      <c r="CC13" s="1318">
        <f>IF(CA8=0,"",VLOOKUP(CA8,'Tablas Magia'!$D$6:$Z$680,10,FALSE))</f>
        <v>16</v>
      </c>
      <c r="CD13" s="1318">
        <f>IF(CA8=0,"",VLOOKUP(CA8,'Tablas Magia'!$D$6:$Z$680,14,FALSE))</f>
        <v>700</v>
      </c>
      <c r="CE13" s="1319">
        <f>IF(CA8=0,"",VLOOKUP(CA8,'Tablas Magia'!$D$6:$Z$680,18,FALSE))</f>
        <v>140</v>
      </c>
      <c r="CF13" s="5039" t="str">
        <f>IF(CA8=0,"",VLOOKUP(CA8,'Tablas Magia'!$D$6:$Z$680,22,FALSE))</f>
        <v>Nivel 10.</v>
      </c>
      <c r="CG13" s="5040"/>
      <c r="CH13" s="5040"/>
      <c r="CI13" s="5040"/>
      <c r="CJ13" s="5040"/>
      <c r="CK13" s="5040"/>
      <c r="CL13" s="5040"/>
      <c r="CM13" s="5040"/>
      <c r="CN13" s="5040"/>
      <c r="CO13" s="5041"/>
      <c r="CP13" s="1295"/>
      <c r="CQ13" s="1289"/>
    </row>
    <row r="14" spans="1:95" ht="12" customHeight="1" x14ac:dyDescent="0.2">
      <c r="A14" s="1289"/>
      <c r="B14" s="2471"/>
      <c r="C14" s="5042" t="str">
        <f>IF(C8=0,"",VLOOKUP(C8,'Tablas Magia'!$D$6:$Z$680,23,FALSE))</f>
        <v>Crea intensidades de fuego. Mientras se mantenga el conjuro, la temperatura se mantendrá</v>
      </c>
      <c r="D14" s="5043"/>
      <c r="E14" s="5043"/>
      <c r="F14" s="5043"/>
      <c r="G14" s="5043"/>
      <c r="H14" s="5043"/>
      <c r="I14" s="5043"/>
      <c r="J14" s="5043"/>
      <c r="K14" s="5043"/>
      <c r="L14" s="5043"/>
      <c r="M14" s="5043"/>
      <c r="N14" s="5043"/>
      <c r="O14" s="5043"/>
      <c r="P14" s="5043"/>
      <c r="Q14" s="5044"/>
      <c r="R14" s="1295"/>
      <c r="S14" s="1289"/>
      <c r="T14" s="1289"/>
      <c r="U14" s="2471"/>
      <c r="V14" s="504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43"/>
      <c r="X14" s="5043"/>
      <c r="Y14" s="5043"/>
      <c r="Z14" s="5043"/>
      <c r="AA14" s="5043"/>
      <c r="AB14" s="5043"/>
      <c r="AC14" s="5043"/>
      <c r="AD14" s="5043"/>
      <c r="AE14" s="5043"/>
      <c r="AF14" s="5043"/>
      <c r="AG14" s="5043"/>
      <c r="AH14" s="5043"/>
      <c r="AI14" s="5043"/>
      <c r="AJ14" s="5044"/>
      <c r="AK14" s="1295"/>
      <c r="AL14" s="1289"/>
      <c r="AM14" s="1289"/>
      <c r="AN14" s="2485"/>
      <c r="AO14" s="5042" t="str">
        <f>IF(AO8=0,"",VLOOKUP(AO8,'Tablas Magia'!$D$6:$Z$680,23,FALSE))</f>
        <v>Proporciona un bonificador a la tirada para calcular el Nivel de Crítico que haya provocado un ataque determinado. A pesar de ser un conjuro pasivo deberá usarse antes de que se lancen los dados.</v>
      </c>
      <c r="AP14" s="5043"/>
      <c r="AQ14" s="5043"/>
      <c r="AR14" s="5043"/>
      <c r="AS14" s="5043"/>
      <c r="AT14" s="5043"/>
      <c r="AU14" s="5043"/>
      <c r="AV14" s="5043"/>
      <c r="AW14" s="5043"/>
      <c r="AX14" s="5043"/>
      <c r="AY14" s="5043"/>
      <c r="AZ14" s="5043"/>
      <c r="BA14" s="5043"/>
      <c r="BB14" s="5043"/>
      <c r="BC14" s="5044"/>
      <c r="BD14" s="1295"/>
      <c r="BE14" s="1289"/>
      <c r="BF14" s="1289"/>
      <c r="BG14" s="2485"/>
      <c r="BH14" s="504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43"/>
      <c r="BJ14" s="5043"/>
      <c r="BK14" s="5043"/>
      <c r="BL14" s="5043"/>
      <c r="BM14" s="5043"/>
      <c r="BN14" s="5043"/>
      <c r="BO14" s="5043"/>
      <c r="BP14" s="5043"/>
      <c r="BQ14" s="5043"/>
      <c r="BR14" s="5043"/>
      <c r="BS14" s="5043"/>
      <c r="BT14" s="5043"/>
      <c r="BU14" s="5043"/>
      <c r="BV14" s="5044"/>
      <c r="BW14" s="1295"/>
      <c r="BX14" s="1289"/>
      <c r="BY14" s="1289"/>
      <c r="BZ14" s="2485"/>
      <c r="CA14" s="504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43"/>
      <c r="CC14" s="5043"/>
      <c r="CD14" s="5043"/>
      <c r="CE14" s="5043"/>
      <c r="CF14" s="5043"/>
      <c r="CG14" s="5043"/>
      <c r="CH14" s="5043"/>
      <c r="CI14" s="5043"/>
      <c r="CJ14" s="5043"/>
      <c r="CK14" s="5043"/>
      <c r="CL14" s="5043"/>
      <c r="CM14" s="5043"/>
      <c r="CN14" s="5043"/>
      <c r="CO14" s="5044"/>
      <c r="CP14" s="1295"/>
      <c r="CQ14" s="1289"/>
    </row>
    <row r="15" spans="1:95" ht="12" customHeight="1" x14ac:dyDescent="0.2">
      <c r="A15" s="1289"/>
      <c r="B15" s="2471"/>
      <c r="C15" s="5045"/>
      <c r="D15" s="5046"/>
      <c r="E15" s="5046"/>
      <c r="F15" s="5046"/>
      <c r="G15" s="5046"/>
      <c r="H15" s="5046"/>
      <c r="I15" s="5046"/>
      <c r="J15" s="5046"/>
      <c r="K15" s="5046"/>
      <c r="L15" s="5046"/>
      <c r="M15" s="5046"/>
      <c r="N15" s="5046"/>
      <c r="O15" s="5046"/>
      <c r="P15" s="5046"/>
      <c r="Q15" s="5047"/>
      <c r="R15" s="1295"/>
      <c r="S15" s="1289"/>
      <c r="T15" s="1289"/>
      <c r="U15" s="2471"/>
      <c r="V15" s="5045"/>
      <c r="W15" s="5046"/>
      <c r="X15" s="5046"/>
      <c r="Y15" s="5046"/>
      <c r="Z15" s="5046"/>
      <c r="AA15" s="5046"/>
      <c r="AB15" s="5046"/>
      <c r="AC15" s="5046"/>
      <c r="AD15" s="5046"/>
      <c r="AE15" s="5046"/>
      <c r="AF15" s="5046"/>
      <c r="AG15" s="5046"/>
      <c r="AH15" s="5046"/>
      <c r="AI15" s="5046"/>
      <c r="AJ15" s="5047"/>
      <c r="AK15" s="1295"/>
      <c r="AL15" s="1289"/>
      <c r="AM15" s="1289"/>
      <c r="AN15" s="2485"/>
      <c r="AO15" s="5045"/>
      <c r="AP15" s="5046"/>
      <c r="AQ15" s="5046"/>
      <c r="AR15" s="5046"/>
      <c r="AS15" s="5046"/>
      <c r="AT15" s="5046"/>
      <c r="AU15" s="5046"/>
      <c r="AV15" s="5046"/>
      <c r="AW15" s="5046"/>
      <c r="AX15" s="5046"/>
      <c r="AY15" s="5046"/>
      <c r="AZ15" s="5046"/>
      <c r="BA15" s="5046"/>
      <c r="BB15" s="5046"/>
      <c r="BC15" s="5047"/>
      <c r="BD15" s="1295"/>
      <c r="BE15" s="1289"/>
      <c r="BF15" s="1289"/>
      <c r="BG15" s="2485"/>
      <c r="BH15" s="5045"/>
      <c r="BI15" s="5046"/>
      <c r="BJ15" s="5046"/>
      <c r="BK15" s="5046"/>
      <c r="BL15" s="5046"/>
      <c r="BM15" s="5046"/>
      <c r="BN15" s="5046"/>
      <c r="BO15" s="5046"/>
      <c r="BP15" s="5046"/>
      <c r="BQ15" s="5046"/>
      <c r="BR15" s="5046"/>
      <c r="BS15" s="5046"/>
      <c r="BT15" s="5046"/>
      <c r="BU15" s="5046"/>
      <c r="BV15" s="5047"/>
      <c r="BW15" s="1295"/>
      <c r="BX15" s="1289"/>
      <c r="BY15" s="1289"/>
      <c r="BZ15" s="2485"/>
      <c r="CA15" s="5045"/>
      <c r="CB15" s="5046"/>
      <c r="CC15" s="5046"/>
      <c r="CD15" s="5046"/>
      <c r="CE15" s="5046"/>
      <c r="CF15" s="5046"/>
      <c r="CG15" s="5046"/>
      <c r="CH15" s="5046"/>
      <c r="CI15" s="5046"/>
      <c r="CJ15" s="5046"/>
      <c r="CK15" s="5046"/>
      <c r="CL15" s="5046"/>
      <c r="CM15" s="5046"/>
      <c r="CN15" s="5046"/>
      <c r="CO15" s="5047"/>
      <c r="CP15" s="1295"/>
      <c r="CQ15" s="1289"/>
    </row>
    <row r="16" spans="1:95" ht="12" customHeight="1" x14ac:dyDescent="0.2">
      <c r="A16" s="1289"/>
      <c r="B16" s="2471"/>
      <c r="C16" s="5045"/>
      <c r="D16" s="5046"/>
      <c r="E16" s="5046"/>
      <c r="F16" s="5046"/>
      <c r="G16" s="5046"/>
      <c r="H16" s="5046"/>
      <c r="I16" s="5046"/>
      <c r="J16" s="5046"/>
      <c r="K16" s="5046"/>
      <c r="L16" s="5046"/>
      <c r="M16" s="5046"/>
      <c r="N16" s="5046"/>
      <c r="O16" s="5046"/>
      <c r="P16" s="5046"/>
      <c r="Q16" s="5047"/>
      <c r="R16" s="1295"/>
      <c r="S16" s="1289"/>
      <c r="T16" s="1289"/>
      <c r="U16" s="2471"/>
      <c r="V16" s="5045"/>
      <c r="W16" s="5046"/>
      <c r="X16" s="5046"/>
      <c r="Y16" s="5046"/>
      <c r="Z16" s="5046"/>
      <c r="AA16" s="5046"/>
      <c r="AB16" s="5046"/>
      <c r="AC16" s="5046"/>
      <c r="AD16" s="5046"/>
      <c r="AE16" s="5046"/>
      <c r="AF16" s="5046"/>
      <c r="AG16" s="5046"/>
      <c r="AH16" s="5046"/>
      <c r="AI16" s="5046"/>
      <c r="AJ16" s="5047"/>
      <c r="AK16" s="1295"/>
      <c r="AL16" s="1289"/>
      <c r="AM16" s="1289"/>
      <c r="AN16" s="2485"/>
      <c r="AO16" s="5045"/>
      <c r="AP16" s="5046"/>
      <c r="AQ16" s="5046"/>
      <c r="AR16" s="5046"/>
      <c r="AS16" s="5046"/>
      <c r="AT16" s="5046"/>
      <c r="AU16" s="5046"/>
      <c r="AV16" s="5046"/>
      <c r="AW16" s="5046"/>
      <c r="AX16" s="5046"/>
      <c r="AY16" s="5046"/>
      <c r="AZ16" s="5046"/>
      <c r="BA16" s="5046"/>
      <c r="BB16" s="5046"/>
      <c r="BC16" s="5047"/>
      <c r="BD16" s="1295"/>
      <c r="BE16" s="1289"/>
      <c r="BF16" s="1289"/>
      <c r="BG16" s="2485"/>
      <c r="BH16" s="5045"/>
      <c r="BI16" s="5046"/>
      <c r="BJ16" s="5046"/>
      <c r="BK16" s="5046"/>
      <c r="BL16" s="5046"/>
      <c r="BM16" s="5046"/>
      <c r="BN16" s="5046"/>
      <c r="BO16" s="5046"/>
      <c r="BP16" s="5046"/>
      <c r="BQ16" s="5046"/>
      <c r="BR16" s="5046"/>
      <c r="BS16" s="5046"/>
      <c r="BT16" s="5046"/>
      <c r="BU16" s="5046"/>
      <c r="BV16" s="5047"/>
      <c r="BW16" s="1295"/>
      <c r="BX16" s="1289"/>
      <c r="BY16" s="1289"/>
      <c r="BZ16" s="2485"/>
      <c r="CA16" s="5045"/>
      <c r="CB16" s="5046"/>
      <c r="CC16" s="5046"/>
      <c r="CD16" s="5046"/>
      <c r="CE16" s="5046"/>
      <c r="CF16" s="5046"/>
      <c r="CG16" s="5046"/>
      <c r="CH16" s="5046"/>
      <c r="CI16" s="5046"/>
      <c r="CJ16" s="5046"/>
      <c r="CK16" s="5046"/>
      <c r="CL16" s="5046"/>
      <c r="CM16" s="5046"/>
      <c r="CN16" s="5046"/>
      <c r="CO16" s="5047"/>
      <c r="CP16" s="1295"/>
      <c r="CQ16" s="1289"/>
    </row>
    <row r="17" spans="1:95" ht="12" customHeight="1" thickBot="1" x14ac:dyDescent="0.25">
      <c r="A17" s="1289"/>
      <c r="B17" s="2471"/>
      <c r="C17" s="5048"/>
      <c r="D17" s="5049"/>
      <c r="E17" s="5049"/>
      <c r="F17" s="5049"/>
      <c r="G17" s="5049"/>
      <c r="H17" s="5049"/>
      <c r="I17" s="5049"/>
      <c r="J17" s="5049"/>
      <c r="K17" s="5049"/>
      <c r="L17" s="5049"/>
      <c r="M17" s="5049"/>
      <c r="N17" s="5049"/>
      <c r="O17" s="5049"/>
      <c r="P17" s="5049"/>
      <c r="Q17" s="5050"/>
      <c r="R17" s="1295"/>
      <c r="S17" s="1289"/>
      <c r="T17" s="1289"/>
      <c r="U17" s="2471"/>
      <c r="V17" s="5048"/>
      <c r="W17" s="5049"/>
      <c r="X17" s="5049"/>
      <c r="Y17" s="5049"/>
      <c r="Z17" s="5049"/>
      <c r="AA17" s="5049"/>
      <c r="AB17" s="5049"/>
      <c r="AC17" s="5049"/>
      <c r="AD17" s="5049"/>
      <c r="AE17" s="5049"/>
      <c r="AF17" s="5049"/>
      <c r="AG17" s="5049"/>
      <c r="AH17" s="5049"/>
      <c r="AI17" s="5049"/>
      <c r="AJ17" s="5050"/>
      <c r="AK17" s="1295"/>
      <c r="AL17" s="1289"/>
      <c r="AM17" s="1289"/>
      <c r="AN17" s="2485"/>
      <c r="AO17" s="5048"/>
      <c r="AP17" s="5049"/>
      <c r="AQ17" s="5049"/>
      <c r="AR17" s="5049"/>
      <c r="AS17" s="5049"/>
      <c r="AT17" s="5049"/>
      <c r="AU17" s="5049"/>
      <c r="AV17" s="5049"/>
      <c r="AW17" s="5049"/>
      <c r="AX17" s="5049"/>
      <c r="AY17" s="5049"/>
      <c r="AZ17" s="5049"/>
      <c r="BA17" s="5049"/>
      <c r="BB17" s="5049"/>
      <c r="BC17" s="5050"/>
      <c r="BD17" s="1295"/>
      <c r="BE17" s="1289"/>
      <c r="BF17" s="1289"/>
      <c r="BG17" s="2485"/>
      <c r="BH17" s="5048"/>
      <c r="BI17" s="5049"/>
      <c r="BJ17" s="5049"/>
      <c r="BK17" s="5049"/>
      <c r="BL17" s="5049"/>
      <c r="BM17" s="5049"/>
      <c r="BN17" s="5049"/>
      <c r="BO17" s="5049"/>
      <c r="BP17" s="5049"/>
      <c r="BQ17" s="5049"/>
      <c r="BR17" s="5049"/>
      <c r="BS17" s="5049"/>
      <c r="BT17" s="5049"/>
      <c r="BU17" s="5049"/>
      <c r="BV17" s="5050"/>
      <c r="BW17" s="1295"/>
      <c r="BX17" s="1289"/>
      <c r="BY17" s="1289"/>
      <c r="BZ17" s="2485"/>
      <c r="CA17" s="5048"/>
      <c r="CB17" s="5049"/>
      <c r="CC17" s="5049"/>
      <c r="CD17" s="5049"/>
      <c r="CE17" s="5049"/>
      <c r="CF17" s="5049"/>
      <c r="CG17" s="5049"/>
      <c r="CH17" s="5049"/>
      <c r="CI17" s="5049"/>
      <c r="CJ17" s="5049"/>
      <c r="CK17" s="5049"/>
      <c r="CL17" s="5049"/>
      <c r="CM17" s="5049"/>
      <c r="CN17" s="5049"/>
      <c r="CO17" s="5050"/>
      <c r="CP17" s="1295"/>
      <c r="CQ17" s="1289"/>
    </row>
    <row r="18" spans="1:95" ht="12" customHeight="1" thickBot="1" x14ac:dyDescent="0.25">
      <c r="A18" s="1289"/>
      <c r="B18" s="2471"/>
      <c r="C18" s="2492"/>
      <c r="D18" s="2492"/>
      <c r="E18" s="2492"/>
      <c r="F18" s="2492"/>
      <c r="G18" s="2492"/>
      <c r="H18" s="1321"/>
      <c r="I18" s="1322"/>
      <c r="J18" s="1323"/>
      <c r="K18" s="1323"/>
      <c r="L18" s="1323"/>
      <c r="M18" s="825"/>
      <c r="N18" s="825"/>
      <c r="O18" s="825"/>
      <c r="P18" s="825"/>
      <c r="Q18" s="825"/>
      <c r="R18" s="1295"/>
      <c r="S18" s="1289"/>
      <c r="T18" s="1289"/>
      <c r="U18" s="2471"/>
      <c r="V18" s="2492"/>
      <c r="W18" s="2492"/>
      <c r="X18" s="2492"/>
      <c r="Y18" s="2492"/>
      <c r="Z18" s="2492"/>
      <c r="AA18" s="1321"/>
      <c r="AB18" s="1322"/>
      <c r="AC18" s="1323"/>
      <c r="AD18" s="1323"/>
      <c r="AE18" s="1323"/>
      <c r="AF18" s="825"/>
      <c r="AG18" s="825"/>
      <c r="AH18" s="825"/>
      <c r="AI18" s="825"/>
      <c r="AJ18" s="825"/>
      <c r="AK18" s="1295"/>
      <c r="AL18" s="1289"/>
      <c r="AM18" s="1289"/>
      <c r="AN18" s="2471"/>
      <c r="AO18" s="2492"/>
      <c r="AP18" s="2492"/>
      <c r="AQ18" s="2492"/>
      <c r="AR18" s="2492"/>
      <c r="AS18" s="2492"/>
      <c r="AT18" s="1321"/>
      <c r="AU18" s="1322"/>
      <c r="AV18" s="1323"/>
      <c r="AW18" s="1323"/>
      <c r="AX18" s="1323"/>
      <c r="AY18" s="825"/>
      <c r="AZ18" s="825"/>
      <c r="BA18" s="825"/>
      <c r="BB18" s="825"/>
      <c r="BC18" s="825"/>
      <c r="BD18" s="1295"/>
      <c r="BE18" s="1289"/>
      <c r="BF18" s="1289"/>
      <c r="BG18" s="2471"/>
      <c r="BH18" s="2492"/>
      <c r="BI18" s="2492"/>
      <c r="BJ18" s="2492"/>
      <c r="BK18" s="2492"/>
      <c r="BL18" s="2492"/>
      <c r="BM18" s="1321"/>
      <c r="BN18" s="1322"/>
      <c r="BO18" s="1323"/>
      <c r="BP18" s="1323"/>
      <c r="BQ18" s="1323"/>
      <c r="BR18" s="825"/>
      <c r="BS18" s="825"/>
      <c r="BT18" s="825"/>
      <c r="BU18" s="825"/>
      <c r="BV18" s="825"/>
      <c r="BW18" s="1295"/>
      <c r="BX18" s="1289"/>
      <c r="BY18" s="1289"/>
      <c r="BZ18" s="2471"/>
      <c r="CA18" s="2492"/>
      <c r="CB18" s="2492"/>
      <c r="CC18" s="2492"/>
      <c r="CD18" s="2492"/>
      <c r="CE18" s="2492"/>
      <c r="CF18" s="1321"/>
      <c r="CG18" s="1322"/>
      <c r="CH18" s="1323"/>
      <c r="CI18" s="1323"/>
      <c r="CJ18" s="1323"/>
      <c r="CK18" s="825"/>
      <c r="CL18" s="825"/>
      <c r="CM18" s="825"/>
      <c r="CN18" s="825"/>
      <c r="CO18" s="825"/>
      <c r="CP18" s="1295"/>
      <c r="CQ18" s="1289"/>
    </row>
    <row r="19" spans="1:95" ht="12" customHeight="1" x14ac:dyDescent="0.2">
      <c r="A19" s="1289"/>
      <c r="B19" s="2471">
        <f>B8+2</f>
        <v>4</v>
      </c>
      <c r="C19" s="5051"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52"/>
      <c r="E19" s="5052"/>
      <c r="F19" s="5052"/>
      <c r="G19" s="5052"/>
      <c r="H19" s="1309" t="s">
        <v>2171</v>
      </c>
      <c r="I19" s="1310">
        <f>IF(C19=0,"",VLOOKUP(C19,'Tablas Magia'!$D$6:$Z$680,3,FALSE))</f>
        <v>4</v>
      </c>
      <c r="J19" s="5017" t="s">
        <v>8715</v>
      </c>
      <c r="K19" s="5017"/>
      <c r="L19" s="5017"/>
      <c r="M19" s="5018" t="str">
        <f>IF(C19=0,"",VLOOKUP(C19,'Tablas Magia'!$D$6:$Z$680,2,FALSE))</f>
        <v>Guerra</v>
      </c>
      <c r="N19" s="5018"/>
      <c r="O19" s="5018"/>
      <c r="P19" s="5018"/>
      <c r="Q19" s="5019"/>
      <c r="R19" s="1295"/>
      <c r="S19" s="1289"/>
      <c r="T19" s="1289"/>
      <c r="U19" s="2471">
        <f>U8+2</f>
        <v>24</v>
      </c>
      <c r="V19" s="5051"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52"/>
      <c r="X19" s="5052"/>
      <c r="Y19" s="5052"/>
      <c r="Z19" s="5052"/>
      <c r="AA19" s="1309" t="s">
        <v>2171</v>
      </c>
      <c r="AB19" s="1310">
        <f>IF(V19=0,"",VLOOKUP(V19,'Tablas Magia'!$D$6:$Z$680,3,FALSE))</f>
        <v>24</v>
      </c>
      <c r="AC19" s="5017" t="s">
        <v>8715</v>
      </c>
      <c r="AD19" s="5017"/>
      <c r="AE19" s="5017"/>
      <c r="AF19" s="5018" t="str">
        <f>IF(V19=0,"",VLOOKUP(V19,'Tablas Magia'!$D$6:$Z$680,2,FALSE))</f>
        <v>Guerra</v>
      </c>
      <c r="AG19" s="5018"/>
      <c r="AH19" s="5018"/>
      <c r="AI19" s="5018"/>
      <c r="AJ19" s="5019"/>
      <c r="AK19" s="1295"/>
      <c r="AL19" s="1289"/>
      <c r="AM19" s="1289"/>
      <c r="AN19" s="2485">
        <f>AN8+2</f>
        <v>44</v>
      </c>
      <c r="AO19" s="5051"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52"/>
      <c r="AQ19" s="5052"/>
      <c r="AR19" s="5052"/>
      <c r="AS19" s="5052"/>
      <c r="AT19" s="1309" t="s">
        <v>2171</v>
      </c>
      <c r="AU19" s="1310">
        <f>IF(AO19=0,"",VLOOKUP(AO19,'Tablas Magia'!$D$6:$Z$680,3,FALSE))</f>
        <v>44</v>
      </c>
      <c r="AV19" s="5017" t="s">
        <v>8715</v>
      </c>
      <c r="AW19" s="5017"/>
      <c r="AX19" s="5017"/>
      <c r="AY19" s="5018" t="str">
        <f>IF(AO19=0,"",VLOOKUP(AO19,'Tablas Magia'!$D$6:$Z$680,2,FALSE))</f>
        <v>Guerra</v>
      </c>
      <c r="AZ19" s="5018"/>
      <c r="BA19" s="5018"/>
      <c r="BB19" s="5018"/>
      <c r="BC19" s="5019"/>
      <c r="BD19" s="1295"/>
      <c r="BE19" s="1289"/>
      <c r="BF19" s="1289"/>
      <c r="BG19" s="2485">
        <f>BG8+2</f>
        <v>64</v>
      </c>
      <c r="BH19" s="5051"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52"/>
      <c r="BJ19" s="5052"/>
      <c r="BK19" s="5052"/>
      <c r="BL19" s="5052"/>
      <c r="BM19" s="1309" t="s">
        <v>2171</v>
      </c>
      <c r="BN19" s="1310">
        <f>IF(BH19=0,"",VLOOKUP(BH19,'Tablas Magia'!$D$6:$Z$680,3,FALSE))</f>
        <v>64</v>
      </c>
      <c r="BO19" s="5017" t="s">
        <v>8715</v>
      </c>
      <c r="BP19" s="5017"/>
      <c r="BQ19" s="5017"/>
      <c r="BR19" s="5018" t="str">
        <f>IF(BH19=0,"",VLOOKUP(BH19,'Tablas Magia'!$D$6:$Z$680,2,FALSE))</f>
        <v>Guerra</v>
      </c>
      <c r="BS19" s="5018"/>
      <c r="BT19" s="5018"/>
      <c r="BU19" s="5018"/>
      <c r="BV19" s="5019"/>
      <c r="BW19" s="1295"/>
      <c r="BX19" s="1289"/>
      <c r="BY19" s="1289"/>
      <c r="BZ19" s="2485">
        <f>BZ8+2</f>
        <v>84</v>
      </c>
      <c r="CA19" s="5051"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52"/>
      <c r="CC19" s="5052"/>
      <c r="CD19" s="5052"/>
      <c r="CE19" s="5052"/>
      <c r="CF19" s="1309" t="s">
        <v>2171</v>
      </c>
      <c r="CG19" s="1310">
        <f>IF(CA19=0,"",VLOOKUP(CA19,'Tablas Magia'!$D$6:$Z$680,3,FALSE))</f>
        <v>84</v>
      </c>
      <c r="CH19" s="5017" t="s">
        <v>8715</v>
      </c>
      <c r="CI19" s="5017"/>
      <c r="CJ19" s="5017"/>
      <c r="CK19" s="5018" t="str">
        <f>IF(CA19=0,"",VLOOKUP(CA19,'Tablas Magia'!$D$6:$Z$680,2,FALSE))</f>
        <v>Guerra</v>
      </c>
      <c r="CL19" s="5018"/>
      <c r="CM19" s="5018"/>
      <c r="CN19" s="5018"/>
      <c r="CO19" s="5019"/>
      <c r="CP19" s="1295"/>
      <c r="CQ19" s="1289"/>
    </row>
    <row r="20" spans="1:95" ht="12" customHeight="1" x14ac:dyDescent="0.2">
      <c r="A20" s="1289"/>
      <c r="B20" s="2471"/>
      <c r="C20" s="5035" t="s">
        <v>8716</v>
      </c>
      <c r="D20" s="5036"/>
      <c r="E20" s="1311" t="s">
        <v>8717</v>
      </c>
      <c r="F20" s="1311" t="s">
        <v>2365</v>
      </c>
      <c r="G20" s="1311" t="s">
        <v>4020</v>
      </c>
      <c r="H20" s="1312" t="s">
        <v>2716</v>
      </c>
      <c r="I20" s="5032" t="str">
        <f>IF(C19=0,"",VLOOKUP(C19,'Tablas Magia'!$D$6:$Z$680,5,FALSE))</f>
        <v>Efecto</v>
      </c>
      <c r="J20" s="5032"/>
      <c r="K20" s="5033" t="s">
        <v>8718</v>
      </c>
      <c r="L20" s="5033"/>
      <c r="M20" s="5032" t="str">
        <f>IF(C19=0,"",VLOOKUP(C19,'Tablas Magia'!$D$6:$Z$680,6,FALSE))</f>
        <v>Activa</v>
      </c>
      <c r="N20" s="5032"/>
      <c r="O20" s="5034" t="s">
        <v>8719</v>
      </c>
      <c r="P20" s="5034"/>
      <c r="Q20" s="1313" t="str">
        <f>IF(C19=0,"",VLOOKUP(C19,'Tablas Magia'!$D$6:$Z$680,4,FALSE))</f>
        <v>No</v>
      </c>
      <c r="R20" s="1295"/>
      <c r="S20" s="1289"/>
      <c r="T20" s="1289"/>
      <c r="U20" s="2471"/>
      <c r="V20" s="5035" t="s">
        <v>8716</v>
      </c>
      <c r="W20" s="5036"/>
      <c r="X20" s="1311" t="s">
        <v>8717</v>
      </c>
      <c r="Y20" s="1311" t="s">
        <v>2365</v>
      </c>
      <c r="Z20" s="1311" t="s">
        <v>4020</v>
      </c>
      <c r="AA20" s="1312" t="s">
        <v>2716</v>
      </c>
      <c r="AB20" s="5032" t="str">
        <f>IF(V19=0,"",VLOOKUP(V19,'Tablas Magia'!$D$6:$Z$680,5,FALSE))</f>
        <v>Efecto</v>
      </c>
      <c r="AC20" s="5032"/>
      <c r="AD20" s="5033" t="s">
        <v>8718</v>
      </c>
      <c r="AE20" s="5033"/>
      <c r="AF20" s="5032" t="str">
        <f>IF(V19=0,"",VLOOKUP(V19,'Tablas Magia'!$D$6:$Z$680,6,FALSE))</f>
        <v>Activa</v>
      </c>
      <c r="AG20" s="5032"/>
      <c r="AH20" s="5034" t="s">
        <v>8719</v>
      </c>
      <c r="AI20" s="5034"/>
      <c r="AJ20" s="1313" t="str">
        <f>IF(V19=0,"",VLOOKUP(V19,'Tablas Magia'!$D$6:$Z$680,4,FALSE))</f>
        <v>No</v>
      </c>
      <c r="AK20" s="1295"/>
      <c r="AL20" s="1289"/>
      <c r="AM20" s="1289"/>
      <c r="AN20" s="2485"/>
      <c r="AO20" s="5035" t="s">
        <v>8716</v>
      </c>
      <c r="AP20" s="5036"/>
      <c r="AQ20" s="1311" t="s">
        <v>8717</v>
      </c>
      <c r="AR20" s="1311" t="s">
        <v>2365</v>
      </c>
      <c r="AS20" s="1311" t="s">
        <v>4020</v>
      </c>
      <c r="AT20" s="1312" t="s">
        <v>2716</v>
      </c>
      <c r="AU20" s="5032" t="str">
        <f>IF(AO19=0,"",VLOOKUP(AO19,'Tablas Magia'!$D$6:$Z$680,5,FALSE))</f>
        <v>Efecto</v>
      </c>
      <c r="AV20" s="5032"/>
      <c r="AW20" s="5033" t="s">
        <v>8718</v>
      </c>
      <c r="AX20" s="5033"/>
      <c r="AY20" s="5032" t="str">
        <f>IF(AO19=0,"",VLOOKUP(AO19,'Tablas Magia'!$D$6:$Z$680,6,FALSE))</f>
        <v>Activa</v>
      </c>
      <c r="AZ20" s="5032"/>
      <c r="BA20" s="5034" t="s">
        <v>8719</v>
      </c>
      <c r="BB20" s="5034"/>
      <c r="BC20" s="1313" t="str">
        <f>IF(AO19=0,"",VLOOKUP(AO19,'Tablas Magia'!$D$6:$Z$680,4,FALSE))</f>
        <v>No</v>
      </c>
      <c r="BD20" s="1295"/>
      <c r="BE20" s="1289"/>
      <c r="BF20" s="1289"/>
      <c r="BG20" s="2485"/>
      <c r="BH20" s="5035" t="s">
        <v>8716</v>
      </c>
      <c r="BI20" s="5036"/>
      <c r="BJ20" s="1311" t="s">
        <v>8717</v>
      </c>
      <c r="BK20" s="1311" t="s">
        <v>2365</v>
      </c>
      <c r="BL20" s="1311" t="s">
        <v>4020</v>
      </c>
      <c r="BM20" s="1312" t="s">
        <v>2716</v>
      </c>
      <c r="BN20" s="5032" t="str">
        <f>IF(BH19=0,"",VLOOKUP(BH19,'Tablas Magia'!$D$6:$Z$680,5,FALSE))</f>
        <v>Efecto</v>
      </c>
      <c r="BO20" s="5032"/>
      <c r="BP20" s="5033" t="s">
        <v>8718</v>
      </c>
      <c r="BQ20" s="5033"/>
      <c r="BR20" s="5032" t="str">
        <f>IF(BH19=0,"",VLOOKUP(BH19,'Tablas Magia'!$D$6:$Z$680,6,FALSE))</f>
        <v>Activa</v>
      </c>
      <c r="BS20" s="5032"/>
      <c r="BT20" s="5034" t="s">
        <v>8719</v>
      </c>
      <c r="BU20" s="5034"/>
      <c r="BV20" s="1313" t="str">
        <f>IF(BH19=0,"",VLOOKUP(BH19,'Tablas Magia'!$D$6:$Z$680,4,FALSE))</f>
        <v>No</v>
      </c>
      <c r="BW20" s="1295"/>
      <c r="BX20" s="1289"/>
      <c r="BY20" s="1289"/>
      <c r="BZ20" s="2485"/>
      <c r="CA20" s="5035" t="s">
        <v>8716</v>
      </c>
      <c r="CB20" s="5036"/>
      <c r="CC20" s="1311" t="s">
        <v>8717</v>
      </c>
      <c r="CD20" s="1311" t="s">
        <v>2365</v>
      </c>
      <c r="CE20" s="1311" t="s">
        <v>4020</v>
      </c>
      <c r="CF20" s="1312" t="s">
        <v>2716</v>
      </c>
      <c r="CG20" s="5032" t="str">
        <f>IF(CA19=0,"",VLOOKUP(CA19,'Tablas Magia'!$D$6:$Z$680,5,FALSE))</f>
        <v>Efecto</v>
      </c>
      <c r="CH20" s="5032"/>
      <c r="CI20" s="5033" t="s">
        <v>8718</v>
      </c>
      <c r="CJ20" s="5033"/>
      <c r="CK20" s="5032" t="str">
        <f>IF(CA19=0,"",VLOOKUP(CA19,'Tablas Magia'!$D$6:$Z$680,6,FALSE))</f>
        <v>Pasiva</v>
      </c>
      <c r="CL20" s="5032"/>
      <c r="CM20" s="5034" t="s">
        <v>8719</v>
      </c>
      <c r="CN20" s="5034"/>
      <c r="CO20" s="1313" t="str">
        <f>IF(CA19=0,"",VLOOKUP(CA19,'Tablas Magia'!$D$6:$Z$680,4,FALSE))</f>
        <v>No</v>
      </c>
      <c r="CP20" s="1295"/>
      <c r="CQ20" s="1289"/>
    </row>
    <row r="21" spans="1:95" ht="12" customHeight="1" x14ac:dyDescent="0.2">
      <c r="A21" s="1289"/>
      <c r="B21" s="2471"/>
      <c r="C21" s="5027" t="s">
        <v>2218</v>
      </c>
      <c r="D21" s="5028"/>
      <c r="E21" s="1314">
        <f>IF(C19=0,"",VLOOKUP(C19,'Tablas Magia'!$D$6:$Z$680,7,FALSE))</f>
        <v>5</v>
      </c>
      <c r="F21" s="1314">
        <f>IF(C19=0,"",VLOOKUP(C19,'Tablas Magia'!$D$6:$Z$680,11,FALSE))</f>
        <v>30</v>
      </c>
      <c r="G21" s="1315" t="str">
        <f>IF(C19=0,"",VLOOKUP(C19,'Tablas Magia'!$D$6:$Z$680,15,FALSE))</f>
        <v>No</v>
      </c>
      <c r="H21" s="5029" t="str">
        <f>IF(C19=0,"",VLOOKUP(C19,'Tablas Magia'!$D$6:$Z$680,19,FALSE))</f>
        <v>Da +40 a Frialdad / 10m radio</v>
      </c>
      <c r="I21" s="5030"/>
      <c r="J21" s="5030"/>
      <c r="K21" s="5030"/>
      <c r="L21" s="5030"/>
      <c r="M21" s="5030"/>
      <c r="N21" s="5030"/>
      <c r="O21" s="5030"/>
      <c r="P21" s="5030"/>
      <c r="Q21" s="5031"/>
      <c r="R21" s="1295"/>
      <c r="S21" s="1289"/>
      <c r="T21" s="1289"/>
      <c r="U21" s="2471"/>
      <c r="V21" s="5027" t="s">
        <v>2218</v>
      </c>
      <c r="W21" s="5028"/>
      <c r="X21" s="1314">
        <f>IF(V19=0,"",VLOOKUP(V19,'Tablas Magia'!$D$6:$Z$680,7,FALSE))</f>
        <v>6</v>
      </c>
      <c r="Y21" s="1314">
        <f>IF(V19=0,"",VLOOKUP(V19,'Tablas Magia'!$D$6:$Z$680,11,FALSE))</f>
        <v>50</v>
      </c>
      <c r="Z21" s="1315">
        <f>IF(V19=0,"",VLOOKUP(V19,'Tablas Magia'!$D$6:$Z$680,15,FALSE))</f>
        <v>5</v>
      </c>
      <c r="AA21" s="5029" t="str">
        <f>IF(V19=0,"",VLOOKUP(V19,'Tablas Magia'!$D$6:$Z$680,19,FALSE))</f>
        <v>Da +10 Turno / 10m radio</v>
      </c>
      <c r="AB21" s="5030"/>
      <c r="AC21" s="5030"/>
      <c r="AD21" s="5030"/>
      <c r="AE21" s="5030"/>
      <c r="AF21" s="5030"/>
      <c r="AG21" s="5030"/>
      <c r="AH21" s="5030"/>
      <c r="AI21" s="5030"/>
      <c r="AJ21" s="5031"/>
      <c r="AK21" s="1295"/>
      <c r="AL21" s="1289"/>
      <c r="AM21" s="1289"/>
      <c r="AN21" s="2485"/>
      <c r="AO21" s="5027" t="s">
        <v>2218</v>
      </c>
      <c r="AP21" s="5028"/>
      <c r="AQ21" s="1314">
        <f>IF(AO19=0,"",VLOOKUP(AO19,'Tablas Magia'!$D$6:$Z$680,7,FALSE))</f>
        <v>7</v>
      </c>
      <c r="AR21" s="1314">
        <f>IF(AO19=0,"",VLOOKUP(AO19,'Tablas Magia'!$D$6:$Z$680,11,FALSE))</f>
        <v>80</v>
      </c>
      <c r="AS21" s="1315">
        <f>IF(AO19=0,"",VLOOKUP(AO19,'Tablas Magia'!$D$6:$Z$680,15,FALSE))</f>
        <v>5</v>
      </c>
      <c r="AT21" s="5029" t="str">
        <f>IF(AO19=0,"",VLOOKUP(AO19,'Tablas Magia'!$D$6:$Z$680,19,FALSE))</f>
        <v>Da +10 a Todas las Resistencias / +1 TA / 10m radio</v>
      </c>
      <c r="AU21" s="5030"/>
      <c r="AV21" s="5030"/>
      <c r="AW21" s="5030"/>
      <c r="AX21" s="5030"/>
      <c r="AY21" s="5030"/>
      <c r="AZ21" s="5030"/>
      <c r="BA21" s="5030"/>
      <c r="BB21" s="5030"/>
      <c r="BC21" s="5031"/>
      <c r="BD21" s="1295"/>
      <c r="BE21" s="1289"/>
      <c r="BF21" s="1289"/>
      <c r="BG21" s="2485"/>
      <c r="BH21" s="5027" t="s">
        <v>2218</v>
      </c>
      <c r="BI21" s="5028"/>
      <c r="BJ21" s="1314">
        <f>IF(BH19=0,"",VLOOKUP(BH19,'Tablas Magia'!$D$6:$Z$680,7,FALSE))</f>
        <v>10</v>
      </c>
      <c r="BK21" s="1314">
        <f>IF(BH19=0,"",VLOOKUP(BH19,'Tablas Magia'!$D$6:$Z$680,11,FALSE))</f>
        <v>140</v>
      </c>
      <c r="BL21" s="1315">
        <f>IF(BH19=0,"",VLOOKUP(BH19,'Tablas Magia'!$D$6:$Z$680,15,FALSE))</f>
        <v>15</v>
      </c>
      <c r="BM21" s="5029" t="str">
        <f>IF(BH19=0,"",VLOOKUP(BH19,'Tablas Magia'!$D$6:$Z$680,19,FALSE))</f>
        <v>Da +10 a Toda Acción / +10 Daño / +10 Turno / +2 TA</v>
      </c>
      <c r="BN21" s="5030"/>
      <c r="BO21" s="5030"/>
      <c r="BP21" s="5030"/>
      <c r="BQ21" s="5030"/>
      <c r="BR21" s="5030"/>
      <c r="BS21" s="5030"/>
      <c r="BT21" s="5030"/>
      <c r="BU21" s="5030"/>
      <c r="BV21" s="5031"/>
      <c r="BW21" s="1295"/>
      <c r="BX21" s="1289"/>
      <c r="BY21" s="1289"/>
      <c r="BZ21" s="2485"/>
      <c r="CA21" s="5027" t="s">
        <v>2218</v>
      </c>
      <c r="CB21" s="5028"/>
      <c r="CC21" s="1314">
        <f>IF(CA19=0,"",VLOOKUP(CA19,'Tablas Magia'!$D$6:$Z$680,7,FALSE))</f>
        <v>10</v>
      </c>
      <c r="CD21" s="1314">
        <f>IF(CA19=0,"",VLOOKUP(CA19,'Tablas Magia'!$D$6:$Z$680,11,FALSE))</f>
        <v>200</v>
      </c>
      <c r="CE21" s="1315">
        <f>IF(CA19=0,"",VLOOKUP(CA19,'Tablas Magia'!$D$6:$Z$680,15,FALSE))</f>
        <v>10</v>
      </c>
      <c r="CF21" s="5029" t="str">
        <f>IF(CA19=0,"",VLOOKUP(CA19,'Tablas Magia'!$D$6:$Z$680,19,FALSE))</f>
        <v>200 Habilidad</v>
      </c>
      <c r="CG21" s="5030"/>
      <c r="CH21" s="5030"/>
      <c r="CI21" s="5030"/>
      <c r="CJ21" s="5030"/>
      <c r="CK21" s="5030"/>
      <c r="CL21" s="5030"/>
      <c r="CM21" s="5030"/>
      <c r="CN21" s="5030"/>
      <c r="CO21" s="5031"/>
      <c r="CP21" s="1295"/>
      <c r="CQ21" s="1289"/>
    </row>
    <row r="22" spans="1:95" ht="12" customHeight="1" x14ac:dyDescent="0.2">
      <c r="A22" s="1289"/>
      <c r="B22" s="2471"/>
      <c r="C22" s="5022" t="s">
        <v>5258</v>
      </c>
      <c r="D22" s="5023"/>
      <c r="E22" s="1316">
        <f>IF(C19=0,"",VLOOKUP(C19,'Tablas Magia'!$D$6:$Z$680,8,FALSE))</f>
        <v>8</v>
      </c>
      <c r="F22" s="1316">
        <f>IF(C19=0,"",VLOOKUP(C19,'Tablas Magia'!$D$6:$Z$680,12,FALSE))</f>
        <v>60</v>
      </c>
      <c r="G22" s="1317" t="str">
        <f>IF(C19=0,"",VLOOKUP(C19,'Tablas Magia'!$D$6:$Z$680,16,FALSE))</f>
        <v>No</v>
      </c>
      <c r="H22" s="5024" t="str">
        <f>IF(C19=0,"",VLOOKUP(C19,'Tablas Magia'!$D$6:$Z$680,20,FALSE))</f>
        <v>Da +80 a Frialdad / 50m radio</v>
      </c>
      <c r="I22" s="5025"/>
      <c r="J22" s="5025"/>
      <c r="K22" s="5025"/>
      <c r="L22" s="5025"/>
      <c r="M22" s="5025"/>
      <c r="N22" s="5025"/>
      <c r="O22" s="5025"/>
      <c r="P22" s="5025"/>
      <c r="Q22" s="5026"/>
      <c r="R22" s="1295"/>
      <c r="S22" s="1289"/>
      <c r="T22" s="1289"/>
      <c r="U22" s="2471"/>
      <c r="V22" s="5022" t="s">
        <v>5258</v>
      </c>
      <c r="W22" s="5023"/>
      <c r="X22" s="1316">
        <f>IF(V19=0,"",VLOOKUP(V19,'Tablas Magia'!$D$6:$Z$680,8,FALSE))</f>
        <v>9</v>
      </c>
      <c r="Y22" s="1316">
        <f>IF(V19=0,"",VLOOKUP(V19,'Tablas Magia'!$D$6:$Z$680,12,FALSE))</f>
        <v>90</v>
      </c>
      <c r="Z22" s="1317">
        <f>IF(V19=0,"",VLOOKUP(V19,'Tablas Magia'!$D$6:$Z$680,16,FALSE))</f>
        <v>10</v>
      </c>
      <c r="AA22" s="5024" t="str">
        <f>IF(V19=0,"",VLOOKUP(V19,'Tablas Magia'!$D$6:$Z$680,20,FALSE))</f>
        <v>Da +10 Turno / 50m radio</v>
      </c>
      <c r="AB22" s="5025"/>
      <c r="AC22" s="5025"/>
      <c r="AD22" s="5025"/>
      <c r="AE22" s="5025"/>
      <c r="AF22" s="5025"/>
      <c r="AG22" s="5025"/>
      <c r="AH22" s="5025"/>
      <c r="AI22" s="5025"/>
      <c r="AJ22" s="5026"/>
      <c r="AK22" s="1295"/>
      <c r="AL22" s="1289"/>
      <c r="AM22" s="1289"/>
      <c r="AN22" s="2485"/>
      <c r="AO22" s="5022" t="s">
        <v>5258</v>
      </c>
      <c r="AP22" s="5023"/>
      <c r="AQ22" s="1316">
        <f>IF(AO19=0,"",VLOOKUP(AO19,'Tablas Magia'!$D$6:$Z$680,8,FALSE))</f>
        <v>9</v>
      </c>
      <c r="AR22" s="1316">
        <f>IF(AO19=0,"",VLOOKUP(AO19,'Tablas Magia'!$D$6:$Z$680,12,FALSE))</f>
        <v>120</v>
      </c>
      <c r="AS22" s="1317">
        <f>IF(AO19=0,"",VLOOKUP(AO19,'Tablas Magia'!$D$6:$Z$680,16,FALSE))</f>
        <v>15</v>
      </c>
      <c r="AT22" s="5024" t="str">
        <f>IF(AO19=0,"",VLOOKUP(AO19,'Tablas Magia'!$D$6:$Z$680,20,FALSE))</f>
        <v>Da +10 a Todas las Resistencias / +2 TA / 50m radio</v>
      </c>
      <c r="AU22" s="5025"/>
      <c r="AV22" s="5025"/>
      <c r="AW22" s="5025"/>
      <c r="AX22" s="5025"/>
      <c r="AY22" s="5025"/>
      <c r="AZ22" s="5025"/>
      <c r="BA22" s="5025"/>
      <c r="BB22" s="5025"/>
      <c r="BC22" s="5026"/>
      <c r="BD22" s="1295"/>
      <c r="BE22" s="1289"/>
      <c r="BF22" s="1289"/>
      <c r="BG22" s="2485"/>
      <c r="BH22" s="5022" t="s">
        <v>5258</v>
      </c>
      <c r="BI22" s="5023"/>
      <c r="BJ22" s="1316">
        <f>IF(BH19=0,"",VLOOKUP(BH19,'Tablas Magia'!$D$6:$Z$680,8,FALSE))</f>
        <v>12</v>
      </c>
      <c r="BK22" s="1316">
        <f>IF(BH19=0,"",VLOOKUP(BH19,'Tablas Magia'!$D$6:$Z$680,12,FALSE))</f>
        <v>180</v>
      </c>
      <c r="BL22" s="1317">
        <f>IF(BH19=0,"",VLOOKUP(BH19,'Tablas Magia'!$D$6:$Z$680,16,FALSE))</f>
        <v>15</v>
      </c>
      <c r="BM22" s="5024" t="str">
        <f>IF(BH19=0,"",VLOOKUP(BH19,'Tablas Magia'!$D$6:$Z$680,20,FALSE))</f>
        <v>Da +10 a Toda Acción / +20 Daño / +20 Turno / +3 TA</v>
      </c>
      <c r="BN22" s="5025"/>
      <c r="BO22" s="5025"/>
      <c r="BP22" s="5025"/>
      <c r="BQ22" s="5025"/>
      <c r="BR22" s="5025"/>
      <c r="BS22" s="5025"/>
      <c r="BT22" s="5025"/>
      <c r="BU22" s="5025"/>
      <c r="BV22" s="5026"/>
      <c r="BW22" s="1295"/>
      <c r="BX22" s="1289"/>
      <c r="BY22" s="1289"/>
      <c r="BZ22" s="2485"/>
      <c r="CA22" s="5022" t="s">
        <v>5258</v>
      </c>
      <c r="CB22" s="5023"/>
      <c r="CC22" s="1316">
        <f>IF(CA19=0,"",VLOOKUP(CA19,'Tablas Magia'!$D$6:$Z$680,8,FALSE))</f>
        <v>12</v>
      </c>
      <c r="CD22" s="1316">
        <f>IF(CA19=0,"",VLOOKUP(CA19,'Tablas Magia'!$D$6:$Z$680,12,FALSE))</f>
        <v>300</v>
      </c>
      <c r="CE22" s="1317">
        <f>IF(CA19=0,"",VLOOKUP(CA19,'Tablas Magia'!$D$6:$Z$680,16,FALSE))</f>
        <v>15</v>
      </c>
      <c r="CF22" s="5024" t="str">
        <f>IF(CA19=0,"",VLOOKUP(CA19,'Tablas Magia'!$D$6:$Z$680,20,FALSE))</f>
        <v>250 Habilidad</v>
      </c>
      <c r="CG22" s="5025"/>
      <c r="CH22" s="5025"/>
      <c r="CI22" s="5025"/>
      <c r="CJ22" s="5025"/>
      <c r="CK22" s="5025"/>
      <c r="CL22" s="5025"/>
      <c r="CM22" s="5025"/>
      <c r="CN22" s="5025"/>
      <c r="CO22" s="5026"/>
      <c r="CP22" s="1295"/>
      <c r="CQ22" s="1289"/>
    </row>
    <row r="23" spans="1:95" ht="12" customHeight="1" x14ac:dyDescent="0.2">
      <c r="A23" s="1289"/>
      <c r="B23" s="2471"/>
      <c r="C23" s="5027" t="s">
        <v>5259</v>
      </c>
      <c r="D23" s="5028"/>
      <c r="E23" s="1314">
        <f>IF(C19=0,"",VLOOKUP(C19,'Tablas Magia'!$D$6:$Z$680,9,FALSE))</f>
        <v>11</v>
      </c>
      <c r="F23" s="1314">
        <f>IF(C19=0,"",VLOOKUP(C19,'Tablas Magia'!$D$6:$Z$680,13,FALSE))</f>
        <v>90</v>
      </c>
      <c r="G23" s="1315" t="str">
        <f>IF(C19=0,"",VLOOKUP(C19,'Tablas Magia'!$D$6:$Z$680,17,FALSE))</f>
        <v>No</v>
      </c>
      <c r="H23" s="5029" t="str">
        <f>IF(C19=0,"",VLOOKUP(C19,'Tablas Magia'!$D$6:$Z$680,21,FALSE))</f>
        <v>Da +120 a Frialdad / 250m radio</v>
      </c>
      <c r="I23" s="5030"/>
      <c r="J23" s="5030"/>
      <c r="K23" s="5030"/>
      <c r="L23" s="5030"/>
      <c r="M23" s="5030"/>
      <c r="N23" s="5030"/>
      <c r="O23" s="5030"/>
      <c r="P23" s="5030"/>
      <c r="Q23" s="5031"/>
      <c r="R23" s="1295"/>
      <c r="S23" s="1289"/>
      <c r="T23" s="1289"/>
      <c r="U23" s="2471"/>
      <c r="V23" s="5027" t="s">
        <v>5259</v>
      </c>
      <c r="W23" s="5028"/>
      <c r="X23" s="1314">
        <f>IF(V19=0,"",VLOOKUP(V19,'Tablas Magia'!$D$6:$Z$680,9,FALSE))</f>
        <v>12</v>
      </c>
      <c r="Y23" s="1314">
        <f>IF(V19=0,"",VLOOKUP(V19,'Tablas Magia'!$D$6:$Z$680,13,FALSE))</f>
        <v>120</v>
      </c>
      <c r="Z23" s="1315">
        <f>IF(V19=0,"",VLOOKUP(V19,'Tablas Magia'!$D$6:$Z$680,17,FALSE))</f>
        <v>15</v>
      </c>
      <c r="AA23" s="5029" t="str">
        <f>IF(V19=0,"",VLOOKUP(V19,'Tablas Magia'!$D$6:$Z$680,21,FALSE))</f>
        <v>Da +20 Turno / 250m radio</v>
      </c>
      <c r="AB23" s="5030"/>
      <c r="AC23" s="5030"/>
      <c r="AD23" s="5030"/>
      <c r="AE23" s="5030"/>
      <c r="AF23" s="5030"/>
      <c r="AG23" s="5030"/>
      <c r="AH23" s="5030"/>
      <c r="AI23" s="5030"/>
      <c r="AJ23" s="5031"/>
      <c r="AK23" s="1295"/>
      <c r="AL23" s="1289"/>
      <c r="AM23" s="1289"/>
      <c r="AN23" s="2485"/>
      <c r="AO23" s="5027" t="s">
        <v>5259</v>
      </c>
      <c r="AP23" s="5028"/>
      <c r="AQ23" s="1314">
        <f>IF(AO19=0,"",VLOOKUP(AO19,'Tablas Magia'!$D$6:$Z$680,9,FALSE))</f>
        <v>12</v>
      </c>
      <c r="AR23" s="1314">
        <f>IF(AO19=0,"",VLOOKUP(AO19,'Tablas Magia'!$D$6:$Z$680,13,FALSE))</f>
        <v>160</v>
      </c>
      <c r="AS23" s="1315">
        <f>IF(AO19=0,"",VLOOKUP(AO19,'Tablas Magia'!$D$6:$Z$680,17,FALSE))</f>
        <v>20</v>
      </c>
      <c r="AT23" s="5029" t="str">
        <f>IF(AO19=0,"",VLOOKUP(AO19,'Tablas Magia'!$D$6:$Z$680,21,FALSE))</f>
        <v>Da +20 a Todas las Resistencias / +2 TA / 250m radio</v>
      </c>
      <c r="AU23" s="5030"/>
      <c r="AV23" s="5030"/>
      <c r="AW23" s="5030"/>
      <c r="AX23" s="5030"/>
      <c r="AY23" s="5030"/>
      <c r="AZ23" s="5030"/>
      <c r="BA23" s="5030"/>
      <c r="BB23" s="5030"/>
      <c r="BC23" s="5031"/>
      <c r="BD23" s="1295"/>
      <c r="BE23" s="1289"/>
      <c r="BF23" s="1289"/>
      <c r="BG23" s="2485"/>
      <c r="BH23" s="5027" t="s">
        <v>5259</v>
      </c>
      <c r="BI23" s="5028"/>
      <c r="BJ23" s="1314">
        <f>IF(BH19=0,"",VLOOKUP(BH19,'Tablas Magia'!$D$6:$Z$680,9,FALSE))</f>
        <v>14</v>
      </c>
      <c r="BK23" s="1314">
        <f>IF(BH19=0,"",VLOOKUP(BH19,'Tablas Magia'!$D$6:$Z$680,13,FALSE))</f>
        <v>240</v>
      </c>
      <c r="BL23" s="1315">
        <f>IF(BH19=0,"",VLOOKUP(BH19,'Tablas Magia'!$D$6:$Z$680,17,FALSE))</f>
        <v>20</v>
      </c>
      <c r="BM23" s="5029" t="str">
        <f>IF(BH19=0,"",VLOOKUP(BH19,'Tablas Magia'!$D$6:$Z$680,21,FALSE))</f>
        <v>Da +20 a Toda Acción / +20 Daño / +20 Turno / +4 TA</v>
      </c>
      <c r="BN23" s="5030"/>
      <c r="BO23" s="5030"/>
      <c r="BP23" s="5030"/>
      <c r="BQ23" s="5030"/>
      <c r="BR23" s="5030"/>
      <c r="BS23" s="5030"/>
      <c r="BT23" s="5030"/>
      <c r="BU23" s="5030"/>
      <c r="BV23" s="5031"/>
      <c r="BW23" s="1295"/>
      <c r="BX23" s="1289"/>
      <c r="BY23" s="1289"/>
      <c r="BZ23" s="2485"/>
      <c r="CA23" s="5027" t="s">
        <v>5259</v>
      </c>
      <c r="CB23" s="5028"/>
      <c r="CC23" s="1314">
        <f>IF(CA19=0,"",VLOOKUP(CA19,'Tablas Magia'!$D$6:$Z$680,9,FALSE))</f>
        <v>15</v>
      </c>
      <c r="CD23" s="1314">
        <f>IF(CA19=0,"",VLOOKUP(CA19,'Tablas Magia'!$D$6:$Z$680,13,FALSE))</f>
        <v>400</v>
      </c>
      <c r="CE23" s="1315">
        <f>IF(CA19=0,"",VLOOKUP(CA19,'Tablas Magia'!$D$6:$Z$680,17,FALSE))</f>
        <v>20</v>
      </c>
      <c r="CF23" s="5029" t="str">
        <f>IF(CA19=0,"",VLOOKUP(CA19,'Tablas Magia'!$D$6:$Z$680,21,FALSE))</f>
        <v>300 Habilidad</v>
      </c>
      <c r="CG23" s="5030"/>
      <c r="CH23" s="5030"/>
      <c r="CI23" s="5030"/>
      <c r="CJ23" s="5030"/>
      <c r="CK23" s="5030"/>
      <c r="CL23" s="5030"/>
      <c r="CM23" s="5030"/>
      <c r="CN23" s="5030"/>
      <c r="CO23" s="5031"/>
      <c r="CP23" s="1295"/>
      <c r="CQ23" s="1289"/>
    </row>
    <row r="24" spans="1:95" ht="12" customHeight="1" thickBot="1" x14ac:dyDescent="0.25">
      <c r="A24" s="1289"/>
      <c r="B24" s="2471"/>
      <c r="C24" s="5037" t="s">
        <v>5260</v>
      </c>
      <c r="D24" s="5038"/>
      <c r="E24" s="1318">
        <f>IF(C19=0,"",VLOOKUP(C19,'Tablas Magia'!$D$6:$Z$680,10,FALSE))</f>
        <v>13</v>
      </c>
      <c r="F24" s="1318">
        <f>IF(C19=0,"",VLOOKUP(C19,'Tablas Magia'!$D$6:$Z$680,14,FALSE))</f>
        <v>120</v>
      </c>
      <c r="G24" s="1319" t="str">
        <f>IF(C19=0,"",VLOOKUP(C19,'Tablas Magia'!$D$6:$Z$680,18,FALSE))</f>
        <v>No</v>
      </c>
      <c r="H24" s="5039" t="str">
        <f>IF(C19=0,"",VLOOKUP(C19,'Tablas Magia'!$D$6:$Z$680,22,FALSE))</f>
        <v>Da +180 a Frialdad / 500m radio</v>
      </c>
      <c r="I24" s="5040"/>
      <c r="J24" s="5040"/>
      <c r="K24" s="5040"/>
      <c r="L24" s="5040"/>
      <c r="M24" s="5040"/>
      <c r="N24" s="5040"/>
      <c r="O24" s="5040"/>
      <c r="P24" s="5040"/>
      <c r="Q24" s="5041"/>
      <c r="R24" s="1295"/>
      <c r="S24" s="1289"/>
      <c r="T24" s="1289"/>
      <c r="U24" s="2471"/>
      <c r="V24" s="5037" t="s">
        <v>5260</v>
      </c>
      <c r="W24" s="5038"/>
      <c r="X24" s="1318">
        <f>IF(V19=0,"",VLOOKUP(V19,'Tablas Magia'!$D$6:$Z$680,10,FALSE))</f>
        <v>15</v>
      </c>
      <c r="Y24" s="1318">
        <f>IF(V19=0,"",VLOOKUP(V19,'Tablas Magia'!$D$6:$Z$680,14,FALSE))</f>
        <v>150</v>
      </c>
      <c r="Z24" s="1319">
        <f>IF(V19=0,"",VLOOKUP(V19,'Tablas Magia'!$D$6:$Z$680,18,FALSE))</f>
        <v>15</v>
      </c>
      <c r="AA24" s="5039" t="str">
        <f>IF(V19=0,"",VLOOKUP(V19,'Tablas Magia'!$D$6:$Z$680,22,FALSE))</f>
        <v>Da +20 Turno / 500m radio</v>
      </c>
      <c r="AB24" s="5040"/>
      <c r="AC24" s="5040"/>
      <c r="AD24" s="5040"/>
      <c r="AE24" s="5040"/>
      <c r="AF24" s="5040"/>
      <c r="AG24" s="5040"/>
      <c r="AH24" s="5040"/>
      <c r="AI24" s="5040"/>
      <c r="AJ24" s="5041"/>
      <c r="AK24" s="1295"/>
      <c r="AL24" s="1289"/>
      <c r="AM24" s="1289"/>
      <c r="AN24" s="2485"/>
      <c r="AO24" s="5037" t="s">
        <v>5260</v>
      </c>
      <c r="AP24" s="5038"/>
      <c r="AQ24" s="1318">
        <f>IF(AO19=0,"",VLOOKUP(AO19,'Tablas Magia'!$D$6:$Z$680,10,FALSE))</f>
        <v>15</v>
      </c>
      <c r="AR24" s="1318">
        <f>IF(AO19=0,"",VLOOKUP(AO19,'Tablas Magia'!$D$6:$Z$680,14,FALSE))</f>
        <v>200</v>
      </c>
      <c r="AS24" s="1319">
        <f>IF(AO19=0,"",VLOOKUP(AO19,'Tablas Magia'!$D$6:$Z$680,18,FALSE))</f>
        <v>20</v>
      </c>
      <c r="AT24" s="5039" t="str">
        <f>IF(AO19=0,"",VLOOKUP(AO19,'Tablas Magia'!$D$6:$Z$680,22,FALSE))</f>
        <v>Da +30 a Todas las Resistencias / +3 TA / 500m radio</v>
      </c>
      <c r="AU24" s="5040"/>
      <c r="AV24" s="5040"/>
      <c r="AW24" s="5040"/>
      <c r="AX24" s="5040"/>
      <c r="AY24" s="5040"/>
      <c r="AZ24" s="5040"/>
      <c r="BA24" s="5040"/>
      <c r="BB24" s="5040"/>
      <c r="BC24" s="5041"/>
      <c r="BD24" s="1295"/>
      <c r="BE24" s="1289"/>
      <c r="BF24" s="1289"/>
      <c r="BG24" s="2485"/>
      <c r="BH24" s="5037" t="s">
        <v>5260</v>
      </c>
      <c r="BI24" s="5038"/>
      <c r="BJ24" s="1318">
        <f>IF(BH19=0,"",VLOOKUP(BH19,'Tablas Magia'!$D$6:$Z$680,10,FALSE))</f>
        <v>16</v>
      </c>
      <c r="BK24" s="1318">
        <f>IF(BH19=0,"",VLOOKUP(BH19,'Tablas Magia'!$D$6:$Z$680,14,FALSE))</f>
        <v>350</v>
      </c>
      <c r="BL24" s="1319">
        <f>IF(BH19=0,"",VLOOKUP(BH19,'Tablas Magia'!$D$6:$Z$680,18,FALSE))</f>
        <v>30</v>
      </c>
      <c r="BM24" s="5039" t="str">
        <f>IF(BH19=0,"",VLOOKUP(BH19,'Tablas Magia'!$D$6:$Z$680,22,FALSE))</f>
        <v>Da +30 a Toda Acción / +30 Daño / +30 Turno / +5 TA</v>
      </c>
      <c r="BN24" s="5040"/>
      <c r="BO24" s="5040"/>
      <c r="BP24" s="5040"/>
      <c r="BQ24" s="5040"/>
      <c r="BR24" s="5040"/>
      <c r="BS24" s="5040"/>
      <c r="BT24" s="5040"/>
      <c r="BU24" s="5040"/>
      <c r="BV24" s="5041"/>
      <c r="BW24" s="1295"/>
      <c r="BX24" s="1289"/>
      <c r="BY24" s="1289"/>
      <c r="BZ24" s="2485"/>
      <c r="CA24" s="5037" t="s">
        <v>5260</v>
      </c>
      <c r="CB24" s="5038"/>
      <c r="CC24" s="1318">
        <f>IF(CA19=0,"",VLOOKUP(CA19,'Tablas Magia'!$D$6:$Z$680,10,FALSE))</f>
        <v>18</v>
      </c>
      <c r="CD24" s="1318">
        <f>IF(CA19=0,"",VLOOKUP(CA19,'Tablas Magia'!$D$6:$Z$680,14,FALSE))</f>
        <v>500</v>
      </c>
      <c r="CE24" s="1319">
        <f>IF(CA19=0,"",VLOOKUP(CA19,'Tablas Magia'!$D$6:$Z$680,18,FALSE))</f>
        <v>25</v>
      </c>
      <c r="CF24" s="5039" t="str">
        <f>IF(CA19=0,"",VLOOKUP(CA19,'Tablas Magia'!$D$6:$Z$680,22,FALSE))</f>
        <v>Sin Límite</v>
      </c>
      <c r="CG24" s="5040"/>
      <c r="CH24" s="5040"/>
      <c r="CI24" s="5040"/>
      <c r="CJ24" s="5040"/>
      <c r="CK24" s="5040"/>
      <c r="CL24" s="5040"/>
      <c r="CM24" s="5040"/>
      <c r="CN24" s="5040"/>
      <c r="CO24" s="5041"/>
      <c r="CP24" s="1295"/>
      <c r="CQ24" s="1289"/>
    </row>
    <row r="25" spans="1:95" ht="12" customHeight="1" x14ac:dyDescent="0.2">
      <c r="A25" s="1289"/>
      <c r="B25" s="2471"/>
      <c r="C25" s="5042"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43"/>
      <c r="E25" s="5043"/>
      <c r="F25" s="5043"/>
      <c r="G25" s="5043"/>
      <c r="H25" s="5043"/>
      <c r="I25" s="5043"/>
      <c r="J25" s="5043"/>
      <c r="K25" s="5043"/>
      <c r="L25" s="5043"/>
      <c r="M25" s="5043"/>
      <c r="N25" s="5043"/>
      <c r="O25" s="5043"/>
      <c r="P25" s="5043"/>
      <c r="Q25" s="5044"/>
      <c r="R25" s="1295"/>
      <c r="S25" s="1289"/>
      <c r="T25" s="1289"/>
      <c r="U25" s="2471"/>
      <c r="V25" s="5042" t="str">
        <f>IF(V19=0,"",VLOOKUP(V19,'Tablas Magia'!$D$6:$Z$680,23,FALSE))</f>
        <v>Canaliza el espíritu de batalla de los aliados, haciéndolos trabajar como un solo hombre y permitiéndoles anticiparse a las acciones de sus enemigos.</v>
      </c>
      <c r="W25" s="5043"/>
      <c r="X25" s="5043"/>
      <c r="Y25" s="5043"/>
      <c r="Z25" s="5043"/>
      <c r="AA25" s="5043"/>
      <c r="AB25" s="5043"/>
      <c r="AC25" s="5043"/>
      <c r="AD25" s="5043"/>
      <c r="AE25" s="5043"/>
      <c r="AF25" s="5043"/>
      <c r="AG25" s="5043"/>
      <c r="AH25" s="5043"/>
      <c r="AI25" s="5043"/>
      <c r="AJ25" s="5044"/>
      <c r="AK25" s="1295"/>
      <c r="AL25" s="1289"/>
      <c r="AM25" s="1289"/>
      <c r="AN25" s="2485"/>
      <c r="AO25" s="5042" t="str">
        <f>IF(AO19=0,"",VLOOKUP(AO19,'Tablas Magia'!$D$6:$Z$680,23,FALSE))</f>
        <v>Incrementa la protección y resistencia de los aliados cercanos al brujo, otorgándoles a estos un Bono a sus Resistencias y Tipo de Armadura.</v>
      </c>
      <c r="AP25" s="5043"/>
      <c r="AQ25" s="5043"/>
      <c r="AR25" s="5043"/>
      <c r="AS25" s="5043"/>
      <c r="AT25" s="5043"/>
      <c r="AU25" s="5043"/>
      <c r="AV25" s="5043"/>
      <c r="AW25" s="5043"/>
      <c r="AX25" s="5043"/>
      <c r="AY25" s="5043"/>
      <c r="AZ25" s="5043"/>
      <c r="BA25" s="5043"/>
      <c r="BB25" s="5043"/>
      <c r="BC25" s="5044"/>
      <c r="BD25" s="1295"/>
      <c r="BE25" s="1289"/>
      <c r="BF25" s="1289"/>
      <c r="BG25" s="2485"/>
      <c r="BH25" s="5042"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43"/>
      <c r="BJ25" s="5043"/>
      <c r="BK25" s="5043"/>
      <c r="BL25" s="5043"/>
      <c r="BM25" s="5043"/>
      <c r="BN25" s="5043"/>
      <c r="BO25" s="5043"/>
      <c r="BP25" s="5043"/>
      <c r="BQ25" s="5043"/>
      <c r="BR25" s="5043"/>
      <c r="BS25" s="5043"/>
      <c r="BT25" s="5043"/>
      <c r="BU25" s="5043"/>
      <c r="BV25" s="5044"/>
      <c r="BW25" s="1295"/>
      <c r="BX25" s="1289"/>
      <c r="BY25" s="1289"/>
      <c r="BZ25" s="2485"/>
      <c r="CA25" s="5042"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43"/>
      <c r="CC25" s="5043"/>
      <c r="CD25" s="5043"/>
      <c r="CE25" s="5043"/>
      <c r="CF25" s="5043"/>
      <c r="CG25" s="5043"/>
      <c r="CH25" s="5043"/>
      <c r="CI25" s="5043"/>
      <c r="CJ25" s="5043"/>
      <c r="CK25" s="5043"/>
      <c r="CL25" s="5043"/>
      <c r="CM25" s="5043"/>
      <c r="CN25" s="5043"/>
      <c r="CO25" s="5044"/>
      <c r="CP25" s="1295"/>
      <c r="CQ25" s="1289"/>
    </row>
    <row r="26" spans="1:95" ht="12" customHeight="1" x14ac:dyDescent="0.2">
      <c r="A26" s="1289"/>
      <c r="B26" s="2471"/>
      <c r="C26" s="5045"/>
      <c r="D26" s="5046"/>
      <c r="E26" s="5046"/>
      <c r="F26" s="5046"/>
      <c r="G26" s="5046"/>
      <c r="H26" s="5046"/>
      <c r="I26" s="5046"/>
      <c r="J26" s="5046"/>
      <c r="K26" s="5046"/>
      <c r="L26" s="5046"/>
      <c r="M26" s="5046"/>
      <c r="N26" s="5046"/>
      <c r="O26" s="5046"/>
      <c r="P26" s="5046"/>
      <c r="Q26" s="5047"/>
      <c r="R26" s="1295"/>
      <c r="S26" s="1289"/>
      <c r="T26" s="1289"/>
      <c r="U26" s="2471"/>
      <c r="V26" s="5045"/>
      <c r="W26" s="5046"/>
      <c r="X26" s="5046"/>
      <c r="Y26" s="5046"/>
      <c r="Z26" s="5046"/>
      <c r="AA26" s="5046"/>
      <c r="AB26" s="5046"/>
      <c r="AC26" s="5046"/>
      <c r="AD26" s="5046"/>
      <c r="AE26" s="5046"/>
      <c r="AF26" s="5046"/>
      <c r="AG26" s="5046"/>
      <c r="AH26" s="5046"/>
      <c r="AI26" s="5046"/>
      <c r="AJ26" s="5047"/>
      <c r="AK26" s="1295"/>
      <c r="AL26" s="1289"/>
      <c r="AM26" s="1289"/>
      <c r="AN26" s="2485"/>
      <c r="AO26" s="5045"/>
      <c r="AP26" s="5046"/>
      <c r="AQ26" s="5046"/>
      <c r="AR26" s="5046"/>
      <c r="AS26" s="5046"/>
      <c r="AT26" s="5046"/>
      <c r="AU26" s="5046"/>
      <c r="AV26" s="5046"/>
      <c r="AW26" s="5046"/>
      <c r="AX26" s="5046"/>
      <c r="AY26" s="5046"/>
      <c r="AZ26" s="5046"/>
      <c r="BA26" s="5046"/>
      <c r="BB26" s="5046"/>
      <c r="BC26" s="5047"/>
      <c r="BD26" s="1295"/>
      <c r="BE26" s="1289"/>
      <c r="BF26" s="1289"/>
      <c r="BG26" s="2485"/>
      <c r="BH26" s="5045"/>
      <c r="BI26" s="5046"/>
      <c r="BJ26" s="5046"/>
      <c r="BK26" s="5046"/>
      <c r="BL26" s="5046"/>
      <c r="BM26" s="5046"/>
      <c r="BN26" s="5046"/>
      <c r="BO26" s="5046"/>
      <c r="BP26" s="5046"/>
      <c r="BQ26" s="5046"/>
      <c r="BR26" s="5046"/>
      <c r="BS26" s="5046"/>
      <c r="BT26" s="5046"/>
      <c r="BU26" s="5046"/>
      <c r="BV26" s="5047"/>
      <c r="BW26" s="1295"/>
      <c r="BX26" s="1289"/>
      <c r="BY26" s="1289"/>
      <c r="BZ26" s="2485"/>
      <c r="CA26" s="5045"/>
      <c r="CB26" s="5046"/>
      <c r="CC26" s="5046"/>
      <c r="CD26" s="5046"/>
      <c r="CE26" s="5046"/>
      <c r="CF26" s="5046"/>
      <c r="CG26" s="5046"/>
      <c r="CH26" s="5046"/>
      <c r="CI26" s="5046"/>
      <c r="CJ26" s="5046"/>
      <c r="CK26" s="5046"/>
      <c r="CL26" s="5046"/>
      <c r="CM26" s="5046"/>
      <c r="CN26" s="5046"/>
      <c r="CO26" s="5047"/>
      <c r="CP26" s="1295"/>
      <c r="CQ26" s="1289"/>
    </row>
    <row r="27" spans="1:95" ht="12" customHeight="1" x14ac:dyDescent="0.2">
      <c r="A27" s="1289"/>
      <c r="B27" s="2471"/>
      <c r="C27" s="5045"/>
      <c r="D27" s="5046"/>
      <c r="E27" s="5046"/>
      <c r="F27" s="5046"/>
      <c r="G27" s="5046"/>
      <c r="H27" s="5046"/>
      <c r="I27" s="5046"/>
      <c r="J27" s="5046"/>
      <c r="K27" s="5046"/>
      <c r="L27" s="5046"/>
      <c r="M27" s="5046"/>
      <c r="N27" s="5046"/>
      <c r="O27" s="5046"/>
      <c r="P27" s="5046"/>
      <c r="Q27" s="5047"/>
      <c r="R27" s="1295"/>
      <c r="S27" s="1289"/>
      <c r="T27" s="1289"/>
      <c r="U27" s="2471"/>
      <c r="V27" s="5045"/>
      <c r="W27" s="5046"/>
      <c r="X27" s="5046"/>
      <c r="Y27" s="5046"/>
      <c r="Z27" s="5046"/>
      <c r="AA27" s="5046"/>
      <c r="AB27" s="5046"/>
      <c r="AC27" s="5046"/>
      <c r="AD27" s="5046"/>
      <c r="AE27" s="5046"/>
      <c r="AF27" s="5046"/>
      <c r="AG27" s="5046"/>
      <c r="AH27" s="5046"/>
      <c r="AI27" s="5046"/>
      <c r="AJ27" s="5047"/>
      <c r="AK27" s="1295"/>
      <c r="AL27" s="1289"/>
      <c r="AM27" s="1289"/>
      <c r="AN27" s="2485"/>
      <c r="AO27" s="5045"/>
      <c r="AP27" s="5046"/>
      <c r="AQ27" s="5046"/>
      <c r="AR27" s="5046"/>
      <c r="AS27" s="5046"/>
      <c r="AT27" s="5046"/>
      <c r="AU27" s="5046"/>
      <c r="AV27" s="5046"/>
      <c r="AW27" s="5046"/>
      <c r="AX27" s="5046"/>
      <c r="AY27" s="5046"/>
      <c r="AZ27" s="5046"/>
      <c r="BA27" s="5046"/>
      <c r="BB27" s="5046"/>
      <c r="BC27" s="5047"/>
      <c r="BD27" s="1295"/>
      <c r="BE27" s="1289"/>
      <c r="BF27" s="1289"/>
      <c r="BG27" s="2485"/>
      <c r="BH27" s="5045"/>
      <c r="BI27" s="5046"/>
      <c r="BJ27" s="5046"/>
      <c r="BK27" s="5046"/>
      <c r="BL27" s="5046"/>
      <c r="BM27" s="5046"/>
      <c r="BN27" s="5046"/>
      <c r="BO27" s="5046"/>
      <c r="BP27" s="5046"/>
      <c r="BQ27" s="5046"/>
      <c r="BR27" s="5046"/>
      <c r="BS27" s="5046"/>
      <c r="BT27" s="5046"/>
      <c r="BU27" s="5046"/>
      <c r="BV27" s="5047"/>
      <c r="BW27" s="1295"/>
      <c r="BX27" s="1289"/>
      <c r="BY27" s="1289"/>
      <c r="BZ27" s="2485"/>
      <c r="CA27" s="5045"/>
      <c r="CB27" s="5046"/>
      <c r="CC27" s="5046"/>
      <c r="CD27" s="5046"/>
      <c r="CE27" s="5046"/>
      <c r="CF27" s="5046"/>
      <c r="CG27" s="5046"/>
      <c r="CH27" s="5046"/>
      <c r="CI27" s="5046"/>
      <c r="CJ27" s="5046"/>
      <c r="CK27" s="5046"/>
      <c r="CL27" s="5046"/>
      <c r="CM27" s="5046"/>
      <c r="CN27" s="5046"/>
      <c r="CO27" s="5047"/>
      <c r="CP27" s="1295"/>
      <c r="CQ27" s="1289"/>
    </row>
    <row r="28" spans="1:95" ht="12" customHeight="1" thickBot="1" x14ac:dyDescent="0.25">
      <c r="A28" s="1289"/>
      <c r="B28" s="2471"/>
      <c r="C28" s="5048"/>
      <c r="D28" s="5049"/>
      <c r="E28" s="5049"/>
      <c r="F28" s="5049"/>
      <c r="G28" s="5049"/>
      <c r="H28" s="5049"/>
      <c r="I28" s="5049"/>
      <c r="J28" s="5049"/>
      <c r="K28" s="5049"/>
      <c r="L28" s="5049"/>
      <c r="M28" s="5049"/>
      <c r="N28" s="5049"/>
      <c r="O28" s="5049"/>
      <c r="P28" s="5049"/>
      <c r="Q28" s="5050"/>
      <c r="R28" s="1295"/>
      <c r="S28" s="1289"/>
      <c r="T28" s="1289"/>
      <c r="U28" s="2471"/>
      <c r="V28" s="5048"/>
      <c r="W28" s="5049"/>
      <c r="X28" s="5049"/>
      <c r="Y28" s="5049"/>
      <c r="Z28" s="5049"/>
      <c r="AA28" s="5049"/>
      <c r="AB28" s="5049"/>
      <c r="AC28" s="5049"/>
      <c r="AD28" s="5049"/>
      <c r="AE28" s="5049"/>
      <c r="AF28" s="5049"/>
      <c r="AG28" s="5049"/>
      <c r="AH28" s="5049"/>
      <c r="AI28" s="5049"/>
      <c r="AJ28" s="5050"/>
      <c r="AK28" s="1295"/>
      <c r="AL28" s="1289"/>
      <c r="AM28" s="1289"/>
      <c r="AN28" s="2485"/>
      <c r="AO28" s="5048"/>
      <c r="AP28" s="5049"/>
      <c r="AQ28" s="5049"/>
      <c r="AR28" s="5049"/>
      <c r="AS28" s="5049"/>
      <c r="AT28" s="5049"/>
      <c r="AU28" s="5049"/>
      <c r="AV28" s="5049"/>
      <c r="AW28" s="5049"/>
      <c r="AX28" s="5049"/>
      <c r="AY28" s="5049"/>
      <c r="AZ28" s="5049"/>
      <c r="BA28" s="5049"/>
      <c r="BB28" s="5049"/>
      <c r="BC28" s="5050"/>
      <c r="BD28" s="1295"/>
      <c r="BE28" s="1289"/>
      <c r="BF28" s="1289"/>
      <c r="BG28" s="2485"/>
      <c r="BH28" s="5048"/>
      <c r="BI28" s="5049"/>
      <c r="BJ28" s="5049"/>
      <c r="BK28" s="5049"/>
      <c r="BL28" s="5049"/>
      <c r="BM28" s="5049"/>
      <c r="BN28" s="5049"/>
      <c r="BO28" s="5049"/>
      <c r="BP28" s="5049"/>
      <c r="BQ28" s="5049"/>
      <c r="BR28" s="5049"/>
      <c r="BS28" s="5049"/>
      <c r="BT28" s="5049"/>
      <c r="BU28" s="5049"/>
      <c r="BV28" s="5050"/>
      <c r="BW28" s="1295"/>
      <c r="BX28" s="1289"/>
      <c r="BY28" s="1289"/>
      <c r="BZ28" s="2485"/>
      <c r="CA28" s="5048"/>
      <c r="CB28" s="5049"/>
      <c r="CC28" s="5049"/>
      <c r="CD28" s="5049"/>
      <c r="CE28" s="5049"/>
      <c r="CF28" s="5049"/>
      <c r="CG28" s="5049"/>
      <c r="CH28" s="5049"/>
      <c r="CI28" s="5049"/>
      <c r="CJ28" s="5049"/>
      <c r="CK28" s="5049"/>
      <c r="CL28" s="5049"/>
      <c r="CM28" s="5049"/>
      <c r="CN28" s="5049"/>
      <c r="CO28" s="5050"/>
      <c r="CP28" s="1295"/>
      <c r="CQ28" s="1289"/>
    </row>
    <row r="29" spans="1:95" ht="12" customHeight="1" thickBot="1" x14ac:dyDescent="0.25">
      <c r="A29" s="1289"/>
      <c r="B29" s="2471"/>
      <c r="C29" s="1323"/>
      <c r="D29" s="1323"/>
      <c r="E29" s="1327"/>
      <c r="F29" s="1327"/>
      <c r="G29" s="1327"/>
      <c r="H29" s="1323"/>
      <c r="I29" s="825"/>
      <c r="J29" s="825"/>
      <c r="K29" s="1323"/>
      <c r="L29" s="1323"/>
      <c r="M29" s="825"/>
      <c r="N29" s="825"/>
      <c r="O29" s="1328"/>
      <c r="P29" s="1328"/>
      <c r="Q29" s="825"/>
      <c r="R29" s="1295"/>
      <c r="S29" s="1289"/>
      <c r="T29" s="1289"/>
      <c r="U29" s="2471"/>
      <c r="V29" s="1323"/>
      <c r="W29" s="1323"/>
      <c r="X29" s="1327"/>
      <c r="Y29" s="1327"/>
      <c r="Z29" s="1327"/>
      <c r="AA29" s="1323"/>
      <c r="AB29" s="825"/>
      <c r="AC29" s="825"/>
      <c r="AD29" s="1323"/>
      <c r="AE29" s="1323"/>
      <c r="AF29" s="825"/>
      <c r="AG29" s="825"/>
      <c r="AH29" s="1328"/>
      <c r="AI29" s="1328"/>
      <c r="AJ29" s="825"/>
      <c r="AK29" s="1295"/>
      <c r="AL29" s="1289"/>
      <c r="AM29" s="1289"/>
      <c r="AN29" s="2471"/>
      <c r="AO29" s="1323"/>
      <c r="AP29" s="1323"/>
      <c r="AQ29" s="1327"/>
      <c r="AR29" s="1327"/>
      <c r="AS29" s="1327"/>
      <c r="AT29" s="1323"/>
      <c r="AU29" s="825"/>
      <c r="AV29" s="825"/>
      <c r="AW29" s="1323"/>
      <c r="AX29" s="1323"/>
      <c r="AY29" s="825"/>
      <c r="AZ29" s="825"/>
      <c r="BA29" s="1328"/>
      <c r="BB29" s="1328"/>
      <c r="BC29" s="825"/>
      <c r="BD29" s="1295"/>
      <c r="BE29" s="1289"/>
      <c r="BF29" s="1289"/>
      <c r="BG29" s="2471"/>
      <c r="BH29" s="1323"/>
      <c r="BI29" s="1323"/>
      <c r="BJ29" s="1327"/>
      <c r="BK29" s="1327"/>
      <c r="BL29" s="1327"/>
      <c r="BM29" s="1323"/>
      <c r="BN29" s="825"/>
      <c r="BO29" s="825"/>
      <c r="BP29" s="1323"/>
      <c r="BQ29" s="1323"/>
      <c r="BR29" s="825"/>
      <c r="BS29" s="825"/>
      <c r="BT29" s="1328"/>
      <c r="BU29" s="1328"/>
      <c r="BV29" s="825"/>
      <c r="BW29" s="1295"/>
      <c r="BX29" s="1289"/>
      <c r="BY29" s="1289"/>
      <c r="BZ29" s="2471"/>
      <c r="CA29" s="1323"/>
      <c r="CB29" s="1323"/>
      <c r="CC29" s="1327"/>
      <c r="CD29" s="1327"/>
      <c r="CE29" s="1327"/>
      <c r="CF29" s="1323"/>
      <c r="CG29" s="825"/>
      <c r="CH29" s="825"/>
      <c r="CI29" s="1323"/>
      <c r="CJ29" s="1323"/>
      <c r="CK29" s="825"/>
      <c r="CL29" s="825"/>
      <c r="CM29" s="1328"/>
      <c r="CN29" s="1328"/>
      <c r="CO29" s="825"/>
      <c r="CP29" s="1295"/>
      <c r="CQ29" s="1289"/>
    </row>
    <row r="30" spans="1:95" ht="12" customHeight="1" x14ac:dyDescent="0.2">
      <c r="A30" s="1289"/>
      <c r="B30" s="2471">
        <f>B19+2</f>
        <v>6</v>
      </c>
      <c r="C30" s="5051"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52"/>
      <c r="E30" s="5052"/>
      <c r="F30" s="5052"/>
      <c r="G30" s="5052"/>
      <c r="H30" s="1309" t="s">
        <v>2171</v>
      </c>
      <c r="I30" s="1310">
        <f>IF(C30=0,"",VLOOKUP(C30,'Tablas Magia'!$D$6:$Z$680,3,FALSE))</f>
        <v>6</v>
      </c>
      <c r="J30" s="5017" t="s">
        <v>8715</v>
      </c>
      <c r="K30" s="5017"/>
      <c r="L30" s="5017"/>
      <c r="M30" s="5018" t="str">
        <f>IF(C30=0,"",VLOOKUP(C30,'Tablas Magia'!$D$6:$Z$680,2,FALSE))</f>
        <v>Fuego</v>
      </c>
      <c r="N30" s="5018"/>
      <c r="O30" s="5018"/>
      <c r="P30" s="5018"/>
      <c r="Q30" s="5019"/>
      <c r="R30" s="1295"/>
      <c r="S30" s="1289"/>
      <c r="T30" s="1289"/>
      <c r="U30" s="2471">
        <f>U19+2</f>
        <v>26</v>
      </c>
      <c r="V30" s="5051"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52"/>
      <c r="X30" s="5052"/>
      <c r="Y30" s="5052"/>
      <c r="Z30" s="5052"/>
      <c r="AA30" s="1309" t="s">
        <v>2171</v>
      </c>
      <c r="AB30" s="1310">
        <f>IF(V30=0,"",VLOOKUP(V30,'Tablas Magia'!$D$6:$Z$680,3,FALSE))</f>
        <v>26</v>
      </c>
      <c r="AC30" s="5017" t="s">
        <v>8715</v>
      </c>
      <c r="AD30" s="5017"/>
      <c r="AE30" s="5017"/>
      <c r="AF30" s="5018" t="str">
        <f>IF(V30=0,"",VLOOKUP(V30,'Tablas Magia'!$D$6:$Z$680,2,FALSE))</f>
        <v>Fuego</v>
      </c>
      <c r="AG30" s="5018"/>
      <c r="AH30" s="5018"/>
      <c r="AI30" s="5018"/>
      <c r="AJ30" s="5019"/>
      <c r="AK30" s="1295"/>
      <c r="AL30" s="1289"/>
      <c r="AM30" s="1289"/>
      <c r="AN30" s="2485">
        <f>AN19+2</f>
        <v>46</v>
      </c>
      <c r="AO30" s="5051"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52"/>
      <c r="AQ30" s="5052"/>
      <c r="AR30" s="5052"/>
      <c r="AS30" s="5052"/>
      <c r="AT30" s="1309" t="s">
        <v>2171</v>
      </c>
      <c r="AU30" s="1310">
        <f>IF(AO30=0,"",VLOOKUP(AO30,'Tablas Magia'!$D$6:$Z$680,3,FALSE))</f>
        <v>46</v>
      </c>
      <c r="AV30" s="5017" t="s">
        <v>8715</v>
      </c>
      <c r="AW30" s="5017"/>
      <c r="AX30" s="5017"/>
      <c r="AY30" s="5018" t="str">
        <f>IF(AO30=0,"",VLOOKUP(AO30,'Tablas Magia'!$D$6:$Z$680,2,FALSE))</f>
        <v>Fuego</v>
      </c>
      <c r="AZ30" s="5018"/>
      <c r="BA30" s="5018"/>
      <c r="BB30" s="5018"/>
      <c r="BC30" s="5019"/>
      <c r="BD30" s="1295"/>
      <c r="BE30" s="1289"/>
      <c r="BF30" s="1289"/>
      <c r="BG30" s="2485">
        <f>BG19+2</f>
        <v>66</v>
      </c>
      <c r="BH30" s="5051"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52"/>
      <c r="BJ30" s="5052"/>
      <c r="BK30" s="5052"/>
      <c r="BL30" s="5052"/>
      <c r="BM30" s="1309" t="s">
        <v>2171</v>
      </c>
      <c r="BN30" s="1310">
        <f>IF(BH30=0,"",VLOOKUP(BH30,'Tablas Magia'!$D$6:$Z$680,3,FALSE))</f>
        <v>66</v>
      </c>
      <c r="BO30" s="5017" t="s">
        <v>8715</v>
      </c>
      <c r="BP30" s="5017"/>
      <c r="BQ30" s="5017"/>
      <c r="BR30" s="5018" t="str">
        <f>IF(BH30=0,"",VLOOKUP(BH30,'Tablas Magia'!$D$6:$Z$680,2,FALSE))</f>
        <v>Fuego</v>
      </c>
      <c r="BS30" s="5018"/>
      <c r="BT30" s="5018"/>
      <c r="BU30" s="5018"/>
      <c r="BV30" s="5019"/>
      <c r="BW30" s="1295"/>
      <c r="BX30" s="1289"/>
      <c r="BY30" s="1289"/>
      <c r="BZ30" s="2485">
        <f>BZ19+2</f>
        <v>86</v>
      </c>
      <c r="CA30" s="5051"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52"/>
      <c r="CC30" s="5052"/>
      <c r="CD30" s="5052"/>
      <c r="CE30" s="5052"/>
      <c r="CF30" s="1309" t="s">
        <v>2171</v>
      </c>
      <c r="CG30" s="1310">
        <f>IF(CA30=0,"",VLOOKUP(CA30,'Tablas Magia'!$D$6:$Z$680,3,FALSE))</f>
        <v>86</v>
      </c>
      <c r="CH30" s="5017" t="s">
        <v>8715</v>
      </c>
      <c r="CI30" s="5017"/>
      <c r="CJ30" s="5017"/>
      <c r="CK30" s="5018" t="str">
        <f>IF(CA30=0,"",VLOOKUP(CA30,'Tablas Magia'!$D$6:$Z$680,2,FALSE))</f>
        <v>Fuego</v>
      </c>
      <c r="CL30" s="5018"/>
      <c r="CM30" s="5018"/>
      <c r="CN30" s="5018"/>
      <c r="CO30" s="5019"/>
      <c r="CP30" s="1295"/>
      <c r="CQ30" s="1289"/>
    </row>
    <row r="31" spans="1:95" ht="12" customHeight="1" x14ac:dyDescent="0.2">
      <c r="A31" s="1289"/>
      <c r="B31" s="2471"/>
      <c r="C31" s="5035" t="s">
        <v>8716</v>
      </c>
      <c r="D31" s="5036"/>
      <c r="E31" s="1311" t="s">
        <v>8717</v>
      </c>
      <c r="F31" s="1311" t="s">
        <v>2365</v>
      </c>
      <c r="G31" s="1311" t="s">
        <v>4020</v>
      </c>
      <c r="H31" s="1312" t="s">
        <v>2716</v>
      </c>
      <c r="I31" s="5032" t="str">
        <f>IF(C30=0,"",VLOOKUP(C30,'Tablas Magia'!$D$6:$Z$680,5,FALSE))</f>
        <v>Efecto</v>
      </c>
      <c r="J31" s="5032"/>
      <c r="K31" s="5033" t="s">
        <v>8718</v>
      </c>
      <c r="L31" s="5033"/>
      <c r="M31" s="5032" t="str">
        <f>IF(C30=0,"",VLOOKUP(C30,'Tablas Magia'!$D$6:$Z$680,6,FALSE))</f>
        <v>Activa</v>
      </c>
      <c r="N31" s="5032"/>
      <c r="O31" s="5034" t="s">
        <v>8719</v>
      </c>
      <c r="P31" s="5034"/>
      <c r="Q31" s="1313" t="str">
        <f>IF(C30=0,"",VLOOKUP(C30,'Tablas Magia'!$D$6:$Z$680,4,FALSE))</f>
        <v>No</v>
      </c>
      <c r="R31" s="1295"/>
      <c r="S31" s="1289"/>
      <c r="T31" s="1289"/>
      <c r="U31" s="2471"/>
      <c r="V31" s="5035" t="s">
        <v>8716</v>
      </c>
      <c r="W31" s="5036"/>
      <c r="X31" s="1311" t="s">
        <v>8717</v>
      </c>
      <c r="Y31" s="1311" t="s">
        <v>2365</v>
      </c>
      <c r="Z31" s="1311" t="s">
        <v>4020</v>
      </c>
      <c r="AA31" s="1312" t="s">
        <v>2716</v>
      </c>
      <c r="AB31" s="5032" t="str">
        <f>IF(V30=0,"",VLOOKUP(V30,'Tablas Magia'!$D$6:$Z$680,5,FALSE))</f>
        <v>Efecto</v>
      </c>
      <c r="AC31" s="5032"/>
      <c r="AD31" s="5033" t="s">
        <v>8718</v>
      </c>
      <c r="AE31" s="5033"/>
      <c r="AF31" s="5032" t="str">
        <f>IF(V30=0,"",VLOOKUP(V30,'Tablas Magia'!$D$6:$Z$680,6,FALSE))</f>
        <v>Activa</v>
      </c>
      <c r="AG31" s="5032"/>
      <c r="AH31" s="5034" t="s">
        <v>8719</v>
      </c>
      <c r="AI31" s="5034"/>
      <c r="AJ31" s="1313" t="str">
        <f>IF(V30=0,"",VLOOKUP(V30,'Tablas Magia'!$D$6:$Z$680,4,FALSE))</f>
        <v>No</v>
      </c>
      <c r="AK31" s="1295"/>
      <c r="AL31" s="1289"/>
      <c r="AM31" s="1289"/>
      <c r="AN31" s="2485"/>
      <c r="AO31" s="5035" t="s">
        <v>8716</v>
      </c>
      <c r="AP31" s="5036"/>
      <c r="AQ31" s="1311" t="s">
        <v>8717</v>
      </c>
      <c r="AR31" s="1311" t="s">
        <v>2365</v>
      </c>
      <c r="AS31" s="1311" t="s">
        <v>4020</v>
      </c>
      <c r="AT31" s="1312" t="s">
        <v>2716</v>
      </c>
      <c r="AU31" s="5032" t="str">
        <f>IF(AO30=0,"",VLOOKUP(AO30,'Tablas Magia'!$D$6:$Z$680,5,FALSE))</f>
        <v>Efecto</v>
      </c>
      <c r="AV31" s="5032"/>
      <c r="AW31" s="5033" t="s">
        <v>8718</v>
      </c>
      <c r="AX31" s="5033"/>
      <c r="AY31" s="5032" t="str">
        <f>IF(AO30=0,"",VLOOKUP(AO30,'Tablas Magia'!$D$6:$Z$680,6,FALSE))</f>
        <v>Activa</v>
      </c>
      <c r="AZ31" s="5032"/>
      <c r="BA31" s="5034" t="s">
        <v>8719</v>
      </c>
      <c r="BB31" s="5034"/>
      <c r="BC31" s="1313" t="str">
        <f>IF(AO30=0,"",VLOOKUP(AO30,'Tablas Magia'!$D$6:$Z$680,4,FALSE))</f>
        <v>No</v>
      </c>
      <c r="BD31" s="1295"/>
      <c r="BE31" s="1289"/>
      <c r="BF31" s="1289"/>
      <c r="BG31" s="2485"/>
      <c r="BH31" s="5035" t="s">
        <v>8716</v>
      </c>
      <c r="BI31" s="5036"/>
      <c r="BJ31" s="1311" t="s">
        <v>8717</v>
      </c>
      <c r="BK31" s="1311" t="s">
        <v>2365</v>
      </c>
      <c r="BL31" s="1311" t="s">
        <v>4020</v>
      </c>
      <c r="BM31" s="1312" t="s">
        <v>2716</v>
      </c>
      <c r="BN31" s="5032" t="str">
        <f>IF(BH30=0,"",VLOOKUP(BH30,'Tablas Magia'!$D$6:$Z$680,5,FALSE))</f>
        <v>Efecto</v>
      </c>
      <c r="BO31" s="5032"/>
      <c r="BP31" s="5033" t="s">
        <v>8718</v>
      </c>
      <c r="BQ31" s="5033"/>
      <c r="BR31" s="5032" t="str">
        <f>IF(BH30=0,"",VLOOKUP(BH30,'Tablas Magia'!$D$6:$Z$680,6,FALSE))</f>
        <v>Activa</v>
      </c>
      <c r="BS31" s="5032"/>
      <c r="BT31" s="5034" t="s">
        <v>8719</v>
      </c>
      <c r="BU31" s="5034"/>
      <c r="BV31" s="1313" t="str">
        <f>IF(BH30=0,"",VLOOKUP(BH30,'Tablas Magia'!$D$6:$Z$680,4,FALSE))</f>
        <v>Si</v>
      </c>
      <c r="BW31" s="1295"/>
      <c r="BX31" s="1289"/>
      <c r="BY31" s="1289"/>
      <c r="BZ31" s="2485"/>
      <c r="CA31" s="5035" t="s">
        <v>8716</v>
      </c>
      <c r="CB31" s="5036"/>
      <c r="CC31" s="1311" t="s">
        <v>8717</v>
      </c>
      <c r="CD31" s="1311" t="s">
        <v>2365</v>
      </c>
      <c r="CE31" s="1311" t="s">
        <v>4020</v>
      </c>
      <c r="CF31" s="1312" t="s">
        <v>2716</v>
      </c>
      <c r="CG31" s="5032" t="str">
        <f>IF(CA30=0,"",VLOOKUP(CA30,'Tablas Magia'!$D$6:$Z$680,5,FALSE))</f>
        <v>Efecto</v>
      </c>
      <c r="CH31" s="5032"/>
      <c r="CI31" s="5033" t="s">
        <v>8718</v>
      </c>
      <c r="CJ31" s="5033"/>
      <c r="CK31" s="5032" t="str">
        <f>IF(CA30=0,"",VLOOKUP(CA30,'Tablas Magia'!$D$6:$Z$680,6,FALSE))</f>
        <v>Activa</v>
      </c>
      <c r="CL31" s="5032"/>
      <c r="CM31" s="5034" t="s">
        <v>8719</v>
      </c>
      <c r="CN31" s="5034"/>
      <c r="CO31" s="1313" t="str">
        <f>IF(CA30=0,"",VLOOKUP(CA30,'Tablas Magia'!$D$6:$Z$680,4,FALSE))</f>
        <v>Si</v>
      </c>
      <c r="CP31" s="1295"/>
      <c r="CQ31" s="1289"/>
    </row>
    <row r="32" spans="1:95" ht="12" customHeight="1" x14ac:dyDescent="0.2">
      <c r="A32" s="1289"/>
      <c r="B32" s="2471"/>
      <c r="C32" s="5027" t="s">
        <v>2218</v>
      </c>
      <c r="D32" s="5028"/>
      <c r="E32" s="1314">
        <f>IF(C30=0,"",VLOOKUP(C30,'Tablas Magia'!$D$6:$Z$680,7,FALSE))</f>
        <v>5</v>
      </c>
      <c r="F32" s="1314">
        <f>IF(C30=0,"",VLOOKUP(C30,'Tablas Magia'!$D$6:$Z$680,11,FALSE))</f>
        <v>30</v>
      </c>
      <c r="G32" s="1315" t="str">
        <f>IF(C30=0,"",VLOOKUP(C30,'Tablas Magia'!$D$6:$Z$680,15,FALSE))</f>
        <v>No</v>
      </c>
      <c r="H32" s="5029" t="str">
        <f>IF(C30=0,"",VLOOKUP(C30,'Tablas Magia'!$D$6:$Z$680,19,FALSE))</f>
        <v>-1 intesidad de fuego</v>
      </c>
      <c r="I32" s="5030"/>
      <c r="J32" s="5030"/>
      <c r="K32" s="5030"/>
      <c r="L32" s="5030"/>
      <c r="M32" s="5030"/>
      <c r="N32" s="5030"/>
      <c r="O32" s="5030"/>
      <c r="P32" s="5030"/>
      <c r="Q32" s="5031"/>
      <c r="R32" s="1295"/>
      <c r="S32" s="1289"/>
      <c r="T32" s="1289"/>
      <c r="U32" s="2471"/>
      <c r="V32" s="5027" t="s">
        <v>2218</v>
      </c>
      <c r="W32" s="5028"/>
      <c r="X32" s="1314">
        <f>IF(V30=0,"",VLOOKUP(V30,'Tablas Magia'!$D$6:$Z$680,7,FALSE))</f>
        <v>6</v>
      </c>
      <c r="Y32" s="1314">
        <f>IF(V30=0,"",VLOOKUP(V30,'Tablas Magia'!$D$6:$Z$680,11,FALSE))</f>
        <v>50</v>
      </c>
      <c r="Z32" s="1315">
        <f>IF(V30=0,"",VLOOKUP(V30,'Tablas Magia'!$D$6:$Z$680,15,FALSE))</f>
        <v>5</v>
      </c>
      <c r="AA32" s="5029" t="str">
        <f>IF(V30=0,"",VLOOKUP(V30,'Tablas Magia'!$D$6:$Z$680,19,FALSE))</f>
        <v>+10 daño base</v>
      </c>
      <c r="AB32" s="5030"/>
      <c r="AC32" s="5030"/>
      <c r="AD32" s="5030"/>
      <c r="AE32" s="5030"/>
      <c r="AF32" s="5030"/>
      <c r="AG32" s="5030"/>
      <c r="AH32" s="5030"/>
      <c r="AI32" s="5030"/>
      <c r="AJ32" s="5031"/>
      <c r="AK32" s="1295"/>
      <c r="AL32" s="1289"/>
      <c r="AM32" s="1289"/>
      <c r="AN32" s="2485"/>
      <c r="AO32" s="5027" t="s">
        <v>2218</v>
      </c>
      <c r="AP32" s="5028"/>
      <c r="AQ32" s="1314">
        <f>IF(AO30=0,"",VLOOKUP(AO30,'Tablas Magia'!$D$6:$Z$680,7,FALSE))</f>
        <v>8</v>
      </c>
      <c r="AR32" s="1314">
        <f>IF(AO30=0,"",VLOOKUP(AO30,'Tablas Magia'!$D$6:$Z$680,11,FALSE))</f>
        <v>80</v>
      </c>
      <c r="AS32" s="1315" t="str">
        <f>IF(AO30=0,"",VLOOKUP(AO30,'Tablas Magia'!$D$6:$Z$680,15,FALSE))</f>
        <v>No</v>
      </c>
      <c r="AT32" s="5029" t="str">
        <f>IF(AO30=0,"",VLOOKUP(AO30,'Tablas Magia'!$D$6:$Z$680,19,FALSE))</f>
        <v>5 metros de radio/ RM o RF 100</v>
      </c>
      <c r="AU32" s="5030"/>
      <c r="AV32" s="5030"/>
      <c r="AW32" s="5030"/>
      <c r="AX32" s="5030"/>
      <c r="AY32" s="5030"/>
      <c r="AZ32" s="5030"/>
      <c r="BA32" s="5030"/>
      <c r="BB32" s="5030"/>
      <c r="BC32" s="5031"/>
      <c r="BD32" s="1295"/>
      <c r="BE32" s="1289"/>
      <c r="BF32" s="1289"/>
      <c r="BG32" s="2485"/>
      <c r="BH32" s="5027" t="s">
        <v>2218</v>
      </c>
      <c r="BI32" s="5028"/>
      <c r="BJ32" s="1314">
        <f>IF(BH30=0,"",VLOOKUP(BH30,'Tablas Magia'!$D$6:$Z$680,7,FALSE))</f>
        <v>7</v>
      </c>
      <c r="BK32" s="1314">
        <f>IF(BH30=0,"",VLOOKUP(BH30,'Tablas Magia'!$D$6:$Z$680,11,FALSE))</f>
        <v>120</v>
      </c>
      <c r="BL32" s="1315">
        <f>IF(BH30=0,"",VLOOKUP(BH30,'Tablas Magia'!$D$6:$Z$680,15,FALSE))</f>
        <v>10</v>
      </c>
      <c r="BM32" s="5029" t="str">
        <f>IF(BH30=0,"",VLOOKUP(BH30,'Tablas Magia'!$D$6:$Z$680,19,FALSE))</f>
        <v>20 puntos de Zeon por asalto</v>
      </c>
      <c r="BN32" s="5030"/>
      <c r="BO32" s="5030"/>
      <c r="BP32" s="5030"/>
      <c r="BQ32" s="5030"/>
      <c r="BR32" s="5030"/>
      <c r="BS32" s="5030"/>
      <c r="BT32" s="5030"/>
      <c r="BU32" s="5030"/>
      <c r="BV32" s="5031"/>
      <c r="BW32" s="1295"/>
      <c r="BX32" s="1289"/>
      <c r="BY32" s="1289"/>
      <c r="BZ32" s="2485"/>
      <c r="CA32" s="5027" t="s">
        <v>2218</v>
      </c>
      <c r="CB32" s="5028"/>
      <c r="CC32" s="1314">
        <f>IF(CA30=0,"",VLOOKUP(CA30,'Tablas Magia'!$D$6:$Z$680,7,FALSE))</f>
        <v>10</v>
      </c>
      <c r="CD32" s="1314">
        <f>IF(CA30=0,"",VLOOKUP(CA30,'Tablas Magia'!$D$6:$Z$680,11,FALSE))</f>
        <v>250</v>
      </c>
      <c r="CE32" s="1315">
        <f>IF(CA30=0,"",VLOOKUP(CA30,'Tablas Magia'!$D$6:$Z$680,15,FALSE))</f>
        <v>25</v>
      </c>
      <c r="CF32" s="5029" t="str">
        <f>IF(CA30=0,"",VLOOKUP(CA30,'Tablas Magia'!$D$6:$Z$680,19,FALSE))</f>
        <v>15 intensidades</v>
      </c>
      <c r="CG32" s="5030"/>
      <c r="CH32" s="5030"/>
      <c r="CI32" s="5030"/>
      <c r="CJ32" s="5030"/>
      <c r="CK32" s="5030"/>
      <c r="CL32" s="5030"/>
      <c r="CM32" s="5030"/>
      <c r="CN32" s="5030"/>
      <c r="CO32" s="5031"/>
      <c r="CP32" s="1295"/>
      <c r="CQ32" s="1289"/>
    </row>
    <row r="33" spans="1:95" ht="12" customHeight="1" x14ac:dyDescent="0.2">
      <c r="A33" s="1289"/>
      <c r="B33" s="2471"/>
      <c r="C33" s="5022" t="s">
        <v>5258</v>
      </c>
      <c r="D33" s="5023"/>
      <c r="E33" s="1316">
        <f>IF(C30=0,"",VLOOKUP(C30,'Tablas Magia'!$D$6:$Z$680,8,FALSE))</f>
        <v>8</v>
      </c>
      <c r="F33" s="1316">
        <f>IF(C30=0,"",VLOOKUP(C30,'Tablas Magia'!$D$6:$Z$680,12,FALSE))</f>
        <v>80</v>
      </c>
      <c r="G33" s="1317" t="str">
        <f>IF(C30=0,"",VLOOKUP(C30,'Tablas Magia'!$D$6:$Z$680,16,FALSE))</f>
        <v>No</v>
      </c>
      <c r="H33" s="5024" t="str">
        <f>IF(C30=0,"",VLOOKUP(C30,'Tablas Magia'!$D$6:$Z$680,20,FALSE))</f>
        <v>-5 Intensidades de fuego</v>
      </c>
      <c r="I33" s="5025"/>
      <c r="J33" s="5025"/>
      <c r="K33" s="5025"/>
      <c r="L33" s="5025"/>
      <c r="M33" s="5025"/>
      <c r="N33" s="5025"/>
      <c r="O33" s="5025"/>
      <c r="P33" s="5025"/>
      <c r="Q33" s="5026"/>
      <c r="R33" s="1295"/>
      <c r="S33" s="1289"/>
      <c r="T33" s="1289"/>
      <c r="U33" s="2471"/>
      <c r="V33" s="5022" t="s">
        <v>5258</v>
      </c>
      <c r="W33" s="5023"/>
      <c r="X33" s="1316">
        <f>IF(V30=0,"",VLOOKUP(V30,'Tablas Magia'!$D$6:$Z$680,8,FALSE))</f>
        <v>9</v>
      </c>
      <c r="Y33" s="1316">
        <f>IF(V30=0,"",VLOOKUP(V30,'Tablas Magia'!$D$6:$Z$680,12,FALSE))</f>
        <v>80</v>
      </c>
      <c r="Z33" s="1317">
        <f>IF(V30=0,"",VLOOKUP(V30,'Tablas Magia'!$D$6:$Z$680,16,FALSE))</f>
        <v>10</v>
      </c>
      <c r="AA33" s="5024" t="str">
        <f>IF(V30=0,"",VLOOKUP(V30,'Tablas Magia'!$D$6:$Z$680,20,FALSE))</f>
        <v>+20 daño base</v>
      </c>
      <c r="AB33" s="5025"/>
      <c r="AC33" s="5025"/>
      <c r="AD33" s="5025"/>
      <c r="AE33" s="5025"/>
      <c r="AF33" s="5025"/>
      <c r="AG33" s="5025"/>
      <c r="AH33" s="5025"/>
      <c r="AI33" s="5025"/>
      <c r="AJ33" s="5026"/>
      <c r="AK33" s="1295"/>
      <c r="AL33" s="1289"/>
      <c r="AM33" s="1289"/>
      <c r="AN33" s="2485"/>
      <c r="AO33" s="5022" t="s">
        <v>5258</v>
      </c>
      <c r="AP33" s="5023"/>
      <c r="AQ33" s="1316">
        <f>IF(AO30=0,"",VLOOKUP(AO30,'Tablas Magia'!$D$6:$Z$680,8,FALSE))</f>
        <v>10</v>
      </c>
      <c r="AR33" s="1316">
        <f>IF(AO30=0,"",VLOOKUP(AO30,'Tablas Magia'!$D$6:$Z$680,12,FALSE))</f>
        <v>120</v>
      </c>
      <c r="AS33" s="1317" t="str">
        <f>IF(AO30=0,"",VLOOKUP(AO30,'Tablas Magia'!$D$6:$Z$680,16,FALSE))</f>
        <v>No</v>
      </c>
      <c r="AT33" s="5024" t="str">
        <f>IF(AO30=0,"",VLOOKUP(AO30,'Tablas Magia'!$D$6:$Z$680,20,FALSE))</f>
        <v>15 metros de radio / RM o RF 120</v>
      </c>
      <c r="AU33" s="5025"/>
      <c r="AV33" s="5025"/>
      <c r="AW33" s="5025"/>
      <c r="AX33" s="5025"/>
      <c r="AY33" s="5025"/>
      <c r="AZ33" s="5025"/>
      <c r="BA33" s="5025"/>
      <c r="BB33" s="5025"/>
      <c r="BC33" s="5026"/>
      <c r="BD33" s="1295"/>
      <c r="BE33" s="1289"/>
      <c r="BF33" s="1289"/>
      <c r="BG33" s="2485"/>
      <c r="BH33" s="5022" t="s">
        <v>5258</v>
      </c>
      <c r="BI33" s="5023"/>
      <c r="BJ33" s="1316">
        <f>IF(BH30=0,"",VLOOKUP(BH30,'Tablas Magia'!$D$6:$Z$680,8,FALSE))</f>
        <v>10</v>
      </c>
      <c r="BK33" s="1316">
        <f>IF(BH30=0,"",VLOOKUP(BH30,'Tablas Magia'!$D$6:$Z$680,12,FALSE))</f>
        <v>180</v>
      </c>
      <c r="BL33" s="1317">
        <f>IF(BH30=0,"",VLOOKUP(BH30,'Tablas Magia'!$D$6:$Z$680,16,FALSE))</f>
        <v>10</v>
      </c>
      <c r="BM33" s="5024" t="str">
        <f>IF(BH30=0,"",VLOOKUP(BH30,'Tablas Magia'!$D$6:$Z$680,20,FALSE))</f>
        <v>50 puntos de Zeon por asalto</v>
      </c>
      <c r="BN33" s="5025"/>
      <c r="BO33" s="5025"/>
      <c r="BP33" s="5025"/>
      <c r="BQ33" s="5025"/>
      <c r="BR33" s="5025"/>
      <c r="BS33" s="5025"/>
      <c r="BT33" s="5025"/>
      <c r="BU33" s="5025"/>
      <c r="BV33" s="5026"/>
      <c r="BW33" s="1295"/>
      <c r="BX33" s="1289"/>
      <c r="BY33" s="1289"/>
      <c r="BZ33" s="2485"/>
      <c r="CA33" s="5022" t="s">
        <v>5258</v>
      </c>
      <c r="CB33" s="5023"/>
      <c r="CC33" s="1316">
        <f>IF(CA30=0,"",VLOOKUP(CA30,'Tablas Magia'!$D$6:$Z$680,8,FALSE))</f>
        <v>12</v>
      </c>
      <c r="CD33" s="1316">
        <f>IF(CA30=0,"",VLOOKUP(CA30,'Tablas Magia'!$D$6:$Z$680,12,FALSE))</f>
        <v>300</v>
      </c>
      <c r="CE33" s="1317">
        <f>IF(CA30=0,"",VLOOKUP(CA30,'Tablas Magia'!$D$6:$Z$680,16,FALSE))</f>
        <v>30</v>
      </c>
      <c r="CF33" s="5024" t="str">
        <f>IF(CA30=0,"",VLOOKUP(CA30,'Tablas Magia'!$D$6:$Z$680,20,FALSE))</f>
        <v>25 intensidades</v>
      </c>
      <c r="CG33" s="5025"/>
      <c r="CH33" s="5025"/>
      <c r="CI33" s="5025"/>
      <c r="CJ33" s="5025"/>
      <c r="CK33" s="5025"/>
      <c r="CL33" s="5025"/>
      <c r="CM33" s="5025"/>
      <c r="CN33" s="5025"/>
      <c r="CO33" s="5026"/>
      <c r="CP33" s="1295"/>
      <c r="CQ33" s="1289"/>
    </row>
    <row r="34" spans="1:95" ht="12" customHeight="1" x14ac:dyDescent="0.2">
      <c r="A34" s="1289"/>
      <c r="B34" s="2471"/>
      <c r="C34" s="5027" t="s">
        <v>5259</v>
      </c>
      <c r="D34" s="5028"/>
      <c r="E34" s="1314">
        <f>IF(C30=0,"",VLOOKUP(C30,'Tablas Magia'!$D$6:$Z$680,9,FALSE))</f>
        <v>10</v>
      </c>
      <c r="F34" s="1314">
        <f>IF(C30=0,"",VLOOKUP(C30,'Tablas Magia'!$D$6:$Z$680,13,FALSE))</f>
        <v>120</v>
      </c>
      <c r="G34" s="1315" t="str">
        <f>IF(C30=0,"",VLOOKUP(C30,'Tablas Magia'!$D$6:$Z$680,17,FALSE))</f>
        <v>No</v>
      </c>
      <c r="H34" s="5029" t="str">
        <f>IF(C30=0,"",VLOOKUP(C30,'Tablas Magia'!$D$6:$Z$680,21,FALSE))</f>
        <v>-10 Intensidades fuego</v>
      </c>
      <c r="I34" s="5030"/>
      <c r="J34" s="5030"/>
      <c r="K34" s="5030"/>
      <c r="L34" s="5030"/>
      <c r="M34" s="5030"/>
      <c r="N34" s="5030"/>
      <c r="O34" s="5030"/>
      <c r="P34" s="5030"/>
      <c r="Q34" s="5031"/>
      <c r="R34" s="1295"/>
      <c r="S34" s="1289"/>
      <c r="T34" s="1289"/>
      <c r="U34" s="2471"/>
      <c r="V34" s="5027" t="s">
        <v>5259</v>
      </c>
      <c r="W34" s="5028"/>
      <c r="X34" s="1314">
        <f>IF(V30=0,"",VLOOKUP(V30,'Tablas Magia'!$D$6:$Z$680,9,FALSE))</f>
        <v>11</v>
      </c>
      <c r="Y34" s="1314">
        <f>IF(V30=0,"",VLOOKUP(V30,'Tablas Magia'!$D$6:$Z$680,13,FALSE))</f>
        <v>100</v>
      </c>
      <c r="Z34" s="1315">
        <f>IF(V30=0,"",VLOOKUP(V30,'Tablas Magia'!$D$6:$Z$680,17,FALSE))</f>
        <v>10</v>
      </c>
      <c r="AA34" s="5029" t="str">
        <f>IF(V30=0,"",VLOOKUP(V30,'Tablas Magia'!$D$6:$Z$680,21,FALSE))</f>
        <v>+30 daño base</v>
      </c>
      <c r="AB34" s="5030"/>
      <c r="AC34" s="5030"/>
      <c r="AD34" s="5030"/>
      <c r="AE34" s="5030"/>
      <c r="AF34" s="5030"/>
      <c r="AG34" s="5030"/>
      <c r="AH34" s="5030"/>
      <c r="AI34" s="5030"/>
      <c r="AJ34" s="5031"/>
      <c r="AK34" s="1295"/>
      <c r="AL34" s="1289"/>
      <c r="AM34" s="1289"/>
      <c r="AN34" s="2485"/>
      <c r="AO34" s="5027" t="s">
        <v>5259</v>
      </c>
      <c r="AP34" s="5028"/>
      <c r="AQ34" s="1314">
        <f>IF(AO30=0,"",VLOOKUP(AO30,'Tablas Magia'!$D$6:$Z$680,9,FALSE))</f>
        <v>12</v>
      </c>
      <c r="AR34" s="1314">
        <f>IF(AO30=0,"",VLOOKUP(AO30,'Tablas Magia'!$D$6:$Z$680,13,FALSE))</f>
        <v>180</v>
      </c>
      <c r="AS34" s="1315" t="str">
        <f>IF(AO30=0,"",VLOOKUP(AO30,'Tablas Magia'!$D$6:$Z$680,17,FALSE))</f>
        <v>No</v>
      </c>
      <c r="AT34" s="5029" t="str">
        <f>IF(AO30=0,"",VLOOKUP(AO30,'Tablas Magia'!$D$6:$Z$680,21,FALSE))</f>
        <v>25 metros de radio / RM o RF 140</v>
      </c>
      <c r="AU34" s="5030"/>
      <c r="AV34" s="5030"/>
      <c r="AW34" s="5030"/>
      <c r="AX34" s="5030"/>
      <c r="AY34" s="5030"/>
      <c r="AZ34" s="5030"/>
      <c r="BA34" s="5030"/>
      <c r="BB34" s="5030"/>
      <c r="BC34" s="5031"/>
      <c r="BD34" s="1295"/>
      <c r="BE34" s="1289"/>
      <c r="BF34" s="1289"/>
      <c r="BG34" s="2485"/>
      <c r="BH34" s="5027" t="s">
        <v>5259</v>
      </c>
      <c r="BI34" s="5028"/>
      <c r="BJ34" s="1314">
        <f>IF(BH30=0,"",VLOOKUP(BH30,'Tablas Magia'!$D$6:$Z$680,9,FALSE))</f>
        <v>12</v>
      </c>
      <c r="BK34" s="1314">
        <f>IF(BH30=0,"",VLOOKUP(BH30,'Tablas Magia'!$D$6:$Z$680,13,FALSE))</f>
        <v>240</v>
      </c>
      <c r="BL34" s="1315">
        <f>IF(BH30=0,"",VLOOKUP(BH30,'Tablas Magia'!$D$6:$Z$680,17,FALSE))</f>
        <v>15</v>
      </c>
      <c r="BM34" s="5029" t="str">
        <f>IF(BH30=0,"",VLOOKUP(BH30,'Tablas Magia'!$D$6:$Z$680,21,FALSE))</f>
        <v>80 puntos de Zeon por asalto</v>
      </c>
      <c r="BN34" s="5030"/>
      <c r="BO34" s="5030"/>
      <c r="BP34" s="5030"/>
      <c r="BQ34" s="5030"/>
      <c r="BR34" s="5030"/>
      <c r="BS34" s="5030"/>
      <c r="BT34" s="5030"/>
      <c r="BU34" s="5030"/>
      <c r="BV34" s="5031"/>
      <c r="BW34" s="1295"/>
      <c r="BX34" s="1289"/>
      <c r="BY34" s="1289"/>
      <c r="BZ34" s="2485"/>
      <c r="CA34" s="5027" t="s">
        <v>5259</v>
      </c>
      <c r="CB34" s="5028"/>
      <c r="CC34" s="1314">
        <f>IF(CA30=0,"",VLOOKUP(CA30,'Tablas Magia'!$D$6:$Z$680,9,FALSE))</f>
        <v>14</v>
      </c>
      <c r="CD34" s="1314">
        <f>IF(CA30=0,"",VLOOKUP(CA30,'Tablas Magia'!$D$6:$Z$680,13,FALSE))</f>
        <v>350</v>
      </c>
      <c r="CE34" s="1315">
        <f>IF(CA30=0,"",VLOOKUP(CA30,'Tablas Magia'!$D$6:$Z$680,17,FALSE))</f>
        <v>30</v>
      </c>
      <c r="CF34" s="5029" t="str">
        <f>IF(CA30=0,"",VLOOKUP(CA30,'Tablas Magia'!$D$6:$Z$680,21,FALSE))</f>
        <v>35 intensidades</v>
      </c>
      <c r="CG34" s="5030"/>
      <c r="CH34" s="5030"/>
      <c r="CI34" s="5030"/>
      <c r="CJ34" s="5030"/>
      <c r="CK34" s="5030"/>
      <c r="CL34" s="5030"/>
      <c r="CM34" s="5030"/>
      <c r="CN34" s="5030"/>
      <c r="CO34" s="5031"/>
      <c r="CP34" s="1295"/>
      <c r="CQ34" s="1289"/>
    </row>
    <row r="35" spans="1:95" ht="12" customHeight="1" thickBot="1" x14ac:dyDescent="0.25">
      <c r="A35" s="1289"/>
      <c r="B35" s="2471"/>
      <c r="C35" s="5037" t="s">
        <v>5260</v>
      </c>
      <c r="D35" s="5038"/>
      <c r="E35" s="1318">
        <f>IF(C30=0,"",VLOOKUP(C30,'Tablas Magia'!$D$6:$Z$680,10,FALSE))</f>
        <v>13</v>
      </c>
      <c r="F35" s="1318">
        <f>IF(C30=0,"",VLOOKUP(C30,'Tablas Magia'!$D$6:$Z$680,14,FALSE))</f>
        <v>200</v>
      </c>
      <c r="G35" s="1319" t="str">
        <f>IF(C30=0,"",VLOOKUP(C30,'Tablas Magia'!$D$6:$Z$680,18,FALSE))</f>
        <v>No</v>
      </c>
      <c r="H35" s="5039" t="str">
        <f>IF(C30=0,"",VLOOKUP(C30,'Tablas Magia'!$D$6:$Z$680,22,FALSE))</f>
        <v>-15 Intensidades de fuego</v>
      </c>
      <c r="I35" s="5040"/>
      <c r="J35" s="5040"/>
      <c r="K35" s="5040"/>
      <c r="L35" s="5040"/>
      <c r="M35" s="5040"/>
      <c r="N35" s="5040"/>
      <c r="O35" s="5040"/>
      <c r="P35" s="5040"/>
      <c r="Q35" s="5041"/>
      <c r="R35" s="1295"/>
      <c r="S35" s="1289"/>
      <c r="T35" s="1289"/>
      <c r="U35" s="2471"/>
      <c r="V35" s="5037" t="s">
        <v>5260</v>
      </c>
      <c r="W35" s="5038"/>
      <c r="X35" s="1318">
        <f>IF(V30=0,"",VLOOKUP(V30,'Tablas Magia'!$D$6:$Z$680,10,FALSE))</f>
        <v>14</v>
      </c>
      <c r="Y35" s="1318">
        <f>IF(V30=0,"",VLOOKUP(V30,'Tablas Magia'!$D$6:$Z$680,14,FALSE))</f>
        <v>120</v>
      </c>
      <c r="Z35" s="1319">
        <f>IF(V30=0,"",VLOOKUP(V30,'Tablas Magia'!$D$6:$Z$680,18,FALSE))</f>
        <v>15</v>
      </c>
      <c r="AA35" s="5039" t="str">
        <f>IF(V30=0,"",VLOOKUP(V30,'Tablas Magia'!$D$6:$Z$680,22,FALSE))</f>
        <v>+40 daño base</v>
      </c>
      <c r="AB35" s="5040"/>
      <c r="AC35" s="5040"/>
      <c r="AD35" s="5040"/>
      <c r="AE35" s="5040"/>
      <c r="AF35" s="5040"/>
      <c r="AG35" s="5040"/>
      <c r="AH35" s="5040"/>
      <c r="AI35" s="5040"/>
      <c r="AJ35" s="5041"/>
      <c r="AK35" s="1295"/>
      <c r="AL35" s="1289"/>
      <c r="AM35" s="1289"/>
      <c r="AN35" s="2485"/>
      <c r="AO35" s="5037" t="s">
        <v>5260</v>
      </c>
      <c r="AP35" s="5038"/>
      <c r="AQ35" s="1318">
        <f>IF(AO30=0,"",VLOOKUP(AO30,'Tablas Magia'!$D$6:$Z$680,10,FALSE))</f>
        <v>14</v>
      </c>
      <c r="AR35" s="1318">
        <f>IF(AO30=0,"",VLOOKUP(AO30,'Tablas Magia'!$D$6:$Z$680,14,FALSE))</f>
        <v>240</v>
      </c>
      <c r="AS35" s="1319" t="str">
        <f>IF(AO30=0,"",VLOOKUP(AO30,'Tablas Magia'!$D$6:$Z$680,18,FALSE))</f>
        <v>No</v>
      </c>
      <c r="AT35" s="5039" t="str">
        <f>IF(AO30=0,"",VLOOKUP(AO30,'Tablas Magia'!$D$6:$Z$680,22,FALSE))</f>
        <v>35 metros de radio / RM o RF 160</v>
      </c>
      <c r="AU35" s="5040"/>
      <c r="AV35" s="5040"/>
      <c r="AW35" s="5040"/>
      <c r="AX35" s="5040"/>
      <c r="AY35" s="5040"/>
      <c r="AZ35" s="5040"/>
      <c r="BA35" s="5040"/>
      <c r="BB35" s="5040"/>
      <c r="BC35" s="5041"/>
      <c r="BD35" s="1295"/>
      <c r="BE35" s="1289"/>
      <c r="BF35" s="1289"/>
      <c r="BG35" s="2485"/>
      <c r="BH35" s="5037" t="s">
        <v>5260</v>
      </c>
      <c r="BI35" s="5038"/>
      <c r="BJ35" s="1318">
        <f>IF(BH30=0,"",VLOOKUP(BH30,'Tablas Magia'!$D$6:$Z$680,10,FALSE))</f>
        <v>15</v>
      </c>
      <c r="BK35" s="1318">
        <f>IF(BH30=0,"",VLOOKUP(BH30,'Tablas Magia'!$D$6:$Z$680,14,FALSE))</f>
        <v>300</v>
      </c>
      <c r="BL35" s="1319">
        <f>IF(BH30=0,"",VLOOKUP(BH30,'Tablas Magia'!$D$6:$Z$680,18,FALSE))</f>
        <v>15</v>
      </c>
      <c r="BM35" s="5039" t="str">
        <f>IF(BH30=0,"",VLOOKUP(BH30,'Tablas Magia'!$D$6:$Z$680,22,FALSE))</f>
        <v>120 puntos de Zeon por asalto</v>
      </c>
      <c r="BN35" s="5040"/>
      <c r="BO35" s="5040"/>
      <c r="BP35" s="5040"/>
      <c r="BQ35" s="5040"/>
      <c r="BR35" s="5040"/>
      <c r="BS35" s="5040"/>
      <c r="BT35" s="5040"/>
      <c r="BU35" s="5040"/>
      <c r="BV35" s="5041"/>
      <c r="BW35" s="1295"/>
      <c r="BX35" s="1289"/>
      <c r="BY35" s="1289"/>
      <c r="BZ35" s="2485"/>
      <c r="CA35" s="5037" t="s">
        <v>5260</v>
      </c>
      <c r="CB35" s="5038"/>
      <c r="CC35" s="1318">
        <f>IF(CA30=0,"",VLOOKUP(CA30,'Tablas Magia'!$D$6:$Z$680,10,FALSE))</f>
        <v>18</v>
      </c>
      <c r="CD35" s="1318">
        <f>IF(CA30=0,"",VLOOKUP(CA30,'Tablas Magia'!$D$6:$Z$680,14,FALSE))</f>
        <v>400</v>
      </c>
      <c r="CE35" s="1319">
        <f>IF(CA30=0,"",VLOOKUP(CA30,'Tablas Magia'!$D$6:$Z$680,18,FALSE))</f>
        <v>35</v>
      </c>
      <c r="CF35" s="5039" t="str">
        <f>IF(CA30=0,"",VLOOKUP(CA30,'Tablas Magia'!$D$6:$Z$680,22,FALSE))</f>
        <v>45 intensidades</v>
      </c>
      <c r="CG35" s="5040"/>
      <c r="CH35" s="5040"/>
      <c r="CI35" s="5040"/>
      <c r="CJ35" s="5040"/>
      <c r="CK35" s="5040"/>
      <c r="CL35" s="5040"/>
      <c r="CM35" s="5040"/>
      <c r="CN35" s="5040"/>
      <c r="CO35" s="5041"/>
      <c r="CP35" s="1295"/>
      <c r="CQ35" s="1289"/>
    </row>
    <row r="36" spans="1:95" ht="12" customHeight="1" x14ac:dyDescent="0.2">
      <c r="A36" s="1289"/>
      <c r="B36" s="2471"/>
      <c r="C36" s="504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43"/>
      <c r="E36" s="5043"/>
      <c r="F36" s="5043"/>
      <c r="G36" s="5043"/>
      <c r="H36" s="5043"/>
      <c r="I36" s="5043"/>
      <c r="J36" s="5043"/>
      <c r="K36" s="5043"/>
      <c r="L36" s="5043"/>
      <c r="M36" s="5043"/>
      <c r="N36" s="5043"/>
      <c r="O36" s="5043"/>
      <c r="P36" s="5043"/>
      <c r="Q36" s="5044"/>
      <c r="R36" s="1295"/>
      <c r="S36" s="1289"/>
      <c r="T36" s="1289"/>
      <c r="U36" s="2471"/>
      <c r="V36" s="5042" t="str">
        <f>IF(V30=0,"",VLOOKUP(V30,'Tablas Magia'!$D$6:$Z$680,23,FALSE))</f>
        <v>Imbuye de llamas un arma, haciendo que ataque en la TA de calor como crítico primario. El fuego será tan potente que aumentará el daño base del ataque, sin afectar en absoluto a la resistencia del arma</v>
      </c>
      <c r="W36" s="5043"/>
      <c r="X36" s="5043"/>
      <c r="Y36" s="5043"/>
      <c r="Z36" s="5043"/>
      <c r="AA36" s="5043"/>
      <c r="AB36" s="5043"/>
      <c r="AC36" s="5043"/>
      <c r="AD36" s="5043"/>
      <c r="AE36" s="5043"/>
      <c r="AF36" s="5043"/>
      <c r="AG36" s="5043"/>
      <c r="AH36" s="5043"/>
      <c r="AI36" s="5043"/>
      <c r="AJ36" s="5044"/>
      <c r="AK36" s="1295"/>
      <c r="AL36" s="1289"/>
      <c r="AM36" s="1289"/>
      <c r="AN36" s="2485"/>
      <c r="AO36" s="504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43"/>
      <c r="AQ36" s="5043"/>
      <c r="AR36" s="5043"/>
      <c r="AS36" s="5043"/>
      <c r="AT36" s="5043"/>
      <c r="AU36" s="5043"/>
      <c r="AV36" s="5043"/>
      <c r="AW36" s="5043"/>
      <c r="AX36" s="5043"/>
      <c r="AY36" s="5043"/>
      <c r="AZ36" s="5043"/>
      <c r="BA36" s="5043"/>
      <c r="BB36" s="5043"/>
      <c r="BC36" s="5044"/>
      <c r="BD36" s="1295"/>
      <c r="BE36" s="1289"/>
      <c r="BF36" s="1289"/>
      <c r="BG36" s="2485"/>
      <c r="BH36" s="504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43"/>
      <c r="BJ36" s="5043"/>
      <c r="BK36" s="5043"/>
      <c r="BL36" s="5043"/>
      <c r="BM36" s="5043"/>
      <c r="BN36" s="5043"/>
      <c r="BO36" s="5043"/>
      <c r="BP36" s="5043"/>
      <c r="BQ36" s="5043"/>
      <c r="BR36" s="5043"/>
      <c r="BS36" s="5043"/>
      <c r="BT36" s="5043"/>
      <c r="BU36" s="5043"/>
      <c r="BV36" s="5044"/>
      <c r="BW36" s="1295"/>
      <c r="BX36" s="1289"/>
      <c r="BY36" s="1289"/>
      <c r="BZ36" s="2485"/>
      <c r="CA36" s="5042" t="str">
        <f>IF(CA30=0,"",VLOOKUP(CA30,'Tablas Magia'!$D$6:$Z$680,23,FALSE))</f>
        <v>Crea intensidades de fuego. Mientras se mantenga el conjuro, la llama seguirá ardiendo incluso sin nada que consumir. Si se prende en algo inflamable, arderá naturalmente tras finalizar el hechizo.</v>
      </c>
      <c r="CB36" s="5043"/>
      <c r="CC36" s="5043"/>
      <c r="CD36" s="5043"/>
      <c r="CE36" s="5043"/>
      <c r="CF36" s="5043"/>
      <c r="CG36" s="5043"/>
      <c r="CH36" s="5043"/>
      <c r="CI36" s="5043"/>
      <c r="CJ36" s="5043"/>
      <c r="CK36" s="5043"/>
      <c r="CL36" s="5043"/>
      <c r="CM36" s="5043"/>
      <c r="CN36" s="5043"/>
      <c r="CO36" s="5044"/>
      <c r="CP36" s="1295"/>
      <c r="CQ36" s="1289"/>
    </row>
    <row r="37" spans="1:95" ht="12" customHeight="1" x14ac:dyDescent="0.2">
      <c r="A37" s="1289"/>
      <c r="B37" s="2471"/>
      <c r="C37" s="5045"/>
      <c r="D37" s="5046"/>
      <c r="E37" s="5046"/>
      <c r="F37" s="5046"/>
      <c r="G37" s="5046"/>
      <c r="H37" s="5046"/>
      <c r="I37" s="5046"/>
      <c r="J37" s="5046"/>
      <c r="K37" s="5046"/>
      <c r="L37" s="5046"/>
      <c r="M37" s="5046"/>
      <c r="N37" s="5046"/>
      <c r="O37" s="5046"/>
      <c r="P37" s="5046"/>
      <c r="Q37" s="5047"/>
      <c r="R37" s="1295"/>
      <c r="S37" s="1289"/>
      <c r="T37" s="1289"/>
      <c r="U37" s="2471"/>
      <c r="V37" s="5045"/>
      <c r="W37" s="5046"/>
      <c r="X37" s="5046"/>
      <c r="Y37" s="5046"/>
      <c r="Z37" s="5046"/>
      <c r="AA37" s="5046"/>
      <c r="AB37" s="5046"/>
      <c r="AC37" s="5046"/>
      <c r="AD37" s="5046"/>
      <c r="AE37" s="5046"/>
      <c r="AF37" s="5046"/>
      <c r="AG37" s="5046"/>
      <c r="AH37" s="5046"/>
      <c r="AI37" s="5046"/>
      <c r="AJ37" s="5047"/>
      <c r="AK37" s="1295"/>
      <c r="AL37" s="1289"/>
      <c r="AM37" s="1289"/>
      <c r="AN37" s="2485"/>
      <c r="AO37" s="5045"/>
      <c r="AP37" s="5046"/>
      <c r="AQ37" s="5046"/>
      <c r="AR37" s="5046"/>
      <c r="AS37" s="5046"/>
      <c r="AT37" s="5046"/>
      <c r="AU37" s="5046"/>
      <c r="AV37" s="5046"/>
      <c r="AW37" s="5046"/>
      <c r="AX37" s="5046"/>
      <c r="AY37" s="5046"/>
      <c r="AZ37" s="5046"/>
      <c r="BA37" s="5046"/>
      <c r="BB37" s="5046"/>
      <c r="BC37" s="5047"/>
      <c r="BD37" s="1295"/>
      <c r="BE37" s="1289"/>
      <c r="BF37" s="1289"/>
      <c r="BG37" s="2485"/>
      <c r="BH37" s="5045"/>
      <c r="BI37" s="5046"/>
      <c r="BJ37" s="5046"/>
      <c r="BK37" s="5046"/>
      <c r="BL37" s="5046"/>
      <c r="BM37" s="5046"/>
      <c r="BN37" s="5046"/>
      <c r="BO37" s="5046"/>
      <c r="BP37" s="5046"/>
      <c r="BQ37" s="5046"/>
      <c r="BR37" s="5046"/>
      <c r="BS37" s="5046"/>
      <c r="BT37" s="5046"/>
      <c r="BU37" s="5046"/>
      <c r="BV37" s="5047"/>
      <c r="BW37" s="1295"/>
      <c r="BX37" s="1289"/>
      <c r="BY37" s="1289"/>
      <c r="BZ37" s="2485"/>
      <c r="CA37" s="5045"/>
      <c r="CB37" s="5046"/>
      <c r="CC37" s="5046"/>
      <c r="CD37" s="5046"/>
      <c r="CE37" s="5046"/>
      <c r="CF37" s="5046"/>
      <c r="CG37" s="5046"/>
      <c r="CH37" s="5046"/>
      <c r="CI37" s="5046"/>
      <c r="CJ37" s="5046"/>
      <c r="CK37" s="5046"/>
      <c r="CL37" s="5046"/>
      <c r="CM37" s="5046"/>
      <c r="CN37" s="5046"/>
      <c r="CO37" s="5047"/>
      <c r="CP37" s="1295"/>
      <c r="CQ37" s="1289"/>
    </row>
    <row r="38" spans="1:95" ht="12" customHeight="1" x14ac:dyDescent="0.2">
      <c r="A38" s="1289"/>
      <c r="B38" s="2471"/>
      <c r="C38" s="5045"/>
      <c r="D38" s="5046"/>
      <c r="E38" s="5046"/>
      <c r="F38" s="5046"/>
      <c r="G38" s="5046"/>
      <c r="H38" s="5046"/>
      <c r="I38" s="5046"/>
      <c r="J38" s="5046"/>
      <c r="K38" s="5046"/>
      <c r="L38" s="5046"/>
      <c r="M38" s="5046"/>
      <c r="N38" s="5046"/>
      <c r="O38" s="5046"/>
      <c r="P38" s="5046"/>
      <c r="Q38" s="5047"/>
      <c r="R38" s="1295"/>
      <c r="S38" s="1289"/>
      <c r="T38" s="1289"/>
      <c r="U38" s="2471"/>
      <c r="V38" s="5045"/>
      <c r="W38" s="5046"/>
      <c r="X38" s="5046"/>
      <c r="Y38" s="5046"/>
      <c r="Z38" s="5046"/>
      <c r="AA38" s="5046"/>
      <c r="AB38" s="5046"/>
      <c r="AC38" s="5046"/>
      <c r="AD38" s="5046"/>
      <c r="AE38" s="5046"/>
      <c r="AF38" s="5046"/>
      <c r="AG38" s="5046"/>
      <c r="AH38" s="5046"/>
      <c r="AI38" s="5046"/>
      <c r="AJ38" s="5047"/>
      <c r="AK38" s="1295"/>
      <c r="AL38" s="1289"/>
      <c r="AM38" s="1289"/>
      <c r="AN38" s="2485"/>
      <c r="AO38" s="5045"/>
      <c r="AP38" s="5046"/>
      <c r="AQ38" s="5046"/>
      <c r="AR38" s="5046"/>
      <c r="AS38" s="5046"/>
      <c r="AT38" s="5046"/>
      <c r="AU38" s="5046"/>
      <c r="AV38" s="5046"/>
      <c r="AW38" s="5046"/>
      <c r="AX38" s="5046"/>
      <c r="AY38" s="5046"/>
      <c r="AZ38" s="5046"/>
      <c r="BA38" s="5046"/>
      <c r="BB38" s="5046"/>
      <c r="BC38" s="5047"/>
      <c r="BD38" s="1295"/>
      <c r="BE38" s="1289"/>
      <c r="BF38" s="1289"/>
      <c r="BG38" s="2485"/>
      <c r="BH38" s="5045"/>
      <c r="BI38" s="5046"/>
      <c r="BJ38" s="5046"/>
      <c r="BK38" s="5046"/>
      <c r="BL38" s="5046"/>
      <c r="BM38" s="5046"/>
      <c r="BN38" s="5046"/>
      <c r="BO38" s="5046"/>
      <c r="BP38" s="5046"/>
      <c r="BQ38" s="5046"/>
      <c r="BR38" s="5046"/>
      <c r="BS38" s="5046"/>
      <c r="BT38" s="5046"/>
      <c r="BU38" s="5046"/>
      <c r="BV38" s="5047"/>
      <c r="BW38" s="1295"/>
      <c r="BX38" s="1289"/>
      <c r="BY38" s="1289"/>
      <c r="BZ38" s="2485"/>
      <c r="CA38" s="5045"/>
      <c r="CB38" s="5046"/>
      <c r="CC38" s="5046"/>
      <c r="CD38" s="5046"/>
      <c r="CE38" s="5046"/>
      <c r="CF38" s="5046"/>
      <c r="CG38" s="5046"/>
      <c r="CH38" s="5046"/>
      <c r="CI38" s="5046"/>
      <c r="CJ38" s="5046"/>
      <c r="CK38" s="5046"/>
      <c r="CL38" s="5046"/>
      <c r="CM38" s="5046"/>
      <c r="CN38" s="5046"/>
      <c r="CO38" s="5047"/>
      <c r="CP38" s="1295"/>
      <c r="CQ38" s="1289"/>
    </row>
    <row r="39" spans="1:95" ht="12" customHeight="1" thickBot="1" x14ac:dyDescent="0.25">
      <c r="A39" s="1289"/>
      <c r="B39" s="2471"/>
      <c r="C39" s="5048"/>
      <c r="D39" s="5049"/>
      <c r="E39" s="5049"/>
      <c r="F39" s="5049"/>
      <c r="G39" s="5049"/>
      <c r="H39" s="5049"/>
      <c r="I39" s="5049"/>
      <c r="J39" s="5049"/>
      <c r="K39" s="5049"/>
      <c r="L39" s="5049"/>
      <c r="M39" s="5049"/>
      <c r="N39" s="5049"/>
      <c r="O39" s="5049"/>
      <c r="P39" s="5049"/>
      <c r="Q39" s="5050"/>
      <c r="R39" s="1295"/>
      <c r="S39" s="1289"/>
      <c r="T39" s="1289"/>
      <c r="U39" s="2471"/>
      <c r="V39" s="5048"/>
      <c r="W39" s="5049"/>
      <c r="X39" s="5049"/>
      <c r="Y39" s="5049"/>
      <c r="Z39" s="5049"/>
      <c r="AA39" s="5049"/>
      <c r="AB39" s="5049"/>
      <c r="AC39" s="5049"/>
      <c r="AD39" s="5049"/>
      <c r="AE39" s="5049"/>
      <c r="AF39" s="5049"/>
      <c r="AG39" s="5049"/>
      <c r="AH39" s="5049"/>
      <c r="AI39" s="5049"/>
      <c r="AJ39" s="5050"/>
      <c r="AK39" s="1295"/>
      <c r="AL39" s="1289"/>
      <c r="AM39" s="1289"/>
      <c r="AN39" s="2485"/>
      <c r="AO39" s="5048"/>
      <c r="AP39" s="5049"/>
      <c r="AQ39" s="5049"/>
      <c r="AR39" s="5049"/>
      <c r="AS39" s="5049"/>
      <c r="AT39" s="5049"/>
      <c r="AU39" s="5049"/>
      <c r="AV39" s="5049"/>
      <c r="AW39" s="5049"/>
      <c r="AX39" s="5049"/>
      <c r="AY39" s="5049"/>
      <c r="AZ39" s="5049"/>
      <c r="BA39" s="5049"/>
      <c r="BB39" s="5049"/>
      <c r="BC39" s="5050"/>
      <c r="BD39" s="1295"/>
      <c r="BE39" s="1289"/>
      <c r="BF39" s="1289"/>
      <c r="BG39" s="2485"/>
      <c r="BH39" s="5048"/>
      <c r="BI39" s="5049"/>
      <c r="BJ39" s="5049"/>
      <c r="BK39" s="5049"/>
      <c r="BL39" s="5049"/>
      <c r="BM39" s="5049"/>
      <c r="BN39" s="5049"/>
      <c r="BO39" s="5049"/>
      <c r="BP39" s="5049"/>
      <c r="BQ39" s="5049"/>
      <c r="BR39" s="5049"/>
      <c r="BS39" s="5049"/>
      <c r="BT39" s="5049"/>
      <c r="BU39" s="5049"/>
      <c r="BV39" s="5050"/>
      <c r="BW39" s="1295"/>
      <c r="BX39" s="1289"/>
      <c r="BY39" s="1289"/>
      <c r="BZ39" s="2485"/>
      <c r="CA39" s="5048"/>
      <c r="CB39" s="5049"/>
      <c r="CC39" s="5049"/>
      <c r="CD39" s="5049"/>
      <c r="CE39" s="5049"/>
      <c r="CF39" s="5049"/>
      <c r="CG39" s="5049"/>
      <c r="CH39" s="5049"/>
      <c r="CI39" s="5049"/>
      <c r="CJ39" s="5049"/>
      <c r="CK39" s="5049"/>
      <c r="CL39" s="5049"/>
      <c r="CM39" s="5049"/>
      <c r="CN39" s="5049"/>
      <c r="CO39" s="5050"/>
      <c r="CP39" s="1295"/>
      <c r="CQ39" s="1289"/>
    </row>
    <row r="40" spans="1:95" ht="12" customHeight="1" thickBot="1" x14ac:dyDescent="0.25">
      <c r="A40" s="1289"/>
      <c r="B40" s="2471"/>
      <c r="C40" s="1330"/>
      <c r="D40" s="1330"/>
      <c r="E40" s="1331"/>
      <c r="F40" s="1331"/>
      <c r="G40" s="1331"/>
      <c r="H40" s="1331"/>
      <c r="I40" s="1331"/>
      <c r="J40" s="1331"/>
      <c r="K40" s="1331"/>
      <c r="L40" s="1331"/>
      <c r="M40" s="1331"/>
      <c r="N40" s="1331"/>
      <c r="O40" s="1331"/>
      <c r="P40" s="1331"/>
      <c r="Q40" s="1331"/>
      <c r="R40" s="1295"/>
      <c r="S40" s="1289"/>
      <c r="T40" s="1289"/>
      <c r="U40" s="2471"/>
      <c r="V40" s="1330"/>
      <c r="W40" s="1330"/>
      <c r="X40" s="1331"/>
      <c r="Y40" s="1331"/>
      <c r="Z40" s="1331"/>
      <c r="AA40" s="1331"/>
      <c r="AB40" s="1331"/>
      <c r="AC40" s="1331"/>
      <c r="AD40" s="1331"/>
      <c r="AE40" s="1331"/>
      <c r="AF40" s="1331"/>
      <c r="AG40" s="1331"/>
      <c r="AH40" s="1331"/>
      <c r="AI40" s="1331"/>
      <c r="AJ40" s="1331"/>
      <c r="AK40" s="1295"/>
      <c r="AL40" s="1289"/>
      <c r="AM40" s="1289"/>
      <c r="AN40" s="2471"/>
      <c r="AO40" s="1330"/>
      <c r="AP40" s="1330"/>
      <c r="AQ40" s="1331"/>
      <c r="AR40" s="1331"/>
      <c r="AS40" s="1331"/>
      <c r="AT40" s="1331"/>
      <c r="AU40" s="1331"/>
      <c r="AV40" s="1331"/>
      <c r="AW40" s="1331"/>
      <c r="AX40" s="1331"/>
      <c r="AY40" s="1331"/>
      <c r="AZ40" s="1331"/>
      <c r="BA40" s="1331"/>
      <c r="BB40" s="1331"/>
      <c r="BC40" s="1331"/>
      <c r="BD40" s="1295"/>
      <c r="BE40" s="1289"/>
      <c r="BF40" s="1289"/>
      <c r="BG40" s="2471"/>
      <c r="BH40" s="1330"/>
      <c r="BI40" s="1330"/>
      <c r="BJ40" s="1331"/>
      <c r="BK40" s="1331"/>
      <c r="BL40" s="1331"/>
      <c r="BM40" s="1331"/>
      <c r="BN40" s="1331"/>
      <c r="BO40" s="1331"/>
      <c r="BP40" s="1331"/>
      <c r="BQ40" s="1331"/>
      <c r="BR40" s="1331"/>
      <c r="BS40" s="1331"/>
      <c r="BT40" s="1331"/>
      <c r="BU40" s="1331"/>
      <c r="BV40" s="1331"/>
      <c r="BW40" s="1295"/>
      <c r="BX40" s="1289"/>
      <c r="BY40" s="1289"/>
      <c r="BZ40" s="2471"/>
      <c r="CA40" s="1330"/>
      <c r="CB40" s="1330"/>
      <c r="CC40" s="1331"/>
      <c r="CD40" s="1331"/>
      <c r="CE40" s="1331"/>
      <c r="CF40" s="1331"/>
      <c r="CG40" s="1331"/>
      <c r="CH40" s="1331"/>
      <c r="CI40" s="1331"/>
      <c r="CJ40" s="1331"/>
      <c r="CK40" s="1331"/>
      <c r="CL40" s="1331"/>
      <c r="CM40" s="1331"/>
      <c r="CN40" s="1331"/>
      <c r="CO40" s="1331"/>
      <c r="CP40" s="1295"/>
      <c r="CQ40" s="1289"/>
    </row>
    <row r="41" spans="1:95" ht="12" customHeight="1" x14ac:dyDescent="0.2">
      <c r="A41" s="1289"/>
      <c r="B41" s="2471">
        <f>B30+2</f>
        <v>8</v>
      </c>
      <c r="C41" s="5051"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52"/>
      <c r="E41" s="5052"/>
      <c r="F41" s="5052"/>
      <c r="G41" s="5052"/>
      <c r="H41" s="1309" t="s">
        <v>2171</v>
      </c>
      <c r="I41" s="1310" t="e">
        <f>IF(C41=0,"",VLOOKUP(C41,'Tablas Magia'!$D$6:$Z$680,3,FALSE))</f>
        <v>#N/A</v>
      </c>
      <c r="J41" s="5017" t="s">
        <v>8715</v>
      </c>
      <c r="K41" s="5017"/>
      <c r="L41" s="5017"/>
      <c r="M41" s="5018" t="e">
        <f>IF(C41=0,"",VLOOKUP(C41,'Tablas Magia'!$D$6:$Z$680,2,FALSE))</f>
        <v>#N/A</v>
      </c>
      <c r="N41" s="5018"/>
      <c r="O41" s="5018"/>
      <c r="P41" s="5018"/>
      <c r="Q41" s="5019"/>
      <c r="R41" s="1295"/>
      <c r="S41" s="1289"/>
      <c r="T41" s="1289"/>
      <c r="U41" s="2471">
        <f>U30+2</f>
        <v>28</v>
      </c>
      <c r="V41" s="5051"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52"/>
      <c r="X41" s="5052"/>
      <c r="Y41" s="5052"/>
      <c r="Z41" s="5052"/>
      <c r="AA41" s="1309" t="s">
        <v>2171</v>
      </c>
      <c r="AB41" s="1310" t="e">
        <f>IF(V41=0,"",VLOOKUP(V41,'Tablas Magia'!$D$6:$Z$680,3,FALSE))</f>
        <v>#N/A</v>
      </c>
      <c r="AC41" s="5017" t="s">
        <v>8715</v>
      </c>
      <c r="AD41" s="5017"/>
      <c r="AE41" s="5017"/>
      <c r="AF41" s="5018" t="e">
        <f>IF(V41=0,"",VLOOKUP(V41,'Tablas Magia'!$D$6:$Z$680,2,FALSE))</f>
        <v>#N/A</v>
      </c>
      <c r="AG41" s="5018"/>
      <c r="AH41" s="5018"/>
      <c r="AI41" s="5018"/>
      <c r="AJ41" s="5019"/>
      <c r="AK41" s="1295"/>
      <c r="AL41" s="1289"/>
      <c r="AM41" s="1289"/>
      <c r="AN41" s="2485">
        <f>AN30+2</f>
        <v>48</v>
      </c>
      <c r="AO41" s="5051"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52"/>
      <c r="AQ41" s="5052"/>
      <c r="AR41" s="5052"/>
      <c r="AS41" s="5052"/>
      <c r="AT41" s="1309" t="s">
        <v>2171</v>
      </c>
      <c r="AU41" s="1310" t="e">
        <f>IF(AO41=0,"",VLOOKUP(AO41,'Tablas Magia'!$D$6:$Z$680,3,FALSE))</f>
        <v>#N/A</v>
      </c>
      <c r="AV41" s="5017" t="s">
        <v>8715</v>
      </c>
      <c r="AW41" s="5017"/>
      <c r="AX41" s="5017"/>
      <c r="AY41" s="5018" t="e">
        <f>IF(AO41=0,"",VLOOKUP(AO41,'Tablas Magia'!$D$6:$Z$680,2,FALSE))</f>
        <v>#N/A</v>
      </c>
      <c r="AZ41" s="5018"/>
      <c r="BA41" s="5018"/>
      <c r="BB41" s="5018"/>
      <c r="BC41" s="5019"/>
      <c r="BD41" s="1295"/>
      <c r="BE41" s="1289"/>
      <c r="BF41" s="1289"/>
      <c r="BG41" s="2485">
        <f>BG30+2</f>
        <v>68</v>
      </c>
      <c r="BH41" s="5051"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52"/>
      <c r="BJ41" s="5052"/>
      <c r="BK41" s="5052"/>
      <c r="BL41" s="5052"/>
      <c r="BM41" s="1309" t="s">
        <v>2171</v>
      </c>
      <c r="BN41" s="1310" t="e">
        <f>IF(BH41=0,"",VLOOKUP(BH41,'Tablas Magia'!$D$6:$Z$680,3,FALSE))</f>
        <v>#N/A</v>
      </c>
      <c r="BO41" s="5017" t="s">
        <v>8715</v>
      </c>
      <c r="BP41" s="5017"/>
      <c r="BQ41" s="5017"/>
      <c r="BR41" s="5018" t="e">
        <f>IF(BH41=0,"",VLOOKUP(BH41,'Tablas Magia'!$D$6:$Z$680,2,FALSE))</f>
        <v>#N/A</v>
      </c>
      <c r="BS41" s="5018"/>
      <c r="BT41" s="5018"/>
      <c r="BU41" s="5018"/>
      <c r="BV41" s="5019"/>
      <c r="BW41" s="1295"/>
      <c r="BX41" s="1289"/>
      <c r="BY41" s="1289"/>
      <c r="BZ41" s="2485">
        <f>BZ30+2</f>
        <v>88</v>
      </c>
      <c r="CA41" s="5051"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52"/>
      <c r="CC41" s="5052"/>
      <c r="CD41" s="5052"/>
      <c r="CE41" s="5052"/>
      <c r="CF41" s="1309" t="s">
        <v>2171</v>
      </c>
      <c r="CG41" s="1310" t="e">
        <f>IF(CA41=0,"",VLOOKUP(CA41,'Tablas Magia'!$D$6:$Z$680,3,FALSE))</f>
        <v>#N/A</v>
      </c>
      <c r="CH41" s="5017" t="s">
        <v>8715</v>
      </c>
      <c r="CI41" s="5017"/>
      <c r="CJ41" s="5017"/>
      <c r="CK41" s="5018" t="e">
        <f>IF(CA41=0,"",VLOOKUP(CA41,'Tablas Magia'!$D$6:$Z$680,2,FALSE))</f>
        <v>#N/A</v>
      </c>
      <c r="CL41" s="5018"/>
      <c r="CM41" s="5018"/>
      <c r="CN41" s="5018"/>
      <c r="CO41" s="5019"/>
      <c r="CP41" s="1295"/>
      <c r="CQ41" s="1289"/>
    </row>
    <row r="42" spans="1:95" ht="12" customHeight="1" x14ac:dyDescent="0.2">
      <c r="A42" s="1289"/>
      <c r="B42" s="2471"/>
      <c r="C42" s="5035" t="s">
        <v>8716</v>
      </c>
      <c r="D42" s="5036"/>
      <c r="E42" s="1311" t="s">
        <v>8717</v>
      </c>
      <c r="F42" s="1311" t="s">
        <v>2365</v>
      </c>
      <c r="G42" s="1311" t="s">
        <v>4020</v>
      </c>
      <c r="H42" s="1312" t="s">
        <v>2716</v>
      </c>
      <c r="I42" s="5032" t="e">
        <f>IF(C41=0,"",VLOOKUP(C41,'Tablas Magia'!$D$6:$Z$680,5,FALSE))</f>
        <v>#N/A</v>
      </c>
      <c r="J42" s="5032"/>
      <c r="K42" s="5033" t="s">
        <v>8718</v>
      </c>
      <c r="L42" s="5033"/>
      <c r="M42" s="5032" t="e">
        <f>IF(C41=0,"",VLOOKUP(C41,'Tablas Magia'!$D$6:$Z$680,6,FALSE))</f>
        <v>#N/A</v>
      </c>
      <c r="N42" s="5032"/>
      <c r="O42" s="5034" t="s">
        <v>8719</v>
      </c>
      <c r="P42" s="5034"/>
      <c r="Q42" s="1313" t="e">
        <f>IF(C41=0,"",VLOOKUP(C41,'Tablas Magia'!$D$6:$Z$680,4,FALSE))</f>
        <v>#N/A</v>
      </c>
      <c r="R42" s="1295"/>
      <c r="S42" s="1289"/>
      <c r="T42" s="1289"/>
      <c r="U42" s="2471"/>
      <c r="V42" s="5035" t="s">
        <v>8716</v>
      </c>
      <c r="W42" s="5036"/>
      <c r="X42" s="1311" t="s">
        <v>8717</v>
      </c>
      <c r="Y42" s="1311" t="s">
        <v>2365</v>
      </c>
      <c r="Z42" s="1311" t="s">
        <v>4020</v>
      </c>
      <c r="AA42" s="1312" t="s">
        <v>2716</v>
      </c>
      <c r="AB42" s="5032" t="e">
        <f>IF(V41=0,"",VLOOKUP(V41,'Tablas Magia'!$D$6:$Z$680,5,FALSE))</f>
        <v>#N/A</v>
      </c>
      <c r="AC42" s="5032"/>
      <c r="AD42" s="5033" t="s">
        <v>8718</v>
      </c>
      <c r="AE42" s="5033"/>
      <c r="AF42" s="5032" t="e">
        <f>IF(V41=0,"",VLOOKUP(V41,'Tablas Magia'!$D$6:$Z$680,6,FALSE))</f>
        <v>#N/A</v>
      </c>
      <c r="AG42" s="5032"/>
      <c r="AH42" s="5034" t="s">
        <v>8719</v>
      </c>
      <c r="AI42" s="5034"/>
      <c r="AJ42" s="1313" t="e">
        <f>IF(V41=0,"",VLOOKUP(V41,'Tablas Magia'!$D$6:$Z$680,4,FALSE))</f>
        <v>#N/A</v>
      </c>
      <c r="AK42" s="1295"/>
      <c r="AL42" s="1289"/>
      <c r="AM42" s="1289"/>
      <c r="AN42" s="2485"/>
      <c r="AO42" s="5035" t="s">
        <v>8716</v>
      </c>
      <c r="AP42" s="5036"/>
      <c r="AQ42" s="1311" t="s">
        <v>8717</v>
      </c>
      <c r="AR42" s="1311" t="s">
        <v>2365</v>
      </c>
      <c r="AS42" s="1311" t="s">
        <v>4020</v>
      </c>
      <c r="AT42" s="1312" t="s">
        <v>2716</v>
      </c>
      <c r="AU42" s="5032" t="e">
        <f>IF(AO41=0,"",VLOOKUP(AO41,'Tablas Magia'!$D$6:$Z$680,5,FALSE))</f>
        <v>#N/A</v>
      </c>
      <c r="AV42" s="5032"/>
      <c r="AW42" s="5033" t="s">
        <v>8718</v>
      </c>
      <c r="AX42" s="5033"/>
      <c r="AY42" s="5032" t="e">
        <f>IF(AO41=0,"",VLOOKUP(AO41,'Tablas Magia'!$D$6:$Z$680,6,FALSE))</f>
        <v>#N/A</v>
      </c>
      <c r="AZ42" s="5032"/>
      <c r="BA42" s="5034" t="s">
        <v>8719</v>
      </c>
      <c r="BB42" s="5034"/>
      <c r="BC42" s="1313" t="e">
        <f>IF(AO41=0,"",VLOOKUP(AO41,'Tablas Magia'!$D$6:$Z$680,4,FALSE))</f>
        <v>#N/A</v>
      </c>
      <c r="BD42" s="1295"/>
      <c r="BE42" s="1289"/>
      <c r="BF42" s="1289"/>
      <c r="BG42" s="2485"/>
      <c r="BH42" s="5035" t="s">
        <v>8716</v>
      </c>
      <c r="BI42" s="5036"/>
      <c r="BJ42" s="1311" t="s">
        <v>8717</v>
      </c>
      <c r="BK42" s="1311" t="s">
        <v>2365</v>
      </c>
      <c r="BL42" s="1311" t="s">
        <v>4020</v>
      </c>
      <c r="BM42" s="1312" t="s">
        <v>2716</v>
      </c>
      <c r="BN42" s="5032" t="e">
        <f>IF(BH41=0,"",VLOOKUP(BH41,'Tablas Magia'!$D$6:$Z$680,5,FALSE))</f>
        <v>#N/A</v>
      </c>
      <c r="BO42" s="5032"/>
      <c r="BP42" s="5033" t="s">
        <v>8718</v>
      </c>
      <c r="BQ42" s="5033"/>
      <c r="BR42" s="5032" t="e">
        <f>IF(BH41=0,"",VLOOKUP(BH41,'Tablas Magia'!$D$6:$Z$680,6,FALSE))</f>
        <v>#N/A</v>
      </c>
      <c r="BS42" s="5032"/>
      <c r="BT42" s="5034" t="s">
        <v>8719</v>
      </c>
      <c r="BU42" s="5034"/>
      <c r="BV42" s="1313" t="e">
        <f>IF(BH41=0,"",VLOOKUP(BH41,'Tablas Magia'!$D$6:$Z$680,4,FALSE))</f>
        <v>#N/A</v>
      </c>
      <c r="BW42" s="1295"/>
      <c r="BX42" s="1289"/>
      <c r="BY42" s="1289"/>
      <c r="BZ42" s="2485"/>
      <c r="CA42" s="5035" t="s">
        <v>8716</v>
      </c>
      <c r="CB42" s="5036"/>
      <c r="CC42" s="1311" t="s">
        <v>8717</v>
      </c>
      <c r="CD42" s="1311" t="s">
        <v>2365</v>
      </c>
      <c r="CE42" s="1311" t="s">
        <v>4020</v>
      </c>
      <c r="CF42" s="1312" t="s">
        <v>2716</v>
      </c>
      <c r="CG42" s="5032" t="e">
        <f>IF(CA41=0,"",VLOOKUP(CA41,'Tablas Magia'!$D$6:$Z$680,5,FALSE))</f>
        <v>#N/A</v>
      </c>
      <c r="CH42" s="5032"/>
      <c r="CI42" s="5033" t="s">
        <v>8718</v>
      </c>
      <c r="CJ42" s="5033"/>
      <c r="CK42" s="5032" t="e">
        <f>IF(CA41=0,"",VLOOKUP(CA41,'Tablas Magia'!$D$6:$Z$680,6,FALSE))</f>
        <v>#N/A</v>
      </c>
      <c r="CL42" s="5032"/>
      <c r="CM42" s="5034" t="s">
        <v>8719</v>
      </c>
      <c r="CN42" s="5034"/>
      <c r="CO42" s="1313" t="e">
        <f>IF(CA41=0,"",VLOOKUP(CA41,'Tablas Magia'!$D$6:$Z$680,4,FALSE))</f>
        <v>#N/A</v>
      </c>
      <c r="CP42" s="1295"/>
      <c r="CQ42" s="1289"/>
    </row>
    <row r="43" spans="1:95" ht="12" customHeight="1" x14ac:dyDescent="0.2">
      <c r="A43" s="1289"/>
      <c r="B43" s="2471"/>
      <c r="C43" s="5027" t="s">
        <v>2218</v>
      </c>
      <c r="D43" s="5028"/>
      <c r="E43" s="1314" t="e">
        <f>IF(C41=0,"",VLOOKUP(C41,'Tablas Magia'!$D$6:$Z$680,7,FALSE))</f>
        <v>#N/A</v>
      </c>
      <c r="F43" s="1314" t="e">
        <f>IF(C41=0,"",VLOOKUP(C41,'Tablas Magia'!$D$6:$Z$680,11,FALSE))</f>
        <v>#N/A</v>
      </c>
      <c r="G43" s="1315" t="e">
        <f>IF(C41=0,"",VLOOKUP(C41,'Tablas Magia'!$D$6:$Z$680,15,FALSE))</f>
        <v>#N/A</v>
      </c>
      <c r="H43" s="5029" t="e">
        <f>IF(C41=0,"",VLOOKUP(C41,'Tablas Magia'!$D$6:$Z$680,19,FALSE))</f>
        <v>#N/A</v>
      </c>
      <c r="I43" s="5030"/>
      <c r="J43" s="5030"/>
      <c r="K43" s="5030"/>
      <c r="L43" s="5030"/>
      <c r="M43" s="5030"/>
      <c r="N43" s="5030"/>
      <c r="O43" s="5030"/>
      <c r="P43" s="5030"/>
      <c r="Q43" s="5031"/>
      <c r="R43" s="1295"/>
      <c r="S43" s="1289"/>
      <c r="T43" s="1289"/>
      <c r="U43" s="2471"/>
      <c r="V43" s="5027" t="s">
        <v>2218</v>
      </c>
      <c r="W43" s="5028"/>
      <c r="X43" s="1314" t="e">
        <f>IF(V41=0,"",VLOOKUP(V41,'Tablas Magia'!$D$6:$Z$680,7,FALSE))</f>
        <v>#N/A</v>
      </c>
      <c r="Y43" s="1314" t="e">
        <f>IF(V41=0,"",VLOOKUP(V41,'Tablas Magia'!$D$6:$Z$680,11,FALSE))</f>
        <v>#N/A</v>
      </c>
      <c r="Z43" s="1315" t="e">
        <f>IF(V41=0,"",VLOOKUP(V41,'Tablas Magia'!$D$6:$Z$680,15,FALSE))</f>
        <v>#N/A</v>
      </c>
      <c r="AA43" s="5029" t="e">
        <f>IF(V41=0,"",VLOOKUP(V41,'Tablas Magia'!$D$6:$Z$680,19,FALSE))</f>
        <v>#N/A</v>
      </c>
      <c r="AB43" s="5030"/>
      <c r="AC43" s="5030"/>
      <c r="AD43" s="5030"/>
      <c r="AE43" s="5030"/>
      <c r="AF43" s="5030"/>
      <c r="AG43" s="5030"/>
      <c r="AH43" s="5030"/>
      <c r="AI43" s="5030"/>
      <c r="AJ43" s="5031"/>
      <c r="AK43" s="1295"/>
      <c r="AL43" s="1289"/>
      <c r="AM43" s="1289"/>
      <c r="AN43" s="2485"/>
      <c r="AO43" s="5027" t="s">
        <v>2218</v>
      </c>
      <c r="AP43" s="5028"/>
      <c r="AQ43" s="1314" t="e">
        <f>IF(AO41=0,"",VLOOKUP(AO41,'Tablas Magia'!$D$6:$Z$680,7,FALSE))</f>
        <v>#N/A</v>
      </c>
      <c r="AR43" s="1314" t="e">
        <f>IF(AO41=0,"",VLOOKUP(AO41,'Tablas Magia'!$D$6:$Z$680,11,FALSE))</f>
        <v>#N/A</v>
      </c>
      <c r="AS43" s="1315" t="e">
        <f>IF(AO41=0,"",VLOOKUP(AO41,'Tablas Magia'!$D$6:$Z$680,15,FALSE))</f>
        <v>#N/A</v>
      </c>
      <c r="AT43" s="5029" t="e">
        <f>IF(AO41=0,"",VLOOKUP(AO41,'Tablas Magia'!$D$6:$Z$680,19,FALSE))</f>
        <v>#N/A</v>
      </c>
      <c r="AU43" s="5030"/>
      <c r="AV43" s="5030"/>
      <c r="AW43" s="5030"/>
      <c r="AX43" s="5030"/>
      <c r="AY43" s="5030"/>
      <c r="AZ43" s="5030"/>
      <c r="BA43" s="5030"/>
      <c r="BB43" s="5030"/>
      <c r="BC43" s="5031"/>
      <c r="BD43" s="1295"/>
      <c r="BE43" s="1289"/>
      <c r="BF43" s="1289"/>
      <c r="BG43" s="2485"/>
      <c r="BH43" s="5027" t="s">
        <v>2218</v>
      </c>
      <c r="BI43" s="5028"/>
      <c r="BJ43" s="1314" t="e">
        <f>IF(BH41=0,"",VLOOKUP(BH41,'Tablas Magia'!$D$6:$Z$680,7,FALSE))</f>
        <v>#N/A</v>
      </c>
      <c r="BK43" s="1314" t="e">
        <f>IF(BH41=0,"",VLOOKUP(BH41,'Tablas Magia'!$D$6:$Z$680,11,FALSE))</f>
        <v>#N/A</v>
      </c>
      <c r="BL43" s="1315" t="e">
        <f>IF(BH41=0,"",VLOOKUP(BH41,'Tablas Magia'!$D$6:$Z$680,15,FALSE))</f>
        <v>#N/A</v>
      </c>
      <c r="BM43" s="5029" t="e">
        <f>IF(BH41=0,"",VLOOKUP(BH41,'Tablas Magia'!$D$6:$Z$680,19,FALSE))</f>
        <v>#N/A</v>
      </c>
      <c r="BN43" s="5030"/>
      <c r="BO43" s="5030"/>
      <c r="BP43" s="5030"/>
      <c r="BQ43" s="5030"/>
      <c r="BR43" s="5030"/>
      <c r="BS43" s="5030"/>
      <c r="BT43" s="5030"/>
      <c r="BU43" s="5030"/>
      <c r="BV43" s="5031"/>
      <c r="BW43" s="1295"/>
      <c r="BX43" s="1289"/>
      <c r="BY43" s="1289"/>
      <c r="BZ43" s="2485"/>
      <c r="CA43" s="5027" t="s">
        <v>2218</v>
      </c>
      <c r="CB43" s="5028"/>
      <c r="CC43" s="1314" t="e">
        <f>IF(CA41=0,"",VLOOKUP(CA41,'Tablas Magia'!$D$6:$Z$680,7,FALSE))</f>
        <v>#N/A</v>
      </c>
      <c r="CD43" s="1314" t="e">
        <f>IF(CA41=0,"",VLOOKUP(CA41,'Tablas Magia'!$D$6:$Z$680,11,FALSE))</f>
        <v>#N/A</v>
      </c>
      <c r="CE43" s="1315" t="e">
        <f>IF(CA41=0,"",VLOOKUP(CA41,'Tablas Magia'!$D$6:$Z$680,15,FALSE))</f>
        <v>#N/A</v>
      </c>
      <c r="CF43" s="5029" t="e">
        <f>IF(CA41=0,"",VLOOKUP(CA41,'Tablas Magia'!$D$6:$Z$680,19,FALSE))</f>
        <v>#N/A</v>
      </c>
      <c r="CG43" s="5030"/>
      <c r="CH43" s="5030"/>
      <c r="CI43" s="5030"/>
      <c r="CJ43" s="5030"/>
      <c r="CK43" s="5030"/>
      <c r="CL43" s="5030"/>
      <c r="CM43" s="5030"/>
      <c r="CN43" s="5030"/>
      <c r="CO43" s="5031"/>
      <c r="CP43" s="1295"/>
      <c r="CQ43" s="1289"/>
    </row>
    <row r="44" spans="1:95" ht="12" customHeight="1" x14ac:dyDescent="0.2">
      <c r="A44" s="1289"/>
      <c r="B44" s="2471"/>
      <c r="C44" s="5022" t="s">
        <v>5258</v>
      </c>
      <c r="D44" s="5023"/>
      <c r="E44" s="1316" t="e">
        <f>IF(C41=0,"",VLOOKUP(C41,'Tablas Magia'!$D$6:$Z$680,8,FALSE))</f>
        <v>#N/A</v>
      </c>
      <c r="F44" s="1316" t="e">
        <f>IF(C41=0,"",VLOOKUP(C41,'Tablas Magia'!$D$6:$Z$680,12,FALSE))</f>
        <v>#N/A</v>
      </c>
      <c r="G44" s="1317" t="e">
        <f>IF(C41=0,"",VLOOKUP(C41,'Tablas Magia'!$D$6:$Z$680,16,FALSE))</f>
        <v>#N/A</v>
      </c>
      <c r="H44" s="5024" t="e">
        <f>IF(C41=0,"",VLOOKUP(C41,'Tablas Magia'!$D$6:$Z$680,20,FALSE))</f>
        <v>#N/A</v>
      </c>
      <c r="I44" s="5025"/>
      <c r="J44" s="5025"/>
      <c r="K44" s="5025"/>
      <c r="L44" s="5025"/>
      <c r="M44" s="5025"/>
      <c r="N44" s="5025"/>
      <c r="O44" s="5025"/>
      <c r="P44" s="5025"/>
      <c r="Q44" s="5026"/>
      <c r="R44" s="1295"/>
      <c r="S44" s="1289"/>
      <c r="T44" s="1289"/>
      <c r="U44" s="2471"/>
      <c r="V44" s="5022" t="s">
        <v>5258</v>
      </c>
      <c r="W44" s="5023"/>
      <c r="X44" s="1316" t="e">
        <f>IF(V41=0,"",VLOOKUP(V41,'Tablas Magia'!$D$6:$Z$680,8,FALSE))</f>
        <v>#N/A</v>
      </c>
      <c r="Y44" s="1316" t="e">
        <f>IF(V41=0,"",VLOOKUP(V41,'Tablas Magia'!$D$6:$Z$680,12,FALSE))</f>
        <v>#N/A</v>
      </c>
      <c r="Z44" s="1317" t="e">
        <f>IF(V41=0,"",VLOOKUP(V41,'Tablas Magia'!$D$6:$Z$680,16,FALSE))</f>
        <v>#N/A</v>
      </c>
      <c r="AA44" s="5024" t="e">
        <f>IF(V41=0,"",VLOOKUP(V41,'Tablas Magia'!$D$6:$Z$680,20,FALSE))</f>
        <v>#N/A</v>
      </c>
      <c r="AB44" s="5025"/>
      <c r="AC44" s="5025"/>
      <c r="AD44" s="5025"/>
      <c r="AE44" s="5025"/>
      <c r="AF44" s="5025"/>
      <c r="AG44" s="5025"/>
      <c r="AH44" s="5025"/>
      <c r="AI44" s="5025"/>
      <c r="AJ44" s="5026"/>
      <c r="AK44" s="1295"/>
      <c r="AL44" s="1289"/>
      <c r="AM44" s="1289"/>
      <c r="AN44" s="2485"/>
      <c r="AO44" s="5022" t="s">
        <v>5258</v>
      </c>
      <c r="AP44" s="5023"/>
      <c r="AQ44" s="1316" t="e">
        <f>IF(AO41=0,"",VLOOKUP(AO41,'Tablas Magia'!$D$6:$Z$680,8,FALSE))</f>
        <v>#N/A</v>
      </c>
      <c r="AR44" s="1316" t="e">
        <f>IF(AO41=0,"",VLOOKUP(AO41,'Tablas Magia'!$D$6:$Z$680,12,FALSE))</f>
        <v>#N/A</v>
      </c>
      <c r="AS44" s="1317" t="e">
        <f>IF(AO41=0,"",VLOOKUP(AO41,'Tablas Magia'!$D$6:$Z$680,16,FALSE))</f>
        <v>#N/A</v>
      </c>
      <c r="AT44" s="5024" t="e">
        <f>IF(AO41=0,"",VLOOKUP(AO41,'Tablas Magia'!$D$6:$Z$680,20,FALSE))</f>
        <v>#N/A</v>
      </c>
      <c r="AU44" s="5025"/>
      <c r="AV44" s="5025"/>
      <c r="AW44" s="5025"/>
      <c r="AX44" s="5025"/>
      <c r="AY44" s="5025"/>
      <c r="AZ44" s="5025"/>
      <c r="BA44" s="5025"/>
      <c r="BB44" s="5025"/>
      <c r="BC44" s="5026"/>
      <c r="BD44" s="1295"/>
      <c r="BE44" s="1289"/>
      <c r="BF44" s="1289"/>
      <c r="BG44" s="2485"/>
      <c r="BH44" s="5022" t="s">
        <v>5258</v>
      </c>
      <c r="BI44" s="5023"/>
      <c r="BJ44" s="1316" t="e">
        <f>IF(BH41=0,"",VLOOKUP(BH41,'Tablas Magia'!$D$6:$Z$680,8,FALSE))</f>
        <v>#N/A</v>
      </c>
      <c r="BK44" s="1316" t="e">
        <f>IF(BH41=0,"",VLOOKUP(BH41,'Tablas Magia'!$D$6:$Z$680,12,FALSE))</f>
        <v>#N/A</v>
      </c>
      <c r="BL44" s="1317" t="e">
        <f>IF(BH41=0,"",VLOOKUP(BH41,'Tablas Magia'!$D$6:$Z$680,16,FALSE))</f>
        <v>#N/A</v>
      </c>
      <c r="BM44" s="5024" t="e">
        <f>IF(BH41=0,"",VLOOKUP(BH41,'Tablas Magia'!$D$6:$Z$680,20,FALSE))</f>
        <v>#N/A</v>
      </c>
      <c r="BN44" s="5025"/>
      <c r="BO44" s="5025"/>
      <c r="BP44" s="5025"/>
      <c r="BQ44" s="5025"/>
      <c r="BR44" s="5025"/>
      <c r="BS44" s="5025"/>
      <c r="BT44" s="5025"/>
      <c r="BU44" s="5025"/>
      <c r="BV44" s="5026"/>
      <c r="BW44" s="1295"/>
      <c r="BX44" s="1289"/>
      <c r="BY44" s="1289"/>
      <c r="BZ44" s="2485"/>
      <c r="CA44" s="5022" t="s">
        <v>5258</v>
      </c>
      <c r="CB44" s="5023"/>
      <c r="CC44" s="1316" t="e">
        <f>IF(CA41=0,"",VLOOKUP(CA41,'Tablas Magia'!$D$6:$Z$680,8,FALSE))</f>
        <v>#N/A</v>
      </c>
      <c r="CD44" s="1316" t="e">
        <f>IF(CA41=0,"",VLOOKUP(CA41,'Tablas Magia'!$D$6:$Z$680,12,FALSE))</f>
        <v>#N/A</v>
      </c>
      <c r="CE44" s="1317" t="e">
        <f>IF(CA41=0,"",VLOOKUP(CA41,'Tablas Magia'!$D$6:$Z$680,16,FALSE))</f>
        <v>#N/A</v>
      </c>
      <c r="CF44" s="5024" t="e">
        <f>IF(CA41=0,"",VLOOKUP(CA41,'Tablas Magia'!$D$6:$Z$680,20,FALSE))</f>
        <v>#N/A</v>
      </c>
      <c r="CG44" s="5025"/>
      <c r="CH44" s="5025"/>
      <c r="CI44" s="5025"/>
      <c r="CJ44" s="5025"/>
      <c r="CK44" s="5025"/>
      <c r="CL44" s="5025"/>
      <c r="CM44" s="5025"/>
      <c r="CN44" s="5025"/>
      <c r="CO44" s="5026"/>
      <c r="CP44" s="1295"/>
      <c r="CQ44" s="1289"/>
    </row>
    <row r="45" spans="1:95" ht="12" customHeight="1" x14ac:dyDescent="0.2">
      <c r="A45" s="1289"/>
      <c r="B45" s="2471"/>
      <c r="C45" s="5027" t="s">
        <v>5259</v>
      </c>
      <c r="D45" s="5028"/>
      <c r="E45" s="1314" t="e">
        <f>IF(C41=0,"",VLOOKUP(C41,'Tablas Magia'!$D$6:$Z$680,9,FALSE))</f>
        <v>#N/A</v>
      </c>
      <c r="F45" s="1314" t="e">
        <f>IF(C41=0,"",VLOOKUP(C41,'Tablas Magia'!$D$6:$Z$680,13,FALSE))</f>
        <v>#N/A</v>
      </c>
      <c r="G45" s="1315" t="e">
        <f>IF(C41=0,"",VLOOKUP(C41,'Tablas Magia'!$D$6:$Z$680,17,FALSE))</f>
        <v>#N/A</v>
      </c>
      <c r="H45" s="5029" t="e">
        <f>IF(C41=0,"",VLOOKUP(C41,'Tablas Magia'!$D$6:$Z$680,21,FALSE))</f>
        <v>#N/A</v>
      </c>
      <c r="I45" s="5030"/>
      <c r="J45" s="5030"/>
      <c r="K45" s="5030"/>
      <c r="L45" s="5030"/>
      <c r="M45" s="5030"/>
      <c r="N45" s="5030"/>
      <c r="O45" s="5030"/>
      <c r="P45" s="5030"/>
      <c r="Q45" s="5031"/>
      <c r="R45" s="1295"/>
      <c r="S45" s="1289"/>
      <c r="T45" s="1289"/>
      <c r="U45" s="2471"/>
      <c r="V45" s="5027" t="s">
        <v>5259</v>
      </c>
      <c r="W45" s="5028"/>
      <c r="X45" s="1314" t="e">
        <f>IF(V41=0,"",VLOOKUP(V41,'Tablas Magia'!$D$6:$Z$680,9,FALSE))</f>
        <v>#N/A</v>
      </c>
      <c r="Y45" s="1314" t="e">
        <f>IF(V41=0,"",VLOOKUP(V41,'Tablas Magia'!$D$6:$Z$680,13,FALSE))</f>
        <v>#N/A</v>
      </c>
      <c r="Z45" s="1315" t="e">
        <f>IF(V41=0,"",VLOOKUP(V41,'Tablas Magia'!$D$6:$Z$680,17,FALSE))</f>
        <v>#N/A</v>
      </c>
      <c r="AA45" s="5029" t="e">
        <f>IF(V41=0,"",VLOOKUP(V41,'Tablas Magia'!$D$6:$Z$680,21,FALSE))</f>
        <v>#N/A</v>
      </c>
      <c r="AB45" s="5030"/>
      <c r="AC45" s="5030"/>
      <c r="AD45" s="5030"/>
      <c r="AE45" s="5030"/>
      <c r="AF45" s="5030"/>
      <c r="AG45" s="5030"/>
      <c r="AH45" s="5030"/>
      <c r="AI45" s="5030"/>
      <c r="AJ45" s="5031"/>
      <c r="AK45" s="1295"/>
      <c r="AL45" s="1289"/>
      <c r="AM45" s="1289"/>
      <c r="AN45" s="2485"/>
      <c r="AO45" s="5027" t="s">
        <v>5259</v>
      </c>
      <c r="AP45" s="5028"/>
      <c r="AQ45" s="1314" t="e">
        <f>IF(AO41=0,"",VLOOKUP(AO41,'Tablas Magia'!$D$6:$Z$680,9,FALSE))</f>
        <v>#N/A</v>
      </c>
      <c r="AR45" s="1314" t="e">
        <f>IF(AO41=0,"",VLOOKUP(AO41,'Tablas Magia'!$D$6:$Z$680,13,FALSE))</f>
        <v>#N/A</v>
      </c>
      <c r="AS45" s="1315" t="e">
        <f>IF(AO41=0,"",VLOOKUP(AO41,'Tablas Magia'!$D$6:$Z$680,17,FALSE))</f>
        <v>#N/A</v>
      </c>
      <c r="AT45" s="5029" t="e">
        <f>IF(AO41=0,"",VLOOKUP(AO41,'Tablas Magia'!$D$6:$Z$680,21,FALSE))</f>
        <v>#N/A</v>
      </c>
      <c r="AU45" s="5030"/>
      <c r="AV45" s="5030"/>
      <c r="AW45" s="5030"/>
      <c r="AX45" s="5030"/>
      <c r="AY45" s="5030"/>
      <c r="AZ45" s="5030"/>
      <c r="BA45" s="5030"/>
      <c r="BB45" s="5030"/>
      <c r="BC45" s="5031"/>
      <c r="BD45" s="1295"/>
      <c r="BE45" s="1289"/>
      <c r="BF45" s="1289"/>
      <c r="BG45" s="2485"/>
      <c r="BH45" s="5027" t="s">
        <v>5259</v>
      </c>
      <c r="BI45" s="5028"/>
      <c r="BJ45" s="1314" t="e">
        <f>IF(BH41=0,"",VLOOKUP(BH41,'Tablas Magia'!$D$6:$Z$680,9,FALSE))</f>
        <v>#N/A</v>
      </c>
      <c r="BK45" s="1314" t="e">
        <f>IF(BH41=0,"",VLOOKUP(BH41,'Tablas Magia'!$D$6:$Z$680,13,FALSE))</f>
        <v>#N/A</v>
      </c>
      <c r="BL45" s="1315" t="e">
        <f>IF(BH41=0,"",VLOOKUP(BH41,'Tablas Magia'!$D$6:$Z$680,17,FALSE))</f>
        <v>#N/A</v>
      </c>
      <c r="BM45" s="5029" t="e">
        <f>IF(BH41=0,"",VLOOKUP(BH41,'Tablas Magia'!$D$6:$Z$680,21,FALSE))</f>
        <v>#N/A</v>
      </c>
      <c r="BN45" s="5030"/>
      <c r="BO45" s="5030"/>
      <c r="BP45" s="5030"/>
      <c r="BQ45" s="5030"/>
      <c r="BR45" s="5030"/>
      <c r="BS45" s="5030"/>
      <c r="BT45" s="5030"/>
      <c r="BU45" s="5030"/>
      <c r="BV45" s="5031"/>
      <c r="BW45" s="1295"/>
      <c r="BX45" s="1289"/>
      <c r="BY45" s="1289"/>
      <c r="BZ45" s="2485"/>
      <c r="CA45" s="5027" t="s">
        <v>5259</v>
      </c>
      <c r="CB45" s="5028"/>
      <c r="CC45" s="1314" t="e">
        <f>IF(CA41=0,"",VLOOKUP(CA41,'Tablas Magia'!$D$6:$Z$680,9,FALSE))</f>
        <v>#N/A</v>
      </c>
      <c r="CD45" s="1314" t="e">
        <f>IF(CA41=0,"",VLOOKUP(CA41,'Tablas Magia'!$D$6:$Z$680,13,FALSE))</f>
        <v>#N/A</v>
      </c>
      <c r="CE45" s="1315" t="e">
        <f>IF(CA41=0,"",VLOOKUP(CA41,'Tablas Magia'!$D$6:$Z$680,17,FALSE))</f>
        <v>#N/A</v>
      </c>
      <c r="CF45" s="5029" t="e">
        <f>IF(CA41=0,"",VLOOKUP(CA41,'Tablas Magia'!$D$6:$Z$680,21,FALSE))</f>
        <v>#N/A</v>
      </c>
      <c r="CG45" s="5030"/>
      <c r="CH45" s="5030"/>
      <c r="CI45" s="5030"/>
      <c r="CJ45" s="5030"/>
      <c r="CK45" s="5030"/>
      <c r="CL45" s="5030"/>
      <c r="CM45" s="5030"/>
      <c r="CN45" s="5030"/>
      <c r="CO45" s="5031"/>
      <c r="CP45" s="1295"/>
      <c r="CQ45" s="1289"/>
    </row>
    <row r="46" spans="1:95" ht="12" customHeight="1" thickBot="1" x14ac:dyDescent="0.25">
      <c r="A46" s="1289"/>
      <c r="B46" s="2471"/>
      <c r="C46" s="5037" t="s">
        <v>5260</v>
      </c>
      <c r="D46" s="5038"/>
      <c r="E46" s="1318" t="e">
        <f>IF(C41=0,"",VLOOKUP(C41,'Tablas Magia'!$D$6:$Z$680,10,FALSE))</f>
        <v>#N/A</v>
      </c>
      <c r="F46" s="1318" t="e">
        <f>IF(C41=0,"",VLOOKUP(C41,'Tablas Magia'!$D$6:$Z$680,14,FALSE))</f>
        <v>#N/A</v>
      </c>
      <c r="G46" s="1319" t="e">
        <f>IF(C41=0,"",VLOOKUP(C41,'Tablas Magia'!$D$6:$Z$680,18,FALSE))</f>
        <v>#N/A</v>
      </c>
      <c r="H46" s="5039" t="e">
        <f>IF(C41=0,"",VLOOKUP(C41,'Tablas Magia'!$D$6:$Z$680,22,FALSE))</f>
        <v>#N/A</v>
      </c>
      <c r="I46" s="5040"/>
      <c r="J46" s="5040"/>
      <c r="K46" s="5040"/>
      <c r="L46" s="5040"/>
      <c r="M46" s="5040"/>
      <c r="N46" s="5040"/>
      <c r="O46" s="5040"/>
      <c r="P46" s="5040"/>
      <c r="Q46" s="5041"/>
      <c r="R46" s="1295"/>
      <c r="S46" s="1289"/>
      <c r="T46" s="1289"/>
      <c r="U46" s="2471"/>
      <c r="V46" s="5037" t="s">
        <v>5260</v>
      </c>
      <c r="W46" s="5038"/>
      <c r="X46" s="1318" t="e">
        <f>IF(V41=0,"",VLOOKUP(V41,'Tablas Magia'!$D$6:$Z$680,10,FALSE))</f>
        <v>#N/A</v>
      </c>
      <c r="Y46" s="1318" t="e">
        <f>IF(V41=0,"",VLOOKUP(V41,'Tablas Magia'!$D$6:$Z$680,14,FALSE))</f>
        <v>#N/A</v>
      </c>
      <c r="Z46" s="1319" t="e">
        <f>IF(V41=0,"",VLOOKUP(V41,'Tablas Magia'!$D$6:$Z$680,18,FALSE))</f>
        <v>#N/A</v>
      </c>
      <c r="AA46" s="5039" t="e">
        <f>IF(V41=0,"",VLOOKUP(V41,'Tablas Magia'!$D$6:$Z$680,22,FALSE))</f>
        <v>#N/A</v>
      </c>
      <c r="AB46" s="5040"/>
      <c r="AC46" s="5040"/>
      <c r="AD46" s="5040"/>
      <c r="AE46" s="5040"/>
      <c r="AF46" s="5040"/>
      <c r="AG46" s="5040"/>
      <c r="AH46" s="5040"/>
      <c r="AI46" s="5040"/>
      <c r="AJ46" s="5041"/>
      <c r="AK46" s="1295"/>
      <c r="AL46" s="1289"/>
      <c r="AM46" s="1289"/>
      <c r="AN46" s="2485"/>
      <c r="AO46" s="5037" t="s">
        <v>5260</v>
      </c>
      <c r="AP46" s="5038"/>
      <c r="AQ46" s="1318" t="e">
        <f>IF(AO41=0,"",VLOOKUP(AO41,'Tablas Magia'!$D$6:$Z$680,10,FALSE))</f>
        <v>#N/A</v>
      </c>
      <c r="AR46" s="1318" t="e">
        <f>IF(AO41=0,"",VLOOKUP(AO41,'Tablas Magia'!$D$6:$Z$680,14,FALSE))</f>
        <v>#N/A</v>
      </c>
      <c r="AS46" s="1319" t="e">
        <f>IF(AO41=0,"",VLOOKUP(AO41,'Tablas Magia'!$D$6:$Z$680,18,FALSE))</f>
        <v>#N/A</v>
      </c>
      <c r="AT46" s="5039" t="e">
        <f>IF(AO41=0,"",VLOOKUP(AO41,'Tablas Magia'!$D$6:$Z$680,22,FALSE))</f>
        <v>#N/A</v>
      </c>
      <c r="AU46" s="5040"/>
      <c r="AV46" s="5040"/>
      <c r="AW46" s="5040"/>
      <c r="AX46" s="5040"/>
      <c r="AY46" s="5040"/>
      <c r="AZ46" s="5040"/>
      <c r="BA46" s="5040"/>
      <c r="BB46" s="5040"/>
      <c r="BC46" s="5041"/>
      <c r="BD46" s="1295"/>
      <c r="BE46" s="1289"/>
      <c r="BF46" s="1289"/>
      <c r="BG46" s="2485"/>
      <c r="BH46" s="5037" t="s">
        <v>5260</v>
      </c>
      <c r="BI46" s="5038"/>
      <c r="BJ46" s="1318" t="e">
        <f>IF(BH41=0,"",VLOOKUP(BH41,'Tablas Magia'!$D$6:$Z$680,10,FALSE))</f>
        <v>#N/A</v>
      </c>
      <c r="BK46" s="1318" t="e">
        <f>IF(BH41=0,"",VLOOKUP(BH41,'Tablas Magia'!$D$6:$Z$680,14,FALSE))</f>
        <v>#N/A</v>
      </c>
      <c r="BL46" s="1319" t="e">
        <f>IF(BH41=0,"",VLOOKUP(BH41,'Tablas Magia'!$D$6:$Z$680,18,FALSE))</f>
        <v>#N/A</v>
      </c>
      <c r="BM46" s="5039" t="e">
        <f>IF(BH41=0,"",VLOOKUP(BH41,'Tablas Magia'!$D$6:$Z$680,22,FALSE))</f>
        <v>#N/A</v>
      </c>
      <c r="BN46" s="5040"/>
      <c r="BO46" s="5040"/>
      <c r="BP46" s="5040"/>
      <c r="BQ46" s="5040"/>
      <c r="BR46" s="5040"/>
      <c r="BS46" s="5040"/>
      <c r="BT46" s="5040"/>
      <c r="BU46" s="5040"/>
      <c r="BV46" s="5041"/>
      <c r="BW46" s="1295"/>
      <c r="BX46" s="1289"/>
      <c r="BY46" s="1289"/>
      <c r="BZ46" s="2485"/>
      <c r="CA46" s="5037" t="s">
        <v>5260</v>
      </c>
      <c r="CB46" s="5038"/>
      <c r="CC46" s="1318" t="e">
        <f>IF(CA41=0,"",VLOOKUP(CA41,'Tablas Magia'!$D$6:$Z$680,10,FALSE))</f>
        <v>#N/A</v>
      </c>
      <c r="CD46" s="1318" t="e">
        <f>IF(CA41=0,"",VLOOKUP(CA41,'Tablas Magia'!$D$6:$Z$680,14,FALSE))</f>
        <v>#N/A</v>
      </c>
      <c r="CE46" s="1319" t="e">
        <f>IF(CA41=0,"",VLOOKUP(CA41,'Tablas Magia'!$D$6:$Z$680,18,FALSE))</f>
        <v>#N/A</v>
      </c>
      <c r="CF46" s="5039" t="e">
        <f>IF(CA41=0,"",VLOOKUP(CA41,'Tablas Magia'!$D$6:$Z$680,22,FALSE))</f>
        <v>#N/A</v>
      </c>
      <c r="CG46" s="5040"/>
      <c r="CH46" s="5040"/>
      <c r="CI46" s="5040"/>
      <c r="CJ46" s="5040"/>
      <c r="CK46" s="5040"/>
      <c r="CL46" s="5040"/>
      <c r="CM46" s="5040"/>
      <c r="CN46" s="5040"/>
      <c r="CO46" s="5041"/>
      <c r="CP46" s="1295"/>
      <c r="CQ46" s="1289"/>
    </row>
    <row r="47" spans="1:95" ht="12" customHeight="1" x14ac:dyDescent="0.2">
      <c r="A47" s="1289"/>
      <c r="B47" s="2471"/>
      <c r="C47" s="5042" t="e">
        <f>IF(C41=0,"",VLOOKUP(C41,'Tablas Magia'!$D$6:$Z$680,23,FALSE))</f>
        <v>#N/A</v>
      </c>
      <c r="D47" s="5043"/>
      <c r="E47" s="5043"/>
      <c r="F47" s="5043"/>
      <c r="G47" s="5043"/>
      <c r="H47" s="5043"/>
      <c r="I47" s="5043"/>
      <c r="J47" s="5043"/>
      <c r="K47" s="5043"/>
      <c r="L47" s="5043"/>
      <c r="M47" s="5043"/>
      <c r="N47" s="5043"/>
      <c r="O47" s="5043"/>
      <c r="P47" s="5043"/>
      <c r="Q47" s="5044"/>
      <c r="R47" s="1295"/>
      <c r="S47" s="1289"/>
      <c r="T47" s="1289"/>
      <c r="U47" s="2471"/>
      <c r="V47" s="5042" t="e">
        <f>IF(V41=0,"",VLOOKUP(V41,'Tablas Magia'!$D$6:$Z$680,23,FALSE))</f>
        <v>#N/A</v>
      </c>
      <c r="W47" s="5043"/>
      <c r="X47" s="5043"/>
      <c r="Y47" s="5043"/>
      <c r="Z47" s="5043"/>
      <c r="AA47" s="5043"/>
      <c r="AB47" s="5043"/>
      <c r="AC47" s="5043"/>
      <c r="AD47" s="5043"/>
      <c r="AE47" s="5043"/>
      <c r="AF47" s="5043"/>
      <c r="AG47" s="5043"/>
      <c r="AH47" s="5043"/>
      <c r="AI47" s="5043"/>
      <c r="AJ47" s="5044"/>
      <c r="AK47" s="1295"/>
      <c r="AL47" s="1289"/>
      <c r="AM47" s="1289"/>
      <c r="AN47" s="2485"/>
      <c r="AO47" s="5042" t="e">
        <f>IF(AO41=0,"",VLOOKUP(AO41,'Tablas Magia'!$D$6:$Z$680,23,FALSE))</f>
        <v>#N/A</v>
      </c>
      <c r="AP47" s="5043"/>
      <c r="AQ47" s="5043"/>
      <c r="AR47" s="5043"/>
      <c r="AS47" s="5043"/>
      <c r="AT47" s="5043"/>
      <c r="AU47" s="5043"/>
      <c r="AV47" s="5043"/>
      <c r="AW47" s="5043"/>
      <c r="AX47" s="5043"/>
      <c r="AY47" s="5043"/>
      <c r="AZ47" s="5043"/>
      <c r="BA47" s="5043"/>
      <c r="BB47" s="5043"/>
      <c r="BC47" s="5044"/>
      <c r="BD47" s="1295"/>
      <c r="BE47" s="1289"/>
      <c r="BF47" s="1289"/>
      <c r="BG47" s="2485"/>
      <c r="BH47" s="5042" t="e">
        <f>IF(BH41=0,"",VLOOKUP(BH41,'Tablas Magia'!$D$6:$Z$680,23,FALSE))</f>
        <v>#N/A</v>
      </c>
      <c r="BI47" s="5043"/>
      <c r="BJ47" s="5043"/>
      <c r="BK47" s="5043"/>
      <c r="BL47" s="5043"/>
      <c r="BM47" s="5043"/>
      <c r="BN47" s="5043"/>
      <c r="BO47" s="5043"/>
      <c r="BP47" s="5043"/>
      <c r="BQ47" s="5043"/>
      <c r="BR47" s="5043"/>
      <c r="BS47" s="5043"/>
      <c r="BT47" s="5043"/>
      <c r="BU47" s="5043"/>
      <c r="BV47" s="5044"/>
      <c r="BW47" s="1295"/>
      <c r="BX47" s="1289"/>
      <c r="BY47" s="1289"/>
      <c r="BZ47" s="2485"/>
      <c r="CA47" s="5042" t="e">
        <f>IF(CA41=0,"",VLOOKUP(CA41,'Tablas Magia'!$D$6:$Z$680,23,FALSE))</f>
        <v>#N/A</v>
      </c>
      <c r="CB47" s="5043"/>
      <c r="CC47" s="5043"/>
      <c r="CD47" s="5043"/>
      <c r="CE47" s="5043"/>
      <c r="CF47" s="5043"/>
      <c r="CG47" s="5043"/>
      <c r="CH47" s="5043"/>
      <c r="CI47" s="5043"/>
      <c r="CJ47" s="5043"/>
      <c r="CK47" s="5043"/>
      <c r="CL47" s="5043"/>
      <c r="CM47" s="5043"/>
      <c r="CN47" s="5043"/>
      <c r="CO47" s="5044"/>
      <c r="CP47" s="1295"/>
      <c r="CQ47" s="1289"/>
    </row>
    <row r="48" spans="1:95" ht="12" customHeight="1" x14ac:dyDescent="0.2">
      <c r="A48" s="1289"/>
      <c r="B48" s="2471"/>
      <c r="C48" s="5045"/>
      <c r="D48" s="5046"/>
      <c r="E48" s="5046"/>
      <c r="F48" s="5046"/>
      <c r="G48" s="5046"/>
      <c r="H48" s="5046"/>
      <c r="I48" s="5046"/>
      <c r="J48" s="5046"/>
      <c r="K48" s="5046"/>
      <c r="L48" s="5046"/>
      <c r="M48" s="5046"/>
      <c r="N48" s="5046"/>
      <c r="O48" s="5046"/>
      <c r="P48" s="5046"/>
      <c r="Q48" s="5047"/>
      <c r="R48" s="1295"/>
      <c r="S48" s="1289"/>
      <c r="T48" s="1289"/>
      <c r="U48" s="2471"/>
      <c r="V48" s="5045"/>
      <c r="W48" s="5046"/>
      <c r="X48" s="5046"/>
      <c r="Y48" s="5046"/>
      <c r="Z48" s="5046"/>
      <c r="AA48" s="5046"/>
      <c r="AB48" s="5046"/>
      <c r="AC48" s="5046"/>
      <c r="AD48" s="5046"/>
      <c r="AE48" s="5046"/>
      <c r="AF48" s="5046"/>
      <c r="AG48" s="5046"/>
      <c r="AH48" s="5046"/>
      <c r="AI48" s="5046"/>
      <c r="AJ48" s="5047"/>
      <c r="AK48" s="1295"/>
      <c r="AL48" s="1289"/>
      <c r="AM48" s="1289"/>
      <c r="AN48" s="2485"/>
      <c r="AO48" s="5045"/>
      <c r="AP48" s="5046"/>
      <c r="AQ48" s="5046"/>
      <c r="AR48" s="5046"/>
      <c r="AS48" s="5046"/>
      <c r="AT48" s="5046"/>
      <c r="AU48" s="5046"/>
      <c r="AV48" s="5046"/>
      <c r="AW48" s="5046"/>
      <c r="AX48" s="5046"/>
      <c r="AY48" s="5046"/>
      <c r="AZ48" s="5046"/>
      <c r="BA48" s="5046"/>
      <c r="BB48" s="5046"/>
      <c r="BC48" s="5047"/>
      <c r="BD48" s="1295"/>
      <c r="BE48" s="1289"/>
      <c r="BF48" s="1289"/>
      <c r="BG48" s="2485"/>
      <c r="BH48" s="5045"/>
      <c r="BI48" s="5046"/>
      <c r="BJ48" s="5046"/>
      <c r="BK48" s="5046"/>
      <c r="BL48" s="5046"/>
      <c r="BM48" s="5046"/>
      <c r="BN48" s="5046"/>
      <c r="BO48" s="5046"/>
      <c r="BP48" s="5046"/>
      <c r="BQ48" s="5046"/>
      <c r="BR48" s="5046"/>
      <c r="BS48" s="5046"/>
      <c r="BT48" s="5046"/>
      <c r="BU48" s="5046"/>
      <c r="BV48" s="5047"/>
      <c r="BW48" s="1295"/>
      <c r="BX48" s="1289"/>
      <c r="BY48" s="1289"/>
      <c r="BZ48" s="2485"/>
      <c r="CA48" s="5045"/>
      <c r="CB48" s="5046"/>
      <c r="CC48" s="5046"/>
      <c r="CD48" s="5046"/>
      <c r="CE48" s="5046"/>
      <c r="CF48" s="5046"/>
      <c r="CG48" s="5046"/>
      <c r="CH48" s="5046"/>
      <c r="CI48" s="5046"/>
      <c r="CJ48" s="5046"/>
      <c r="CK48" s="5046"/>
      <c r="CL48" s="5046"/>
      <c r="CM48" s="5046"/>
      <c r="CN48" s="5046"/>
      <c r="CO48" s="5047"/>
      <c r="CP48" s="1295"/>
      <c r="CQ48" s="1289"/>
    </row>
    <row r="49" spans="1:95" ht="12" customHeight="1" x14ac:dyDescent="0.2">
      <c r="A49" s="1289"/>
      <c r="B49" s="2471"/>
      <c r="C49" s="5045"/>
      <c r="D49" s="5046"/>
      <c r="E49" s="5046"/>
      <c r="F49" s="5046"/>
      <c r="G49" s="5046"/>
      <c r="H49" s="5046"/>
      <c r="I49" s="5046"/>
      <c r="J49" s="5046"/>
      <c r="K49" s="5046"/>
      <c r="L49" s="5046"/>
      <c r="M49" s="5046"/>
      <c r="N49" s="5046"/>
      <c r="O49" s="5046"/>
      <c r="P49" s="5046"/>
      <c r="Q49" s="5047"/>
      <c r="R49" s="1295"/>
      <c r="S49" s="1289"/>
      <c r="T49" s="1289"/>
      <c r="U49" s="2471"/>
      <c r="V49" s="5045"/>
      <c r="W49" s="5046"/>
      <c r="X49" s="5046"/>
      <c r="Y49" s="5046"/>
      <c r="Z49" s="5046"/>
      <c r="AA49" s="5046"/>
      <c r="AB49" s="5046"/>
      <c r="AC49" s="5046"/>
      <c r="AD49" s="5046"/>
      <c r="AE49" s="5046"/>
      <c r="AF49" s="5046"/>
      <c r="AG49" s="5046"/>
      <c r="AH49" s="5046"/>
      <c r="AI49" s="5046"/>
      <c r="AJ49" s="5047"/>
      <c r="AK49" s="1295"/>
      <c r="AL49" s="1289"/>
      <c r="AM49" s="1289"/>
      <c r="AN49" s="2485"/>
      <c r="AO49" s="5045"/>
      <c r="AP49" s="5046"/>
      <c r="AQ49" s="5046"/>
      <c r="AR49" s="5046"/>
      <c r="AS49" s="5046"/>
      <c r="AT49" s="5046"/>
      <c r="AU49" s="5046"/>
      <c r="AV49" s="5046"/>
      <c r="AW49" s="5046"/>
      <c r="AX49" s="5046"/>
      <c r="AY49" s="5046"/>
      <c r="AZ49" s="5046"/>
      <c r="BA49" s="5046"/>
      <c r="BB49" s="5046"/>
      <c r="BC49" s="5047"/>
      <c r="BD49" s="1295"/>
      <c r="BE49" s="1289"/>
      <c r="BF49" s="1289"/>
      <c r="BG49" s="2485"/>
      <c r="BH49" s="5045"/>
      <c r="BI49" s="5046"/>
      <c r="BJ49" s="5046"/>
      <c r="BK49" s="5046"/>
      <c r="BL49" s="5046"/>
      <c r="BM49" s="5046"/>
      <c r="BN49" s="5046"/>
      <c r="BO49" s="5046"/>
      <c r="BP49" s="5046"/>
      <c r="BQ49" s="5046"/>
      <c r="BR49" s="5046"/>
      <c r="BS49" s="5046"/>
      <c r="BT49" s="5046"/>
      <c r="BU49" s="5046"/>
      <c r="BV49" s="5047"/>
      <c r="BW49" s="1295"/>
      <c r="BX49" s="1289"/>
      <c r="BY49" s="1289"/>
      <c r="BZ49" s="2485"/>
      <c r="CA49" s="5045"/>
      <c r="CB49" s="5046"/>
      <c r="CC49" s="5046"/>
      <c r="CD49" s="5046"/>
      <c r="CE49" s="5046"/>
      <c r="CF49" s="5046"/>
      <c r="CG49" s="5046"/>
      <c r="CH49" s="5046"/>
      <c r="CI49" s="5046"/>
      <c r="CJ49" s="5046"/>
      <c r="CK49" s="5046"/>
      <c r="CL49" s="5046"/>
      <c r="CM49" s="5046"/>
      <c r="CN49" s="5046"/>
      <c r="CO49" s="5047"/>
      <c r="CP49" s="1295"/>
      <c r="CQ49" s="1289"/>
    </row>
    <row r="50" spans="1:95" ht="12" customHeight="1" thickBot="1" x14ac:dyDescent="0.25">
      <c r="A50" s="1289"/>
      <c r="B50" s="2471"/>
      <c r="C50" s="5048"/>
      <c r="D50" s="5049"/>
      <c r="E50" s="5049"/>
      <c r="F50" s="5049"/>
      <c r="G50" s="5049"/>
      <c r="H50" s="5049"/>
      <c r="I50" s="5049"/>
      <c r="J50" s="5049"/>
      <c r="K50" s="5049"/>
      <c r="L50" s="5049"/>
      <c r="M50" s="5049"/>
      <c r="N50" s="5049"/>
      <c r="O50" s="5049"/>
      <c r="P50" s="5049"/>
      <c r="Q50" s="5050"/>
      <c r="R50" s="1295"/>
      <c r="S50" s="1289"/>
      <c r="T50" s="1289"/>
      <c r="U50" s="2471"/>
      <c r="V50" s="5048"/>
      <c r="W50" s="5049"/>
      <c r="X50" s="5049"/>
      <c r="Y50" s="5049"/>
      <c r="Z50" s="5049"/>
      <c r="AA50" s="5049"/>
      <c r="AB50" s="5049"/>
      <c r="AC50" s="5049"/>
      <c r="AD50" s="5049"/>
      <c r="AE50" s="5049"/>
      <c r="AF50" s="5049"/>
      <c r="AG50" s="5049"/>
      <c r="AH50" s="5049"/>
      <c r="AI50" s="5049"/>
      <c r="AJ50" s="5050"/>
      <c r="AK50" s="1295"/>
      <c r="AL50" s="1289"/>
      <c r="AM50" s="1289"/>
      <c r="AN50" s="2485"/>
      <c r="AO50" s="5048"/>
      <c r="AP50" s="5049"/>
      <c r="AQ50" s="5049"/>
      <c r="AR50" s="5049"/>
      <c r="AS50" s="5049"/>
      <c r="AT50" s="5049"/>
      <c r="AU50" s="5049"/>
      <c r="AV50" s="5049"/>
      <c r="AW50" s="5049"/>
      <c r="AX50" s="5049"/>
      <c r="AY50" s="5049"/>
      <c r="AZ50" s="5049"/>
      <c r="BA50" s="5049"/>
      <c r="BB50" s="5049"/>
      <c r="BC50" s="5050"/>
      <c r="BD50" s="1295"/>
      <c r="BE50" s="1289"/>
      <c r="BF50" s="1289"/>
      <c r="BG50" s="2485"/>
      <c r="BH50" s="5048"/>
      <c r="BI50" s="5049"/>
      <c r="BJ50" s="5049"/>
      <c r="BK50" s="5049"/>
      <c r="BL50" s="5049"/>
      <c r="BM50" s="5049"/>
      <c r="BN50" s="5049"/>
      <c r="BO50" s="5049"/>
      <c r="BP50" s="5049"/>
      <c r="BQ50" s="5049"/>
      <c r="BR50" s="5049"/>
      <c r="BS50" s="5049"/>
      <c r="BT50" s="5049"/>
      <c r="BU50" s="5049"/>
      <c r="BV50" s="5050"/>
      <c r="BW50" s="1295"/>
      <c r="BX50" s="1289"/>
      <c r="BY50" s="1289"/>
      <c r="BZ50" s="2485"/>
      <c r="CA50" s="5048"/>
      <c r="CB50" s="5049"/>
      <c r="CC50" s="5049"/>
      <c r="CD50" s="5049"/>
      <c r="CE50" s="5049"/>
      <c r="CF50" s="5049"/>
      <c r="CG50" s="5049"/>
      <c r="CH50" s="5049"/>
      <c r="CI50" s="5049"/>
      <c r="CJ50" s="5049"/>
      <c r="CK50" s="5049"/>
      <c r="CL50" s="5049"/>
      <c r="CM50" s="5049"/>
      <c r="CN50" s="5049"/>
      <c r="CO50" s="5050"/>
      <c r="CP50" s="1295"/>
      <c r="CQ50" s="1289"/>
    </row>
    <row r="51" spans="1:95" ht="12" customHeight="1" thickBot="1" x14ac:dyDescent="0.25">
      <c r="A51" s="1289"/>
      <c r="B51" s="2471"/>
      <c r="C51" s="1330"/>
      <c r="D51" s="1330"/>
      <c r="E51" s="1316"/>
      <c r="F51" s="1316"/>
      <c r="G51" s="1316"/>
      <c r="H51" s="1331"/>
      <c r="I51" s="1331"/>
      <c r="J51" s="1331"/>
      <c r="K51" s="1331"/>
      <c r="L51" s="1331"/>
      <c r="M51" s="1331"/>
      <c r="N51" s="1331"/>
      <c r="O51" s="1331"/>
      <c r="P51" s="1331"/>
      <c r="Q51" s="1331"/>
      <c r="R51" s="1295"/>
      <c r="S51" s="1289"/>
      <c r="T51" s="1289"/>
      <c r="U51" s="2471"/>
      <c r="V51" s="1330"/>
      <c r="W51" s="1330"/>
      <c r="X51" s="1316"/>
      <c r="Y51" s="1316"/>
      <c r="Z51" s="1316"/>
      <c r="AA51" s="1331"/>
      <c r="AB51" s="1331"/>
      <c r="AC51" s="1331"/>
      <c r="AD51" s="1331"/>
      <c r="AE51" s="1331"/>
      <c r="AF51" s="1331"/>
      <c r="AG51" s="1331"/>
      <c r="AH51" s="1331"/>
      <c r="AI51" s="1331"/>
      <c r="AJ51" s="1331"/>
      <c r="AK51" s="1295"/>
      <c r="AL51" s="1289"/>
      <c r="AM51" s="1289"/>
      <c r="AN51" s="2471"/>
      <c r="AO51" s="1330"/>
      <c r="AP51" s="1330"/>
      <c r="AQ51" s="1316"/>
      <c r="AR51" s="1316"/>
      <c r="AS51" s="1316"/>
      <c r="AT51" s="1331"/>
      <c r="AU51" s="1331"/>
      <c r="AV51" s="1331"/>
      <c r="AW51" s="1331"/>
      <c r="AX51" s="1331"/>
      <c r="AY51" s="1331"/>
      <c r="AZ51" s="1331"/>
      <c r="BA51" s="1331"/>
      <c r="BB51" s="1331"/>
      <c r="BC51" s="1331"/>
      <c r="BD51" s="1295"/>
      <c r="BE51" s="1289"/>
      <c r="BF51" s="1289"/>
      <c r="BG51" s="2471"/>
      <c r="BH51" s="1330"/>
      <c r="BI51" s="1330"/>
      <c r="BJ51" s="1316"/>
      <c r="BK51" s="1316"/>
      <c r="BL51" s="1316"/>
      <c r="BM51" s="1331"/>
      <c r="BN51" s="1331"/>
      <c r="BO51" s="1331"/>
      <c r="BP51" s="1331"/>
      <c r="BQ51" s="1331"/>
      <c r="BR51" s="1331"/>
      <c r="BS51" s="1331"/>
      <c r="BT51" s="1331"/>
      <c r="BU51" s="1331"/>
      <c r="BV51" s="1331"/>
      <c r="BW51" s="1295"/>
      <c r="BX51" s="1289"/>
      <c r="BY51" s="1289"/>
      <c r="BZ51" s="2471"/>
      <c r="CA51" s="1330"/>
      <c r="CB51" s="1330"/>
      <c r="CC51" s="1316"/>
      <c r="CD51" s="1316"/>
      <c r="CE51" s="1316"/>
      <c r="CF51" s="1331"/>
      <c r="CG51" s="1331"/>
      <c r="CH51" s="1331"/>
      <c r="CI51" s="1331"/>
      <c r="CJ51" s="1331"/>
      <c r="CK51" s="1331"/>
      <c r="CL51" s="1331"/>
      <c r="CM51" s="1331"/>
      <c r="CN51" s="1331"/>
      <c r="CO51" s="1331"/>
      <c r="CP51" s="1295"/>
      <c r="CQ51" s="1289"/>
    </row>
    <row r="52" spans="1:95" ht="12" customHeight="1" x14ac:dyDescent="0.2">
      <c r="A52" s="1289"/>
      <c r="B52" s="2471">
        <f>B41+2</f>
        <v>10</v>
      </c>
      <c r="C52" s="5051"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52"/>
      <c r="E52" s="5052"/>
      <c r="F52" s="5052"/>
      <c r="G52" s="5052"/>
      <c r="H52" s="1309" t="s">
        <v>2171</v>
      </c>
      <c r="I52" s="1310">
        <f>IF(C52=0,"",VLOOKUP(C52,'Tablas Magia'!$D$6:$Z$680,3,FALSE))</f>
        <v>10</v>
      </c>
      <c r="J52" s="5017" t="s">
        <v>8715</v>
      </c>
      <c r="K52" s="5017"/>
      <c r="L52" s="5017"/>
      <c r="M52" s="5018" t="str">
        <f>IF(C52=0,"",VLOOKUP(C52,'Tablas Magia'!$D$6:$Z$680,2,FALSE))</f>
        <v>Fuego</v>
      </c>
      <c r="N52" s="5018"/>
      <c r="O52" s="5018"/>
      <c r="P52" s="5018"/>
      <c r="Q52" s="5019"/>
      <c r="R52" s="1295"/>
      <c r="S52" s="1289"/>
      <c r="T52" s="1289"/>
      <c r="U52" s="2471">
        <f>U41+2</f>
        <v>30</v>
      </c>
      <c r="V52" s="5051"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52"/>
      <c r="X52" s="5052"/>
      <c r="Y52" s="5052"/>
      <c r="Z52" s="5052"/>
      <c r="AA52" s="1309" t="s">
        <v>2171</v>
      </c>
      <c r="AB52" s="1310">
        <f>IF(V52=0,"",VLOOKUP(V52,'Tablas Magia'!$D$6:$Z$680,3,FALSE))</f>
        <v>30</v>
      </c>
      <c r="AC52" s="5017" t="s">
        <v>8715</v>
      </c>
      <c r="AD52" s="5017"/>
      <c r="AE52" s="5017"/>
      <c r="AF52" s="5018" t="str">
        <f>IF(V52=0,"",VLOOKUP(V52,'Tablas Magia'!$D$6:$Z$680,2,FALSE))</f>
        <v>Fuego</v>
      </c>
      <c r="AG52" s="5018"/>
      <c r="AH52" s="5018"/>
      <c r="AI52" s="5018"/>
      <c r="AJ52" s="5019"/>
      <c r="AK52" s="1295"/>
      <c r="AL52" s="1289"/>
      <c r="AM52" s="1289"/>
      <c r="AN52" s="2485">
        <f>AN41+2</f>
        <v>50</v>
      </c>
      <c r="AO52" s="5051"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52"/>
      <c r="AQ52" s="5052"/>
      <c r="AR52" s="5052"/>
      <c r="AS52" s="5052"/>
      <c r="AT52" s="1309" t="s">
        <v>2171</v>
      </c>
      <c r="AU52" s="1310">
        <f>IF(AO52=0,"",VLOOKUP(AO52,'Tablas Magia'!$D$6:$Z$680,3,FALSE))</f>
        <v>50</v>
      </c>
      <c r="AV52" s="5017" t="s">
        <v>8715</v>
      </c>
      <c r="AW52" s="5017"/>
      <c r="AX52" s="5017"/>
      <c r="AY52" s="5018" t="str">
        <f>IF(AO52=0,"",VLOOKUP(AO52,'Tablas Magia'!$D$6:$Z$680,2,FALSE))</f>
        <v>Fuego</v>
      </c>
      <c r="AZ52" s="5018"/>
      <c r="BA52" s="5018"/>
      <c r="BB52" s="5018"/>
      <c r="BC52" s="5019"/>
      <c r="BD52" s="1295"/>
      <c r="BE52" s="1289"/>
      <c r="BF52" s="1289"/>
      <c r="BG52" s="2485">
        <f>BG41+2</f>
        <v>70</v>
      </c>
      <c r="BH52" s="5051"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52"/>
      <c r="BJ52" s="5052"/>
      <c r="BK52" s="5052"/>
      <c r="BL52" s="5052"/>
      <c r="BM52" s="1309" t="s">
        <v>2171</v>
      </c>
      <c r="BN52" s="1310">
        <f>IF(BH52=0,"",VLOOKUP(BH52,'Tablas Magia'!$D$6:$Z$680,3,FALSE))</f>
        <v>70</v>
      </c>
      <c r="BO52" s="5017" t="s">
        <v>8715</v>
      </c>
      <c r="BP52" s="5017"/>
      <c r="BQ52" s="5017"/>
      <c r="BR52" s="5018" t="str">
        <f>IF(BH52=0,"",VLOOKUP(BH52,'Tablas Magia'!$D$6:$Z$680,2,FALSE))</f>
        <v>Fuego</v>
      </c>
      <c r="BS52" s="5018"/>
      <c r="BT52" s="5018"/>
      <c r="BU52" s="5018"/>
      <c r="BV52" s="5019"/>
      <c r="BW52" s="1295"/>
      <c r="BX52" s="1289"/>
      <c r="BY52" s="1289"/>
      <c r="BZ52" s="2485">
        <f>BZ41+2</f>
        <v>90</v>
      </c>
      <c r="CA52" s="5051"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52"/>
      <c r="CC52" s="5052"/>
      <c r="CD52" s="5052"/>
      <c r="CE52" s="5052"/>
      <c r="CF52" s="1309" t="s">
        <v>2171</v>
      </c>
      <c r="CG52" s="1310">
        <f>IF(CA52=0,"",VLOOKUP(CA52,'Tablas Magia'!$D$6:$Z$680,3,FALSE))</f>
        <v>90</v>
      </c>
      <c r="CH52" s="5017" t="s">
        <v>8715</v>
      </c>
      <c r="CI52" s="5017"/>
      <c r="CJ52" s="5017"/>
      <c r="CK52" s="5018" t="str">
        <f>IF(CA52=0,"",VLOOKUP(CA52,'Tablas Magia'!$D$6:$Z$680,2,FALSE))</f>
        <v>Fuego</v>
      </c>
      <c r="CL52" s="5018"/>
      <c r="CM52" s="5018"/>
      <c r="CN52" s="5018"/>
      <c r="CO52" s="5019"/>
      <c r="CP52" s="1295"/>
      <c r="CQ52" s="1289"/>
    </row>
    <row r="53" spans="1:95" ht="12" customHeight="1" x14ac:dyDescent="0.2">
      <c r="A53" s="1289"/>
      <c r="B53" s="2471"/>
      <c r="C53" s="5035" t="s">
        <v>8716</v>
      </c>
      <c r="D53" s="5036"/>
      <c r="E53" s="1311" t="s">
        <v>8717</v>
      </c>
      <c r="F53" s="1311" t="s">
        <v>2365</v>
      </c>
      <c r="G53" s="1311" t="s">
        <v>4020</v>
      </c>
      <c r="H53" s="1312" t="s">
        <v>2716</v>
      </c>
      <c r="I53" s="5032" t="str">
        <f>IF(C52=0,"",VLOOKUP(C52,'Tablas Magia'!$D$6:$Z$680,5,FALSE))</f>
        <v>Efecto</v>
      </c>
      <c r="J53" s="5032"/>
      <c r="K53" s="5033" t="s">
        <v>8718</v>
      </c>
      <c r="L53" s="5033"/>
      <c r="M53" s="5032" t="str">
        <f>IF(C52=0,"",VLOOKUP(C52,'Tablas Magia'!$D$6:$Z$680,6,FALSE))</f>
        <v>Activa</v>
      </c>
      <c r="N53" s="5032"/>
      <c r="O53" s="5034" t="s">
        <v>8719</v>
      </c>
      <c r="P53" s="5034"/>
      <c r="Q53" s="1313" t="str">
        <f>IF(C52=0,"",VLOOKUP(C52,'Tablas Magia'!$D$6:$Z$680,4,FALSE))</f>
        <v>Si</v>
      </c>
      <c r="R53" s="1295"/>
      <c r="S53" s="1289"/>
      <c r="T53" s="1289"/>
      <c r="U53" s="2471"/>
      <c r="V53" s="5035" t="s">
        <v>8716</v>
      </c>
      <c r="W53" s="5036"/>
      <c r="X53" s="1311" t="s">
        <v>8717</v>
      </c>
      <c r="Y53" s="1311" t="s">
        <v>2365</v>
      </c>
      <c r="Z53" s="1311" t="s">
        <v>4020</v>
      </c>
      <c r="AA53" s="1312" t="s">
        <v>2716</v>
      </c>
      <c r="AB53" s="5032" t="str">
        <f>IF(V52=0,"",VLOOKUP(V52,'Tablas Magia'!$D$6:$Z$680,5,FALSE))</f>
        <v>Ataque</v>
      </c>
      <c r="AC53" s="5032"/>
      <c r="AD53" s="5033" t="s">
        <v>8718</v>
      </c>
      <c r="AE53" s="5033"/>
      <c r="AF53" s="5032" t="str">
        <f>IF(V52=0,"",VLOOKUP(V52,'Tablas Magia'!$D$6:$Z$680,6,FALSE))</f>
        <v>Activa</v>
      </c>
      <c r="AG53" s="5032"/>
      <c r="AH53" s="5034" t="s">
        <v>8719</v>
      </c>
      <c r="AI53" s="5034"/>
      <c r="AJ53" s="1313" t="str">
        <f>IF(V52=0,"",VLOOKUP(V52,'Tablas Magia'!$D$6:$Z$680,4,FALSE))</f>
        <v>No</v>
      </c>
      <c r="AK53" s="1295"/>
      <c r="AL53" s="1289"/>
      <c r="AM53" s="1289"/>
      <c r="AN53" s="2485"/>
      <c r="AO53" s="5035" t="s">
        <v>8716</v>
      </c>
      <c r="AP53" s="5036"/>
      <c r="AQ53" s="1311" t="s">
        <v>8717</v>
      </c>
      <c r="AR53" s="1311" t="s">
        <v>2365</v>
      </c>
      <c r="AS53" s="1311" t="s">
        <v>4020</v>
      </c>
      <c r="AT53" s="1312" t="s">
        <v>2716</v>
      </c>
      <c r="AU53" s="5032" t="str">
        <f>IF(AO52=0,"",VLOOKUP(AO52,'Tablas Magia'!$D$6:$Z$680,5,FALSE))</f>
        <v>Efecto</v>
      </c>
      <c r="AV53" s="5032"/>
      <c r="AW53" s="5033" t="s">
        <v>8718</v>
      </c>
      <c r="AX53" s="5033"/>
      <c r="AY53" s="5032" t="str">
        <f>IF(AO52=0,"",VLOOKUP(AO52,'Tablas Magia'!$D$6:$Z$680,6,FALSE))</f>
        <v>Activa</v>
      </c>
      <c r="AZ53" s="5032"/>
      <c r="BA53" s="5034" t="s">
        <v>8719</v>
      </c>
      <c r="BB53" s="5034"/>
      <c r="BC53" s="1313" t="str">
        <f>IF(AO52=0,"",VLOOKUP(AO52,'Tablas Magia'!$D$6:$Z$680,4,FALSE))</f>
        <v>No</v>
      </c>
      <c r="BD53" s="1295"/>
      <c r="BE53" s="1289"/>
      <c r="BF53" s="1289"/>
      <c r="BG53" s="2485"/>
      <c r="BH53" s="5035" t="s">
        <v>8716</v>
      </c>
      <c r="BI53" s="5036"/>
      <c r="BJ53" s="1311" t="s">
        <v>8717</v>
      </c>
      <c r="BK53" s="1311" t="s">
        <v>2365</v>
      </c>
      <c r="BL53" s="1311" t="s">
        <v>4020</v>
      </c>
      <c r="BM53" s="1312" t="s">
        <v>2716</v>
      </c>
      <c r="BN53" s="5032" t="str">
        <f>IF(BH52=0,"",VLOOKUP(BH52,'Tablas Magia'!$D$6:$Z$680,5,FALSE))</f>
        <v>Anímico</v>
      </c>
      <c r="BO53" s="5032"/>
      <c r="BP53" s="5033" t="s">
        <v>8718</v>
      </c>
      <c r="BQ53" s="5033"/>
      <c r="BR53" s="5032" t="str">
        <f>IF(BH52=0,"",VLOOKUP(BH52,'Tablas Magia'!$D$6:$Z$680,6,FALSE))</f>
        <v>Activa</v>
      </c>
      <c r="BS53" s="5032"/>
      <c r="BT53" s="5034" t="s">
        <v>8719</v>
      </c>
      <c r="BU53" s="5034"/>
      <c r="BV53" s="1313" t="str">
        <f>IF(BH52=0,"",VLOOKUP(BH52,'Tablas Magia'!$D$6:$Z$680,4,FALSE))</f>
        <v>No</v>
      </c>
      <c r="BW53" s="1295"/>
      <c r="BX53" s="1289"/>
      <c r="BY53" s="1289"/>
      <c r="BZ53" s="2485"/>
      <c r="CA53" s="5035" t="s">
        <v>8716</v>
      </c>
      <c r="CB53" s="5036"/>
      <c r="CC53" s="1311" t="s">
        <v>8717</v>
      </c>
      <c r="CD53" s="1311" t="s">
        <v>2365</v>
      </c>
      <c r="CE53" s="1311" t="s">
        <v>4020</v>
      </c>
      <c r="CF53" s="1312" t="s">
        <v>2716</v>
      </c>
      <c r="CG53" s="5032" t="str">
        <f>IF(CA52=0,"",VLOOKUP(CA52,'Tablas Magia'!$D$6:$Z$680,5,FALSE))</f>
        <v>Ataque</v>
      </c>
      <c r="CH53" s="5032"/>
      <c r="CI53" s="5033" t="s">
        <v>8718</v>
      </c>
      <c r="CJ53" s="5033"/>
      <c r="CK53" s="5032" t="str">
        <f>IF(CA52=0,"",VLOOKUP(CA52,'Tablas Magia'!$D$6:$Z$680,6,FALSE))</f>
        <v>Activa</v>
      </c>
      <c r="CL53" s="5032"/>
      <c r="CM53" s="5034" t="s">
        <v>8719</v>
      </c>
      <c r="CN53" s="5034"/>
      <c r="CO53" s="1313" t="str">
        <f>IF(CA52=0,"",VLOOKUP(CA52,'Tablas Magia'!$D$6:$Z$680,4,FALSE))</f>
        <v>No</v>
      </c>
      <c r="CP53" s="1295"/>
      <c r="CQ53" s="1289"/>
    </row>
    <row r="54" spans="1:95" ht="12" customHeight="1" x14ac:dyDescent="0.2">
      <c r="A54" s="1289"/>
      <c r="B54" s="2471"/>
      <c r="C54" s="5027" t="s">
        <v>2218</v>
      </c>
      <c r="D54" s="5028"/>
      <c r="E54" s="1314">
        <f>IF(C52=0,"",VLOOKUP(C52,'Tablas Magia'!$D$6:$Z$680,7,FALSE))</f>
        <v>6</v>
      </c>
      <c r="F54" s="1314">
        <f>IF(C52=0,"",VLOOKUP(C52,'Tablas Magia'!$D$6:$Z$680,11,FALSE))</f>
        <v>50</v>
      </c>
      <c r="G54" s="1315">
        <f>IF(C52=0,"",VLOOKUP(C52,'Tablas Magia'!$D$6:$Z$680,15,FALSE))</f>
        <v>5</v>
      </c>
      <c r="H54" s="5029" t="str">
        <f>IF(C52=0,"",VLOOKUP(C52,'Tablas Magia'!$D$6:$Z$680,19,FALSE))</f>
        <v>5 Intensidades de calor</v>
      </c>
      <c r="I54" s="5030"/>
      <c r="J54" s="5030"/>
      <c r="K54" s="5030"/>
      <c r="L54" s="5030"/>
      <c r="M54" s="5030"/>
      <c r="N54" s="5030"/>
      <c r="O54" s="5030"/>
      <c r="P54" s="5030"/>
      <c r="Q54" s="5031"/>
      <c r="R54" s="1295"/>
      <c r="S54" s="1289"/>
      <c r="T54" s="1289"/>
      <c r="U54" s="2471"/>
      <c r="V54" s="5027" t="s">
        <v>2218</v>
      </c>
      <c r="W54" s="5028"/>
      <c r="X54" s="1314">
        <f>IF(V52=0,"",VLOOKUP(V52,'Tablas Magia'!$D$6:$Z$680,7,FALSE))</f>
        <v>6</v>
      </c>
      <c r="Y54" s="1314">
        <f>IF(V52=0,"",VLOOKUP(V52,'Tablas Magia'!$D$6:$Z$680,11,FALSE))</f>
        <v>60</v>
      </c>
      <c r="Z54" s="1315" t="str">
        <f>IF(V52=0,"",VLOOKUP(V52,'Tablas Magia'!$D$6:$Z$680,15,FALSE))</f>
        <v>No</v>
      </c>
      <c r="AA54" s="5029" t="str">
        <f>IF(V52=0,"",VLOOKUP(V52,'Tablas Magia'!$D$6:$Z$680,19,FALSE))</f>
        <v>Daño 50</v>
      </c>
      <c r="AB54" s="5030"/>
      <c r="AC54" s="5030"/>
      <c r="AD54" s="5030"/>
      <c r="AE54" s="5030"/>
      <c r="AF54" s="5030"/>
      <c r="AG54" s="5030"/>
      <c r="AH54" s="5030"/>
      <c r="AI54" s="5030"/>
      <c r="AJ54" s="5031"/>
      <c r="AK54" s="1295"/>
      <c r="AL54" s="1289"/>
      <c r="AM54" s="1289"/>
      <c r="AN54" s="2485"/>
      <c r="AO54" s="5027" t="s">
        <v>2218</v>
      </c>
      <c r="AP54" s="5028"/>
      <c r="AQ54" s="1314">
        <f>IF(AO52=0,"",VLOOKUP(AO52,'Tablas Magia'!$D$6:$Z$680,7,FALSE))</f>
        <v>8</v>
      </c>
      <c r="AR54" s="1314">
        <f>IF(AO52=0,"",VLOOKUP(AO52,'Tablas Magia'!$D$6:$Z$680,11,FALSE))</f>
        <v>80</v>
      </c>
      <c r="AS54" s="1315">
        <f>IF(AO52=0,"",VLOOKUP(AO52,'Tablas Magia'!$D$6:$Z$680,15,FALSE))</f>
        <v>10</v>
      </c>
      <c r="AT54" s="5029" t="str">
        <f>IF(AO52=0,"",VLOOKUP(AO52,'Tablas Magia'!$D$6:$Z$680,19,FALSE))</f>
        <v>10 metros de radio/ RF 80</v>
      </c>
      <c r="AU54" s="5030"/>
      <c r="AV54" s="5030"/>
      <c r="AW54" s="5030"/>
      <c r="AX54" s="5030"/>
      <c r="AY54" s="5030"/>
      <c r="AZ54" s="5030"/>
      <c r="BA54" s="5030"/>
      <c r="BB54" s="5030"/>
      <c r="BC54" s="5031"/>
      <c r="BD54" s="1295"/>
      <c r="BE54" s="1289"/>
      <c r="BF54" s="1289"/>
      <c r="BG54" s="2485"/>
      <c r="BH54" s="5027" t="s">
        <v>2218</v>
      </c>
      <c r="BI54" s="5028"/>
      <c r="BJ54" s="1314">
        <f>IF(BH52=0,"",VLOOKUP(BH52,'Tablas Magia'!$D$6:$Z$680,7,FALSE))</f>
        <v>9</v>
      </c>
      <c r="BK54" s="1314">
        <f>IF(BH52=0,"",VLOOKUP(BH52,'Tablas Magia'!$D$6:$Z$680,11,FALSE))</f>
        <v>100</v>
      </c>
      <c r="BL54" s="1315" t="str">
        <f>IF(BH52=0,"",VLOOKUP(BH52,'Tablas Magia'!$D$6:$Z$680,15,FALSE))</f>
        <v>No</v>
      </c>
      <c r="BM54" s="5029" t="str">
        <f>IF(BH52=0,"",VLOOKUP(BH52,'Tablas Magia'!$D$6:$Z$680,19,FALSE))</f>
        <v>Crítico 120/ RM 140</v>
      </c>
      <c r="BN54" s="5030"/>
      <c r="BO54" s="5030"/>
      <c r="BP54" s="5030"/>
      <c r="BQ54" s="5030"/>
      <c r="BR54" s="5030"/>
      <c r="BS54" s="5030"/>
      <c r="BT54" s="5030"/>
      <c r="BU54" s="5030"/>
      <c r="BV54" s="5031"/>
      <c r="BW54" s="1295"/>
      <c r="BX54" s="1289"/>
      <c r="BY54" s="1289"/>
      <c r="BZ54" s="2485"/>
      <c r="CA54" s="5027" t="s">
        <v>2218</v>
      </c>
      <c r="CB54" s="5028"/>
      <c r="CC54" s="1314">
        <f>IF(CA52=0,"",VLOOKUP(CA52,'Tablas Magia'!$D$6:$Z$680,7,FALSE))</f>
        <v>10</v>
      </c>
      <c r="CD54" s="1314">
        <f>IF(CA52=0,"",VLOOKUP(CA52,'Tablas Magia'!$D$6:$Z$680,11,FALSE))</f>
        <v>200</v>
      </c>
      <c r="CE54" s="1315" t="str">
        <f>IF(CA52=0,"",VLOOKUP(CA52,'Tablas Magia'!$D$6:$Z$680,15,FALSE))</f>
        <v>No</v>
      </c>
      <c r="CF54" s="5029" t="str">
        <f>IF(CA52=0,"",VLOOKUP(CA52,'Tablas Magia'!$D$6:$Z$680,19,FALSE))</f>
        <v>1 km de radio</v>
      </c>
      <c r="CG54" s="5030"/>
      <c r="CH54" s="5030"/>
      <c r="CI54" s="5030"/>
      <c r="CJ54" s="5030"/>
      <c r="CK54" s="5030"/>
      <c r="CL54" s="5030"/>
      <c r="CM54" s="5030"/>
      <c r="CN54" s="5030"/>
      <c r="CO54" s="5031"/>
      <c r="CP54" s="1295"/>
      <c r="CQ54" s="1289"/>
    </row>
    <row r="55" spans="1:95" ht="12" customHeight="1" x14ac:dyDescent="0.2">
      <c r="A55" s="1289"/>
      <c r="B55" s="2471"/>
      <c r="C55" s="5022" t="s">
        <v>5258</v>
      </c>
      <c r="D55" s="5023"/>
      <c r="E55" s="1316">
        <f>IF(C52=0,"",VLOOKUP(C52,'Tablas Magia'!$D$6:$Z$680,8,FALSE))</f>
        <v>8</v>
      </c>
      <c r="F55" s="1316">
        <f>IF(C52=0,"",VLOOKUP(C52,'Tablas Magia'!$D$6:$Z$680,12,FALSE))</f>
        <v>140</v>
      </c>
      <c r="G55" s="1317">
        <f>IF(C52=0,"",VLOOKUP(C52,'Tablas Magia'!$D$6:$Z$680,16,FALSE))</f>
        <v>10</v>
      </c>
      <c r="H55" s="5024" t="str">
        <f>IF(C52=0,"",VLOOKUP(C52,'Tablas Magia'!$D$6:$Z$680,20,FALSE))</f>
        <v>12 Intensidades de calor</v>
      </c>
      <c r="I55" s="5025"/>
      <c r="J55" s="5025"/>
      <c r="K55" s="5025"/>
      <c r="L55" s="5025"/>
      <c r="M55" s="5025"/>
      <c r="N55" s="5025"/>
      <c r="O55" s="5025"/>
      <c r="P55" s="5025"/>
      <c r="Q55" s="5026"/>
      <c r="R55" s="1295"/>
      <c r="S55" s="1289"/>
      <c r="T55" s="1289"/>
      <c r="U55" s="2471"/>
      <c r="V55" s="5022" t="s">
        <v>5258</v>
      </c>
      <c r="W55" s="5023"/>
      <c r="X55" s="1316">
        <f>IF(V52=0,"",VLOOKUP(V52,'Tablas Magia'!$D$6:$Z$680,8,FALSE))</f>
        <v>9</v>
      </c>
      <c r="Y55" s="1316">
        <f>IF(V52=0,"",VLOOKUP(V52,'Tablas Magia'!$D$6:$Z$680,12,FALSE))</f>
        <v>90</v>
      </c>
      <c r="Z55" s="1317" t="str">
        <f>IF(V52=0,"",VLOOKUP(V52,'Tablas Magia'!$D$6:$Z$680,16,FALSE))</f>
        <v>No</v>
      </c>
      <c r="AA55" s="5024" t="str">
        <f>IF(V52=0,"",VLOOKUP(V52,'Tablas Magia'!$D$6:$Z$680,20,FALSE))</f>
        <v>Daño 70</v>
      </c>
      <c r="AB55" s="5025"/>
      <c r="AC55" s="5025"/>
      <c r="AD55" s="5025"/>
      <c r="AE55" s="5025"/>
      <c r="AF55" s="5025"/>
      <c r="AG55" s="5025"/>
      <c r="AH55" s="5025"/>
      <c r="AI55" s="5025"/>
      <c r="AJ55" s="5026"/>
      <c r="AK55" s="1295"/>
      <c r="AL55" s="1289"/>
      <c r="AM55" s="1289"/>
      <c r="AN55" s="2485"/>
      <c r="AO55" s="5022" t="s">
        <v>5258</v>
      </c>
      <c r="AP55" s="5023"/>
      <c r="AQ55" s="1316">
        <f>IF(AO52=0,"",VLOOKUP(AO52,'Tablas Magia'!$D$6:$Z$680,8,FALSE))</f>
        <v>10</v>
      </c>
      <c r="AR55" s="1316">
        <f>IF(AO52=0,"",VLOOKUP(AO52,'Tablas Magia'!$D$6:$Z$680,12,FALSE))</f>
        <v>120</v>
      </c>
      <c r="AS55" s="1317">
        <f>IF(AO52=0,"",VLOOKUP(AO52,'Tablas Magia'!$D$6:$Z$680,16,FALSE))</f>
        <v>10</v>
      </c>
      <c r="AT55" s="5024" t="str">
        <f>IF(AO52=0,"",VLOOKUP(AO52,'Tablas Magia'!$D$6:$Z$680,20,FALSE))</f>
        <v>50 metros de radio / RF 100</v>
      </c>
      <c r="AU55" s="5025"/>
      <c r="AV55" s="5025"/>
      <c r="AW55" s="5025"/>
      <c r="AX55" s="5025"/>
      <c r="AY55" s="5025"/>
      <c r="AZ55" s="5025"/>
      <c r="BA55" s="5025"/>
      <c r="BB55" s="5025"/>
      <c r="BC55" s="5026"/>
      <c r="BD55" s="1295"/>
      <c r="BE55" s="1289"/>
      <c r="BF55" s="1289"/>
      <c r="BG55" s="2485"/>
      <c r="BH55" s="5022" t="s">
        <v>5258</v>
      </c>
      <c r="BI55" s="5023"/>
      <c r="BJ55" s="1316">
        <f>IF(BH52=0,"",VLOOKUP(BH52,'Tablas Magia'!$D$6:$Z$680,8,FALSE))</f>
        <v>11</v>
      </c>
      <c r="BK55" s="1316">
        <f>IF(BH52=0,"",VLOOKUP(BH52,'Tablas Magia'!$D$6:$Z$680,12,FALSE))</f>
        <v>140</v>
      </c>
      <c r="BL55" s="1317" t="str">
        <f>IF(BH52=0,"",VLOOKUP(BH52,'Tablas Magia'!$D$6:$Z$680,16,FALSE))</f>
        <v>No</v>
      </c>
      <c r="BM55" s="5024" t="str">
        <f>IF(BH52=0,"",VLOOKUP(BH52,'Tablas Magia'!$D$6:$Z$680,20,FALSE))</f>
        <v>Crítico 140/ RM 160</v>
      </c>
      <c r="BN55" s="5025"/>
      <c r="BO55" s="5025"/>
      <c r="BP55" s="5025"/>
      <c r="BQ55" s="5025"/>
      <c r="BR55" s="5025"/>
      <c r="BS55" s="5025"/>
      <c r="BT55" s="5025"/>
      <c r="BU55" s="5025"/>
      <c r="BV55" s="5026"/>
      <c r="BW55" s="1295"/>
      <c r="BX55" s="1289"/>
      <c r="BY55" s="1289"/>
      <c r="BZ55" s="2485"/>
      <c r="CA55" s="5022" t="s">
        <v>5258</v>
      </c>
      <c r="CB55" s="5023"/>
      <c r="CC55" s="1316">
        <f>IF(CA52=0,"",VLOOKUP(CA52,'Tablas Magia'!$D$6:$Z$680,8,FALSE))</f>
        <v>13</v>
      </c>
      <c r="CD55" s="1316">
        <f>IF(CA52=0,"",VLOOKUP(CA52,'Tablas Magia'!$D$6:$Z$680,12,FALSE))</f>
        <v>300</v>
      </c>
      <c r="CE55" s="1317" t="str">
        <f>IF(CA52=0,"",VLOOKUP(CA52,'Tablas Magia'!$D$6:$Z$680,16,FALSE))</f>
        <v>No</v>
      </c>
      <c r="CF55" s="5024" t="str">
        <f>IF(CA52=0,"",VLOOKUP(CA52,'Tablas Magia'!$D$6:$Z$680,20,FALSE))</f>
        <v>5 km de radio</v>
      </c>
      <c r="CG55" s="5025"/>
      <c r="CH55" s="5025"/>
      <c r="CI55" s="5025"/>
      <c r="CJ55" s="5025"/>
      <c r="CK55" s="5025"/>
      <c r="CL55" s="5025"/>
      <c r="CM55" s="5025"/>
      <c r="CN55" s="5025"/>
      <c r="CO55" s="5026"/>
      <c r="CP55" s="1295"/>
      <c r="CQ55" s="1289"/>
    </row>
    <row r="56" spans="1:95" ht="12" customHeight="1" x14ac:dyDescent="0.2">
      <c r="A56" s="1289"/>
      <c r="B56" s="2471"/>
      <c r="C56" s="5027" t="s">
        <v>5259</v>
      </c>
      <c r="D56" s="5028"/>
      <c r="E56" s="1314">
        <f>IF(C52=0,"",VLOOKUP(C52,'Tablas Magia'!$D$6:$Z$680,9,FALSE))</f>
        <v>10</v>
      </c>
      <c r="F56" s="1314">
        <f>IF(C52=0,"",VLOOKUP(C52,'Tablas Magia'!$D$6:$Z$680,13,FALSE))</f>
        <v>200</v>
      </c>
      <c r="G56" s="1315">
        <f>IF(C52=0,"",VLOOKUP(C52,'Tablas Magia'!$D$6:$Z$680,17,FALSE))</f>
        <v>10</v>
      </c>
      <c r="H56" s="5029" t="str">
        <f>IF(C52=0,"",VLOOKUP(C52,'Tablas Magia'!$D$6:$Z$680,21,FALSE))</f>
        <v>20 Intensidades de fuego</v>
      </c>
      <c r="I56" s="5030"/>
      <c r="J56" s="5030"/>
      <c r="K56" s="5030"/>
      <c r="L56" s="5030"/>
      <c r="M56" s="5030"/>
      <c r="N56" s="5030"/>
      <c r="O56" s="5030"/>
      <c r="P56" s="5030"/>
      <c r="Q56" s="5031"/>
      <c r="R56" s="1295"/>
      <c r="S56" s="1289"/>
      <c r="T56" s="1289"/>
      <c r="U56" s="2471"/>
      <c r="V56" s="5027" t="s">
        <v>5259</v>
      </c>
      <c r="W56" s="5028"/>
      <c r="X56" s="1314">
        <f>IF(V52=0,"",VLOOKUP(V52,'Tablas Magia'!$D$6:$Z$680,9,FALSE))</f>
        <v>12</v>
      </c>
      <c r="Y56" s="1314">
        <f>IF(V52=0,"",VLOOKUP(V52,'Tablas Magia'!$D$6:$Z$680,13,FALSE))</f>
        <v>120</v>
      </c>
      <c r="Z56" s="1315" t="str">
        <f>IF(V52=0,"",VLOOKUP(V52,'Tablas Magia'!$D$6:$Z$680,17,FALSE))</f>
        <v>No</v>
      </c>
      <c r="AA56" s="5029" t="str">
        <f>IF(V52=0,"",VLOOKUP(V52,'Tablas Magia'!$D$6:$Z$680,21,FALSE))</f>
        <v>Daño 90</v>
      </c>
      <c r="AB56" s="5030"/>
      <c r="AC56" s="5030"/>
      <c r="AD56" s="5030"/>
      <c r="AE56" s="5030"/>
      <c r="AF56" s="5030"/>
      <c r="AG56" s="5030"/>
      <c r="AH56" s="5030"/>
      <c r="AI56" s="5030"/>
      <c r="AJ56" s="5031"/>
      <c r="AK56" s="1295"/>
      <c r="AL56" s="1289"/>
      <c r="AM56" s="1289"/>
      <c r="AN56" s="2485"/>
      <c r="AO56" s="5027" t="s">
        <v>5259</v>
      </c>
      <c r="AP56" s="5028"/>
      <c r="AQ56" s="1314">
        <f>IF(AO52=0,"",VLOOKUP(AO52,'Tablas Magia'!$D$6:$Z$680,9,FALSE))</f>
        <v>12</v>
      </c>
      <c r="AR56" s="1314">
        <f>IF(AO52=0,"",VLOOKUP(AO52,'Tablas Magia'!$D$6:$Z$680,13,FALSE))</f>
        <v>180</v>
      </c>
      <c r="AS56" s="1315">
        <f>IF(AO52=0,"",VLOOKUP(AO52,'Tablas Magia'!$D$6:$Z$680,17,FALSE))</f>
        <v>15</v>
      </c>
      <c r="AT56" s="5029" t="str">
        <f>IF(AO52=0,"",VLOOKUP(AO52,'Tablas Magia'!$D$6:$Z$680,21,FALSE))</f>
        <v>100 metros de radio / RF 120</v>
      </c>
      <c r="AU56" s="5030"/>
      <c r="AV56" s="5030"/>
      <c r="AW56" s="5030"/>
      <c r="AX56" s="5030"/>
      <c r="AY56" s="5030"/>
      <c r="AZ56" s="5030"/>
      <c r="BA56" s="5030"/>
      <c r="BB56" s="5030"/>
      <c r="BC56" s="5031"/>
      <c r="BD56" s="1295"/>
      <c r="BE56" s="1289"/>
      <c r="BF56" s="1289"/>
      <c r="BG56" s="2485"/>
      <c r="BH56" s="5027" t="s">
        <v>5259</v>
      </c>
      <c r="BI56" s="5028"/>
      <c r="BJ56" s="1314">
        <f>IF(BH52=0,"",VLOOKUP(BH52,'Tablas Magia'!$D$6:$Z$680,9,FALSE))</f>
        <v>13</v>
      </c>
      <c r="BK56" s="1314">
        <f>IF(BH52=0,"",VLOOKUP(BH52,'Tablas Magia'!$D$6:$Z$680,13,FALSE))</f>
        <v>200</v>
      </c>
      <c r="BL56" s="1315" t="str">
        <f>IF(BH52=0,"",VLOOKUP(BH52,'Tablas Magia'!$D$6:$Z$680,17,FALSE))</f>
        <v>No</v>
      </c>
      <c r="BM56" s="5029" t="str">
        <f>IF(BH52=0,"",VLOOKUP(BH52,'Tablas Magia'!$D$6:$Z$680,21,FALSE))</f>
        <v>Crítico 180/ RM 180</v>
      </c>
      <c r="BN56" s="5030"/>
      <c r="BO56" s="5030"/>
      <c r="BP56" s="5030"/>
      <c r="BQ56" s="5030"/>
      <c r="BR56" s="5030"/>
      <c r="BS56" s="5030"/>
      <c r="BT56" s="5030"/>
      <c r="BU56" s="5030"/>
      <c r="BV56" s="5031"/>
      <c r="BW56" s="1295"/>
      <c r="BX56" s="1289"/>
      <c r="BY56" s="1289"/>
      <c r="BZ56" s="2485"/>
      <c r="CA56" s="5027" t="s">
        <v>5259</v>
      </c>
      <c r="CB56" s="5028"/>
      <c r="CC56" s="1314">
        <f>IF(CA52=0,"",VLOOKUP(CA52,'Tablas Magia'!$D$6:$Z$680,9,FALSE))</f>
        <v>16</v>
      </c>
      <c r="CD56" s="1314">
        <f>IF(CA52=0,"",VLOOKUP(CA52,'Tablas Magia'!$D$6:$Z$680,13,FALSE))</f>
        <v>400</v>
      </c>
      <c r="CE56" s="1315" t="str">
        <f>IF(CA52=0,"",VLOOKUP(CA52,'Tablas Magia'!$D$6:$Z$680,17,FALSE))</f>
        <v>No</v>
      </c>
      <c r="CF56" s="5029" t="str">
        <f>IF(CA52=0,"",VLOOKUP(CA52,'Tablas Magia'!$D$6:$Z$680,21,FALSE))</f>
        <v>10 km de radio</v>
      </c>
      <c r="CG56" s="5030"/>
      <c r="CH56" s="5030"/>
      <c r="CI56" s="5030"/>
      <c r="CJ56" s="5030"/>
      <c r="CK56" s="5030"/>
      <c r="CL56" s="5030"/>
      <c r="CM56" s="5030"/>
      <c r="CN56" s="5030"/>
      <c r="CO56" s="5031"/>
      <c r="CP56" s="1295"/>
      <c r="CQ56" s="1289"/>
    </row>
    <row r="57" spans="1:95" ht="12" customHeight="1" thickBot="1" x14ac:dyDescent="0.25">
      <c r="A57" s="1289"/>
      <c r="B57" s="2471"/>
      <c r="C57" s="5037" t="s">
        <v>5260</v>
      </c>
      <c r="D57" s="5038"/>
      <c r="E57" s="1318">
        <f>IF(C52=0,"",VLOOKUP(C52,'Tablas Magia'!$D$6:$Z$680,10,FALSE))</f>
        <v>13</v>
      </c>
      <c r="F57" s="1318">
        <f>IF(C52=0,"",VLOOKUP(C52,'Tablas Magia'!$D$6:$Z$680,14,FALSE))</f>
        <v>300</v>
      </c>
      <c r="G57" s="1319">
        <f>IF(C52=0,"",VLOOKUP(C52,'Tablas Magia'!$D$6:$Z$680,18,FALSE))</f>
        <v>15</v>
      </c>
      <c r="H57" s="5039" t="str">
        <f>IF(C52=0,"",VLOOKUP(C52,'Tablas Magia'!$D$6:$Z$680,22,FALSE))</f>
        <v>30 Intensidades de fuego</v>
      </c>
      <c r="I57" s="5040"/>
      <c r="J57" s="5040"/>
      <c r="K57" s="5040"/>
      <c r="L57" s="5040"/>
      <c r="M57" s="5040"/>
      <c r="N57" s="5040"/>
      <c r="O57" s="5040"/>
      <c r="P57" s="5040"/>
      <c r="Q57" s="5041"/>
      <c r="R57" s="1295"/>
      <c r="S57" s="1289"/>
      <c r="T57" s="1289"/>
      <c r="U57" s="2471"/>
      <c r="V57" s="5037" t="s">
        <v>5260</v>
      </c>
      <c r="W57" s="5038"/>
      <c r="X57" s="1318">
        <f>IF(V52=0,"",VLOOKUP(V52,'Tablas Magia'!$D$6:$Z$680,10,FALSE))</f>
        <v>15</v>
      </c>
      <c r="Y57" s="1318">
        <f>IF(V52=0,"",VLOOKUP(V52,'Tablas Magia'!$D$6:$Z$680,14,FALSE))</f>
        <v>150</v>
      </c>
      <c r="Z57" s="1319" t="str">
        <f>IF(V52=0,"",VLOOKUP(V52,'Tablas Magia'!$D$6:$Z$680,18,FALSE))</f>
        <v>No</v>
      </c>
      <c r="AA57" s="5039" t="str">
        <f>IF(V52=0,"",VLOOKUP(V52,'Tablas Magia'!$D$6:$Z$680,22,FALSE))</f>
        <v>Daño 110</v>
      </c>
      <c r="AB57" s="5040"/>
      <c r="AC57" s="5040"/>
      <c r="AD57" s="5040"/>
      <c r="AE57" s="5040"/>
      <c r="AF57" s="5040"/>
      <c r="AG57" s="5040"/>
      <c r="AH57" s="5040"/>
      <c r="AI57" s="5040"/>
      <c r="AJ57" s="5041"/>
      <c r="AK57" s="1295"/>
      <c r="AL57" s="1289"/>
      <c r="AM57" s="1289"/>
      <c r="AN57" s="2485"/>
      <c r="AO57" s="5037" t="s">
        <v>5260</v>
      </c>
      <c r="AP57" s="5038"/>
      <c r="AQ57" s="1318">
        <f>IF(AO52=0,"",VLOOKUP(AO52,'Tablas Magia'!$D$6:$Z$680,10,FALSE))</f>
        <v>14</v>
      </c>
      <c r="AR57" s="1318">
        <f>IF(AO52=0,"",VLOOKUP(AO52,'Tablas Magia'!$D$6:$Z$680,14,FALSE))</f>
        <v>240</v>
      </c>
      <c r="AS57" s="1319">
        <f>IF(AO52=0,"",VLOOKUP(AO52,'Tablas Magia'!$D$6:$Z$680,18,FALSE))</f>
        <v>15</v>
      </c>
      <c r="AT57" s="5039" t="str">
        <f>IF(AO52=0,"",VLOOKUP(AO52,'Tablas Magia'!$D$6:$Z$680,22,FALSE))</f>
        <v>150 metros de radio / RF 140</v>
      </c>
      <c r="AU57" s="5040"/>
      <c r="AV57" s="5040"/>
      <c r="AW57" s="5040"/>
      <c r="AX57" s="5040"/>
      <c r="AY57" s="5040"/>
      <c r="AZ57" s="5040"/>
      <c r="BA57" s="5040"/>
      <c r="BB57" s="5040"/>
      <c r="BC57" s="5041"/>
      <c r="BD57" s="1295"/>
      <c r="BE57" s="1289"/>
      <c r="BF57" s="1289"/>
      <c r="BG57" s="2485"/>
      <c r="BH57" s="5037" t="s">
        <v>5260</v>
      </c>
      <c r="BI57" s="5038"/>
      <c r="BJ57" s="1318">
        <f>IF(BH52=0,"",VLOOKUP(BH52,'Tablas Magia'!$D$6:$Z$680,10,FALSE))</f>
        <v>16</v>
      </c>
      <c r="BK57" s="1318">
        <f>IF(BH52=0,"",VLOOKUP(BH52,'Tablas Magia'!$D$6:$Z$680,14,FALSE))</f>
        <v>280</v>
      </c>
      <c r="BL57" s="1319" t="str">
        <f>IF(BH52=0,"",VLOOKUP(BH52,'Tablas Magia'!$D$6:$Z$680,18,FALSE))</f>
        <v>No</v>
      </c>
      <c r="BM57" s="5039" t="str">
        <f>IF(BH52=0,"",VLOOKUP(BH52,'Tablas Magia'!$D$6:$Z$680,22,FALSE))</f>
        <v>Crítico 220/ RM 200</v>
      </c>
      <c r="BN57" s="5040"/>
      <c r="BO57" s="5040"/>
      <c r="BP57" s="5040"/>
      <c r="BQ57" s="5040"/>
      <c r="BR57" s="5040"/>
      <c r="BS57" s="5040"/>
      <c r="BT57" s="5040"/>
      <c r="BU57" s="5040"/>
      <c r="BV57" s="5041"/>
      <c r="BW57" s="1295"/>
      <c r="BX57" s="1289"/>
      <c r="BY57" s="1289"/>
      <c r="BZ57" s="2485"/>
      <c r="CA57" s="5037" t="s">
        <v>5260</v>
      </c>
      <c r="CB57" s="5038"/>
      <c r="CC57" s="1318">
        <f>IF(CA52=0,"",VLOOKUP(CA52,'Tablas Magia'!$D$6:$Z$680,10,FALSE))</f>
        <v>18</v>
      </c>
      <c r="CD57" s="1318">
        <f>IF(CA52=0,"",VLOOKUP(CA52,'Tablas Magia'!$D$6:$Z$680,14,FALSE))</f>
        <v>500</v>
      </c>
      <c r="CE57" s="1319" t="str">
        <f>IF(CA52=0,"",VLOOKUP(CA52,'Tablas Magia'!$D$6:$Z$680,18,FALSE))</f>
        <v>No</v>
      </c>
      <c r="CF57" s="5039" t="str">
        <f>IF(CA52=0,"",VLOOKUP(CA52,'Tablas Magia'!$D$6:$Z$680,22,FALSE))</f>
        <v>15 km de radio</v>
      </c>
      <c r="CG57" s="5040"/>
      <c r="CH57" s="5040"/>
      <c r="CI57" s="5040"/>
      <c r="CJ57" s="5040"/>
      <c r="CK57" s="5040"/>
      <c r="CL57" s="5040"/>
      <c r="CM57" s="5040"/>
      <c r="CN57" s="5040"/>
      <c r="CO57" s="5041"/>
      <c r="CP57" s="1295"/>
      <c r="CQ57" s="1289"/>
    </row>
    <row r="58" spans="1:95" ht="12" customHeight="1" x14ac:dyDescent="0.2">
      <c r="A58" s="1289"/>
      <c r="B58" s="2471"/>
      <c r="C58" s="504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43"/>
      <c r="E58" s="5043"/>
      <c r="F58" s="5043"/>
      <c r="G58" s="5043"/>
      <c r="H58" s="5043"/>
      <c r="I58" s="5043"/>
      <c r="J58" s="5043"/>
      <c r="K58" s="5043"/>
      <c r="L58" s="5043"/>
      <c r="M58" s="5043"/>
      <c r="N58" s="5043"/>
      <c r="O58" s="5043"/>
      <c r="P58" s="5043"/>
      <c r="Q58" s="5044"/>
      <c r="R58" s="1295"/>
      <c r="S58" s="1289"/>
      <c r="T58" s="1289"/>
      <c r="U58" s="2471"/>
      <c r="V58" s="504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43"/>
      <c r="X58" s="5043"/>
      <c r="Y58" s="5043"/>
      <c r="Z58" s="5043"/>
      <c r="AA58" s="5043"/>
      <c r="AB58" s="5043"/>
      <c r="AC58" s="5043"/>
      <c r="AD58" s="5043"/>
      <c r="AE58" s="5043"/>
      <c r="AF58" s="5043"/>
      <c r="AG58" s="5043"/>
      <c r="AH58" s="5043"/>
      <c r="AI58" s="5043"/>
      <c r="AJ58" s="5044"/>
      <c r="AK58" s="1295"/>
      <c r="AL58" s="1289"/>
      <c r="AM58" s="1289"/>
      <c r="AN58" s="2485"/>
      <c r="AO58" s="504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43"/>
      <c r="AQ58" s="5043"/>
      <c r="AR58" s="5043"/>
      <c r="AS58" s="5043"/>
      <c r="AT58" s="5043"/>
      <c r="AU58" s="5043"/>
      <c r="AV58" s="5043"/>
      <c r="AW58" s="5043"/>
      <c r="AX58" s="5043"/>
      <c r="AY58" s="5043"/>
      <c r="AZ58" s="5043"/>
      <c r="BA58" s="5043"/>
      <c r="BB58" s="5043"/>
      <c r="BC58" s="5044"/>
      <c r="BD58" s="1295"/>
      <c r="BE58" s="1289"/>
      <c r="BF58" s="1289"/>
      <c r="BG58" s="2485"/>
      <c r="BH58" s="504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43"/>
      <c r="BJ58" s="5043"/>
      <c r="BK58" s="5043"/>
      <c r="BL58" s="5043"/>
      <c r="BM58" s="5043"/>
      <c r="BN58" s="5043"/>
      <c r="BO58" s="5043"/>
      <c r="BP58" s="5043"/>
      <c r="BQ58" s="5043"/>
      <c r="BR58" s="5043"/>
      <c r="BS58" s="5043"/>
      <c r="BT58" s="5043"/>
      <c r="BU58" s="5043"/>
      <c r="BV58" s="5044"/>
      <c r="BW58" s="1295"/>
      <c r="BX58" s="1289"/>
      <c r="BY58" s="1289"/>
      <c r="BZ58" s="2485"/>
      <c r="CA58" s="5042" t="str">
        <f>IF(CA52=0,"",VLOOKUP(CA52,'Tablas Magia'!$D$6:$Z$680,23,FALSE))</f>
        <v>Proyecta una explosión ígnea, que ataca en área con un daño base de 200 puntos. Ataca en la TA de calor, aunque es capaz de dañar energía. No es posible designar blancos en el interior del conjuro.</v>
      </c>
      <c r="CB58" s="5043"/>
      <c r="CC58" s="5043"/>
      <c r="CD58" s="5043"/>
      <c r="CE58" s="5043"/>
      <c r="CF58" s="5043"/>
      <c r="CG58" s="5043"/>
      <c r="CH58" s="5043"/>
      <c r="CI58" s="5043"/>
      <c r="CJ58" s="5043"/>
      <c r="CK58" s="5043"/>
      <c r="CL58" s="5043"/>
      <c r="CM58" s="5043"/>
      <c r="CN58" s="5043"/>
      <c r="CO58" s="5044"/>
      <c r="CP58" s="1295"/>
      <c r="CQ58" s="1289"/>
    </row>
    <row r="59" spans="1:95" ht="12" customHeight="1" x14ac:dyDescent="0.2">
      <c r="A59" s="1289"/>
      <c r="B59" s="2471"/>
      <c r="C59" s="5045"/>
      <c r="D59" s="5046"/>
      <c r="E59" s="5046"/>
      <c r="F59" s="5046"/>
      <c r="G59" s="5046"/>
      <c r="H59" s="5046"/>
      <c r="I59" s="5046"/>
      <c r="J59" s="5046"/>
      <c r="K59" s="5046"/>
      <c r="L59" s="5046"/>
      <c r="M59" s="5046"/>
      <c r="N59" s="5046"/>
      <c r="O59" s="5046"/>
      <c r="P59" s="5046"/>
      <c r="Q59" s="5047"/>
      <c r="R59" s="1295"/>
      <c r="S59" s="1289"/>
      <c r="T59" s="1289"/>
      <c r="U59" s="2471"/>
      <c r="V59" s="5045"/>
      <c r="W59" s="5046"/>
      <c r="X59" s="5046"/>
      <c r="Y59" s="5046"/>
      <c r="Z59" s="5046"/>
      <c r="AA59" s="5046"/>
      <c r="AB59" s="5046"/>
      <c r="AC59" s="5046"/>
      <c r="AD59" s="5046"/>
      <c r="AE59" s="5046"/>
      <c r="AF59" s="5046"/>
      <c r="AG59" s="5046"/>
      <c r="AH59" s="5046"/>
      <c r="AI59" s="5046"/>
      <c r="AJ59" s="5047"/>
      <c r="AK59" s="1295"/>
      <c r="AL59" s="1289"/>
      <c r="AM59" s="1289"/>
      <c r="AN59" s="2485"/>
      <c r="AO59" s="5045"/>
      <c r="AP59" s="5046"/>
      <c r="AQ59" s="5046"/>
      <c r="AR59" s="5046"/>
      <c r="AS59" s="5046"/>
      <c r="AT59" s="5046"/>
      <c r="AU59" s="5046"/>
      <c r="AV59" s="5046"/>
      <c r="AW59" s="5046"/>
      <c r="AX59" s="5046"/>
      <c r="AY59" s="5046"/>
      <c r="AZ59" s="5046"/>
      <c r="BA59" s="5046"/>
      <c r="BB59" s="5046"/>
      <c r="BC59" s="5047"/>
      <c r="BD59" s="1295"/>
      <c r="BE59" s="1289"/>
      <c r="BF59" s="1289"/>
      <c r="BG59" s="2485"/>
      <c r="BH59" s="5045"/>
      <c r="BI59" s="5046"/>
      <c r="BJ59" s="5046"/>
      <c r="BK59" s="5046"/>
      <c r="BL59" s="5046"/>
      <c r="BM59" s="5046"/>
      <c r="BN59" s="5046"/>
      <c r="BO59" s="5046"/>
      <c r="BP59" s="5046"/>
      <c r="BQ59" s="5046"/>
      <c r="BR59" s="5046"/>
      <c r="BS59" s="5046"/>
      <c r="BT59" s="5046"/>
      <c r="BU59" s="5046"/>
      <c r="BV59" s="5047"/>
      <c r="BW59" s="1295"/>
      <c r="BX59" s="1289"/>
      <c r="BY59" s="1289"/>
      <c r="BZ59" s="2485"/>
      <c r="CA59" s="5045"/>
      <c r="CB59" s="5046"/>
      <c r="CC59" s="5046"/>
      <c r="CD59" s="5046"/>
      <c r="CE59" s="5046"/>
      <c r="CF59" s="5046"/>
      <c r="CG59" s="5046"/>
      <c r="CH59" s="5046"/>
      <c r="CI59" s="5046"/>
      <c r="CJ59" s="5046"/>
      <c r="CK59" s="5046"/>
      <c r="CL59" s="5046"/>
      <c r="CM59" s="5046"/>
      <c r="CN59" s="5046"/>
      <c r="CO59" s="5047"/>
      <c r="CP59" s="1295"/>
      <c r="CQ59" s="1289"/>
    </row>
    <row r="60" spans="1:95" ht="12" customHeight="1" x14ac:dyDescent="0.2">
      <c r="A60" s="1289"/>
      <c r="B60" s="2471"/>
      <c r="C60" s="5045"/>
      <c r="D60" s="5046"/>
      <c r="E60" s="5046"/>
      <c r="F60" s="5046"/>
      <c r="G60" s="5046"/>
      <c r="H60" s="5046"/>
      <c r="I60" s="5046"/>
      <c r="J60" s="5046"/>
      <c r="K60" s="5046"/>
      <c r="L60" s="5046"/>
      <c r="M60" s="5046"/>
      <c r="N60" s="5046"/>
      <c r="O60" s="5046"/>
      <c r="P60" s="5046"/>
      <c r="Q60" s="5047"/>
      <c r="R60" s="1295"/>
      <c r="S60" s="1289"/>
      <c r="T60" s="1289"/>
      <c r="U60" s="2471"/>
      <c r="V60" s="5045"/>
      <c r="W60" s="5046"/>
      <c r="X60" s="5046"/>
      <c r="Y60" s="5046"/>
      <c r="Z60" s="5046"/>
      <c r="AA60" s="5046"/>
      <c r="AB60" s="5046"/>
      <c r="AC60" s="5046"/>
      <c r="AD60" s="5046"/>
      <c r="AE60" s="5046"/>
      <c r="AF60" s="5046"/>
      <c r="AG60" s="5046"/>
      <c r="AH60" s="5046"/>
      <c r="AI60" s="5046"/>
      <c r="AJ60" s="5047"/>
      <c r="AK60" s="1295"/>
      <c r="AL60" s="1289"/>
      <c r="AM60" s="1289"/>
      <c r="AN60" s="2485"/>
      <c r="AO60" s="5045"/>
      <c r="AP60" s="5046"/>
      <c r="AQ60" s="5046"/>
      <c r="AR60" s="5046"/>
      <c r="AS60" s="5046"/>
      <c r="AT60" s="5046"/>
      <c r="AU60" s="5046"/>
      <c r="AV60" s="5046"/>
      <c r="AW60" s="5046"/>
      <c r="AX60" s="5046"/>
      <c r="AY60" s="5046"/>
      <c r="AZ60" s="5046"/>
      <c r="BA60" s="5046"/>
      <c r="BB60" s="5046"/>
      <c r="BC60" s="5047"/>
      <c r="BD60" s="1295"/>
      <c r="BE60" s="1289"/>
      <c r="BF60" s="1289"/>
      <c r="BG60" s="2485"/>
      <c r="BH60" s="5045"/>
      <c r="BI60" s="5046"/>
      <c r="BJ60" s="5046"/>
      <c r="BK60" s="5046"/>
      <c r="BL60" s="5046"/>
      <c r="BM60" s="5046"/>
      <c r="BN60" s="5046"/>
      <c r="BO60" s="5046"/>
      <c r="BP60" s="5046"/>
      <c r="BQ60" s="5046"/>
      <c r="BR60" s="5046"/>
      <c r="BS60" s="5046"/>
      <c r="BT60" s="5046"/>
      <c r="BU60" s="5046"/>
      <c r="BV60" s="5047"/>
      <c r="BW60" s="1295"/>
      <c r="BX60" s="1289"/>
      <c r="BY60" s="1289"/>
      <c r="BZ60" s="2485"/>
      <c r="CA60" s="5045"/>
      <c r="CB60" s="5046"/>
      <c r="CC60" s="5046"/>
      <c r="CD60" s="5046"/>
      <c r="CE60" s="5046"/>
      <c r="CF60" s="5046"/>
      <c r="CG60" s="5046"/>
      <c r="CH60" s="5046"/>
      <c r="CI60" s="5046"/>
      <c r="CJ60" s="5046"/>
      <c r="CK60" s="5046"/>
      <c r="CL60" s="5046"/>
      <c r="CM60" s="5046"/>
      <c r="CN60" s="5046"/>
      <c r="CO60" s="5047"/>
      <c r="CP60" s="1295"/>
      <c r="CQ60" s="1289"/>
    </row>
    <row r="61" spans="1:95" ht="12" customHeight="1" thickBot="1" x14ac:dyDescent="0.25">
      <c r="A61" s="1289"/>
      <c r="B61" s="2471"/>
      <c r="C61" s="5048"/>
      <c r="D61" s="5049"/>
      <c r="E61" s="5049"/>
      <c r="F61" s="5049"/>
      <c r="G61" s="5049"/>
      <c r="H61" s="5049"/>
      <c r="I61" s="5049"/>
      <c r="J61" s="5049"/>
      <c r="K61" s="5049"/>
      <c r="L61" s="5049"/>
      <c r="M61" s="5049"/>
      <c r="N61" s="5049"/>
      <c r="O61" s="5049"/>
      <c r="P61" s="5049"/>
      <c r="Q61" s="5050"/>
      <c r="R61" s="1295"/>
      <c r="S61" s="1289"/>
      <c r="T61" s="1289"/>
      <c r="U61" s="2471"/>
      <c r="V61" s="5048"/>
      <c r="W61" s="5049"/>
      <c r="X61" s="5049"/>
      <c r="Y61" s="5049"/>
      <c r="Z61" s="5049"/>
      <c r="AA61" s="5049"/>
      <c r="AB61" s="5049"/>
      <c r="AC61" s="5049"/>
      <c r="AD61" s="5049"/>
      <c r="AE61" s="5049"/>
      <c r="AF61" s="5049"/>
      <c r="AG61" s="5049"/>
      <c r="AH61" s="5049"/>
      <c r="AI61" s="5049"/>
      <c r="AJ61" s="5050"/>
      <c r="AK61" s="1295"/>
      <c r="AL61" s="1289"/>
      <c r="AM61" s="1289"/>
      <c r="AN61" s="2485"/>
      <c r="AO61" s="5048"/>
      <c r="AP61" s="5049"/>
      <c r="AQ61" s="5049"/>
      <c r="AR61" s="5049"/>
      <c r="AS61" s="5049"/>
      <c r="AT61" s="5049"/>
      <c r="AU61" s="5049"/>
      <c r="AV61" s="5049"/>
      <c r="AW61" s="5049"/>
      <c r="AX61" s="5049"/>
      <c r="AY61" s="5049"/>
      <c r="AZ61" s="5049"/>
      <c r="BA61" s="5049"/>
      <c r="BB61" s="5049"/>
      <c r="BC61" s="5050"/>
      <c r="BD61" s="1295"/>
      <c r="BE61" s="1289"/>
      <c r="BF61" s="1289"/>
      <c r="BG61" s="2485"/>
      <c r="BH61" s="5048"/>
      <c r="BI61" s="5049"/>
      <c r="BJ61" s="5049"/>
      <c r="BK61" s="5049"/>
      <c r="BL61" s="5049"/>
      <c r="BM61" s="5049"/>
      <c r="BN61" s="5049"/>
      <c r="BO61" s="5049"/>
      <c r="BP61" s="5049"/>
      <c r="BQ61" s="5049"/>
      <c r="BR61" s="5049"/>
      <c r="BS61" s="5049"/>
      <c r="BT61" s="5049"/>
      <c r="BU61" s="5049"/>
      <c r="BV61" s="5050"/>
      <c r="BW61" s="1295"/>
      <c r="BX61" s="1289"/>
      <c r="BY61" s="1289"/>
      <c r="BZ61" s="2485"/>
      <c r="CA61" s="5048"/>
      <c r="CB61" s="5049"/>
      <c r="CC61" s="5049"/>
      <c r="CD61" s="5049"/>
      <c r="CE61" s="5049"/>
      <c r="CF61" s="5049"/>
      <c r="CG61" s="5049"/>
      <c r="CH61" s="5049"/>
      <c r="CI61" s="5049"/>
      <c r="CJ61" s="5049"/>
      <c r="CK61" s="5049"/>
      <c r="CL61" s="5049"/>
      <c r="CM61" s="5049"/>
      <c r="CN61" s="5049"/>
      <c r="CO61" s="5050"/>
      <c r="CP61" s="1295"/>
      <c r="CQ61" s="1289"/>
    </row>
    <row r="62" spans="1:95" ht="12" customHeight="1" x14ac:dyDescent="0.2">
      <c r="A62" s="1289"/>
      <c r="B62" s="2471"/>
      <c r="R62" s="1295"/>
      <c r="S62" s="1289"/>
      <c r="T62" s="1289"/>
      <c r="U62" s="2471"/>
      <c r="AK62" s="1295"/>
      <c r="AL62" s="1289"/>
      <c r="AM62" s="1289"/>
      <c r="AN62" s="2471"/>
      <c r="BD62" s="1295"/>
      <c r="BE62" s="1289"/>
      <c r="BF62" s="1289"/>
      <c r="BG62" s="2471"/>
      <c r="BW62" s="1295"/>
      <c r="BX62" s="1289"/>
      <c r="BY62" s="1289"/>
      <c r="BZ62" s="2471"/>
      <c r="CP62" s="1295"/>
      <c r="CQ62" s="1289"/>
    </row>
    <row r="63" spans="1:95" ht="12" customHeight="1" thickBot="1" x14ac:dyDescent="0.25">
      <c r="A63" s="1289"/>
      <c r="B63" s="2488"/>
      <c r="C63" s="5054" t="str">
        <f>B64&amp;"-"&amp;B108</f>
        <v>12-20</v>
      </c>
      <c r="D63" s="5054"/>
      <c r="E63" s="5054"/>
      <c r="F63" s="5054"/>
      <c r="G63" s="5054"/>
      <c r="H63" s="5054"/>
      <c r="I63" s="5054"/>
      <c r="J63" s="5054"/>
      <c r="K63" s="5054"/>
      <c r="L63" s="5054"/>
      <c r="M63" s="5054"/>
      <c r="N63" s="5054"/>
      <c r="O63" s="5054"/>
      <c r="P63" s="5054"/>
      <c r="Q63" s="5054"/>
      <c r="R63" s="2484"/>
      <c r="S63" s="1289"/>
      <c r="T63" s="1289"/>
      <c r="U63" s="2482"/>
      <c r="V63" s="5054" t="str">
        <f>U64&amp;"-"&amp;U108</f>
        <v>32-40</v>
      </c>
      <c r="W63" s="5054"/>
      <c r="X63" s="5054"/>
      <c r="Y63" s="5054"/>
      <c r="Z63" s="5054"/>
      <c r="AA63" s="5054"/>
      <c r="AB63" s="5054"/>
      <c r="AC63" s="5054"/>
      <c r="AD63" s="5054"/>
      <c r="AE63" s="5054"/>
      <c r="AF63" s="5054"/>
      <c r="AG63" s="5054"/>
      <c r="AH63" s="5054"/>
      <c r="AI63" s="5054"/>
      <c r="AJ63" s="5054"/>
      <c r="AK63" s="2483"/>
      <c r="AL63" s="1289"/>
      <c r="AM63" s="2486"/>
      <c r="AN63" s="2482"/>
      <c r="AO63" s="5054" t="str">
        <f>AN64&amp;"-"&amp;AN108</f>
        <v>52-60</v>
      </c>
      <c r="AP63" s="5054"/>
      <c r="AQ63" s="5054"/>
      <c r="AR63" s="5054"/>
      <c r="AS63" s="5054"/>
      <c r="AT63" s="5054"/>
      <c r="AU63" s="5054"/>
      <c r="AV63" s="5054"/>
      <c r="AW63" s="5054"/>
      <c r="AX63" s="5054"/>
      <c r="AY63" s="5054"/>
      <c r="AZ63" s="5054"/>
      <c r="BA63" s="5054"/>
      <c r="BB63" s="5054"/>
      <c r="BC63" s="5054"/>
      <c r="BD63" s="2483"/>
      <c r="BE63" s="1289"/>
      <c r="BF63" s="1289"/>
      <c r="BG63" s="2482"/>
      <c r="BH63" s="5054" t="str">
        <f>BG64&amp;"-"&amp;BG108</f>
        <v>72-80</v>
      </c>
      <c r="BI63" s="5054"/>
      <c r="BJ63" s="5054"/>
      <c r="BK63" s="5054"/>
      <c r="BL63" s="5054"/>
      <c r="BM63" s="5054"/>
      <c r="BN63" s="5054"/>
      <c r="BO63" s="5054"/>
      <c r="BP63" s="5054"/>
      <c r="BQ63" s="5054"/>
      <c r="BR63" s="5054"/>
      <c r="BS63" s="5054"/>
      <c r="BT63" s="5054"/>
      <c r="BU63" s="5054"/>
      <c r="BV63" s="5054"/>
      <c r="BW63" s="2483"/>
      <c r="BX63" s="1289"/>
      <c r="BY63" s="1289"/>
      <c r="BZ63" s="2482"/>
      <c r="CA63" s="5054" t="str">
        <f>BZ64&amp;"-"&amp;BZ108</f>
        <v>92-100</v>
      </c>
      <c r="CB63" s="5054"/>
      <c r="CC63" s="5054"/>
      <c r="CD63" s="5054"/>
      <c r="CE63" s="5054"/>
      <c r="CF63" s="5054"/>
      <c r="CG63" s="5054"/>
      <c r="CH63" s="5054"/>
      <c r="CI63" s="5054"/>
      <c r="CJ63" s="5054"/>
      <c r="CK63" s="5054"/>
      <c r="CL63" s="5054"/>
      <c r="CM63" s="5054"/>
      <c r="CN63" s="5054"/>
      <c r="CO63" s="5054"/>
      <c r="CP63" s="2483"/>
      <c r="CQ63" s="1289"/>
    </row>
    <row r="64" spans="1:95" ht="12" customHeight="1" x14ac:dyDescent="0.2">
      <c r="A64" s="1289"/>
      <c r="B64" s="2471">
        <f>B52+2</f>
        <v>12</v>
      </c>
      <c r="C64" s="5051"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52"/>
      <c r="E64" s="5052"/>
      <c r="F64" s="5052"/>
      <c r="G64" s="5052"/>
      <c r="H64" s="1309" t="s">
        <v>2171</v>
      </c>
      <c r="I64" s="1310">
        <f>IF(C64=0,"",VLOOKUP(C64,'Tablas Magia'!$D$6:$Z$680,3,FALSE))</f>
        <v>12</v>
      </c>
      <c r="J64" s="5017" t="s">
        <v>8715</v>
      </c>
      <c r="K64" s="5017"/>
      <c r="L64" s="5017"/>
      <c r="M64" s="5018" t="str">
        <f>IF(C64=0,"",VLOOKUP(C64,'Tablas Magia'!$D$6:$Z$680,2,FALSE))</f>
        <v>Fuego</v>
      </c>
      <c r="N64" s="5018"/>
      <c r="O64" s="5018"/>
      <c r="P64" s="5018"/>
      <c r="Q64" s="5019"/>
      <c r="R64" s="1295"/>
      <c r="S64" s="1289"/>
      <c r="T64" s="1289"/>
      <c r="U64" s="2471">
        <f>U52+2</f>
        <v>32</v>
      </c>
      <c r="V64" s="5051"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52"/>
      <c r="X64" s="5052"/>
      <c r="Y64" s="5052"/>
      <c r="Z64" s="5052"/>
      <c r="AA64" s="1309" t="s">
        <v>2171</v>
      </c>
      <c r="AB64" s="1310">
        <f>IF(V64=0,"",VLOOKUP(V64,'Tablas Magia'!$D$6:$Z$680,3,FALSE))</f>
        <v>32</v>
      </c>
      <c r="AC64" s="5017" t="s">
        <v>8715</v>
      </c>
      <c r="AD64" s="5017"/>
      <c r="AE64" s="5017"/>
      <c r="AF64" s="5018" t="str">
        <f>IF(V64=0,"",VLOOKUP(V64,'Tablas Magia'!$D$6:$Z$680,2,FALSE))</f>
        <v>Fuego</v>
      </c>
      <c r="AG64" s="5018"/>
      <c r="AH64" s="5018"/>
      <c r="AI64" s="5018"/>
      <c r="AJ64" s="5019"/>
      <c r="AK64" s="1295"/>
      <c r="AL64" s="1289"/>
      <c r="AM64" s="1289"/>
      <c r="AN64" s="2485">
        <f>AN52+2</f>
        <v>52</v>
      </c>
      <c r="AO64" s="5051"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52"/>
      <c r="AQ64" s="5052"/>
      <c r="AR64" s="5052"/>
      <c r="AS64" s="5052"/>
      <c r="AT64" s="1309" t="s">
        <v>2171</v>
      </c>
      <c r="AU64" s="1310">
        <f>IF(AO64=0,"",VLOOKUP(AO64,'Tablas Magia'!$D$6:$Z$680,3,FALSE))</f>
        <v>52</v>
      </c>
      <c r="AV64" s="5017" t="s">
        <v>8715</v>
      </c>
      <c r="AW64" s="5017"/>
      <c r="AX64" s="5017"/>
      <c r="AY64" s="5018" t="str">
        <f>IF(AO64=0,"",VLOOKUP(AO64,'Tablas Magia'!$D$6:$Z$680,2,FALSE))</f>
        <v>Fuego</v>
      </c>
      <c r="AZ64" s="5018"/>
      <c r="BA64" s="5018"/>
      <c r="BB64" s="5018"/>
      <c r="BC64" s="5019"/>
      <c r="BD64" s="1295"/>
      <c r="BE64" s="1289"/>
      <c r="BF64" s="1289"/>
      <c r="BG64" s="2485">
        <f>BG52+2</f>
        <v>72</v>
      </c>
      <c r="BH64" s="5051"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52"/>
      <c r="BJ64" s="5052"/>
      <c r="BK64" s="5052"/>
      <c r="BL64" s="5052"/>
      <c r="BM64" s="1309" t="s">
        <v>2171</v>
      </c>
      <c r="BN64" s="1310">
        <f>IF(BH64=0,"",VLOOKUP(BH64,'Tablas Magia'!$D$6:$Z$680,3,FALSE))</f>
        <v>72</v>
      </c>
      <c r="BO64" s="5017" t="s">
        <v>8715</v>
      </c>
      <c r="BP64" s="5017"/>
      <c r="BQ64" s="5017"/>
      <c r="BR64" s="5018" t="str">
        <f>IF(BH64=0,"",VLOOKUP(BH64,'Tablas Magia'!$D$6:$Z$680,2,FALSE))</f>
        <v>Fuego</v>
      </c>
      <c r="BS64" s="5018"/>
      <c r="BT64" s="5018"/>
      <c r="BU64" s="5018"/>
      <c r="BV64" s="5019"/>
      <c r="BW64" s="1295"/>
      <c r="BX64" s="1289"/>
      <c r="BY64" s="1289"/>
      <c r="BZ64" s="2485">
        <f>BZ52+2</f>
        <v>92</v>
      </c>
      <c r="CA64" s="5051"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52"/>
      <c r="CC64" s="5052"/>
      <c r="CD64" s="5052"/>
      <c r="CE64" s="5052"/>
      <c r="CF64" s="1309" t="s">
        <v>2171</v>
      </c>
      <c r="CG64" s="1310">
        <f>IF(CA64=0,"",VLOOKUP(CA64,'Tablas Magia'!$D$6:$Z$680,3,FALSE))</f>
        <v>92</v>
      </c>
      <c r="CH64" s="5017" t="s">
        <v>8715</v>
      </c>
      <c r="CI64" s="5017"/>
      <c r="CJ64" s="5017"/>
      <c r="CK64" s="5018" t="str">
        <f>IF(CA64=0,"",VLOOKUP(CA64,'Tablas Magia'!$D$6:$Z$680,2,FALSE))</f>
        <v>Fuego</v>
      </c>
      <c r="CL64" s="5018"/>
      <c r="CM64" s="5018"/>
      <c r="CN64" s="5018"/>
      <c r="CO64" s="5019"/>
      <c r="CP64" s="1295"/>
      <c r="CQ64" s="1289"/>
    </row>
    <row r="65" spans="1:95" ht="12" customHeight="1" x14ac:dyDescent="0.2">
      <c r="A65" s="1289"/>
      <c r="B65" s="2471"/>
      <c r="C65" s="5035" t="s">
        <v>8716</v>
      </c>
      <c r="D65" s="5036"/>
      <c r="E65" s="1311" t="s">
        <v>8717</v>
      </c>
      <c r="F65" s="1311" t="s">
        <v>2365</v>
      </c>
      <c r="G65" s="1311" t="s">
        <v>4020</v>
      </c>
      <c r="H65" s="1312" t="s">
        <v>2716</v>
      </c>
      <c r="I65" s="5032" t="str">
        <f>IF(C64=0,"",VLOOKUP(C64,'Tablas Magia'!$D$6:$Z$680,5,FALSE))</f>
        <v>Detección</v>
      </c>
      <c r="J65" s="5032"/>
      <c r="K65" s="5033" t="s">
        <v>8718</v>
      </c>
      <c r="L65" s="5033"/>
      <c r="M65" s="5032" t="str">
        <f>IF(C64=0,"",VLOOKUP(C64,'Tablas Magia'!$D$6:$Z$680,6,FALSE))</f>
        <v>Activa</v>
      </c>
      <c r="N65" s="5032"/>
      <c r="O65" s="5034" t="s">
        <v>8719</v>
      </c>
      <c r="P65" s="5034"/>
      <c r="Q65" s="1313" t="str">
        <f>IF(C64=0,"",VLOOKUP(C64,'Tablas Magia'!$D$6:$Z$680,4,FALSE))</f>
        <v>No</v>
      </c>
      <c r="R65" s="1295"/>
      <c r="S65" s="1289"/>
      <c r="T65" s="1289"/>
      <c r="U65" s="2471"/>
      <c r="V65" s="5035" t="s">
        <v>8716</v>
      </c>
      <c r="W65" s="5036"/>
      <c r="X65" s="1311" t="s">
        <v>8717</v>
      </c>
      <c r="Y65" s="1311" t="s">
        <v>2365</v>
      </c>
      <c r="Z65" s="1311" t="s">
        <v>4020</v>
      </c>
      <c r="AA65" s="1312" t="s">
        <v>2716</v>
      </c>
      <c r="AB65" s="5032" t="str">
        <f>IF(V64=0,"",VLOOKUP(V64,'Tablas Magia'!$D$6:$Z$680,5,FALSE))</f>
        <v>Efecto</v>
      </c>
      <c r="AC65" s="5032"/>
      <c r="AD65" s="5033" t="s">
        <v>8718</v>
      </c>
      <c r="AE65" s="5033"/>
      <c r="AF65" s="5032" t="str">
        <f>IF(V64=0,"",VLOOKUP(V64,'Tablas Magia'!$D$6:$Z$680,6,FALSE))</f>
        <v>Activa</v>
      </c>
      <c r="AG65" s="5032"/>
      <c r="AH65" s="5034" t="s">
        <v>8719</v>
      </c>
      <c r="AI65" s="5034"/>
      <c r="AJ65" s="1313" t="str">
        <f>IF(V64=0,"",VLOOKUP(V64,'Tablas Magia'!$D$6:$Z$680,4,FALSE))</f>
        <v>No</v>
      </c>
      <c r="AK65" s="1295"/>
      <c r="AL65" s="1289"/>
      <c r="AM65" s="1289"/>
      <c r="AN65" s="2485"/>
      <c r="AO65" s="5035" t="s">
        <v>8716</v>
      </c>
      <c r="AP65" s="5036"/>
      <c r="AQ65" s="1311" t="s">
        <v>8717</v>
      </c>
      <c r="AR65" s="1311" t="s">
        <v>2365</v>
      </c>
      <c r="AS65" s="1311" t="s">
        <v>4020</v>
      </c>
      <c r="AT65" s="1312" t="s">
        <v>2716</v>
      </c>
      <c r="AU65" s="5032" t="str">
        <f>IF(AO64=0,"",VLOOKUP(AO64,'Tablas Magia'!$D$6:$Z$680,5,FALSE))</f>
        <v>Efecto</v>
      </c>
      <c r="AV65" s="5032"/>
      <c r="AW65" s="5033" t="s">
        <v>8718</v>
      </c>
      <c r="AX65" s="5033"/>
      <c r="AY65" s="5032" t="str">
        <f>IF(AO64=0,"",VLOOKUP(AO64,'Tablas Magia'!$D$6:$Z$680,6,FALSE))</f>
        <v>Activa</v>
      </c>
      <c r="AZ65" s="5032"/>
      <c r="BA65" s="5034" t="s">
        <v>8719</v>
      </c>
      <c r="BB65" s="5034"/>
      <c r="BC65" s="1313" t="str">
        <f>IF(AO64=0,"",VLOOKUP(AO64,'Tablas Magia'!$D$6:$Z$680,4,FALSE))</f>
        <v>No</v>
      </c>
      <c r="BD65" s="1295"/>
      <c r="BE65" s="1289"/>
      <c r="BF65" s="1289"/>
      <c r="BG65" s="2485"/>
      <c r="BH65" s="5035" t="s">
        <v>8716</v>
      </c>
      <c r="BI65" s="5036"/>
      <c r="BJ65" s="1311" t="s">
        <v>8717</v>
      </c>
      <c r="BK65" s="1311" t="s">
        <v>2365</v>
      </c>
      <c r="BL65" s="1311" t="s">
        <v>4020</v>
      </c>
      <c r="BM65" s="1312" t="s">
        <v>2716</v>
      </c>
      <c r="BN65" s="5032" t="str">
        <f>IF(BH64=0,"",VLOOKUP(BH64,'Tablas Magia'!$D$6:$Z$680,5,FALSE))</f>
        <v>Efecto</v>
      </c>
      <c r="BO65" s="5032"/>
      <c r="BP65" s="5033" t="s">
        <v>8718</v>
      </c>
      <c r="BQ65" s="5033"/>
      <c r="BR65" s="5032" t="str">
        <f>IF(BH64=0,"",VLOOKUP(BH64,'Tablas Magia'!$D$6:$Z$680,6,FALSE))</f>
        <v>Activa</v>
      </c>
      <c r="BS65" s="5032"/>
      <c r="BT65" s="5034" t="s">
        <v>8719</v>
      </c>
      <c r="BU65" s="5034"/>
      <c r="BV65" s="1313" t="str">
        <f>IF(BH64=0,"",VLOOKUP(BH64,'Tablas Magia'!$D$6:$Z$680,4,FALSE))</f>
        <v>Si</v>
      </c>
      <c r="BW65" s="1295"/>
      <c r="BX65" s="1289"/>
      <c r="BY65" s="1289"/>
      <c r="BZ65" s="2485"/>
      <c r="CA65" s="5035" t="s">
        <v>8716</v>
      </c>
      <c r="CB65" s="5036"/>
      <c r="CC65" s="1311" t="s">
        <v>8717</v>
      </c>
      <c r="CD65" s="1311" t="s">
        <v>2365</v>
      </c>
      <c r="CE65" s="1311" t="s">
        <v>4020</v>
      </c>
      <c r="CF65" s="1312" t="s">
        <v>2716</v>
      </c>
      <c r="CG65" s="5032" t="str">
        <f>IF(CA64=0,"",VLOOKUP(CA64,'Tablas Magia'!$D$6:$Z$680,5,FALSE))</f>
        <v>Efecto</v>
      </c>
      <c r="CH65" s="5032"/>
      <c r="CI65" s="5033" t="s">
        <v>8718</v>
      </c>
      <c r="CJ65" s="5033"/>
      <c r="CK65" s="5032" t="str">
        <f>IF(CA64=0,"",VLOOKUP(CA64,'Tablas Magia'!$D$6:$Z$680,6,FALSE))</f>
        <v>Activa</v>
      </c>
      <c r="CL65" s="5032"/>
      <c r="CM65" s="5034" t="s">
        <v>8719</v>
      </c>
      <c r="CN65" s="5034"/>
      <c r="CO65" s="1313" t="str">
        <f>IF(CA64=0,"",VLOOKUP(CA64,'Tablas Magia'!$D$6:$Z$680,4,FALSE))</f>
        <v>Si</v>
      </c>
      <c r="CP65" s="1295"/>
      <c r="CQ65" s="1289"/>
    </row>
    <row r="66" spans="1:95" ht="12" customHeight="1" x14ac:dyDescent="0.2">
      <c r="A66" s="1289"/>
      <c r="B66" s="2471"/>
      <c r="C66" s="5027" t="s">
        <v>2218</v>
      </c>
      <c r="D66" s="5028"/>
      <c r="E66" s="1314">
        <f>IF(C64=0,"",VLOOKUP(C64,'Tablas Magia'!$D$6:$Z$680,7,FALSE))</f>
        <v>6</v>
      </c>
      <c r="F66" s="1314">
        <f>IF(C64=0,"",VLOOKUP(C64,'Tablas Magia'!$D$6:$Z$680,11,FALSE))</f>
        <v>60</v>
      </c>
      <c r="G66" s="1315">
        <f>IF(C64=0,"",VLOOKUP(C64,'Tablas Magia'!$D$6:$Z$680,15,FALSE))</f>
        <v>10</v>
      </c>
      <c r="H66" s="5029" t="str">
        <f>IF(C64=0,"",VLOOKUP(C64,'Tablas Magia'!$D$6:$Z$680,19,FALSE))</f>
        <v>25 metros / RM 120</v>
      </c>
      <c r="I66" s="5030"/>
      <c r="J66" s="5030"/>
      <c r="K66" s="5030"/>
      <c r="L66" s="5030"/>
      <c r="M66" s="5030"/>
      <c r="N66" s="5030"/>
      <c r="O66" s="5030"/>
      <c r="P66" s="5030"/>
      <c r="Q66" s="5031"/>
      <c r="R66" s="1295"/>
      <c r="S66" s="1289"/>
      <c r="T66" s="1289"/>
      <c r="U66" s="2471"/>
      <c r="V66" s="5027" t="s">
        <v>2218</v>
      </c>
      <c r="W66" s="5028"/>
      <c r="X66" s="1314">
        <f>IF(V64=0,"",VLOOKUP(V64,'Tablas Magia'!$D$6:$Z$680,7,FALSE))</f>
        <v>6</v>
      </c>
      <c r="Y66" s="1314">
        <f>IF(V64=0,"",VLOOKUP(V64,'Tablas Magia'!$D$6:$Z$680,11,FALSE))</f>
        <v>60</v>
      </c>
      <c r="Z66" s="1315" t="str">
        <f>IF(V64=0,"",VLOOKUP(V64,'Tablas Magia'!$D$6:$Z$680,15,FALSE))</f>
        <v>No</v>
      </c>
      <c r="AA66" s="5029" t="str">
        <f>IF(V64=0,"",VLOOKUP(V64,'Tablas Magia'!$D$6:$Z$680,19,FALSE))</f>
        <v>Retrocede una hora</v>
      </c>
      <c r="AB66" s="5030"/>
      <c r="AC66" s="5030"/>
      <c r="AD66" s="5030"/>
      <c r="AE66" s="5030"/>
      <c r="AF66" s="5030"/>
      <c r="AG66" s="5030"/>
      <c r="AH66" s="5030"/>
      <c r="AI66" s="5030"/>
      <c r="AJ66" s="5031"/>
      <c r="AK66" s="1295"/>
      <c r="AL66" s="1289"/>
      <c r="AM66" s="1289"/>
      <c r="AN66" s="2485"/>
      <c r="AO66" s="5027" t="s">
        <v>2218</v>
      </c>
      <c r="AP66" s="5028"/>
      <c r="AQ66" s="1314">
        <f>IF(AO64=0,"",VLOOKUP(AO64,'Tablas Magia'!$D$6:$Z$680,7,FALSE))</f>
        <v>8</v>
      </c>
      <c r="AR66" s="1314">
        <f>IF(AO64=0,"",VLOOKUP(AO64,'Tablas Magia'!$D$6:$Z$680,11,FALSE))</f>
        <v>100</v>
      </c>
      <c r="AS66" s="1315">
        <f>IF(AO64=0,"",VLOOKUP(AO64,'Tablas Magia'!$D$6:$Z$680,15,FALSE))</f>
        <v>10</v>
      </c>
      <c r="AT66" s="5029" t="str">
        <f>IF(AO64=0,"",VLOOKUP(AO64,'Tablas Magia'!$D$6:$Z$680,19,FALSE))</f>
        <v>Las habilidades descritas</v>
      </c>
      <c r="AU66" s="5030"/>
      <c r="AV66" s="5030"/>
      <c r="AW66" s="5030"/>
      <c r="AX66" s="5030"/>
      <c r="AY66" s="5030"/>
      <c r="AZ66" s="5030"/>
      <c r="BA66" s="5030"/>
      <c r="BB66" s="5030"/>
      <c r="BC66" s="5031"/>
      <c r="BD66" s="1295"/>
      <c r="BE66" s="1289"/>
      <c r="BF66" s="1289"/>
      <c r="BG66" s="2485"/>
      <c r="BH66" s="5027" t="s">
        <v>2218</v>
      </c>
      <c r="BI66" s="5028"/>
      <c r="BJ66" s="1314">
        <f>IF(BH64=0,"",VLOOKUP(BH64,'Tablas Magia'!$D$6:$Z$680,7,FALSE))</f>
        <v>6</v>
      </c>
      <c r="BK66" s="1314">
        <f>IF(BH64=0,"",VLOOKUP(BH64,'Tablas Magia'!$D$6:$Z$680,11,FALSE))</f>
        <v>120</v>
      </c>
      <c r="BL66" s="1315">
        <f>IF(BH64=0,"",VLOOKUP(BH64,'Tablas Magia'!$D$6:$Z$680,15,FALSE))</f>
        <v>10</v>
      </c>
      <c r="BM66" s="5029" t="str">
        <f>IF(BH64=0,"",VLOOKUP(BH64,'Tablas Magia'!$D$6:$Z$680,19,FALSE))</f>
        <v>50 puntos de Zeon por asalto</v>
      </c>
      <c r="BN66" s="5030"/>
      <c r="BO66" s="5030"/>
      <c r="BP66" s="5030"/>
      <c r="BQ66" s="5030"/>
      <c r="BR66" s="5030"/>
      <c r="BS66" s="5030"/>
      <c r="BT66" s="5030"/>
      <c r="BU66" s="5030"/>
      <c r="BV66" s="5031"/>
      <c r="BW66" s="1295"/>
      <c r="BX66" s="1289"/>
      <c r="BY66" s="1289"/>
      <c r="BZ66" s="2485"/>
      <c r="CA66" s="5027" t="s">
        <v>2218</v>
      </c>
      <c r="CB66" s="5028"/>
      <c r="CC66" s="1314">
        <f>IF(CA64=0,"",VLOOKUP(CA64,'Tablas Magia'!$D$6:$Z$680,7,FALSE))</f>
        <v>13</v>
      </c>
      <c r="CD66" s="1314">
        <f>IF(CA64=0,"",VLOOKUP(CA64,'Tablas Magia'!$D$6:$Z$680,11,FALSE))</f>
        <v>250</v>
      </c>
      <c r="CE66" s="1315">
        <f>IF(CA64=0,"",VLOOKUP(CA64,'Tablas Magia'!$D$6:$Z$680,15,FALSE))</f>
        <v>50</v>
      </c>
      <c r="CF66" s="5029" t="str">
        <f>IF(CA64=0,"",VLOOKUP(CA64,'Tablas Magia'!$D$6:$Z$680,19,FALSE))</f>
        <v>RM 120/ 1 km de area</v>
      </c>
      <c r="CG66" s="5030"/>
      <c r="CH66" s="5030"/>
      <c r="CI66" s="5030"/>
      <c r="CJ66" s="5030"/>
      <c r="CK66" s="5030"/>
      <c r="CL66" s="5030"/>
      <c r="CM66" s="5030"/>
      <c r="CN66" s="5030"/>
      <c r="CO66" s="5031"/>
      <c r="CP66" s="1295"/>
      <c r="CQ66" s="1289"/>
    </row>
    <row r="67" spans="1:95" ht="12" customHeight="1" x14ac:dyDescent="0.2">
      <c r="A67" s="1289"/>
      <c r="B67" s="2471"/>
      <c r="C67" s="5022" t="s">
        <v>5258</v>
      </c>
      <c r="D67" s="5023"/>
      <c r="E67" s="1316">
        <f>IF(C64=0,"",VLOOKUP(C64,'Tablas Magia'!$D$6:$Z$680,8,FALSE))</f>
        <v>9</v>
      </c>
      <c r="F67" s="1316">
        <f>IF(C64=0,"",VLOOKUP(C64,'Tablas Magia'!$D$6:$Z$680,12,FALSE))</f>
        <v>100</v>
      </c>
      <c r="G67" s="1317">
        <f>IF(C64=0,"",VLOOKUP(C64,'Tablas Magia'!$D$6:$Z$680,16,FALSE))</f>
        <v>10</v>
      </c>
      <c r="H67" s="5024" t="str">
        <f>IF(C64=0,"",VLOOKUP(C64,'Tablas Magia'!$D$6:$Z$680,20,FALSE))</f>
        <v>50 metros / RM 150</v>
      </c>
      <c r="I67" s="5025"/>
      <c r="J67" s="5025"/>
      <c r="K67" s="5025"/>
      <c r="L67" s="5025"/>
      <c r="M67" s="5025"/>
      <c r="N67" s="5025"/>
      <c r="O67" s="5025"/>
      <c r="P67" s="5025"/>
      <c r="Q67" s="5026"/>
      <c r="R67" s="1295"/>
      <c r="S67" s="1289"/>
      <c r="T67" s="1289"/>
      <c r="U67" s="2471"/>
      <c r="V67" s="5022" t="s">
        <v>5258</v>
      </c>
      <c r="W67" s="5023"/>
      <c r="X67" s="1316">
        <f>IF(V64=0,"",VLOOKUP(V64,'Tablas Magia'!$D$6:$Z$680,8,FALSE))</f>
        <v>10</v>
      </c>
      <c r="Y67" s="1316">
        <f>IF(V64=0,"",VLOOKUP(V64,'Tablas Magia'!$D$6:$Z$680,12,FALSE))</f>
        <v>140</v>
      </c>
      <c r="Z67" s="1317" t="str">
        <f>IF(V64=0,"",VLOOKUP(V64,'Tablas Magia'!$D$6:$Z$680,16,FALSE))</f>
        <v>No</v>
      </c>
      <c r="AA67" s="5024" t="str">
        <f>IF(V64=0,"",VLOOKUP(V64,'Tablas Magia'!$D$6:$Z$680,20,FALSE))</f>
        <v>Retrocede un día</v>
      </c>
      <c r="AB67" s="5025"/>
      <c r="AC67" s="5025"/>
      <c r="AD67" s="5025"/>
      <c r="AE67" s="5025"/>
      <c r="AF67" s="5025"/>
      <c r="AG67" s="5025"/>
      <c r="AH67" s="5025"/>
      <c r="AI67" s="5025"/>
      <c r="AJ67" s="5026"/>
      <c r="AK67" s="1295"/>
      <c r="AL67" s="1289"/>
      <c r="AM67" s="1289"/>
      <c r="AN67" s="2485"/>
      <c r="AO67" s="5022" t="s">
        <v>5258</v>
      </c>
      <c r="AP67" s="5023"/>
      <c r="AQ67" s="1316">
        <f>IF(AO64=0,"",VLOOKUP(AO64,'Tablas Magia'!$D$6:$Z$680,8,FALSE))</f>
        <v>11</v>
      </c>
      <c r="AR67" s="1316">
        <f>IF(AO64=0,"",VLOOKUP(AO64,'Tablas Magia'!$D$6:$Z$680,12,FALSE))</f>
        <v>120</v>
      </c>
      <c r="AS67" s="1317">
        <f>IF(AO64=0,"",VLOOKUP(AO64,'Tablas Magia'!$D$6:$Z$680,16,FALSE))</f>
        <v>15</v>
      </c>
      <c r="AT67" s="5024" t="str">
        <f>IF(AO64=0,"",VLOOKUP(AO64,'Tablas Magia'!$D$6:$Z$680,20,FALSE))</f>
        <v>Se gana +30 a sus Resistencias contra efectos basados en calor</v>
      </c>
      <c r="AU67" s="5025"/>
      <c r="AV67" s="5025"/>
      <c r="AW67" s="5025"/>
      <c r="AX67" s="5025"/>
      <c r="AY67" s="5025"/>
      <c r="AZ67" s="5025"/>
      <c r="BA67" s="5025"/>
      <c r="BB67" s="5025"/>
      <c r="BC67" s="5026"/>
      <c r="BD67" s="1295"/>
      <c r="BE67" s="1289"/>
      <c r="BF67" s="1289"/>
      <c r="BG67" s="2485"/>
      <c r="BH67" s="5022" t="s">
        <v>5258</v>
      </c>
      <c r="BI67" s="5023"/>
      <c r="BJ67" s="1316">
        <f>IF(BH64=0,"",VLOOKUP(BH64,'Tablas Magia'!$D$6:$Z$680,8,FALSE))</f>
        <v>9</v>
      </c>
      <c r="BK67" s="1316">
        <f>IF(BH64=0,"",VLOOKUP(BH64,'Tablas Magia'!$D$6:$Z$680,12,FALSE))</f>
        <v>180</v>
      </c>
      <c r="BL67" s="1317">
        <f>IF(BH64=0,"",VLOOKUP(BH64,'Tablas Magia'!$D$6:$Z$680,16,FALSE))</f>
        <v>10</v>
      </c>
      <c r="BM67" s="5024" t="str">
        <f>IF(BH64=0,"",VLOOKUP(BH64,'Tablas Magia'!$D$6:$Z$680,20,FALSE))</f>
        <v>100 puntos de Zeon por asalto</v>
      </c>
      <c r="BN67" s="5025"/>
      <c r="BO67" s="5025"/>
      <c r="BP67" s="5025"/>
      <c r="BQ67" s="5025"/>
      <c r="BR67" s="5025"/>
      <c r="BS67" s="5025"/>
      <c r="BT67" s="5025"/>
      <c r="BU67" s="5025"/>
      <c r="BV67" s="5026"/>
      <c r="BW67" s="1295"/>
      <c r="BX67" s="1289"/>
      <c r="BY67" s="1289"/>
      <c r="BZ67" s="2485"/>
      <c r="CA67" s="5022" t="s">
        <v>5258</v>
      </c>
      <c r="CB67" s="5023"/>
      <c r="CC67" s="1316">
        <f>IF(CA64=0,"",VLOOKUP(CA64,'Tablas Magia'!$D$6:$Z$680,8,FALSE))</f>
        <v>15</v>
      </c>
      <c r="CD67" s="1316">
        <f>IF(CA64=0,"",VLOOKUP(CA64,'Tablas Magia'!$D$6:$Z$680,12,FALSE))</f>
        <v>350</v>
      </c>
      <c r="CE67" s="1317">
        <f>IF(CA64=0,"",VLOOKUP(CA64,'Tablas Magia'!$D$6:$Z$680,16,FALSE))</f>
        <v>70</v>
      </c>
      <c r="CF67" s="5024" t="str">
        <f>IF(CA64=0,"",VLOOKUP(CA64,'Tablas Magia'!$D$6:$Z$680,20,FALSE))</f>
        <v>RM 140/ 2km de area</v>
      </c>
      <c r="CG67" s="5025"/>
      <c r="CH67" s="5025"/>
      <c r="CI67" s="5025"/>
      <c r="CJ67" s="5025"/>
      <c r="CK67" s="5025"/>
      <c r="CL67" s="5025"/>
      <c r="CM67" s="5025"/>
      <c r="CN67" s="5025"/>
      <c r="CO67" s="5026"/>
      <c r="CP67" s="1295"/>
      <c r="CQ67" s="1289"/>
    </row>
    <row r="68" spans="1:95" ht="12" customHeight="1" x14ac:dyDescent="0.2">
      <c r="A68" s="1289"/>
      <c r="B68" s="2471"/>
      <c r="C68" s="5027" t="s">
        <v>5259</v>
      </c>
      <c r="D68" s="5028"/>
      <c r="E68" s="1314">
        <f>IF(C64=0,"",VLOOKUP(C64,'Tablas Magia'!$D$6:$Z$680,9,FALSE))</f>
        <v>12</v>
      </c>
      <c r="F68" s="1314">
        <f>IF(C64=0,"",VLOOKUP(C64,'Tablas Magia'!$D$6:$Z$680,13,FALSE))</f>
        <v>140</v>
      </c>
      <c r="G68" s="1315">
        <f>IF(C64=0,"",VLOOKUP(C64,'Tablas Magia'!$D$6:$Z$680,17,FALSE))</f>
        <v>15</v>
      </c>
      <c r="H68" s="5029" t="str">
        <f>IF(C64=0,"",VLOOKUP(C64,'Tablas Magia'!$D$6:$Z$680,21,FALSE))</f>
        <v>100 metros / RM 180</v>
      </c>
      <c r="I68" s="5030"/>
      <c r="J68" s="5030"/>
      <c r="K68" s="5030"/>
      <c r="L68" s="5030"/>
      <c r="M68" s="5030"/>
      <c r="N68" s="5030"/>
      <c r="O68" s="5030"/>
      <c r="P68" s="5030"/>
      <c r="Q68" s="5031"/>
      <c r="R68" s="1295"/>
      <c r="S68" s="1289"/>
      <c r="T68" s="1289"/>
      <c r="U68" s="2471"/>
      <c r="V68" s="5027" t="s">
        <v>5259</v>
      </c>
      <c r="W68" s="5028"/>
      <c r="X68" s="1314">
        <f>IF(V64=0,"",VLOOKUP(V64,'Tablas Magia'!$D$6:$Z$680,9,FALSE))</f>
        <v>13</v>
      </c>
      <c r="Y68" s="1314">
        <f>IF(V64=0,"",VLOOKUP(V64,'Tablas Magia'!$D$6:$Z$680,13,FALSE))</f>
        <v>220</v>
      </c>
      <c r="Z68" s="1315" t="str">
        <f>IF(V64=0,"",VLOOKUP(V64,'Tablas Magia'!$D$6:$Z$680,17,FALSE))</f>
        <v>No</v>
      </c>
      <c r="AA68" s="5029" t="str">
        <f>IF(V64=0,"",VLOOKUP(V64,'Tablas Magia'!$D$6:$Z$680,21,FALSE))</f>
        <v>Retrocede un mes</v>
      </c>
      <c r="AB68" s="5030"/>
      <c r="AC68" s="5030"/>
      <c r="AD68" s="5030"/>
      <c r="AE68" s="5030"/>
      <c r="AF68" s="5030"/>
      <c r="AG68" s="5030"/>
      <c r="AH68" s="5030"/>
      <c r="AI68" s="5030"/>
      <c r="AJ68" s="5031"/>
      <c r="AK68" s="1295"/>
      <c r="AL68" s="1289"/>
      <c r="AM68" s="1289"/>
      <c r="AN68" s="2485"/>
      <c r="AO68" s="5027" t="s">
        <v>5259</v>
      </c>
      <c r="AP68" s="5028"/>
      <c r="AQ68" s="1314">
        <f>IF(AO64=0,"",VLOOKUP(AO64,'Tablas Magia'!$D$6:$Z$680,9,FALSE))</f>
        <v>12</v>
      </c>
      <c r="AR68" s="1314">
        <f>IF(AO64=0,"",VLOOKUP(AO64,'Tablas Magia'!$D$6:$Z$680,13,FALSE))</f>
        <v>140</v>
      </c>
      <c r="AS68" s="1315">
        <f>IF(AO64=0,"",VLOOKUP(AO64,'Tablas Magia'!$D$6:$Z$680,17,FALSE))</f>
        <v>15</v>
      </c>
      <c r="AT68" s="5029" t="str">
        <f>IF(AO64=0,"",VLOOKUP(AO64,'Tablas Magia'!$D$6:$Z$680,21,FALSE))</f>
        <v>Idem arriba, el sujeto puede pasar por donde pueda pasar el fuego</v>
      </c>
      <c r="AU68" s="5030"/>
      <c r="AV68" s="5030"/>
      <c r="AW68" s="5030"/>
      <c r="AX68" s="5030"/>
      <c r="AY68" s="5030"/>
      <c r="AZ68" s="5030"/>
      <c r="BA68" s="5030"/>
      <c r="BB68" s="5030"/>
      <c r="BC68" s="5031"/>
      <c r="BD68" s="1295"/>
      <c r="BE68" s="1289"/>
      <c r="BF68" s="1289"/>
      <c r="BG68" s="2485"/>
      <c r="BH68" s="5027" t="s">
        <v>5259</v>
      </c>
      <c r="BI68" s="5028"/>
      <c r="BJ68" s="1314">
        <f>IF(BH64=0,"",VLOOKUP(BH64,'Tablas Magia'!$D$6:$Z$680,9,FALSE))</f>
        <v>13</v>
      </c>
      <c r="BK68" s="1314">
        <f>IF(BH64=0,"",VLOOKUP(BH64,'Tablas Magia'!$D$6:$Z$680,13,FALSE))</f>
        <v>240</v>
      </c>
      <c r="BL68" s="1315">
        <f>IF(BH64=0,"",VLOOKUP(BH64,'Tablas Magia'!$D$6:$Z$680,17,FALSE))</f>
        <v>15</v>
      </c>
      <c r="BM68" s="5029" t="str">
        <f>IF(BH64=0,"",VLOOKUP(BH64,'Tablas Magia'!$D$6:$Z$680,21,FALSE))</f>
        <v>150 puntos de Zeon por asalto</v>
      </c>
      <c r="BN68" s="5030"/>
      <c r="BO68" s="5030"/>
      <c r="BP68" s="5030"/>
      <c r="BQ68" s="5030"/>
      <c r="BR68" s="5030"/>
      <c r="BS68" s="5030"/>
      <c r="BT68" s="5030"/>
      <c r="BU68" s="5030"/>
      <c r="BV68" s="5031"/>
      <c r="BW68" s="1295"/>
      <c r="BX68" s="1289"/>
      <c r="BY68" s="1289"/>
      <c r="BZ68" s="2485"/>
      <c r="CA68" s="5027" t="s">
        <v>5259</v>
      </c>
      <c r="CB68" s="5028"/>
      <c r="CC68" s="1314">
        <f>IF(CA64=0,"",VLOOKUP(CA64,'Tablas Magia'!$D$6:$Z$680,9,FALSE))</f>
        <v>17</v>
      </c>
      <c r="CD68" s="1314">
        <f>IF(CA64=0,"",VLOOKUP(CA64,'Tablas Magia'!$D$6:$Z$680,13,FALSE))</f>
        <v>500</v>
      </c>
      <c r="CE68" s="1315">
        <f>IF(CA64=0,"",VLOOKUP(CA64,'Tablas Magia'!$D$6:$Z$680,17,FALSE))</f>
        <v>100</v>
      </c>
      <c r="CF68" s="5029" t="str">
        <f>IF(CA64=0,"",VLOOKUP(CA64,'Tablas Magia'!$D$6:$Z$680,21,FALSE))</f>
        <v>RM 160/ 3km de area</v>
      </c>
      <c r="CG68" s="5030"/>
      <c r="CH68" s="5030"/>
      <c r="CI68" s="5030"/>
      <c r="CJ68" s="5030"/>
      <c r="CK68" s="5030"/>
      <c r="CL68" s="5030"/>
      <c r="CM68" s="5030"/>
      <c r="CN68" s="5030"/>
      <c r="CO68" s="5031"/>
      <c r="CP68" s="1295"/>
      <c r="CQ68" s="1289"/>
    </row>
    <row r="69" spans="1:95" ht="12" customHeight="1" thickBot="1" x14ac:dyDescent="0.25">
      <c r="A69" s="1289"/>
      <c r="B69" s="2471"/>
      <c r="C69" s="5037" t="s">
        <v>5260</v>
      </c>
      <c r="D69" s="5038"/>
      <c r="E69" s="1318">
        <f>IF(C64=0,"",VLOOKUP(C64,'Tablas Magia'!$D$6:$Z$680,10,FALSE))</f>
        <v>15</v>
      </c>
      <c r="F69" s="1318">
        <f>IF(C64=0,"",VLOOKUP(C64,'Tablas Magia'!$D$6:$Z$680,14,FALSE))</f>
        <v>200</v>
      </c>
      <c r="G69" s="1319">
        <f>IF(C64=0,"",VLOOKUP(C64,'Tablas Magia'!$D$6:$Z$680,18,FALSE))</f>
        <v>15</v>
      </c>
      <c r="H69" s="5039" t="str">
        <f>IF(C64=0,"",VLOOKUP(C64,'Tablas Magia'!$D$6:$Z$680,22,FALSE))</f>
        <v>250 metros / RM 220</v>
      </c>
      <c r="I69" s="5040"/>
      <c r="J69" s="5040"/>
      <c r="K69" s="5040"/>
      <c r="L69" s="5040"/>
      <c r="M69" s="5040"/>
      <c r="N69" s="5040"/>
      <c r="O69" s="5040"/>
      <c r="P69" s="5040"/>
      <c r="Q69" s="5041"/>
      <c r="R69" s="1295"/>
      <c r="S69" s="1289"/>
      <c r="T69" s="1289"/>
      <c r="U69" s="2471"/>
      <c r="V69" s="5037" t="s">
        <v>5260</v>
      </c>
      <c r="W69" s="5038"/>
      <c r="X69" s="1318">
        <f>IF(V64=0,"",VLOOKUP(V64,'Tablas Magia'!$D$6:$Z$680,10,FALSE))</f>
        <v>15</v>
      </c>
      <c r="Y69" s="1318">
        <f>IF(V64=0,"",VLOOKUP(V64,'Tablas Magia'!$D$6:$Z$680,14,FALSE))</f>
        <v>340</v>
      </c>
      <c r="Z69" s="1319" t="str">
        <f>IF(V64=0,"",VLOOKUP(V64,'Tablas Magia'!$D$6:$Z$680,18,FALSE))</f>
        <v>No</v>
      </c>
      <c r="AA69" s="5039" t="str">
        <f>IF(V64=0,"",VLOOKUP(V64,'Tablas Magia'!$D$6:$Z$680,22,FALSE))</f>
        <v>Retrocede un año</v>
      </c>
      <c r="AB69" s="5040"/>
      <c r="AC69" s="5040"/>
      <c r="AD69" s="5040"/>
      <c r="AE69" s="5040"/>
      <c r="AF69" s="5040"/>
      <c r="AG69" s="5040"/>
      <c r="AH69" s="5040"/>
      <c r="AI69" s="5040"/>
      <c r="AJ69" s="5041"/>
      <c r="AK69" s="1295"/>
      <c r="AL69" s="1289"/>
      <c r="AM69" s="1289"/>
      <c r="AN69" s="2485"/>
      <c r="AO69" s="5037" t="s">
        <v>5260</v>
      </c>
      <c r="AP69" s="5038"/>
      <c r="AQ69" s="1318">
        <f>IF(AO64=0,"",VLOOKUP(AO64,'Tablas Magia'!$D$6:$Z$680,10,FALSE))</f>
        <v>16</v>
      </c>
      <c r="AR69" s="1318">
        <f>IF(AO64=0,"",VLOOKUP(AO64,'Tablas Magia'!$D$6:$Z$680,14,FALSE))</f>
        <v>160</v>
      </c>
      <c r="AS69" s="1319">
        <f>IF(AO64=0,"",VLOOKUP(AO64,'Tablas Magia'!$D$6:$Z$680,18,FALSE))</f>
        <v>20</v>
      </c>
      <c r="AT69" s="5039" t="str">
        <f>IF(AO64=0,"",VLOOKUP(AO64,'Tablas Magia'!$D$6:$Z$680,22,FALSE))</f>
        <v>Idem arriba, los ataques de frío o agua no sobrenatural no causan daño</v>
      </c>
      <c r="AU69" s="5040"/>
      <c r="AV69" s="5040"/>
      <c r="AW69" s="5040"/>
      <c r="AX69" s="5040"/>
      <c r="AY69" s="5040"/>
      <c r="AZ69" s="5040"/>
      <c r="BA69" s="5040"/>
      <c r="BB69" s="5040"/>
      <c r="BC69" s="5041"/>
      <c r="BD69" s="1295"/>
      <c r="BE69" s="1289"/>
      <c r="BF69" s="1289"/>
      <c r="BG69" s="2485"/>
      <c r="BH69" s="5037" t="s">
        <v>5260</v>
      </c>
      <c r="BI69" s="5038"/>
      <c r="BJ69" s="1318">
        <f>IF(BH64=0,"",VLOOKUP(BH64,'Tablas Magia'!$D$6:$Z$680,10,FALSE))</f>
        <v>15</v>
      </c>
      <c r="BK69" s="1318">
        <f>IF(BH64=0,"",VLOOKUP(BH64,'Tablas Magia'!$D$6:$Z$680,14,FALSE))</f>
        <v>300</v>
      </c>
      <c r="BL69" s="1319">
        <f>IF(BH64=0,"",VLOOKUP(BH64,'Tablas Magia'!$D$6:$Z$680,18,FALSE))</f>
        <v>15</v>
      </c>
      <c r="BM69" s="5039" t="str">
        <f>IF(BH64=0,"",VLOOKUP(BH64,'Tablas Magia'!$D$6:$Z$680,22,FALSE))</f>
        <v>200 puntos de Zeon por asalto</v>
      </c>
      <c r="BN69" s="5040"/>
      <c r="BO69" s="5040"/>
      <c r="BP69" s="5040"/>
      <c r="BQ69" s="5040"/>
      <c r="BR69" s="5040"/>
      <c r="BS69" s="5040"/>
      <c r="BT69" s="5040"/>
      <c r="BU69" s="5040"/>
      <c r="BV69" s="5041"/>
      <c r="BW69" s="1295"/>
      <c r="BX69" s="1289"/>
      <c r="BY69" s="1289"/>
      <c r="BZ69" s="2485"/>
      <c r="CA69" s="5037" t="s">
        <v>5260</v>
      </c>
      <c r="CB69" s="5038"/>
      <c r="CC69" s="1318">
        <f>IF(CA64=0,"",VLOOKUP(CA64,'Tablas Magia'!$D$6:$Z$680,10,FALSE))</f>
        <v>19</v>
      </c>
      <c r="CD69" s="1318">
        <f>IF(CA64=0,"",VLOOKUP(CA64,'Tablas Magia'!$D$6:$Z$680,14,FALSE))</f>
        <v>750</v>
      </c>
      <c r="CE69" s="1319">
        <f>IF(CA64=0,"",VLOOKUP(CA64,'Tablas Magia'!$D$6:$Z$680,18,FALSE))</f>
        <v>150</v>
      </c>
      <c r="CF69" s="5039" t="str">
        <f>IF(CA64=0,"",VLOOKUP(CA64,'Tablas Magia'!$D$6:$Z$680,22,FALSE))</f>
        <v>RM 180/ 5 km de area</v>
      </c>
      <c r="CG69" s="5040"/>
      <c r="CH69" s="5040"/>
      <c r="CI69" s="5040"/>
      <c r="CJ69" s="5040"/>
      <c r="CK69" s="5040"/>
      <c r="CL69" s="5040"/>
      <c r="CM69" s="5040"/>
      <c r="CN69" s="5040"/>
      <c r="CO69" s="5041"/>
      <c r="CP69" s="1295"/>
      <c r="CQ69" s="1289"/>
    </row>
    <row r="70" spans="1:95" ht="12" customHeight="1" x14ac:dyDescent="0.2">
      <c r="A70" s="1289"/>
      <c r="B70" s="2471"/>
      <c r="C70" s="504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43"/>
      <c r="E70" s="5043"/>
      <c r="F70" s="5043"/>
      <c r="G70" s="5043"/>
      <c r="H70" s="5043"/>
      <c r="I70" s="5043"/>
      <c r="J70" s="5043"/>
      <c r="K70" s="5043"/>
      <c r="L70" s="5043"/>
      <c r="M70" s="5043"/>
      <c r="N70" s="5043"/>
      <c r="O70" s="5043"/>
      <c r="P70" s="5043"/>
      <c r="Q70" s="5044"/>
      <c r="R70" s="1295"/>
      <c r="S70" s="1289"/>
      <c r="T70" s="1289"/>
      <c r="U70" s="2471"/>
      <c r="V70" s="504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43"/>
      <c r="X70" s="5043"/>
      <c r="Y70" s="5043"/>
      <c r="Z70" s="5043"/>
      <c r="AA70" s="5043"/>
      <c r="AB70" s="5043"/>
      <c r="AC70" s="5043"/>
      <c r="AD70" s="5043"/>
      <c r="AE70" s="5043"/>
      <c r="AF70" s="5043"/>
      <c r="AG70" s="5043"/>
      <c r="AH70" s="5043"/>
      <c r="AI70" s="5043"/>
      <c r="AJ70" s="5044"/>
      <c r="AK70" s="1295"/>
      <c r="AL70" s="1289"/>
      <c r="AM70" s="1289"/>
      <c r="AN70" s="2485"/>
      <c r="AO70" s="504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43"/>
      <c r="AQ70" s="5043"/>
      <c r="AR70" s="5043"/>
      <c r="AS70" s="5043"/>
      <c r="AT70" s="5043"/>
      <c r="AU70" s="5043"/>
      <c r="AV70" s="5043"/>
      <c r="AW70" s="5043"/>
      <c r="AX70" s="5043"/>
      <c r="AY70" s="5043"/>
      <c r="AZ70" s="5043"/>
      <c r="BA70" s="5043"/>
      <c r="BB70" s="5043"/>
      <c r="BC70" s="5044"/>
      <c r="BD70" s="1295"/>
      <c r="BE70" s="1289"/>
      <c r="BF70" s="1289"/>
      <c r="BG70" s="2485"/>
      <c r="BH70" s="504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43"/>
      <c r="BJ70" s="5043"/>
      <c r="BK70" s="5043"/>
      <c r="BL70" s="5043"/>
      <c r="BM70" s="5043"/>
      <c r="BN70" s="5043"/>
      <c r="BO70" s="5043"/>
      <c r="BP70" s="5043"/>
      <c r="BQ70" s="5043"/>
      <c r="BR70" s="5043"/>
      <c r="BS70" s="5043"/>
      <c r="BT70" s="5043"/>
      <c r="BU70" s="5043"/>
      <c r="BV70" s="5044"/>
      <c r="BW70" s="1295"/>
      <c r="BX70" s="1289"/>
      <c r="BY70" s="1289"/>
      <c r="BZ70" s="2485"/>
      <c r="CA70" s="504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43"/>
      <c r="CC70" s="5043"/>
      <c r="CD70" s="5043"/>
      <c r="CE70" s="5043"/>
      <c r="CF70" s="5043"/>
      <c r="CG70" s="5043"/>
      <c r="CH70" s="5043"/>
      <c r="CI70" s="5043"/>
      <c r="CJ70" s="5043"/>
      <c r="CK70" s="5043"/>
      <c r="CL70" s="5043"/>
      <c r="CM70" s="5043"/>
      <c r="CN70" s="5043"/>
      <c r="CO70" s="5044"/>
      <c r="CP70" s="1295"/>
      <c r="CQ70" s="1289"/>
    </row>
    <row r="71" spans="1:95" ht="12" customHeight="1" x14ac:dyDescent="0.2">
      <c r="A71" s="1289"/>
      <c r="B71" s="2471"/>
      <c r="C71" s="5045"/>
      <c r="D71" s="5046"/>
      <c r="E71" s="5046"/>
      <c r="F71" s="5046"/>
      <c r="G71" s="5046"/>
      <c r="H71" s="5046"/>
      <c r="I71" s="5046"/>
      <c r="J71" s="5046"/>
      <c r="K71" s="5046"/>
      <c r="L71" s="5046"/>
      <c r="M71" s="5046"/>
      <c r="N71" s="5046"/>
      <c r="O71" s="5046"/>
      <c r="P71" s="5046"/>
      <c r="Q71" s="5047"/>
      <c r="R71" s="1295"/>
      <c r="S71" s="1289"/>
      <c r="T71" s="1289"/>
      <c r="U71" s="2471"/>
      <c r="V71" s="5045"/>
      <c r="W71" s="5046"/>
      <c r="X71" s="5046"/>
      <c r="Y71" s="5046"/>
      <c r="Z71" s="5046"/>
      <c r="AA71" s="5046"/>
      <c r="AB71" s="5046"/>
      <c r="AC71" s="5046"/>
      <c r="AD71" s="5046"/>
      <c r="AE71" s="5046"/>
      <c r="AF71" s="5046"/>
      <c r="AG71" s="5046"/>
      <c r="AH71" s="5046"/>
      <c r="AI71" s="5046"/>
      <c r="AJ71" s="5047"/>
      <c r="AK71" s="1295"/>
      <c r="AL71" s="1289"/>
      <c r="AM71" s="1289"/>
      <c r="AN71" s="2485"/>
      <c r="AO71" s="5045"/>
      <c r="AP71" s="5046"/>
      <c r="AQ71" s="5046"/>
      <c r="AR71" s="5046"/>
      <c r="AS71" s="5046"/>
      <c r="AT71" s="5046"/>
      <c r="AU71" s="5046"/>
      <c r="AV71" s="5046"/>
      <c r="AW71" s="5046"/>
      <c r="AX71" s="5046"/>
      <c r="AY71" s="5046"/>
      <c r="AZ71" s="5046"/>
      <c r="BA71" s="5046"/>
      <c r="BB71" s="5046"/>
      <c r="BC71" s="5047"/>
      <c r="BD71" s="1295"/>
      <c r="BE71" s="1289"/>
      <c r="BF71" s="1289"/>
      <c r="BG71" s="2485"/>
      <c r="BH71" s="5045"/>
      <c r="BI71" s="5046"/>
      <c r="BJ71" s="5046"/>
      <c r="BK71" s="5046"/>
      <c r="BL71" s="5046"/>
      <c r="BM71" s="5046"/>
      <c r="BN71" s="5046"/>
      <c r="BO71" s="5046"/>
      <c r="BP71" s="5046"/>
      <c r="BQ71" s="5046"/>
      <c r="BR71" s="5046"/>
      <c r="BS71" s="5046"/>
      <c r="BT71" s="5046"/>
      <c r="BU71" s="5046"/>
      <c r="BV71" s="5047"/>
      <c r="BW71" s="1295"/>
      <c r="BX71" s="1289"/>
      <c r="BY71" s="1289"/>
      <c r="BZ71" s="2485"/>
      <c r="CA71" s="5045"/>
      <c r="CB71" s="5046"/>
      <c r="CC71" s="5046"/>
      <c r="CD71" s="5046"/>
      <c r="CE71" s="5046"/>
      <c r="CF71" s="5046"/>
      <c r="CG71" s="5046"/>
      <c r="CH71" s="5046"/>
      <c r="CI71" s="5046"/>
      <c r="CJ71" s="5046"/>
      <c r="CK71" s="5046"/>
      <c r="CL71" s="5046"/>
      <c r="CM71" s="5046"/>
      <c r="CN71" s="5046"/>
      <c r="CO71" s="5047"/>
      <c r="CP71" s="1295"/>
      <c r="CQ71" s="1289"/>
    </row>
    <row r="72" spans="1:95" ht="12" customHeight="1" x14ac:dyDescent="0.2">
      <c r="A72" s="1289"/>
      <c r="B72" s="2471"/>
      <c r="C72" s="5045"/>
      <c r="D72" s="5046"/>
      <c r="E72" s="5046"/>
      <c r="F72" s="5046"/>
      <c r="G72" s="5046"/>
      <c r="H72" s="5046"/>
      <c r="I72" s="5046"/>
      <c r="J72" s="5046"/>
      <c r="K72" s="5046"/>
      <c r="L72" s="5046"/>
      <c r="M72" s="5046"/>
      <c r="N72" s="5046"/>
      <c r="O72" s="5046"/>
      <c r="P72" s="5046"/>
      <c r="Q72" s="5047"/>
      <c r="R72" s="1295"/>
      <c r="S72" s="1289"/>
      <c r="T72" s="1289"/>
      <c r="U72" s="2471"/>
      <c r="V72" s="5045"/>
      <c r="W72" s="5046"/>
      <c r="X72" s="5046"/>
      <c r="Y72" s="5046"/>
      <c r="Z72" s="5046"/>
      <c r="AA72" s="5046"/>
      <c r="AB72" s="5046"/>
      <c r="AC72" s="5046"/>
      <c r="AD72" s="5046"/>
      <c r="AE72" s="5046"/>
      <c r="AF72" s="5046"/>
      <c r="AG72" s="5046"/>
      <c r="AH72" s="5046"/>
      <c r="AI72" s="5046"/>
      <c r="AJ72" s="5047"/>
      <c r="AK72" s="1295"/>
      <c r="AL72" s="1289"/>
      <c r="AM72" s="1289"/>
      <c r="AN72" s="2485"/>
      <c r="AO72" s="5045"/>
      <c r="AP72" s="5046"/>
      <c r="AQ72" s="5046"/>
      <c r="AR72" s="5046"/>
      <c r="AS72" s="5046"/>
      <c r="AT72" s="5046"/>
      <c r="AU72" s="5046"/>
      <c r="AV72" s="5046"/>
      <c r="AW72" s="5046"/>
      <c r="AX72" s="5046"/>
      <c r="AY72" s="5046"/>
      <c r="AZ72" s="5046"/>
      <c r="BA72" s="5046"/>
      <c r="BB72" s="5046"/>
      <c r="BC72" s="5047"/>
      <c r="BD72" s="1295"/>
      <c r="BE72" s="1289"/>
      <c r="BF72" s="1289"/>
      <c r="BG72" s="2485"/>
      <c r="BH72" s="5045"/>
      <c r="BI72" s="5046"/>
      <c r="BJ72" s="5046"/>
      <c r="BK72" s="5046"/>
      <c r="BL72" s="5046"/>
      <c r="BM72" s="5046"/>
      <c r="BN72" s="5046"/>
      <c r="BO72" s="5046"/>
      <c r="BP72" s="5046"/>
      <c r="BQ72" s="5046"/>
      <c r="BR72" s="5046"/>
      <c r="BS72" s="5046"/>
      <c r="BT72" s="5046"/>
      <c r="BU72" s="5046"/>
      <c r="BV72" s="5047"/>
      <c r="BW72" s="1295"/>
      <c r="BX72" s="1289"/>
      <c r="BY72" s="1289"/>
      <c r="BZ72" s="2485"/>
      <c r="CA72" s="5045"/>
      <c r="CB72" s="5046"/>
      <c r="CC72" s="5046"/>
      <c r="CD72" s="5046"/>
      <c r="CE72" s="5046"/>
      <c r="CF72" s="5046"/>
      <c r="CG72" s="5046"/>
      <c r="CH72" s="5046"/>
      <c r="CI72" s="5046"/>
      <c r="CJ72" s="5046"/>
      <c r="CK72" s="5046"/>
      <c r="CL72" s="5046"/>
      <c r="CM72" s="5046"/>
      <c r="CN72" s="5046"/>
      <c r="CO72" s="5047"/>
      <c r="CP72" s="1295"/>
      <c r="CQ72" s="1289"/>
    </row>
    <row r="73" spans="1:95" ht="12" customHeight="1" thickBot="1" x14ac:dyDescent="0.25">
      <c r="A73" s="1289"/>
      <c r="B73" s="2471"/>
      <c r="C73" s="5048"/>
      <c r="D73" s="5049"/>
      <c r="E73" s="5049"/>
      <c r="F73" s="5049"/>
      <c r="G73" s="5049"/>
      <c r="H73" s="5049"/>
      <c r="I73" s="5049"/>
      <c r="J73" s="5049"/>
      <c r="K73" s="5049"/>
      <c r="L73" s="5049"/>
      <c r="M73" s="5049"/>
      <c r="N73" s="5049"/>
      <c r="O73" s="5049"/>
      <c r="P73" s="5049"/>
      <c r="Q73" s="5050"/>
      <c r="R73" s="1295"/>
      <c r="S73" s="1289"/>
      <c r="T73" s="1289"/>
      <c r="U73" s="2471"/>
      <c r="V73" s="5048"/>
      <c r="W73" s="5049"/>
      <c r="X73" s="5049"/>
      <c r="Y73" s="5049"/>
      <c r="Z73" s="5049"/>
      <c r="AA73" s="5049"/>
      <c r="AB73" s="5049"/>
      <c r="AC73" s="5049"/>
      <c r="AD73" s="5049"/>
      <c r="AE73" s="5049"/>
      <c r="AF73" s="5049"/>
      <c r="AG73" s="5049"/>
      <c r="AH73" s="5049"/>
      <c r="AI73" s="5049"/>
      <c r="AJ73" s="5050"/>
      <c r="AK73" s="1295"/>
      <c r="AL73" s="1289"/>
      <c r="AM73" s="1289"/>
      <c r="AN73" s="2485"/>
      <c r="AO73" s="5048"/>
      <c r="AP73" s="5049"/>
      <c r="AQ73" s="5049"/>
      <c r="AR73" s="5049"/>
      <c r="AS73" s="5049"/>
      <c r="AT73" s="5049"/>
      <c r="AU73" s="5049"/>
      <c r="AV73" s="5049"/>
      <c r="AW73" s="5049"/>
      <c r="AX73" s="5049"/>
      <c r="AY73" s="5049"/>
      <c r="AZ73" s="5049"/>
      <c r="BA73" s="5049"/>
      <c r="BB73" s="5049"/>
      <c r="BC73" s="5050"/>
      <c r="BD73" s="1295"/>
      <c r="BE73" s="1289"/>
      <c r="BF73" s="1289"/>
      <c r="BG73" s="2485"/>
      <c r="BH73" s="5048"/>
      <c r="BI73" s="5049"/>
      <c r="BJ73" s="5049"/>
      <c r="BK73" s="5049"/>
      <c r="BL73" s="5049"/>
      <c r="BM73" s="5049"/>
      <c r="BN73" s="5049"/>
      <c r="BO73" s="5049"/>
      <c r="BP73" s="5049"/>
      <c r="BQ73" s="5049"/>
      <c r="BR73" s="5049"/>
      <c r="BS73" s="5049"/>
      <c r="BT73" s="5049"/>
      <c r="BU73" s="5049"/>
      <c r="BV73" s="5050"/>
      <c r="BW73" s="1295"/>
      <c r="BX73" s="1289"/>
      <c r="BY73" s="1289"/>
      <c r="BZ73" s="2485"/>
      <c r="CA73" s="5048"/>
      <c r="CB73" s="5049"/>
      <c r="CC73" s="5049"/>
      <c r="CD73" s="5049"/>
      <c r="CE73" s="5049"/>
      <c r="CF73" s="5049"/>
      <c r="CG73" s="5049"/>
      <c r="CH73" s="5049"/>
      <c r="CI73" s="5049"/>
      <c r="CJ73" s="5049"/>
      <c r="CK73" s="5049"/>
      <c r="CL73" s="5049"/>
      <c r="CM73" s="5049"/>
      <c r="CN73" s="5049"/>
      <c r="CO73" s="5050"/>
      <c r="CP73" s="1295"/>
      <c r="CQ73" s="1289"/>
    </row>
    <row r="74" spans="1:95" ht="12" customHeight="1" thickBot="1" x14ac:dyDescent="0.25">
      <c r="A74" s="1289"/>
      <c r="B74" s="2471"/>
      <c r="C74" s="1323"/>
      <c r="D74" s="1323"/>
      <c r="E74" s="1327"/>
      <c r="F74" s="1327"/>
      <c r="G74" s="1327"/>
      <c r="H74" s="1323"/>
      <c r="I74" s="825"/>
      <c r="J74" s="825"/>
      <c r="K74" s="1323"/>
      <c r="L74" s="1323"/>
      <c r="M74" s="825"/>
      <c r="N74" s="825"/>
      <c r="O74" s="1328"/>
      <c r="P74" s="1328"/>
      <c r="Q74" s="825"/>
      <c r="R74" s="1295"/>
      <c r="S74" s="1289"/>
      <c r="T74" s="1289"/>
      <c r="U74" s="2471"/>
      <c r="V74" s="1323"/>
      <c r="W74" s="1323"/>
      <c r="X74" s="1327"/>
      <c r="Y74" s="1327"/>
      <c r="Z74" s="1327"/>
      <c r="AA74" s="1323"/>
      <c r="AB74" s="825"/>
      <c r="AC74" s="825"/>
      <c r="AD74" s="1323"/>
      <c r="AE74" s="1323"/>
      <c r="AF74" s="825"/>
      <c r="AG74" s="825"/>
      <c r="AH74" s="1328"/>
      <c r="AI74" s="1328"/>
      <c r="AJ74" s="825"/>
      <c r="AK74" s="1295"/>
      <c r="AL74" s="1289"/>
      <c r="AM74" s="1289"/>
      <c r="AN74" s="2471"/>
      <c r="AO74" s="1323"/>
      <c r="AP74" s="1323"/>
      <c r="AQ74" s="1327"/>
      <c r="AR74" s="1327"/>
      <c r="AS74" s="1327"/>
      <c r="AT74" s="1323"/>
      <c r="AU74" s="825"/>
      <c r="AV74" s="825"/>
      <c r="AW74" s="1323"/>
      <c r="AX74" s="1323"/>
      <c r="AY74" s="825"/>
      <c r="AZ74" s="825"/>
      <c r="BA74" s="1328"/>
      <c r="BB74" s="1328"/>
      <c r="BC74" s="825"/>
      <c r="BD74" s="1295"/>
      <c r="BE74" s="1289"/>
      <c r="BF74" s="1289"/>
      <c r="BG74" s="2471"/>
      <c r="BH74" s="1323"/>
      <c r="BI74" s="1323"/>
      <c r="BJ74" s="1327"/>
      <c r="BK74" s="1327"/>
      <c r="BL74" s="1327"/>
      <c r="BM74" s="1323"/>
      <c r="BN74" s="825"/>
      <c r="BO74" s="825"/>
      <c r="BP74" s="1323"/>
      <c r="BQ74" s="1323"/>
      <c r="BR74" s="825"/>
      <c r="BS74" s="825"/>
      <c r="BT74" s="1328"/>
      <c r="BU74" s="1328"/>
      <c r="BV74" s="825"/>
      <c r="BW74" s="1295"/>
      <c r="BX74" s="1289"/>
      <c r="BY74" s="1289"/>
      <c r="BZ74" s="2471"/>
      <c r="CA74" s="1323"/>
      <c r="CB74" s="1323"/>
      <c r="CC74" s="1327"/>
      <c r="CD74" s="1327"/>
      <c r="CE74" s="1327"/>
      <c r="CF74" s="1323"/>
      <c r="CG74" s="825"/>
      <c r="CH74" s="825"/>
      <c r="CI74" s="1323"/>
      <c r="CJ74" s="1323"/>
      <c r="CK74" s="825"/>
      <c r="CL74" s="825"/>
      <c r="CM74" s="1328"/>
      <c r="CN74" s="1328"/>
      <c r="CO74" s="825"/>
      <c r="CP74" s="1295"/>
      <c r="CQ74" s="1289"/>
    </row>
    <row r="75" spans="1:95" ht="12" customHeight="1" x14ac:dyDescent="0.2">
      <c r="A75" s="1289"/>
      <c r="B75" s="2471">
        <f>B64+2</f>
        <v>14</v>
      </c>
      <c r="C75" s="5051"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52"/>
      <c r="E75" s="5052"/>
      <c r="F75" s="5052"/>
      <c r="G75" s="5052"/>
      <c r="H75" s="1309" t="s">
        <v>2171</v>
      </c>
      <c r="I75" s="1310">
        <f>IF(C75=0,"",VLOOKUP(C75,'Tablas Magia'!$D$6:$Z$680,3,FALSE))</f>
        <v>14</v>
      </c>
      <c r="J75" s="5017" t="s">
        <v>8715</v>
      </c>
      <c r="K75" s="5017"/>
      <c r="L75" s="5017"/>
      <c r="M75" s="5018" t="str">
        <f>IF(C75=0,"",VLOOKUP(C75,'Tablas Magia'!$D$6:$Z$680,2,FALSE))</f>
        <v>Guerra</v>
      </c>
      <c r="N75" s="5018"/>
      <c r="O75" s="5018"/>
      <c r="P75" s="5018"/>
      <c r="Q75" s="5019"/>
      <c r="R75" s="1295"/>
      <c r="S75" s="1289"/>
      <c r="T75" s="1289"/>
      <c r="U75" s="2471">
        <f>U64+2</f>
        <v>34</v>
      </c>
      <c r="V75" s="5051"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52"/>
      <c r="X75" s="5052"/>
      <c r="Y75" s="5052"/>
      <c r="Z75" s="5052"/>
      <c r="AA75" s="1309" t="s">
        <v>2171</v>
      </c>
      <c r="AB75" s="1310">
        <f>IF(V75=0,"",VLOOKUP(V75,'Tablas Magia'!$D$6:$Z$680,3,FALSE))</f>
        <v>34</v>
      </c>
      <c r="AC75" s="5017" t="s">
        <v>8715</v>
      </c>
      <c r="AD75" s="5017"/>
      <c r="AE75" s="5017"/>
      <c r="AF75" s="5018" t="str">
        <f>IF(V75=0,"",VLOOKUP(V75,'Tablas Magia'!$D$6:$Z$680,2,FALSE))</f>
        <v>Guerra</v>
      </c>
      <c r="AG75" s="5018"/>
      <c r="AH75" s="5018"/>
      <c r="AI75" s="5018"/>
      <c r="AJ75" s="5019"/>
      <c r="AK75" s="1295"/>
      <c r="AL75" s="1289"/>
      <c r="AM75" s="1289"/>
      <c r="AN75" s="2485">
        <f>AN64+2</f>
        <v>54</v>
      </c>
      <c r="AO75" s="5051"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52"/>
      <c r="AQ75" s="5052"/>
      <c r="AR75" s="5052"/>
      <c r="AS75" s="5052"/>
      <c r="AT75" s="1309" t="s">
        <v>2171</v>
      </c>
      <c r="AU75" s="1310">
        <f>IF(AO75=0,"",VLOOKUP(AO75,'Tablas Magia'!$D$6:$Z$680,3,FALSE))</f>
        <v>54</v>
      </c>
      <c r="AV75" s="5017" t="s">
        <v>8715</v>
      </c>
      <c r="AW75" s="5017"/>
      <c r="AX75" s="5017"/>
      <c r="AY75" s="5018" t="str">
        <f>IF(AO75=0,"",VLOOKUP(AO75,'Tablas Magia'!$D$6:$Z$680,2,FALSE))</f>
        <v>Guerra</v>
      </c>
      <c r="AZ75" s="5018"/>
      <c r="BA75" s="5018"/>
      <c r="BB75" s="5018"/>
      <c r="BC75" s="5019"/>
      <c r="BD75" s="1295"/>
      <c r="BE75" s="1289"/>
      <c r="BF75" s="1289"/>
      <c r="BG75" s="2485">
        <f>BG64+2</f>
        <v>74</v>
      </c>
      <c r="BH75" s="5051"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52"/>
      <c r="BJ75" s="5052"/>
      <c r="BK75" s="5052"/>
      <c r="BL75" s="5052"/>
      <c r="BM75" s="1309" t="s">
        <v>2171</v>
      </c>
      <c r="BN75" s="1310">
        <f>IF(BH75=0,"",VLOOKUP(BH75,'Tablas Magia'!$D$6:$Z$680,3,FALSE))</f>
        <v>74</v>
      </c>
      <c r="BO75" s="5017" t="s">
        <v>8715</v>
      </c>
      <c r="BP75" s="5017"/>
      <c r="BQ75" s="5017"/>
      <c r="BR75" s="5018" t="str">
        <f>IF(BH75=0,"",VLOOKUP(BH75,'Tablas Magia'!$D$6:$Z$680,2,FALSE))</f>
        <v>Guerra</v>
      </c>
      <c r="BS75" s="5018"/>
      <c r="BT75" s="5018"/>
      <c r="BU75" s="5018"/>
      <c r="BV75" s="5019"/>
      <c r="BW75" s="1295"/>
      <c r="BX75" s="1289"/>
      <c r="BY75" s="1289"/>
      <c r="BZ75" s="2485">
        <f>BZ64+2</f>
        <v>94</v>
      </c>
      <c r="CA75" s="5051"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52"/>
      <c r="CC75" s="5052"/>
      <c r="CD75" s="5052"/>
      <c r="CE75" s="5052"/>
      <c r="CF75" s="1309" t="s">
        <v>2171</v>
      </c>
      <c r="CG75" s="1310">
        <f>IF(CA75=0,"",VLOOKUP(CA75,'Tablas Magia'!$D$6:$Z$680,3,FALSE))</f>
        <v>94</v>
      </c>
      <c r="CH75" s="5017" t="s">
        <v>8715</v>
      </c>
      <c r="CI75" s="5017"/>
      <c r="CJ75" s="5017"/>
      <c r="CK75" s="5018" t="str">
        <f>IF(CA75=0,"",VLOOKUP(CA75,'Tablas Magia'!$D$6:$Z$680,2,FALSE))</f>
        <v>Guerra</v>
      </c>
      <c r="CL75" s="5018"/>
      <c r="CM75" s="5018"/>
      <c r="CN75" s="5018"/>
      <c r="CO75" s="5019"/>
      <c r="CP75" s="1295"/>
      <c r="CQ75" s="1289"/>
    </row>
    <row r="76" spans="1:95" ht="12" customHeight="1" x14ac:dyDescent="0.2">
      <c r="A76" s="1289"/>
      <c r="B76" s="2471"/>
      <c r="C76" s="5035" t="s">
        <v>8716</v>
      </c>
      <c r="D76" s="5036"/>
      <c r="E76" s="1311" t="s">
        <v>8717</v>
      </c>
      <c r="F76" s="1311" t="s">
        <v>2365</v>
      </c>
      <c r="G76" s="1311" t="s">
        <v>4020</v>
      </c>
      <c r="H76" s="1312" t="s">
        <v>2716</v>
      </c>
      <c r="I76" s="5032" t="str">
        <f>IF(C75=0,"",VLOOKUP(C75,'Tablas Magia'!$D$6:$Z$680,5,FALSE))</f>
        <v>Efecto</v>
      </c>
      <c r="J76" s="5032"/>
      <c r="K76" s="5033" t="s">
        <v>8718</v>
      </c>
      <c r="L76" s="5033"/>
      <c r="M76" s="5032" t="str">
        <f>IF(C75=0,"",VLOOKUP(C75,'Tablas Magia'!$D$6:$Z$680,6,FALSE))</f>
        <v>Activa</v>
      </c>
      <c r="N76" s="5032"/>
      <c r="O76" s="5034" t="s">
        <v>8719</v>
      </c>
      <c r="P76" s="5034"/>
      <c r="Q76" s="1313" t="str">
        <f>IF(C75=0,"",VLOOKUP(C75,'Tablas Magia'!$D$6:$Z$680,4,FALSE))</f>
        <v>No</v>
      </c>
      <c r="R76" s="1295"/>
      <c r="S76" s="1289"/>
      <c r="T76" s="1289"/>
      <c r="U76" s="2471"/>
      <c r="V76" s="5035" t="s">
        <v>8716</v>
      </c>
      <c r="W76" s="5036"/>
      <c r="X76" s="1311" t="s">
        <v>8717</v>
      </c>
      <c r="Y76" s="1311" t="s">
        <v>2365</v>
      </c>
      <c r="Z76" s="1311" t="s">
        <v>4020</v>
      </c>
      <c r="AA76" s="1312" t="s">
        <v>2716</v>
      </c>
      <c r="AB76" s="5032" t="str">
        <f>IF(V75=0,"",VLOOKUP(V75,'Tablas Magia'!$D$6:$Z$680,5,FALSE))</f>
        <v>Efecto</v>
      </c>
      <c r="AC76" s="5032"/>
      <c r="AD76" s="5033" t="s">
        <v>8718</v>
      </c>
      <c r="AE76" s="5033"/>
      <c r="AF76" s="5032" t="str">
        <f>IF(V75=0,"",VLOOKUP(V75,'Tablas Magia'!$D$6:$Z$680,6,FALSE))</f>
        <v>Activa</v>
      </c>
      <c r="AG76" s="5032"/>
      <c r="AH76" s="5034" t="s">
        <v>8719</v>
      </c>
      <c r="AI76" s="5034"/>
      <c r="AJ76" s="1313" t="str">
        <f>IF(V75=0,"",VLOOKUP(V75,'Tablas Magia'!$D$6:$Z$680,4,FALSE))</f>
        <v>No</v>
      </c>
      <c r="AK76" s="1295"/>
      <c r="AL76" s="1289"/>
      <c r="AM76" s="1289"/>
      <c r="AN76" s="2485"/>
      <c r="AO76" s="5035" t="s">
        <v>8716</v>
      </c>
      <c r="AP76" s="5036"/>
      <c r="AQ76" s="1311" t="s">
        <v>8717</v>
      </c>
      <c r="AR76" s="1311" t="s">
        <v>2365</v>
      </c>
      <c r="AS76" s="1311" t="s">
        <v>4020</v>
      </c>
      <c r="AT76" s="1312" t="s">
        <v>2716</v>
      </c>
      <c r="AU76" s="5032" t="str">
        <f>IF(AO75=0,"",VLOOKUP(AO75,'Tablas Magia'!$D$6:$Z$680,5,FALSE))</f>
        <v>Efecto</v>
      </c>
      <c r="AV76" s="5032"/>
      <c r="AW76" s="5033" t="s">
        <v>8718</v>
      </c>
      <c r="AX76" s="5033"/>
      <c r="AY76" s="5032" t="str">
        <f>IF(AO75=0,"",VLOOKUP(AO75,'Tablas Magia'!$D$6:$Z$680,6,FALSE))</f>
        <v>Activa</v>
      </c>
      <c r="AZ76" s="5032"/>
      <c r="BA76" s="5034" t="s">
        <v>8719</v>
      </c>
      <c r="BB76" s="5034"/>
      <c r="BC76" s="1313" t="str">
        <f>IF(AO75=0,"",VLOOKUP(AO75,'Tablas Magia'!$D$6:$Z$680,4,FALSE))</f>
        <v>Si</v>
      </c>
      <c r="BD76" s="1295"/>
      <c r="BE76" s="1289"/>
      <c r="BF76" s="1289"/>
      <c r="BG76" s="2485"/>
      <c r="BH76" s="5035" t="s">
        <v>8716</v>
      </c>
      <c r="BI76" s="5036"/>
      <c r="BJ76" s="1311" t="s">
        <v>8717</v>
      </c>
      <c r="BK76" s="1311" t="s">
        <v>2365</v>
      </c>
      <c r="BL76" s="1311" t="s">
        <v>4020</v>
      </c>
      <c r="BM76" s="1312" t="s">
        <v>2716</v>
      </c>
      <c r="BN76" s="5032" t="str">
        <f>IF(BH75=0,"",VLOOKUP(BH75,'Tablas Magia'!$D$6:$Z$680,5,FALSE))</f>
        <v>Efecto</v>
      </c>
      <c r="BO76" s="5032"/>
      <c r="BP76" s="5033" t="s">
        <v>8718</v>
      </c>
      <c r="BQ76" s="5033"/>
      <c r="BR76" s="5032" t="str">
        <f>IF(BH75=0,"",VLOOKUP(BH75,'Tablas Magia'!$D$6:$Z$680,6,FALSE))</f>
        <v>Activa</v>
      </c>
      <c r="BS76" s="5032"/>
      <c r="BT76" s="5034" t="s">
        <v>8719</v>
      </c>
      <c r="BU76" s="5034"/>
      <c r="BV76" s="1313" t="str">
        <f>IF(BH75=0,"",VLOOKUP(BH75,'Tablas Magia'!$D$6:$Z$680,4,FALSE))</f>
        <v>No</v>
      </c>
      <c r="BW76" s="1295"/>
      <c r="BX76" s="1289"/>
      <c r="BY76" s="1289"/>
      <c r="BZ76" s="2485"/>
      <c r="CA76" s="5035" t="s">
        <v>8716</v>
      </c>
      <c r="CB76" s="5036"/>
      <c r="CC76" s="1311" t="s">
        <v>8717</v>
      </c>
      <c r="CD76" s="1311" t="s">
        <v>2365</v>
      </c>
      <c r="CE76" s="1311" t="s">
        <v>4020</v>
      </c>
      <c r="CF76" s="1312" t="s">
        <v>2716</v>
      </c>
      <c r="CG76" s="5032" t="str">
        <f>IF(CA75=0,"",VLOOKUP(CA75,'Tablas Magia'!$D$6:$Z$680,5,FALSE))</f>
        <v>Efecto</v>
      </c>
      <c r="CH76" s="5032"/>
      <c r="CI76" s="5033" t="s">
        <v>8718</v>
      </c>
      <c r="CJ76" s="5033"/>
      <c r="CK76" s="5032" t="str">
        <f>IF(CA75=0,"",VLOOKUP(CA75,'Tablas Magia'!$D$6:$Z$680,6,FALSE))</f>
        <v>Activa</v>
      </c>
      <c r="CL76" s="5032"/>
      <c r="CM76" s="5034" t="s">
        <v>8719</v>
      </c>
      <c r="CN76" s="5034"/>
      <c r="CO76" s="1313" t="str">
        <f>IF(CA75=0,"",VLOOKUP(CA75,'Tablas Magia'!$D$6:$Z$680,4,FALSE))</f>
        <v>No</v>
      </c>
      <c r="CP76" s="1295"/>
      <c r="CQ76" s="1289"/>
    </row>
    <row r="77" spans="1:95" ht="12" customHeight="1" x14ac:dyDescent="0.2">
      <c r="A77" s="1289"/>
      <c r="B77" s="2471"/>
      <c r="C77" s="5027" t="s">
        <v>2218</v>
      </c>
      <c r="D77" s="5028"/>
      <c r="E77" s="1314">
        <f>IF(C75=0,"",VLOOKUP(C75,'Tablas Magia'!$D$6:$Z$680,7,FALSE))</f>
        <v>6</v>
      </c>
      <c r="F77" s="1314">
        <f>IF(C75=0,"",VLOOKUP(C75,'Tablas Magia'!$D$6:$Z$680,11,FALSE))</f>
        <v>40</v>
      </c>
      <c r="G77" s="1315">
        <f>IF(C75=0,"",VLOOKUP(C75,'Tablas Magia'!$D$6:$Z$680,15,FALSE))</f>
        <v>5</v>
      </c>
      <c r="H77" s="5029" t="str">
        <f>IF(C75=0,"",VLOOKUP(C75,'Tablas Magia'!$D$6:$Z$680,19,FALSE))</f>
        <v>10m radio</v>
      </c>
      <c r="I77" s="5030"/>
      <c r="J77" s="5030"/>
      <c r="K77" s="5030"/>
      <c r="L77" s="5030"/>
      <c r="M77" s="5030"/>
      <c r="N77" s="5030"/>
      <c r="O77" s="5030"/>
      <c r="P77" s="5030"/>
      <c r="Q77" s="5031"/>
      <c r="R77" s="1295"/>
      <c r="S77" s="1289"/>
      <c r="T77" s="1289"/>
      <c r="U77" s="2471"/>
      <c r="V77" s="5027" t="s">
        <v>2218</v>
      </c>
      <c r="W77" s="5028"/>
      <c r="X77" s="1314">
        <f>IF(V75=0,"",VLOOKUP(V75,'Tablas Magia'!$D$6:$Z$680,7,FALSE))</f>
        <v>7</v>
      </c>
      <c r="Y77" s="1314">
        <f>IF(V75=0,"",VLOOKUP(V75,'Tablas Magia'!$D$6:$Z$680,11,FALSE))</f>
        <v>80</v>
      </c>
      <c r="Z77" s="1315">
        <f>IF(V75=0,"",VLOOKUP(V75,'Tablas Magia'!$D$6:$Z$680,15,FALSE))</f>
        <v>5</v>
      </c>
      <c r="AA77" s="5029" t="str">
        <f>IF(V75=0,"",VLOOKUP(V75,'Tablas Magia'!$D$6:$Z$680,19,FALSE))</f>
        <v>Da +20 Daño / 50m radio</v>
      </c>
      <c r="AB77" s="5030"/>
      <c r="AC77" s="5030"/>
      <c r="AD77" s="5030"/>
      <c r="AE77" s="5030"/>
      <c r="AF77" s="5030"/>
      <c r="AG77" s="5030"/>
      <c r="AH77" s="5030"/>
      <c r="AI77" s="5030"/>
      <c r="AJ77" s="5031"/>
      <c r="AK77" s="1295"/>
      <c r="AL77" s="1289"/>
      <c r="AM77" s="1289"/>
      <c r="AN77" s="2485"/>
      <c r="AO77" s="5027" t="s">
        <v>2218</v>
      </c>
      <c r="AP77" s="5028"/>
      <c r="AQ77" s="1314">
        <f>IF(AO75=0,"",VLOOKUP(AO75,'Tablas Magia'!$D$6:$Z$680,7,FALSE))</f>
        <v>6</v>
      </c>
      <c r="AR77" s="1314">
        <f>IF(AO75=0,"",VLOOKUP(AO75,'Tablas Magia'!$D$6:$Z$680,11,FALSE))</f>
        <v>150</v>
      </c>
      <c r="AS77" s="1315">
        <f>IF(AO75=0,"",VLOOKUP(AO75,'Tablas Magia'!$D$6:$Z$680,15,FALSE))</f>
        <v>30</v>
      </c>
      <c r="AT77" s="5029" t="str">
        <f>IF(AO75=0,"",VLOOKUP(AO75,'Tablas Magia'!$D$6:$Z$680,19,FALSE))</f>
        <v>10m radio</v>
      </c>
      <c r="AU77" s="5030"/>
      <c r="AV77" s="5030"/>
      <c r="AW77" s="5030"/>
      <c r="AX77" s="5030"/>
      <c r="AY77" s="5030"/>
      <c r="AZ77" s="5030"/>
      <c r="BA77" s="5030"/>
      <c r="BB77" s="5030"/>
      <c r="BC77" s="5031"/>
      <c r="BD77" s="1295"/>
      <c r="BE77" s="1289"/>
      <c r="BF77" s="1289"/>
      <c r="BG77" s="2485"/>
      <c r="BH77" s="5027" t="s">
        <v>2218</v>
      </c>
      <c r="BI77" s="5028"/>
      <c r="BJ77" s="1314">
        <f>IF(BH75=0,"",VLOOKUP(BH75,'Tablas Magia'!$D$6:$Z$680,7,FALSE))</f>
        <v>8</v>
      </c>
      <c r="BK77" s="1314">
        <f>IF(BH75=0,"",VLOOKUP(BH75,'Tablas Magia'!$D$6:$Z$680,11,FALSE))</f>
        <v>150</v>
      </c>
      <c r="BL77" s="1315" t="str">
        <f>IF(BH75=0,"",VLOOKUP(BH75,'Tablas Magia'!$D$6:$Z$680,15,FALSE))</f>
        <v>No</v>
      </c>
      <c r="BM77" s="5029" t="str">
        <f>IF(BH75=0,"",VLOOKUP(BH75,'Tablas Magia'!$D$6:$Z$680,19,FALSE))</f>
        <v>25m radio</v>
      </c>
      <c r="BN77" s="5030"/>
      <c r="BO77" s="5030"/>
      <c r="BP77" s="5030"/>
      <c r="BQ77" s="5030"/>
      <c r="BR77" s="5030"/>
      <c r="BS77" s="5030"/>
      <c r="BT77" s="5030"/>
      <c r="BU77" s="5030"/>
      <c r="BV77" s="5031"/>
      <c r="BW77" s="1295"/>
      <c r="BX77" s="1289"/>
      <c r="BY77" s="1289"/>
      <c r="BZ77" s="2485"/>
      <c r="CA77" s="5027" t="s">
        <v>2218</v>
      </c>
      <c r="CB77" s="5028"/>
      <c r="CC77" s="1314">
        <f>IF(CA75=0,"",VLOOKUP(CA75,'Tablas Magia'!$D$6:$Z$680,7,FALSE))</f>
        <v>14</v>
      </c>
      <c r="CD77" s="1314">
        <f>IF(CA75=0,"",VLOOKUP(CA75,'Tablas Magia'!$D$6:$Z$680,11,FALSE))</f>
        <v>250</v>
      </c>
      <c r="CE77" s="1315">
        <f>IF(CA75=0,"",VLOOKUP(CA75,'Tablas Magia'!$D$6:$Z$680,15,FALSE))</f>
        <v>25</v>
      </c>
      <c r="CF77" s="5029" t="str">
        <f>IF(CA75=0,"",VLOOKUP(CA75,'Tablas Magia'!$D$6:$Z$680,19,FALSE))</f>
        <v>25m radio</v>
      </c>
      <c r="CG77" s="5030"/>
      <c r="CH77" s="5030"/>
      <c r="CI77" s="5030"/>
      <c r="CJ77" s="5030"/>
      <c r="CK77" s="5030"/>
      <c r="CL77" s="5030"/>
      <c r="CM77" s="5030"/>
      <c r="CN77" s="5030"/>
      <c r="CO77" s="5031"/>
      <c r="CP77" s="1295"/>
      <c r="CQ77" s="1289"/>
    </row>
    <row r="78" spans="1:95" ht="12" customHeight="1" x14ac:dyDescent="0.2">
      <c r="A78" s="1289"/>
      <c r="B78" s="2471"/>
      <c r="C78" s="5022" t="s">
        <v>5258</v>
      </c>
      <c r="D78" s="5023"/>
      <c r="E78" s="1316">
        <f>IF(C75=0,"",VLOOKUP(C75,'Tablas Magia'!$D$6:$Z$680,8,FALSE))</f>
        <v>9</v>
      </c>
      <c r="F78" s="1316">
        <f>IF(C75=0,"",VLOOKUP(C75,'Tablas Magia'!$D$6:$Z$680,12,FALSE))</f>
        <v>70</v>
      </c>
      <c r="G78" s="1317">
        <f>IF(C75=0,"",VLOOKUP(C75,'Tablas Magia'!$D$6:$Z$680,16,FALSE))</f>
        <v>10</v>
      </c>
      <c r="H78" s="5024" t="str">
        <f>IF(C75=0,"",VLOOKUP(C75,'Tablas Magia'!$D$6:$Z$680,20,FALSE))</f>
        <v>50m radio</v>
      </c>
      <c r="I78" s="5025"/>
      <c r="J78" s="5025"/>
      <c r="K78" s="5025"/>
      <c r="L78" s="5025"/>
      <c r="M78" s="5025"/>
      <c r="N78" s="5025"/>
      <c r="O78" s="5025"/>
      <c r="P78" s="5025"/>
      <c r="Q78" s="5026"/>
      <c r="R78" s="1295"/>
      <c r="S78" s="1289"/>
      <c r="T78" s="1289"/>
      <c r="U78" s="2471"/>
      <c r="V78" s="5022" t="s">
        <v>5258</v>
      </c>
      <c r="W78" s="5023"/>
      <c r="X78" s="1316">
        <f>IF(V75=0,"",VLOOKUP(V75,'Tablas Magia'!$D$6:$Z$680,8,FALSE))</f>
        <v>9</v>
      </c>
      <c r="Y78" s="1316">
        <f>IF(V75=0,"",VLOOKUP(V75,'Tablas Magia'!$D$6:$Z$680,12,FALSE))</f>
        <v>120</v>
      </c>
      <c r="Z78" s="1317">
        <f>IF(V75=0,"",VLOOKUP(V75,'Tablas Magia'!$D$6:$Z$680,16,FALSE))</f>
        <v>15</v>
      </c>
      <c r="AA78" s="5024" t="str">
        <f>IF(V75=0,"",VLOOKUP(V75,'Tablas Magia'!$D$6:$Z$680,20,FALSE))</f>
        <v>Da +20 Daño / 10m radio</v>
      </c>
      <c r="AB78" s="5025"/>
      <c r="AC78" s="5025"/>
      <c r="AD78" s="5025"/>
      <c r="AE78" s="5025"/>
      <c r="AF78" s="5025"/>
      <c r="AG78" s="5025"/>
      <c r="AH78" s="5025"/>
      <c r="AI78" s="5025"/>
      <c r="AJ78" s="5026"/>
      <c r="AK78" s="1295"/>
      <c r="AL78" s="1289"/>
      <c r="AM78" s="1289"/>
      <c r="AN78" s="2485"/>
      <c r="AO78" s="5022" t="s">
        <v>5258</v>
      </c>
      <c r="AP78" s="5023"/>
      <c r="AQ78" s="1316">
        <f>IF(AO75=0,"",VLOOKUP(AO75,'Tablas Magia'!$D$6:$Z$680,8,FALSE))</f>
        <v>9</v>
      </c>
      <c r="AR78" s="1316">
        <f>IF(AO75=0,"",VLOOKUP(AO75,'Tablas Magia'!$D$6:$Z$680,12,FALSE))</f>
        <v>200</v>
      </c>
      <c r="AS78" s="1317">
        <f>IF(AO75=0,"",VLOOKUP(AO75,'Tablas Magia'!$D$6:$Z$680,16,FALSE))</f>
        <v>40</v>
      </c>
      <c r="AT78" s="5024" t="str">
        <f>IF(AO75=0,"",VLOOKUP(AO75,'Tablas Magia'!$D$6:$Z$680,20,FALSE))</f>
        <v>50m radio</v>
      </c>
      <c r="AU78" s="5025"/>
      <c r="AV78" s="5025"/>
      <c r="AW78" s="5025"/>
      <c r="AX78" s="5025"/>
      <c r="AY78" s="5025"/>
      <c r="AZ78" s="5025"/>
      <c r="BA78" s="5025"/>
      <c r="BB78" s="5025"/>
      <c r="BC78" s="5026"/>
      <c r="BD78" s="1295"/>
      <c r="BE78" s="1289"/>
      <c r="BF78" s="1289"/>
      <c r="BG78" s="2485"/>
      <c r="BH78" s="5022" t="s">
        <v>5258</v>
      </c>
      <c r="BI78" s="5023"/>
      <c r="BJ78" s="1316">
        <f>IF(BH75=0,"",VLOOKUP(BH75,'Tablas Magia'!$D$6:$Z$680,8,FALSE))</f>
        <v>10</v>
      </c>
      <c r="BK78" s="1316">
        <f>IF(BH75=0,"",VLOOKUP(BH75,'Tablas Magia'!$D$6:$Z$680,12,FALSE))</f>
        <v>200</v>
      </c>
      <c r="BL78" s="1317" t="str">
        <f>IF(BH75=0,"",VLOOKUP(BH75,'Tablas Magia'!$D$6:$Z$680,16,FALSE))</f>
        <v>No</v>
      </c>
      <c r="BM78" s="5024" t="str">
        <f>IF(BH75=0,"",VLOOKUP(BH75,'Tablas Magia'!$D$6:$Z$680,20,FALSE))</f>
        <v>100m radio</v>
      </c>
      <c r="BN78" s="5025"/>
      <c r="BO78" s="5025"/>
      <c r="BP78" s="5025"/>
      <c r="BQ78" s="5025"/>
      <c r="BR78" s="5025"/>
      <c r="BS78" s="5025"/>
      <c r="BT78" s="5025"/>
      <c r="BU78" s="5025"/>
      <c r="BV78" s="5026"/>
      <c r="BW78" s="1295"/>
      <c r="BX78" s="1289"/>
      <c r="BY78" s="1289"/>
      <c r="BZ78" s="2485"/>
      <c r="CA78" s="5022" t="s">
        <v>5258</v>
      </c>
      <c r="CB78" s="5023"/>
      <c r="CC78" s="1316">
        <f>IF(CA75=0,"",VLOOKUP(CA75,'Tablas Magia'!$D$6:$Z$680,8,FALSE))</f>
        <v>16</v>
      </c>
      <c r="CD78" s="1316">
        <f>IF(CA75=0,"",VLOOKUP(CA75,'Tablas Magia'!$D$6:$Z$680,12,FALSE))</f>
        <v>500</v>
      </c>
      <c r="CE78" s="1317">
        <f>IF(CA75=0,"",VLOOKUP(CA75,'Tablas Magia'!$D$6:$Z$680,16,FALSE))</f>
        <v>50</v>
      </c>
      <c r="CF78" s="5024" t="str">
        <f>IF(CA75=0,"",VLOOKUP(CA75,'Tablas Magia'!$D$6:$Z$680,20,FALSE))</f>
        <v>50m radio</v>
      </c>
      <c r="CG78" s="5025"/>
      <c r="CH78" s="5025"/>
      <c r="CI78" s="5025"/>
      <c r="CJ78" s="5025"/>
      <c r="CK78" s="5025"/>
      <c r="CL78" s="5025"/>
      <c r="CM78" s="5025"/>
      <c r="CN78" s="5025"/>
      <c r="CO78" s="5026"/>
      <c r="CP78" s="1295"/>
      <c r="CQ78" s="1289"/>
    </row>
    <row r="79" spans="1:95" ht="12" customHeight="1" x14ac:dyDescent="0.2">
      <c r="A79" s="1289"/>
      <c r="B79" s="2471"/>
      <c r="C79" s="5027" t="s">
        <v>5259</v>
      </c>
      <c r="D79" s="5028"/>
      <c r="E79" s="1314">
        <f>IF(C75=0,"",VLOOKUP(C75,'Tablas Magia'!$D$6:$Z$680,9,FALSE))</f>
        <v>12</v>
      </c>
      <c r="F79" s="1314">
        <f>IF(C75=0,"",VLOOKUP(C75,'Tablas Magia'!$D$6:$Z$680,13,FALSE))</f>
        <v>100</v>
      </c>
      <c r="G79" s="1315">
        <f>IF(C75=0,"",VLOOKUP(C75,'Tablas Magia'!$D$6:$Z$680,17,FALSE))</f>
        <v>10</v>
      </c>
      <c r="H79" s="5029" t="str">
        <f>IF(C75=0,"",VLOOKUP(C75,'Tablas Magia'!$D$6:$Z$680,21,FALSE))</f>
        <v>250m radio</v>
      </c>
      <c r="I79" s="5030"/>
      <c r="J79" s="5030"/>
      <c r="K79" s="5030"/>
      <c r="L79" s="5030"/>
      <c r="M79" s="5030"/>
      <c r="N79" s="5030"/>
      <c r="O79" s="5030"/>
      <c r="P79" s="5030"/>
      <c r="Q79" s="5031"/>
      <c r="R79" s="1295"/>
      <c r="S79" s="1289"/>
      <c r="T79" s="1289"/>
      <c r="U79" s="2471"/>
      <c r="V79" s="5027" t="s">
        <v>5259</v>
      </c>
      <c r="W79" s="5028"/>
      <c r="X79" s="1314">
        <f>IF(V75=0,"",VLOOKUP(V75,'Tablas Magia'!$D$6:$Z$680,9,FALSE))</f>
        <v>12</v>
      </c>
      <c r="Y79" s="1314">
        <f>IF(V75=0,"",VLOOKUP(V75,'Tablas Magia'!$D$6:$Z$680,13,FALSE))</f>
        <v>160</v>
      </c>
      <c r="Z79" s="1315">
        <f>IF(V75=0,"",VLOOKUP(V75,'Tablas Magia'!$D$6:$Z$680,17,FALSE))</f>
        <v>20</v>
      </c>
      <c r="AA79" s="5029" t="str">
        <f>IF(V75=0,"",VLOOKUP(V75,'Tablas Magia'!$D$6:$Z$680,21,FALSE))</f>
        <v>Da +30 Daño / 250m radio</v>
      </c>
      <c r="AB79" s="5030"/>
      <c r="AC79" s="5030"/>
      <c r="AD79" s="5030"/>
      <c r="AE79" s="5030"/>
      <c r="AF79" s="5030"/>
      <c r="AG79" s="5030"/>
      <c r="AH79" s="5030"/>
      <c r="AI79" s="5030"/>
      <c r="AJ79" s="5031"/>
      <c r="AK79" s="1295"/>
      <c r="AL79" s="1289"/>
      <c r="AM79" s="1289"/>
      <c r="AN79" s="2485"/>
      <c r="AO79" s="5027" t="s">
        <v>5259</v>
      </c>
      <c r="AP79" s="5028"/>
      <c r="AQ79" s="1314">
        <f>IF(AO75=0,"",VLOOKUP(AO75,'Tablas Magia'!$D$6:$Z$680,9,FALSE))</f>
        <v>12</v>
      </c>
      <c r="AR79" s="1314">
        <f>IF(AO75=0,"",VLOOKUP(AO75,'Tablas Magia'!$D$6:$Z$680,13,FALSE))</f>
        <v>250</v>
      </c>
      <c r="AS79" s="1315">
        <f>IF(AO75=0,"",VLOOKUP(AO75,'Tablas Magia'!$D$6:$Z$680,17,FALSE))</f>
        <v>50</v>
      </c>
      <c r="AT79" s="5029" t="str">
        <f>IF(AO75=0,"",VLOOKUP(AO75,'Tablas Magia'!$D$6:$Z$680,21,FALSE))</f>
        <v>100m radio</v>
      </c>
      <c r="AU79" s="5030"/>
      <c r="AV79" s="5030"/>
      <c r="AW79" s="5030"/>
      <c r="AX79" s="5030"/>
      <c r="AY79" s="5030"/>
      <c r="AZ79" s="5030"/>
      <c r="BA79" s="5030"/>
      <c r="BB79" s="5030"/>
      <c r="BC79" s="5031"/>
      <c r="BD79" s="1295"/>
      <c r="BE79" s="1289"/>
      <c r="BF79" s="1289"/>
      <c r="BG79" s="2485"/>
      <c r="BH79" s="5027" t="s">
        <v>5259</v>
      </c>
      <c r="BI79" s="5028"/>
      <c r="BJ79" s="1314">
        <f>IF(BH75=0,"",VLOOKUP(BH75,'Tablas Magia'!$D$6:$Z$680,9,FALSE))</f>
        <v>12</v>
      </c>
      <c r="BK79" s="1314">
        <f>IF(BH75=0,"",VLOOKUP(BH75,'Tablas Magia'!$D$6:$Z$680,13,FALSE))</f>
        <v>250</v>
      </c>
      <c r="BL79" s="1315" t="str">
        <f>IF(BH75=0,"",VLOOKUP(BH75,'Tablas Magia'!$D$6:$Z$680,17,FALSE))</f>
        <v>No</v>
      </c>
      <c r="BM79" s="5029" t="str">
        <f>IF(BH75=0,"",VLOOKUP(BH75,'Tablas Magia'!$D$6:$Z$680,21,FALSE))</f>
        <v>250m radio</v>
      </c>
      <c r="BN79" s="5030"/>
      <c r="BO79" s="5030"/>
      <c r="BP79" s="5030"/>
      <c r="BQ79" s="5030"/>
      <c r="BR79" s="5030"/>
      <c r="BS79" s="5030"/>
      <c r="BT79" s="5030"/>
      <c r="BU79" s="5030"/>
      <c r="BV79" s="5031"/>
      <c r="BW79" s="1295"/>
      <c r="BX79" s="1289"/>
      <c r="BY79" s="1289"/>
      <c r="BZ79" s="2485"/>
      <c r="CA79" s="5027" t="s">
        <v>5259</v>
      </c>
      <c r="CB79" s="5028"/>
      <c r="CC79" s="1314">
        <f>IF(CA75=0,"",VLOOKUP(CA75,'Tablas Magia'!$D$6:$Z$680,9,FALSE))</f>
        <v>18</v>
      </c>
      <c r="CD79" s="1314">
        <f>IF(CA75=0,"",VLOOKUP(CA75,'Tablas Magia'!$D$6:$Z$680,13,FALSE))</f>
        <v>750</v>
      </c>
      <c r="CE79" s="1315">
        <f>IF(CA75=0,"",VLOOKUP(CA75,'Tablas Magia'!$D$6:$Z$680,17,FALSE))</f>
        <v>75</v>
      </c>
      <c r="CF79" s="5029" t="str">
        <f>IF(CA75=0,"",VLOOKUP(CA75,'Tablas Magia'!$D$6:$Z$680,21,FALSE))</f>
        <v>250m radio</v>
      </c>
      <c r="CG79" s="5030"/>
      <c r="CH79" s="5030"/>
      <c r="CI79" s="5030"/>
      <c r="CJ79" s="5030"/>
      <c r="CK79" s="5030"/>
      <c r="CL79" s="5030"/>
      <c r="CM79" s="5030"/>
      <c r="CN79" s="5030"/>
      <c r="CO79" s="5031"/>
      <c r="CP79" s="1295"/>
      <c r="CQ79" s="1289"/>
    </row>
    <row r="80" spans="1:95" ht="12" customHeight="1" thickBot="1" x14ac:dyDescent="0.25">
      <c r="A80" s="1289"/>
      <c r="B80" s="2471"/>
      <c r="C80" s="5037" t="s">
        <v>5260</v>
      </c>
      <c r="D80" s="5038"/>
      <c r="E80" s="1318">
        <f>IF(C75=0,"",VLOOKUP(C75,'Tablas Magia'!$D$6:$Z$680,10,FALSE))</f>
        <v>15</v>
      </c>
      <c r="F80" s="1318">
        <f>IF(C75=0,"",VLOOKUP(C75,'Tablas Magia'!$D$6:$Z$680,14,FALSE))</f>
        <v>130</v>
      </c>
      <c r="G80" s="1319">
        <f>IF(C75=0,"",VLOOKUP(C75,'Tablas Magia'!$D$6:$Z$680,18,FALSE))</f>
        <v>15</v>
      </c>
      <c r="H80" s="5039" t="str">
        <f>IF(C75=0,"",VLOOKUP(C75,'Tablas Magia'!$D$6:$Z$680,22,FALSE))</f>
        <v>500m radio</v>
      </c>
      <c r="I80" s="5040"/>
      <c r="J80" s="5040"/>
      <c r="K80" s="5040"/>
      <c r="L80" s="5040"/>
      <c r="M80" s="5040"/>
      <c r="N80" s="5040"/>
      <c r="O80" s="5040"/>
      <c r="P80" s="5040"/>
      <c r="Q80" s="5041"/>
      <c r="R80" s="1295"/>
      <c r="S80" s="1289"/>
      <c r="T80" s="1289"/>
      <c r="U80" s="2471"/>
      <c r="V80" s="5037" t="s">
        <v>5260</v>
      </c>
      <c r="W80" s="5038"/>
      <c r="X80" s="1318">
        <f>IF(V75=0,"",VLOOKUP(V75,'Tablas Magia'!$D$6:$Z$680,10,FALSE))</f>
        <v>15</v>
      </c>
      <c r="Y80" s="1318">
        <f>IF(V75=0,"",VLOOKUP(V75,'Tablas Magia'!$D$6:$Z$680,14,FALSE))</f>
        <v>200</v>
      </c>
      <c r="Z80" s="1319">
        <f>IF(V75=0,"",VLOOKUP(V75,'Tablas Magia'!$D$6:$Z$680,18,FALSE))</f>
        <v>20</v>
      </c>
      <c r="AA80" s="5039" t="str">
        <f>IF(V75=0,"",VLOOKUP(V75,'Tablas Magia'!$D$6:$Z$680,22,FALSE))</f>
        <v>Da +40 Daño / 500m radio</v>
      </c>
      <c r="AB80" s="5040"/>
      <c r="AC80" s="5040"/>
      <c r="AD80" s="5040"/>
      <c r="AE80" s="5040"/>
      <c r="AF80" s="5040"/>
      <c r="AG80" s="5040"/>
      <c r="AH80" s="5040"/>
      <c r="AI80" s="5040"/>
      <c r="AJ80" s="5041"/>
      <c r="AK80" s="1295"/>
      <c r="AL80" s="1289"/>
      <c r="AM80" s="1289"/>
      <c r="AN80" s="2485"/>
      <c r="AO80" s="5037" t="s">
        <v>5260</v>
      </c>
      <c r="AP80" s="5038"/>
      <c r="AQ80" s="1318">
        <f>IF(AO75=0,"",VLOOKUP(AO75,'Tablas Magia'!$D$6:$Z$680,10,FALSE))</f>
        <v>15</v>
      </c>
      <c r="AR80" s="1318">
        <f>IF(AO75=0,"",VLOOKUP(AO75,'Tablas Magia'!$D$6:$Z$680,14,FALSE))</f>
        <v>300</v>
      </c>
      <c r="AS80" s="1319">
        <f>IF(AO75=0,"",VLOOKUP(AO75,'Tablas Magia'!$D$6:$Z$680,18,FALSE))</f>
        <v>100</v>
      </c>
      <c r="AT80" s="5039" t="str">
        <f>IF(AO75=0,"",VLOOKUP(AO75,'Tablas Magia'!$D$6:$Z$680,22,FALSE))</f>
        <v>500m radio</v>
      </c>
      <c r="AU80" s="5040"/>
      <c r="AV80" s="5040"/>
      <c r="AW80" s="5040"/>
      <c r="AX80" s="5040"/>
      <c r="AY80" s="5040"/>
      <c r="AZ80" s="5040"/>
      <c r="BA80" s="5040"/>
      <c r="BB80" s="5040"/>
      <c r="BC80" s="5041"/>
      <c r="BD80" s="1295"/>
      <c r="BE80" s="1289"/>
      <c r="BF80" s="1289"/>
      <c r="BG80" s="2485"/>
      <c r="BH80" s="5037" t="s">
        <v>5260</v>
      </c>
      <c r="BI80" s="5038"/>
      <c r="BJ80" s="1318">
        <f>IF(BH75=0,"",VLOOKUP(BH75,'Tablas Magia'!$D$6:$Z$680,10,FALSE))</f>
        <v>15</v>
      </c>
      <c r="BK80" s="1318">
        <f>IF(BH75=0,"",VLOOKUP(BH75,'Tablas Magia'!$D$6:$Z$680,14,FALSE))</f>
        <v>300</v>
      </c>
      <c r="BL80" s="1319" t="str">
        <f>IF(BH75=0,"",VLOOKUP(BH75,'Tablas Magia'!$D$6:$Z$680,18,FALSE))</f>
        <v>No</v>
      </c>
      <c r="BM80" s="5039" t="str">
        <f>IF(BH75=0,"",VLOOKUP(BH75,'Tablas Magia'!$D$6:$Z$680,22,FALSE))</f>
        <v>500m radio</v>
      </c>
      <c r="BN80" s="5040"/>
      <c r="BO80" s="5040"/>
      <c r="BP80" s="5040"/>
      <c r="BQ80" s="5040"/>
      <c r="BR80" s="5040"/>
      <c r="BS80" s="5040"/>
      <c r="BT80" s="5040"/>
      <c r="BU80" s="5040"/>
      <c r="BV80" s="5041"/>
      <c r="BW80" s="1295"/>
      <c r="BX80" s="1289"/>
      <c r="BY80" s="1289"/>
      <c r="BZ80" s="2485"/>
      <c r="CA80" s="5037" t="s">
        <v>5260</v>
      </c>
      <c r="CB80" s="5038"/>
      <c r="CC80" s="1318">
        <f>IF(CA75=0,"",VLOOKUP(CA75,'Tablas Magia'!$D$6:$Z$680,10,FALSE))</f>
        <v>20</v>
      </c>
      <c r="CD80" s="1318">
        <f>IF(CA75=0,"",VLOOKUP(CA75,'Tablas Magia'!$D$6:$Z$680,14,FALSE))</f>
        <v>1000</v>
      </c>
      <c r="CE80" s="1319">
        <f>IF(CA75=0,"",VLOOKUP(CA75,'Tablas Magia'!$D$6:$Z$680,18,FALSE))</f>
        <v>100</v>
      </c>
      <c r="CF80" s="5039" t="str">
        <f>IF(CA75=0,"",VLOOKUP(CA75,'Tablas Magia'!$D$6:$Z$680,22,FALSE))</f>
        <v>500m radio / Puede seguir luchando  hasta 2 asaltos después de muerto</v>
      </c>
      <c r="CG80" s="5040"/>
      <c r="CH80" s="5040"/>
      <c r="CI80" s="5040"/>
      <c r="CJ80" s="5040"/>
      <c r="CK80" s="5040"/>
      <c r="CL80" s="5040"/>
      <c r="CM80" s="5040"/>
      <c r="CN80" s="5040"/>
      <c r="CO80" s="5041"/>
      <c r="CP80" s="1295"/>
      <c r="CQ80" s="1289"/>
    </row>
    <row r="81" spans="1:95" ht="12" customHeight="1" x14ac:dyDescent="0.2">
      <c r="A81" s="1289"/>
      <c r="B81" s="2471"/>
      <c r="C81" s="5042"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43"/>
      <c r="E81" s="5043"/>
      <c r="F81" s="5043"/>
      <c r="G81" s="5043"/>
      <c r="H81" s="5043"/>
      <c r="I81" s="5043"/>
      <c r="J81" s="5043"/>
      <c r="K81" s="5043"/>
      <c r="L81" s="5043"/>
      <c r="M81" s="5043"/>
      <c r="N81" s="5043"/>
      <c r="O81" s="5043"/>
      <c r="P81" s="5043"/>
      <c r="Q81" s="5044"/>
      <c r="R81" s="1295"/>
      <c r="S81" s="1289"/>
      <c r="T81" s="1289"/>
      <c r="U81" s="2471"/>
      <c r="V81" s="5042" t="str">
        <f>IF(V75=0,"",VLOOKUP(V75,'Tablas Magia'!$D$6:$Z$680,23,FALSE))</f>
        <v>Incrementa la potencia destructiva de los aliados cercanos al PJ, otorgándoles a estos un Bono al Daño de todos sus ataques.</v>
      </c>
      <c r="W81" s="5043"/>
      <c r="X81" s="5043"/>
      <c r="Y81" s="5043"/>
      <c r="Z81" s="5043"/>
      <c r="AA81" s="5043"/>
      <c r="AB81" s="5043"/>
      <c r="AC81" s="5043"/>
      <c r="AD81" s="5043"/>
      <c r="AE81" s="5043"/>
      <c r="AF81" s="5043"/>
      <c r="AG81" s="5043"/>
      <c r="AH81" s="5043"/>
      <c r="AI81" s="5043"/>
      <c r="AJ81" s="5044"/>
      <c r="AK81" s="1295"/>
      <c r="AL81" s="1289"/>
      <c r="AM81" s="1289"/>
      <c r="AN81" s="2485"/>
      <c r="AO81" s="5042"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43"/>
      <c r="AQ81" s="5043"/>
      <c r="AR81" s="5043"/>
      <c r="AS81" s="5043"/>
      <c r="AT81" s="5043"/>
      <c r="AU81" s="5043"/>
      <c r="AV81" s="5043"/>
      <c r="AW81" s="5043"/>
      <c r="AX81" s="5043"/>
      <c r="AY81" s="5043"/>
      <c r="AZ81" s="5043"/>
      <c r="BA81" s="5043"/>
      <c r="BB81" s="5043"/>
      <c r="BC81" s="5044"/>
      <c r="BD81" s="1295"/>
      <c r="BE81" s="1289"/>
      <c r="BF81" s="1289"/>
      <c r="BG81" s="2485"/>
      <c r="BH81" s="5042"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43"/>
      <c r="BJ81" s="5043"/>
      <c r="BK81" s="5043"/>
      <c r="BL81" s="5043"/>
      <c r="BM81" s="5043"/>
      <c r="BN81" s="5043"/>
      <c r="BO81" s="5043"/>
      <c r="BP81" s="5043"/>
      <c r="BQ81" s="5043"/>
      <c r="BR81" s="5043"/>
      <c r="BS81" s="5043"/>
      <c r="BT81" s="5043"/>
      <c r="BU81" s="5043"/>
      <c r="BV81" s="5044"/>
      <c r="BW81" s="1295"/>
      <c r="BX81" s="1289"/>
      <c r="BY81" s="1289"/>
      <c r="BZ81" s="2485"/>
      <c r="CA81" s="5042"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43"/>
      <c r="CC81" s="5043"/>
      <c r="CD81" s="5043"/>
      <c r="CE81" s="5043"/>
      <c r="CF81" s="5043"/>
      <c r="CG81" s="5043"/>
      <c r="CH81" s="5043"/>
      <c r="CI81" s="5043"/>
      <c r="CJ81" s="5043"/>
      <c r="CK81" s="5043"/>
      <c r="CL81" s="5043"/>
      <c r="CM81" s="5043"/>
      <c r="CN81" s="5043"/>
      <c r="CO81" s="5044"/>
      <c r="CP81" s="1295"/>
      <c r="CQ81" s="1289"/>
    </row>
    <row r="82" spans="1:95" ht="12" customHeight="1" x14ac:dyDescent="0.2">
      <c r="A82" s="1289"/>
      <c r="B82" s="2471"/>
      <c r="C82" s="5045"/>
      <c r="D82" s="5046"/>
      <c r="E82" s="5046"/>
      <c r="F82" s="5046"/>
      <c r="G82" s="5046"/>
      <c r="H82" s="5046"/>
      <c r="I82" s="5046"/>
      <c r="J82" s="5046"/>
      <c r="K82" s="5046"/>
      <c r="L82" s="5046"/>
      <c r="M82" s="5046"/>
      <c r="N82" s="5046"/>
      <c r="O82" s="5046"/>
      <c r="P82" s="5046"/>
      <c r="Q82" s="5047"/>
      <c r="R82" s="1295"/>
      <c r="S82" s="1289"/>
      <c r="T82" s="1289"/>
      <c r="U82" s="2471"/>
      <c r="V82" s="5045"/>
      <c r="W82" s="5046"/>
      <c r="X82" s="5046"/>
      <c r="Y82" s="5046"/>
      <c r="Z82" s="5046"/>
      <c r="AA82" s="5046"/>
      <c r="AB82" s="5046"/>
      <c r="AC82" s="5046"/>
      <c r="AD82" s="5046"/>
      <c r="AE82" s="5046"/>
      <c r="AF82" s="5046"/>
      <c r="AG82" s="5046"/>
      <c r="AH82" s="5046"/>
      <c r="AI82" s="5046"/>
      <c r="AJ82" s="5047"/>
      <c r="AK82" s="1295"/>
      <c r="AL82" s="1289"/>
      <c r="AM82" s="1289"/>
      <c r="AN82" s="2485"/>
      <c r="AO82" s="5045"/>
      <c r="AP82" s="5046"/>
      <c r="AQ82" s="5046"/>
      <c r="AR82" s="5046"/>
      <c r="AS82" s="5046"/>
      <c r="AT82" s="5046"/>
      <c r="AU82" s="5046"/>
      <c r="AV82" s="5046"/>
      <c r="AW82" s="5046"/>
      <c r="AX82" s="5046"/>
      <c r="AY82" s="5046"/>
      <c r="AZ82" s="5046"/>
      <c r="BA82" s="5046"/>
      <c r="BB82" s="5046"/>
      <c r="BC82" s="5047"/>
      <c r="BD82" s="1295"/>
      <c r="BE82" s="1289"/>
      <c r="BF82" s="1289"/>
      <c r="BG82" s="2485"/>
      <c r="BH82" s="5045"/>
      <c r="BI82" s="5046"/>
      <c r="BJ82" s="5046"/>
      <c r="BK82" s="5046"/>
      <c r="BL82" s="5046"/>
      <c r="BM82" s="5046"/>
      <c r="BN82" s="5046"/>
      <c r="BO82" s="5046"/>
      <c r="BP82" s="5046"/>
      <c r="BQ82" s="5046"/>
      <c r="BR82" s="5046"/>
      <c r="BS82" s="5046"/>
      <c r="BT82" s="5046"/>
      <c r="BU82" s="5046"/>
      <c r="BV82" s="5047"/>
      <c r="BW82" s="1295"/>
      <c r="BX82" s="1289"/>
      <c r="BY82" s="1289"/>
      <c r="BZ82" s="2485"/>
      <c r="CA82" s="5045"/>
      <c r="CB82" s="5046"/>
      <c r="CC82" s="5046"/>
      <c r="CD82" s="5046"/>
      <c r="CE82" s="5046"/>
      <c r="CF82" s="5046"/>
      <c r="CG82" s="5046"/>
      <c r="CH82" s="5046"/>
      <c r="CI82" s="5046"/>
      <c r="CJ82" s="5046"/>
      <c r="CK82" s="5046"/>
      <c r="CL82" s="5046"/>
      <c r="CM82" s="5046"/>
      <c r="CN82" s="5046"/>
      <c r="CO82" s="5047"/>
      <c r="CP82" s="1295"/>
      <c r="CQ82" s="1289"/>
    </row>
    <row r="83" spans="1:95" ht="12" customHeight="1" x14ac:dyDescent="0.2">
      <c r="A83" s="1289"/>
      <c r="B83" s="2471"/>
      <c r="C83" s="5045"/>
      <c r="D83" s="5046"/>
      <c r="E83" s="5046"/>
      <c r="F83" s="5046"/>
      <c r="G83" s="5046"/>
      <c r="H83" s="5046"/>
      <c r="I83" s="5046"/>
      <c r="J83" s="5046"/>
      <c r="K83" s="5046"/>
      <c r="L83" s="5046"/>
      <c r="M83" s="5046"/>
      <c r="N83" s="5046"/>
      <c r="O83" s="5046"/>
      <c r="P83" s="5046"/>
      <c r="Q83" s="5047"/>
      <c r="R83" s="1295"/>
      <c r="S83" s="1289"/>
      <c r="T83" s="1289"/>
      <c r="U83" s="2471"/>
      <c r="V83" s="5045"/>
      <c r="W83" s="5046"/>
      <c r="X83" s="5046"/>
      <c r="Y83" s="5046"/>
      <c r="Z83" s="5046"/>
      <c r="AA83" s="5046"/>
      <c r="AB83" s="5046"/>
      <c r="AC83" s="5046"/>
      <c r="AD83" s="5046"/>
      <c r="AE83" s="5046"/>
      <c r="AF83" s="5046"/>
      <c r="AG83" s="5046"/>
      <c r="AH83" s="5046"/>
      <c r="AI83" s="5046"/>
      <c r="AJ83" s="5047"/>
      <c r="AK83" s="1295"/>
      <c r="AL83" s="1289"/>
      <c r="AM83" s="1289"/>
      <c r="AN83" s="2485"/>
      <c r="AO83" s="5045"/>
      <c r="AP83" s="5046"/>
      <c r="AQ83" s="5046"/>
      <c r="AR83" s="5046"/>
      <c r="AS83" s="5046"/>
      <c r="AT83" s="5046"/>
      <c r="AU83" s="5046"/>
      <c r="AV83" s="5046"/>
      <c r="AW83" s="5046"/>
      <c r="AX83" s="5046"/>
      <c r="AY83" s="5046"/>
      <c r="AZ83" s="5046"/>
      <c r="BA83" s="5046"/>
      <c r="BB83" s="5046"/>
      <c r="BC83" s="5047"/>
      <c r="BD83" s="1295"/>
      <c r="BE83" s="1289"/>
      <c r="BF83" s="1289"/>
      <c r="BG83" s="2485"/>
      <c r="BH83" s="5045"/>
      <c r="BI83" s="5046"/>
      <c r="BJ83" s="5046"/>
      <c r="BK83" s="5046"/>
      <c r="BL83" s="5046"/>
      <c r="BM83" s="5046"/>
      <c r="BN83" s="5046"/>
      <c r="BO83" s="5046"/>
      <c r="BP83" s="5046"/>
      <c r="BQ83" s="5046"/>
      <c r="BR83" s="5046"/>
      <c r="BS83" s="5046"/>
      <c r="BT83" s="5046"/>
      <c r="BU83" s="5046"/>
      <c r="BV83" s="5047"/>
      <c r="BW83" s="1295"/>
      <c r="BX83" s="1289"/>
      <c r="BY83" s="1289"/>
      <c r="BZ83" s="2485"/>
      <c r="CA83" s="5045"/>
      <c r="CB83" s="5046"/>
      <c r="CC83" s="5046"/>
      <c r="CD83" s="5046"/>
      <c r="CE83" s="5046"/>
      <c r="CF83" s="5046"/>
      <c r="CG83" s="5046"/>
      <c r="CH83" s="5046"/>
      <c r="CI83" s="5046"/>
      <c r="CJ83" s="5046"/>
      <c r="CK83" s="5046"/>
      <c r="CL83" s="5046"/>
      <c r="CM83" s="5046"/>
      <c r="CN83" s="5046"/>
      <c r="CO83" s="5047"/>
      <c r="CP83" s="1295"/>
      <c r="CQ83" s="1289"/>
    </row>
    <row r="84" spans="1:95" ht="12" customHeight="1" thickBot="1" x14ac:dyDescent="0.25">
      <c r="A84" s="1289"/>
      <c r="B84" s="2471"/>
      <c r="C84" s="5048"/>
      <c r="D84" s="5049"/>
      <c r="E84" s="5049"/>
      <c r="F84" s="5049"/>
      <c r="G84" s="5049"/>
      <c r="H84" s="5049"/>
      <c r="I84" s="5049"/>
      <c r="J84" s="5049"/>
      <c r="K84" s="5049"/>
      <c r="L84" s="5049"/>
      <c r="M84" s="5049"/>
      <c r="N84" s="5049"/>
      <c r="O84" s="5049"/>
      <c r="P84" s="5049"/>
      <c r="Q84" s="5050"/>
      <c r="R84" s="1295"/>
      <c r="S84" s="1289"/>
      <c r="T84" s="1289"/>
      <c r="U84" s="2471"/>
      <c r="V84" s="5048"/>
      <c r="W84" s="5049"/>
      <c r="X84" s="5049"/>
      <c r="Y84" s="5049"/>
      <c r="Z84" s="5049"/>
      <c r="AA84" s="5049"/>
      <c r="AB84" s="5049"/>
      <c r="AC84" s="5049"/>
      <c r="AD84" s="5049"/>
      <c r="AE84" s="5049"/>
      <c r="AF84" s="5049"/>
      <c r="AG84" s="5049"/>
      <c r="AH84" s="5049"/>
      <c r="AI84" s="5049"/>
      <c r="AJ84" s="5050"/>
      <c r="AK84" s="1295"/>
      <c r="AL84" s="1289"/>
      <c r="AM84" s="1289"/>
      <c r="AN84" s="2485"/>
      <c r="AO84" s="5048"/>
      <c r="AP84" s="5049"/>
      <c r="AQ84" s="5049"/>
      <c r="AR84" s="5049"/>
      <c r="AS84" s="5049"/>
      <c r="AT84" s="5049"/>
      <c r="AU84" s="5049"/>
      <c r="AV84" s="5049"/>
      <c r="AW84" s="5049"/>
      <c r="AX84" s="5049"/>
      <c r="AY84" s="5049"/>
      <c r="AZ84" s="5049"/>
      <c r="BA84" s="5049"/>
      <c r="BB84" s="5049"/>
      <c r="BC84" s="5050"/>
      <c r="BD84" s="1295"/>
      <c r="BE84" s="1289"/>
      <c r="BF84" s="1289"/>
      <c r="BG84" s="2485"/>
      <c r="BH84" s="5048"/>
      <c r="BI84" s="5049"/>
      <c r="BJ84" s="5049"/>
      <c r="BK84" s="5049"/>
      <c r="BL84" s="5049"/>
      <c r="BM84" s="5049"/>
      <c r="BN84" s="5049"/>
      <c r="BO84" s="5049"/>
      <c r="BP84" s="5049"/>
      <c r="BQ84" s="5049"/>
      <c r="BR84" s="5049"/>
      <c r="BS84" s="5049"/>
      <c r="BT84" s="5049"/>
      <c r="BU84" s="5049"/>
      <c r="BV84" s="5050"/>
      <c r="BW84" s="1295"/>
      <c r="BX84" s="1289"/>
      <c r="BY84" s="1289"/>
      <c r="BZ84" s="2485"/>
      <c r="CA84" s="5048"/>
      <c r="CB84" s="5049"/>
      <c r="CC84" s="5049"/>
      <c r="CD84" s="5049"/>
      <c r="CE84" s="5049"/>
      <c r="CF84" s="5049"/>
      <c r="CG84" s="5049"/>
      <c r="CH84" s="5049"/>
      <c r="CI84" s="5049"/>
      <c r="CJ84" s="5049"/>
      <c r="CK84" s="5049"/>
      <c r="CL84" s="5049"/>
      <c r="CM84" s="5049"/>
      <c r="CN84" s="5049"/>
      <c r="CO84" s="5050"/>
      <c r="CP84" s="1295"/>
      <c r="CQ84" s="1289"/>
    </row>
    <row r="85" spans="1:95" ht="12" customHeight="1" thickBot="1" x14ac:dyDescent="0.25">
      <c r="A85" s="1289"/>
      <c r="B85" s="2471"/>
      <c r="C85" s="1330"/>
      <c r="D85" s="1330"/>
      <c r="E85" s="1331"/>
      <c r="F85" s="1331"/>
      <c r="G85" s="1331"/>
      <c r="H85" s="1331"/>
      <c r="I85" s="1331"/>
      <c r="J85" s="1331"/>
      <c r="K85" s="1331"/>
      <c r="L85" s="1331"/>
      <c r="M85" s="1331"/>
      <c r="N85" s="1331"/>
      <c r="O85" s="1331"/>
      <c r="P85" s="1331"/>
      <c r="Q85" s="1331"/>
      <c r="R85" s="1295"/>
      <c r="S85" s="1289"/>
      <c r="T85" s="1289"/>
      <c r="U85" s="2471"/>
      <c r="V85" s="1330"/>
      <c r="W85" s="1330"/>
      <c r="X85" s="1331"/>
      <c r="Y85" s="1331"/>
      <c r="Z85" s="1331"/>
      <c r="AA85" s="1331"/>
      <c r="AB85" s="1331"/>
      <c r="AC85" s="1331"/>
      <c r="AD85" s="1331"/>
      <c r="AE85" s="1331"/>
      <c r="AF85" s="1331"/>
      <c r="AG85" s="1331"/>
      <c r="AH85" s="1331"/>
      <c r="AI85" s="1331"/>
      <c r="AJ85" s="1331"/>
      <c r="AK85" s="1295"/>
      <c r="AL85" s="1289"/>
      <c r="AM85" s="1289"/>
      <c r="AN85" s="2471"/>
      <c r="AO85" s="1330"/>
      <c r="AP85" s="1330"/>
      <c r="AQ85" s="1331"/>
      <c r="AR85" s="1331"/>
      <c r="AS85" s="1331"/>
      <c r="AT85" s="1331"/>
      <c r="AU85" s="1331"/>
      <c r="AV85" s="1331"/>
      <c r="AW85" s="1331"/>
      <c r="AX85" s="1331"/>
      <c r="AY85" s="1331"/>
      <c r="AZ85" s="1331"/>
      <c r="BA85" s="1331"/>
      <c r="BB85" s="1331"/>
      <c r="BC85" s="1331"/>
      <c r="BD85" s="1295"/>
      <c r="BE85" s="1289"/>
      <c r="BF85" s="1289"/>
      <c r="BG85" s="2471"/>
      <c r="BH85" s="1330"/>
      <c r="BI85" s="1330"/>
      <c r="BJ85" s="1331"/>
      <c r="BK85" s="1331"/>
      <c r="BL85" s="1331"/>
      <c r="BM85" s="1331"/>
      <c r="BN85" s="1331"/>
      <c r="BO85" s="1331"/>
      <c r="BP85" s="1331"/>
      <c r="BQ85" s="1331"/>
      <c r="BR85" s="1331"/>
      <c r="BS85" s="1331"/>
      <c r="BT85" s="1331"/>
      <c r="BU85" s="1331"/>
      <c r="BV85" s="1331"/>
      <c r="BW85" s="1295"/>
      <c r="BX85" s="1289"/>
      <c r="BY85" s="1289"/>
      <c r="BZ85" s="2471"/>
      <c r="CA85" s="1330"/>
      <c r="CB85" s="1330"/>
      <c r="CC85" s="1331"/>
      <c r="CD85" s="1331"/>
      <c r="CE85" s="1331"/>
      <c r="CF85" s="1331"/>
      <c r="CG85" s="1331"/>
      <c r="CH85" s="1331"/>
      <c r="CI85" s="1331"/>
      <c r="CJ85" s="1331"/>
      <c r="CK85" s="1331"/>
      <c r="CL85" s="1331"/>
      <c r="CM85" s="1331"/>
      <c r="CN85" s="1331"/>
      <c r="CO85" s="1331"/>
      <c r="CP85" s="1295"/>
      <c r="CQ85" s="1289"/>
    </row>
    <row r="86" spans="1:95" ht="12" customHeight="1" x14ac:dyDescent="0.2">
      <c r="A86" s="1289"/>
      <c r="B86" s="2471">
        <f>B75+2</f>
        <v>16</v>
      </c>
      <c r="C86" s="5051"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52"/>
      <c r="E86" s="5052"/>
      <c r="F86" s="5052"/>
      <c r="G86" s="5052"/>
      <c r="H86" s="1309" t="s">
        <v>2171</v>
      </c>
      <c r="I86" s="1310">
        <f>IF(C86=0,"",VLOOKUP(C86,'Tablas Magia'!$D$6:$Z$680,3,FALSE))</f>
        <v>16</v>
      </c>
      <c r="J86" s="5017" t="s">
        <v>8715</v>
      </c>
      <c r="K86" s="5017"/>
      <c r="L86" s="5017"/>
      <c r="M86" s="5018" t="str">
        <f>IF(C86=0,"",VLOOKUP(C86,'Tablas Magia'!$D$6:$Z$680,2,FALSE))</f>
        <v>Fuego</v>
      </c>
      <c r="N86" s="5018"/>
      <c r="O86" s="5018"/>
      <c r="P86" s="5018"/>
      <c r="Q86" s="5019"/>
      <c r="R86" s="1295"/>
      <c r="S86" s="1289"/>
      <c r="T86" s="1289"/>
      <c r="U86" s="2471">
        <f>U75+2</f>
        <v>36</v>
      </c>
      <c r="V86" s="5051"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52"/>
      <c r="X86" s="5052"/>
      <c r="Y86" s="5052"/>
      <c r="Z86" s="5052"/>
      <c r="AA86" s="1309" t="s">
        <v>2171</v>
      </c>
      <c r="AB86" s="1310">
        <f>IF(V86=0,"",VLOOKUP(V86,'Tablas Magia'!$D$6:$Z$680,3,FALSE))</f>
        <v>36</v>
      </c>
      <c r="AC86" s="5017" t="s">
        <v>8715</v>
      </c>
      <c r="AD86" s="5017"/>
      <c r="AE86" s="5017"/>
      <c r="AF86" s="5018" t="str">
        <f>IF(V86=0,"",VLOOKUP(V86,'Tablas Magia'!$D$6:$Z$680,2,FALSE))</f>
        <v>Fuego</v>
      </c>
      <c r="AG86" s="5018"/>
      <c r="AH86" s="5018"/>
      <c r="AI86" s="5018"/>
      <c r="AJ86" s="5019"/>
      <c r="AK86" s="1295"/>
      <c r="AL86" s="1289"/>
      <c r="AM86" s="1289"/>
      <c r="AN86" s="2485">
        <f>AN75+2</f>
        <v>56</v>
      </c>
      <c r="AO86" s="5051"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52"/>
      <c r="AQ86" s="5052"/>
      <c r="AR86" s="5052"/>
      <c r="AS86" s="5052"/>
      <c r="AT86" s="1309" t="s">
        <v>2171</v>
      </c>
      <c r="AU86" s="1310">
        <f>IF(AO86=0,"",VLOOKUP(AO86,'Tablas Magia'!$D$6:$Z$680,3,FALSE))</f>
        <v>56</v>
      </c>
      <c r="AV86" s="5017" t="s">
        <v>8715</v>
      </c>
      <c r="AW86" s="5017"/>
      <c r="AX86" s="5017"/>
      <c r="AY86" s="5018" t="str">
        <f>IF(AO86=0,"",VLOOKUP(AO86,'Tablas Magia'!$D$6:$Z$680,2,FALSE))</f>
        <v>Fuego</v>
      </c>
      <c r="AZ86" s="5018"/>
      <c r="BA86" s="5018"/>
      <c r="BB86" s="5018"/>
      <c r="BC86" s="5019"/>
      <c r="BD86" s="1295"/>
      <c r="BE86" s="1289"/>
      <c r="BF86" s="1289"/>
      <c r="BG86" s="2485">
        <f>BG75+2</f>
        <v>76</v>
      </c>
      <c r="BH86" s="5051"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52"/>
      <c r="BJ86" s="5052"/>
      <c r="BK86" s="5052"/>
      <c r="BL86" s="5052"/>
      <c r="BM86" s="1309" t="s">
        <v>2171</v>
      </c>
      <c r="BN86" s="1310">
        <f>IF(BH86=0,"",VLOOKUP(BH86,'Tablas Magia'!$D$6:$Z$680,3,FALSE))</f>
        <v>76</v>
      </c>
      <c r="BO86" s="5017" t="s">
        <v>8715</v>
      </c>
      <c r="BP86" s="5017"/>
      <c r="BQ86" s="5017"/>
      <c r="BR86" s="5018" t="str">
        <f>IF(BH86=0,"",VLOOKUP(BH86,'Tablas Magia'!$D$6:$Z$680,2,FALSE))</f>
        <v>Fuego</v>
      </c>
      <c r="BS86" s="5018"/>
      <c r="BT86" s="5018"/>
      <c r="BU86" s="5018"/>
      <c r="BV86" s="5019"/>
      <c r="BW86" s="1295"/>
      <c r="BX86" s="1289"/>
      <c r="BY86" s="1289"/>
      <c r="BZ86" s="2485">
        <f>BZ75+2</f>
        <v>96</v>
      </c>
      <c r="CA86" s="5051"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52"/>
      <c r="CC86" s="5052"/>
      <c r="CD86" s="5052"/>
      <c r="CE86" s="5052"/>
      <c r="CF86" s="1309" t="s">
        <v>2171</v>
      </c>
      <c r="CG86" s="1310">
        <f>IF(CA86=0,"",VLOOKUP(CA86,'Tablas Magia'!$D$6:$Z$680,3,FALSE))</f>
        <v>96</v>
      </c>
      <c r="CH86" s="5017" t="s">
        <v>8715</v>
      </c>
      <c r="CI86" s="5017"/>
      <c r="CJ86" s="5017"/>
      <c r="CK86" s="5018" t="str">
        <f>IF(CA86=0,"",VLOOKUP(CA86,'Tablas Magia'!$D$6:$Z$680,2,FALSE))</f>
        <v>Fuego</v>
      </c>
      <c r="CL86" s="5018"/>
      <c r="CM86" s="5018"/>
      <c r="CN86" s="5018"/>
      <c r="CO86" s="5019"/>
      <c r="CP86" s="1295"/>
      <c r="CQ86" s="1289"/>
    </row>
    <row r="87" spans="1:95" ht="12" customHeight="1" x14ac:dyDescent="0.2">
      <c r="A87" s="1289"/>
      <c r="B87" s="2471"/>
      <c r="C87" s="5035" t="s">
        <v>8716</v>
      </c>
      <c r="D87" s="5036"/>
      <c r="E87" s="1311" t="s">
        <v>8717</v>
      </c>
      <c r="F87" s="1311" t="s">
        <v>2365</v>
      </c>
      <c r="G87" s="1311" t="s">
        <v>4020</v>
      </c>
      <c r="H87" s="1312" t="s">
        <v>2716</v>
      </c>
      <c r="I87" s="5032" t="str">
        <f>IF(C86=0,"",VLOOKUP(C86,'Tablas Magia'!$D$6:$Z$680,5,FALSE))</f>
        <v>Ataque</v>
      </c>
      <c r="J87" s="5032"/>
      <c r="K87" s="5033" t="s">
        <v>8718</v>
      </c>
      <c r="L87" s="5033"/>
      <c r="M87" s="5032" t="str">
        <f>IF(C86=0,"",VLOOKUP(C86,'Tablas Magia'!$D$6:$Z$680,6,FALSE))</f>
        <v>Activa</v>
      </c>
      <c r="N87" s="5032"/>
      <c r="O87" s="5034" t="s">
        <v>8719</v>
      </c>
      <c r="P87" s="5034"/>
      <c r="Q87" s="1313" t="str">
        <f>IF(C86=0,"",VLOOKUP(C86,'Tablas Magia'!$D$6:$Z$680,4,FALSE))</f>
        <v>No</v>
      </c>
      <c r="R87" s="1295"/>
      <c r="S87" s="1289"/>
      <c r="T87" s="1289"/>
      <c r="U87" s="2471"/>
      <c r="V87" s="5035" t="s">
        <v>8716</v>
      </c>
      <c r="W87" s="5036"/>
      <c r="X87" s="1311" t="s">
        <v>8717</v>
      </c>
      <c r="Y87" s="1311" t="s">
        <v>2365</v>
      </c>
      <c r="Z87" s="1311" t="s">
        <v>4020</v>
      </c>
      <c r="AA87" s="1312" t="s">
        <v>2716</v>
      </c>
      <c r="AB87" s="5032" t="str">
        <f>IF(V86=0,"",VLOOKUP(V86,'Tablas Magia'!$D$6:$Z$680,5,FALSE))</f>
        <v>Efecto</v>
      </c>
      <c r="AC87" s="5032"/>
      <c r="AD87" s="5033" t="s">
        <v>8718</v>
      </c>
      <c r="AE87" s="5033"/>
      <c r="AF87" s="5032" t="str">
        <f>IF(V86=0,"",VLOOKUP(V86,'Tablas Magia'!$D$6:$Z$680,6,FALSE))</f>
        <v>Activa</v>
      </c>
      <c r="AG87" s="5032"/>
      <c r="AH87" s="5034" t="s">
        <v>8719</v>
      </c>
      <c r="AI87" s="5034"/>
      <c r="AJ87" s="1313" t="str">
        <f>IF(V86=0,"",VLOOKUP(V86,'Tablas Magia'!$D$6:$Z$680,4,FALSE))</f>
        <v>Si</v>
      </c>
      <c r="AK87" s="1295"/>
      <c r="AL87" s="1289"/>
      <c r="AM87" s="1289"/>
      <c r="AN87" s="2485"/>
      <c r="AO87" s="5035" t="s">
        <v>8716</v>
      </c>
      <c r="AP87" s="5036"/>
      <c r="AQ87" s="1311" t="s">
        <v>8717</v>
      </c>
      <c r="AR87" s="1311" t="s">
        <v>2365</v>
      </c>
      <c r="AS87" s="1311" t="s">
        <v>4020</v>
      </c>
      <c r="AT87" s="1312" t="s">
        <v>2716</v>
      </c>
      <c r="AU87" s="5032" t="str">
        <f>IF(AO86=0,"",VLOOKUP(AO86,'Tablas Magia'!$D$6:$Z$680,5,FALSE))</f>
        <v>Efecto</v>
      </c>
      <c r="AV87" s="5032"/>
      <c r="AW87" s="5033" t="s">
        <v>8718</v>
      </c>
      <c r="AX87" s="5033"/>
      <c r="AY87" s="5032" t="str">
        <f>IF(AO86=0,"",VLOOKUP(AO86,'Tablas Magia'!$D$6:$Z$680,6,FALSE))</f>
        <v>Activa</v>
      </c>
      <c r="AZ87" s="5032"/>
      <c r="BA87" s="5034" t="s">
        <v>8719</v>
      </c>
      <c r="BB87" s="5034"/>
      <c r="BC87" s="1313" t="str">
        <f>IF(AO86=0,"",VLOOKUP(AO86,'Tablas Magia'!$D$6:$Z$680,4,FALSE))</f>
        <v>Si</v>
      </c>
      <c r="BD87" s="1295"/>
      <c r="BE87" s="1289"/>
      <c r="BF87" s="1289"/>
      <c r="BG87" s="2485"/>
      <c r="BH87" s="5035" t="s">
        <v>8716</v>
      </c>
      <c r="BI87" s="5036"/>
      <c r="BJ87" s="1311" t="s">
        <v>8717</v>
      </c>
      <c r="BK87" s="1311" t="s">
        <v>2365</v>
      </c>
      <c r="BL87" s="1311" t="s">
        <v>4020</v>
      </c>
      <c r="BM87" s="1312" t="s">
        <v>2716</v>
      </c>
      <c r="BN87" s="5032" t="str">
        <f>IF(BH86=0,"",VLOOKUP(BH86,'Tablas Magia'!$D$6:$Z$680,5,FALSE))</f>
        <v>Automático</v>
      </c>
      <c r="BO87" s="5032"/>
      <c r="BP87" s="5033" t="s">
        <v>8718</v>
      </c>
      <c r="BQ87" s="5033"/>
      <c r="BR87" s="5032" t="str">
        <f>IF(BH86=0,"",VLOOKUP(BH86,'Tablas Magia'!$D$6:$Z$680,6,FALSE))</f>
        <v>Activa</v>
      </c>
      <c r="BS87" s="5032"/>
      <c r="BT87" s="5034" t="s">
        <v>8719</v>
      </c>
      <c r="BU87" s="5034"/>
      <c r="BV87" s="1313" t="str">
        <f>IF(BH86=0,"",VLOOKUP(BH86,'Tablas Magia'!$D$6:$Z$680,4,FALSE))</f>
        <v>No</v>
      </c>
      <c r="BW87" s="1295"/>
      <c r="BX87" s="1289"/>
      <c r="BY87" s="1289"/>
      <c r="BZ87" s="2485"/>
      <c r="CA87" s="5035" t="s">
        <v>8716</v>
      </c>
      <c r="CB87" s="5036"/>
      <c r="CC87" s="1311" t="s">
        <v>8717</v>
      </c>
      <c r="CD87" s="1311" t="s">
        <v>2365</v>
      </c>
      <c r="CE87" s="1311" t="s">
        <v>4020</v>
      </c>
      <c r="CF87" s="1312" t="s">
        <v>2716</v>
      </c>
      <c r="CG87" s="5032" t="str">
        <f>IF(CA86=0,"",VLOOKUP(CA86,'Tablas Magia'!$D$6:$Z$680,5,FALSE))</f>
        <v>Automático</v>
      </c>
      <c r="CH87" s="5032"/>
      <c r="CI87" s="5033" t="s">
        <v>8718</v>
      </c>
      <c r="CJ87" s="5033"/>
      <c r="CK87" s="5032" t="str">
        <f>IF(CA86=0,"",VLOOKUP(CA86,'Tablas Magia'!$D$6:$Z$680,6,FALSE))</f>
        <v>Activa</v>
      </c>
      <c r="CL87" s="5032"/>
      <c r="CM87" s="5034" t="s">
        <v>8719</v>
      </c>
      <c r="CN87" s="5034"/>
      <c r="CO87" s="1313" t="str">
        <f>IF(CA86=0,"",VLOOKUP(CA86,'Tablas Magia'!$D$6:$Z$680,4,FALSE))</f>
        <v>Si</v>
      </c>
      <c r="CP87" s="1295"/>
      <c r="CQ87" s="1289"/>
    </row>
    <row r="88" spans="1:95" ht="12" customHeight="1" x14ac:dyDescent="0.2">
      <c r="A88" s="1289"/>
      <c r="B88" s="2471"/>
      <c r="C88" s="5027" t="s">
        <v>2218</v>
      </c>
      <c r="D88" s="5028"/>
      <c r="E88" s="1314">
        <f>IF(C86=0,"",VLOOKUP(C86,'Tablas Magia'!$D$6:$Z$680,7,FALSE))</f>
        <v>6</v>
      </c>
      <c r="F88" s="1314">
        <f>IF(C86=0,"",VLOOKUP(C86,'Tablas Magia'!$D$6:$Z$680,11,FALSE))</f>
        <v>50</v>
      </c>
      <c r="G88" s="1315" t="str">
        <f>IF(C86=0,"",VLOOKUP(C86,'Tablas Magia'!$D$6:$Z$680,15,FALSE))</f>
        <v>No</v>
      </c>
      <c r="H88" s="5029" t="str">
        <f>IF(C86=0,"",VLOOKUP(C86,'Tablas Magia'!$D$6:$Z$680,19,FALSE))</f>
        <v>Daño Base 50 / Área de 5 metros de radio</v>
      </c>
      <c r="I88" s="5030"/>
      <c r="J88" s="5030"/>
      <c r="K88" s="5030"/>
      <c r="L88" s="5030"/>
      <c r="M88" s="5030"/>
      <c r="N88" s="5030"/>
      <c r="O88" s="5030"/>
      <c r="P88" s="5030"/>
      <c r="Q88" s="5031"/>
      <c r="R88" s="1295"/>
      <c r="S88" s="1289"/>
      <c r="T88" s="1289"/>
      <c r="U88" s="2471"/>
      <c r="V88" s="5027" t="s">
        <v>2218</v>
      </c>
      <c r="W88" s="5028"/>
      <c r="X88" s="1314">
        <f>IF(V86=0,"",VLOOKUP(V86,'Tablas Magia'!$D$6:$Z$680,7,FALSE))</f>
        <v>7</v>
      </c>
      <c r="Y88" s="1314">
        <f>IF(V86=0,"",VLOOKUP(V86,'Tablas Magia'!$D$6:$Z$680,11,FALSE))</f>
        <v>60</v>
      </c>
      <c r="Z88" s="1315">
        <f>IF(V86=0,"",VLOOKUP(V86,'Tablas Magia'!$D$6:$Z$680,15,FALSE))</f>
        <v>15</v>
      </c>
      <c r="AA88" s="5029" t="str">
        <f>IF(V86=0,"",VLOOKUP(V86,'Tablas Magia'!$D$6:$Z$680,19,FALSE))</f>
        <v>+5 grados/ 1 km de radio</v>
      </c>
      <c r="AB88" s="5030"/>
      <c r="AC88" s="5030"/>
      <c r="AD88" s="5030"/>
      <c r="AE88" s="5030"/>
      <c r="AF88" s="5030"/>
      <c r="AG88" s="5030"/>
      <c r="AH88" s="5030"/>
      <c r="AI88" s="5030"/>
      <c r="AJ88" s="5031"/>
      <c r="AK88" s="1295"/>
      <c r="AL88" s="1289"/>
      <c r="AM88" s="1289"/>
      <c r="AN88" s="2485"/>
      <c r="AO88" s="5027" t="s">
        <v>2218</v>
      </c>
      <c r="AP88" s="5028"/>
      <c r="AQ88" s="1314">
        <f>IF(AO86=0,"",VLOOKUP(AO86,'Tablas Magia'!$D$6:$Z$680,7,FALSE))</f>
        <v>6</v>
      </c>
      <c r="AR88" s="1314">
        <f>IF(AO86=0,"",VLOOKUP(AO86,'Tablas Magia'!$D$6:$Z$680,11,FALSE))</f>
        <v>120</v>
      </c>
      <c r="AS88" s="1315">
        <f>IF(AO86=0,"",VLOOKUP(AO86,'Tablas Magia'!$D$6:$Z$680,15,FALSE))</f>
        <v>10</v>
      </c>
      <c r="AT88" s="5029" t="str">
        <f>IF(AO86=0,"",VLOOKUP(AO86,'Tablas Magia'!$D$6:$Z$680,19,FALSE))</f>
        <v>Sacrificio máximo de 50 PV por asalto</v>
      </c>
      <c r="AU88" s="5030"/>
      <c r="AV88" s="5030"/>
      <c r="AW88" s="5030"/>
      <c r="AX88" s="5030"/>
      <c r="AY88" s="5030"/>
      <c r="AZ88" s="5030"/>
      <c r="BA88" s="5030"/>
      <c r="BB88" s="5030"/>
      <c r="BC88" s="5031"/>
      <c r="BD88" s="1295"/>
      <c r="BE88" s="1289"/>
      <c r="BF88" s="1289"/>
      <c r="BG88" s="2485"/>
      <c r="BH88" s="5027" t="s">
        <v>2218</v>
      </c>
      <c r="BI88" s="5028"/>
      <c r="BJ88" s="1314">
        <f>IF(BH86=0,"",VLOOKUP(BH86,'Tablas Magia'!$D$6:$Z$680,7,FALSE))</f>
        <v>8</v>
      </c>
      <c r="BK88" s="1314">
        <f>IF(BH86=0,"",VLOOKUP(BH86,'Tablas Magia'!$D$6:$Z$680,11,FALSE))</f>
        <v>150</v>
      </c>
      <c r="BL88" s="1315">
        <f>IF(BH86=0,"",VLOOKUP(BH86,'Tablas Magia'!$D$6:$Z$680,15,FALSE))</f>
        <v>15</v>
      </c>
      <c r="BM88" s="5029" t="str">
        <f>IF(BH86=0,"",VLOOKUP(BH86,'Tablas Magia'!$D$6:$Z$680,19,FALSE))</f>
        <v>25 metros de radio/ HA Absurdo (180)</v>
      </c>
      <c r="BN88" s="5030"/>
      <c r="BO88" s="5030"/>
      <c r="BP88" s="5030"/>
      <c r="BQ88" s="5030"/>
      <c r="BR88" s="5030"/>
      <c r="BS88" s="5030"/>
      <c r="BT88" s="5030"/>
      <c r="BU88" s="5030"/>
      <c r="BV88" s="5031"/>
      <c r="BW88" s="1295"/>
      <c r="BX88" s="1289"/>
      <c r="BY88" s="1289"/>
      <c r="BZ88" s="2485"/>
      <c r="CA88" s="5027" t="s">
        <v>2218</v>
      </c>
      <c r="CB88" s="5028"/>
      <c r="CC88" s="1314">
        <f>IF(CA86=0,"",VLOOKUP(CA86,'Tablas Magia'!$D$6:$Z$680,7,FALSE))</f>
        <v>10</v>
      </c>
      <c r="CD88" s="1314">
        <f>IF(CA86=0,"",VLOOKUP(CA86,'Tablas Magia'!$D$6:$Z$680,11,FALSE))</f>
        <v>300</v>
      </c>
      <c r="CE88" s="1315">
        <f>IF(CA86=0,"",VLOOKUP(CA86,'Tablas Magia'!$D$6:$Z$680,15,FALSE))</f>
        <v>30</v>
      </c>
      <c r="CF88" s="5029" t="str">
        <f>IF(CA86=0,"",VLOOKUP(CA86,'Tablas Magia'!$D$6:$Z$680,19,FALSE))</f>
        <v>100 km/ 140 RM</v>
      </c>
      <c r="CG88" s="5030"/>
      <c r="CH88" s="5030"/>
      <c r="CI88" s="5030"/>
      <c r="CJ88" s="5030"/>
      <c r="CK88" s="5030"/>
      <c r="CL88" s="5030"/>
      <c r="CM88" s="5030"/>
      <c r="CN88" s="5030"/>
      <c r="CO88" s="5031"/>
      <c r="CP88" s="1295"/>
      <c r="CQ88" s="1289"/>
    </row>
    <row r="89" spans="1:95" ht="12" customHeight="1" x14ac:dyDescent="0.2">
      <c r="A89" s="1289"/>
      <c r="B89" s="2471"/>
      <c r="C89" s="5022" t="s">
        <v>5258</v>
      </c>
      <c r="D89" s="5023"/>
      <c r="E89" s="1316">
        <f>IF(C86=0,"",VLOOKUP(C86,'Tablas Magia'!$D$6:$Z$680,8,FALSE))</f>
        <v>9</v>
      </c>
      <c r="F89" s="1316">
        <f>IF(C86=0,"",VLOOKUP(C86,'Tablas Magia'!$D$6:$Z$680,12,FALSE))</f>
        <v>100</v>
      </c>
      <c r="G89" s="1317" t="str">
        <f>IF(C86=0,"",VLOOKUP(C86,'Tablas Magia'!$D$6:$Z$680,16,FALSE))</f>
        <v>No</v>
      </c>
      <c r="H89" s="5024" t="str">
        <f>IF(C86=0,"",VLOOKUP(C86,'Tablas Magia'!$D$6:$Z$680,20,FALSE))</f>
        <v>Daño Base 100 / Área de 25 metros de radio</v>
      </c>
      <c r="I89" s="5025"/>
      <c r="J89" s="5025"/>
      <c r="K89" s="5025"/>
      <c r="L89" s="5025"/>
      <c r="M89" s="5025"/>
      <c r="N89" s="5025"/>
      <c r="O89" s="5025"/>
      <c r="P89" s="5025"/>
      <c r="Q89" s="5026"/>
      <c r="R89" s="1295"/>
      <c r="S89" s="1289"/>
      <c r="T89" s="1289"/>
      <c r="U89" s="2471"/>
      <c r="V89" s="5022" t="s">
        <v>5258</v>
      </c>
      <c r="W89" s="5023"/>
      <c r="X89" s="1316">
        <f>IF(V86=0,"",VLOOKUP(V86,'Tablas Magia'!$D$6:$Z$680,8,FALSE))</f>
        <v>10</v>
      </c>
      <c r="Y89" s="1316">
        <f>IF(V86=0,"",VLOOKUP(V86,'Tablas Magia'!$D$6:$Z$680,12,FALSE))</f>
        <v>140</v>
      </c>
      <c r="Z89" s="1317">
        <f>IF(V86=0,"",VLOOKUP(V86,'Tablas Magia'!$D$6:$Z$680,16,FALSE))</f>
        <v>40</v>
      </c>
      <c r="AA89" s="5024" t="str">
        <f>IF(V86=0,"",VLOOKUP(V86,'Tablas Magia'!$D$6:$Z$680,20,FALSE))</f>
        <v>+10 grados / 5 km de radio</v>
      </c>
      <c r="AB89" s="5025"/>
      <c r="AC89" s="5025"/>
      <c r="AD89" s="5025"/>
      <c r="AE89" s="5025"/>
      <c r="AF89" s="5025"/>
      <c r="AG89" s="5025"/>
      <c r="AH89" s="5025"/>
      <c r="AI89" s="5025"/>
      <c r="AJ89" s="5026"/>
      <c r="AK89" s="1295"/>
      <c r="AL89" s="1289"/>
      <c r="AM89" s="1289"/>
      <c r="AN89" s="2485"/>
      <c r="AO89" s="5022" t="s">
        <v>5258</v>
      </c>
      <c r="AP89" s="5023"/>
      <c r="AQ89" s="1316">
        <f>IF(AO86=0,"",VLOOKUP(AO86,'Tablas Magia'!$D$6:$Z$680,8,FALSE))</f>
        <v>9</v>
      </c>
      <c r="AR89" s="1316">
        <f>IF(AO86=0,"",VLOOKUP(AO86,'Tablas Magia'!$D$6:$Z$680,12,FALSE))</f>
        <v>180</v>
      </c>
      <c r="AS89" s="1317">
        <f>IF(AO86=0,"",VLOOKUP(AO86,'Tablas Magia'!$D$6:$Z$680,16,FALSE))</f>
        <v>10</v>
      </c>
      <c r="AT89" s="5024" t="str">
        <f>IF(AO86=0,"",VLOOKUP(AO86,'Tablas Magia'!$D$6:$Z$680,20,FALSE))</f>
        <v>Sacrificio máximo de 100 PV por asalto</v>
      </c>
      <c r="AU89" s="5025"/>
      <c r="AV89" s="5025"/>
      <c r="AW89" s="5025"/>
      <c r="AX89" s="5025"/>
      <c r="AY89" s="5025"/>
      <c r="AZ89" s="5025"/>
      <c r="BA89" s="5025"/>
      <c r="BB89" s="5025"/>
      <c r="BC89" s="5026"/>
      <c r="BD89" s="1295"/>
      <c r="BE89" s="1289"/>
      <c r="BF89" s="1289"/>
      <c r="BG89" s="2485"/>
      <c r="BH89" s="5022" t="s">
        <v>5258</v>
      </c>
      <c r="BI89" s="5023"/>
      <c r="BJ89" s="1316">
        <f>IF(BH86=0,"",VLOOKUP(BH86,'Tablas Magia'!$D$6:$Z$680,8,FALSE))</f>
        <v>10</v>
      </c>
      <c r="BK89" s="1316">
        <f>IF(BH86=0,"",VLOOKUP(BH86,'Tablas Magia'!$D$6:$Z$680,12,FALSE))</f>
        <v>200</v>
      </c>
      <c r="BL89" s="1317">
        <f>IF(BH86=0,"",VLOOKUP(BH86,'Tablas Magia'!$D$6:$Z$680,16,FALSE))</f>
        <v>20</v>
      </c>
      <c r="BM89" s="5024" t="str">
        <f>IF(BH86=0,"",VLOOKUP(BH86,'Tablas Magia'!$D$6:$Z$680,20,FALSE))</f>
        <v>150 metros de radio/ HA CIM (240)</v>
      </c>
      <c r="BN89" s="5025"/>
      <c r="BO89" s="5025"/>
      <c r="BP89" s="5025"/>
      <c r="BQ89" s="5025"/>
      <c r="BR89" s="5025"/>
      <c r="BS89" s="5025"/>
      <c r="BT89" s="5025"/>
      <c r="BU89" s="5025"/>
      <c r="BV89" s="5026"/>
      <c r="BW89" s="1295"/>
      <c r="BX89" s="1289"/>
      <c r="BY89" s="1289"/>
      <c r="BZ89" s="2485"/>
      <c r="CA89" s="5022" t="s">
        <v>5258</v>
      </c>
      <c r="CB89" s="5023"/>
      <c r="CC89" s="1316">
        <f>IF(CA86=0,"",VLOOKUP(CA86,'Tablas Magia'!$D$6:$Z$680,8,FALSE))</f>
        <v>12</v>
      </c>
      <c r="CD89" s="1316">
        <f>IF(CA86=0,"",VLOOKUP(CA86,'Tablas Magia'!$D$6:$Z$680,12,FALSE))</f>
        <v>450</v>
      </c>
      <c r="CE89" s="1317">
        <f>IF(CA86=0,"",VLOOKUP(CA86,'Tablas Magia'!$D$6:$Z$680,16,FALSE))</f>
        <v>45</v>
      </c>
      <c r="CF89" s="5024" t="str">
        <f>IF(CA86=0,"",VLOOKUP(CA86,'Tablas Magia'!$D$6:$Z$680,20,FALSE))</f>
        <v>1.000 km/ 180RM</v>
      </c>
      <c r="CG89" s="5025"/>
      <c r="CH89" s="5025"/>
      <c r="CI89" s="5025"/>
      <c r="CJ89" s="5025"/>
      <c r="CK89" s="5025"/>
      <c r="CL89" s="5025"/>
      <c r="CM89" s="5025"/>
      <c r="CN89" s="5025"/>
      <c r="CO89" s="5026"/>
      <c r="CP89" s="1295"/>
      <c r="CQ89" s="1289"/>
    </row>
    <row r="90" spans="1:95" ht="12" customHeight="1" x14ac:dyDescent="0.2">
      <c r="A90" s="1289"/>
      <c r="B90" s="2471"/>
      <c r="C90" s="5027" t="s">
        <v>5259</v>
      </c>
      <c r="D90" s="5028"/>
      <c r="E90" s="1314">
        <f>IF(C86=0,"",VLOOKUP(C86,'Tablas Magia'!$D$6:$Z$680,9,FALSE))</f>
        <v>12</v>
      </c>
      <c r="F90" s="1314">
        <f>IF(C86=0,"",VLOOKUP(C86,'Tablas Magia'!$D$6:$Z$680,13,FALSE))</f>
        <v>160</v>
      </c>
      <c r="G90" s="1315" t="str">
        <f>IF(C86=0,"",VLOOKUP(C86,'Tablas Magia'!$D$6:$Z$680,17,FALSE))</f>
        <v>No</v>
      </c>
      <c r="H90" s="5029" t="str">
        <f>IF(C86=0,"",VLOOKUP(C86,'Tablas Magia'!$D$6:$Z$680,21,FALSE))</f>
        <v>Daño Base 140 / Área de 80 metros de radio</v>
      </c>
      <c r="I90" s="5030"/>
      <c r="J90" s="5030"/>
      <c r="K90" s="5030"/>
      <c r="L90" s="5030"/>
      <c r="M90" s="5030"/>
      <c r="N90" s="5030"/>
      <c r="O90" s="5030"/>
      <c r="P90" s="5030"/>
      <c r="Q90" s="5031"/>
      <c r="R90" s="1295"/>
      <c r="S90" s="1289"/>
      <c r="T90" s="1289"/>
      <c r="U90" s="2471"/>
      <c r="V90" s="5027" t="s">
        <v>5259</v>
      </c>
      <c r="W90" s="5028"/>
      <c r="X90" s="1314">
        <f>IF(V86=0,"",VLOOKUP(V86,'Tablas Magia'!$D$6:$Z$680,9,FALSE))</f>
        <v>12</v>
      </c>
      <c r="Y90" s="1314">
        <f>IF(V86=0,"",VLOOKUP(V86,'Tablas Magia'!$D$6:$Z$680,13,FALSE))</f>
        <v>240</v>
      </c>
      <c r="Z90" s="1315">
        <f>IF(V86=0,"",VLOOKUP(V86,'Tablas Magia'!$D$6:$Z$680,17,FALSE))</f>
        <v>50</v>
      </c>
      <c r="AA90" s="5029" t="str">
        <f>IF(V86=0,"",VLOOKUP(V86,'Tablas Magia'!$D$6:$Z$680,21,FALSE))</f>
        <v>+20 grados / 10km de radio</v>
      </c>
      <c r="AB90" s="5030"/>
      <c r="AC90" s="5030"/>
      <c r="AD90" s="5030"/>
      <c r="AE90" s="5030"/>
      <c r="AF90" s="5030"/>
      <c r="AG90" s="5030"/>
      <c r="AH90" s="5030"/>
      <c r="AI90" s="5030"/>
      <c r="AJ90" s="5031"/>
      <c r="AK90" s="1295"/>
      <c r="AL90" s="1289"/>
      <c r="AM90" s="1289"/>
      <c r="AN90" s="2485"/>
      <c r="AO90" s="5027" t="s">
        <v>5259</v>
      </c>
      <c r="AP90" s="5028"/>
      <c r="AQ90" s="1314">
        <f>IF(AO86=0,"",VLOOKUP(AO86,'Tablas Magia'!$D$6:$Z$680,9,FALSE))</f>
        <v>13</v>
      </c>
      <c r="AR90" s="1314">
        <f>IF(AO86=0,"",VLOOKUP(AO86,'Tablas Magia'!$D$6:$Z$680,13,FALSE))</f>
        <v>240</v>
      </c>
      <c r="AS90" s="1315">
        <f>IF(AO86=0,"",VLOOKUP(AO86,'Tablas Magia'!$D$6:$Z$680,17,FALSE))</f>
        <v>15</v>
      </c>
      <c r="AT90" s="5029" t="str">
        <f>IF(AO86=0,"",VLOOKUP(AO86,'Tablas Magia'!$D$6:$Z$680,21,FALSE))</f>
        <v>Sacrificio máximo de 150 PV por asalto</v>
      </c>
      <c r="AU90" s="5030"/>
      <c r="AV90" s="5030"/>
      <c r="AW90" s="5030"/>
      <c r="AX90" s="5030"/>
      <c r="AY90" s="5030"/>
      <c r="AZ90" s="5030"/>
      <c r="BA90" s="5030"/>
      <c r="BB90" s="5030"/>
      <c r="BC90" s="5031"/>
      <c r="BD90" s="1295"/>
      <c r="BE90" s="1289"/>
      <c r="BF90" s="1289"/>
      <c r="BG90" s="2485"/>
      <c r="BH90" s="5027" t="s">
        <v>5259</v>
      </c>
      <c r="BI90" s="5028"/>
      <c r="BJ90" s="1314">
        <f>IF(BH86=0,"",VLOOKUP(BH86,'Tablas Magia'!$D$6:$Z$680,9,FALSE))</f>
        <v>12</v>
      </c>
      <c r="BK90" s="1314">
        <f>IF(BH86=0,"",VLOOKUP(BH86,'Tablas Magia'!$D$6:$Z$680,13,FALSE))</f>
        <v>240</v>
      </c>
      <c r="BL90" s="1315">
        <f>IF(BH86=0,"",VLOOKUP(BH86,'Tablas Magia'!$D$6:$Z$680,17,FALSE))</f>
        <v>25</v>
      </c>
      <c r="BM90" s="5029" t="str">
        <f>IF(BH86=0,"",VLOOKUP(BH86,'Tablas Magia'!$D$6:$Z$680,21,FALSE))</f>
        <v>200 metros de radio/ HA IMP (280)</v>
      </c>
      <c r="BN90" s="5030"/>
      <c r="BO90" s="5030"/>
      <c r="BP90" s="5030"/>
      <c r="BQ90" s="5030"/>
      <c r="BR90" s="5030"/>
      <c r="BS90" s="5030"/>
      <c r="BT90" s="5030"/>
      <c r="BU90" s="5030"/>
      <c r="BV90" s="5031"/>
      <c r="BW90" s="1295"/>
      <c r="BX90" s="1289"/>
      <c r="BY90" s="1289"/>
      <c r="BZ90" s="2485"/>
      <c r="CA90" s="5027" t="s">
        <v>5259</v>
      </c>
      <c r="CB90" s="5028"/>
      <c r="CC90" s="1314">
        <f>IF(CA86=0,"",VLOOKUP(CA86,'Tablas Magia'!$D$6:$Z$680,9,FALSE))</f>
        <v>15</v>
      </c>
      <c r="CD90" s="1314">
        <f>IF(CA86=0,"",VLOOKUP(CA86,'Tablas Magia'!$D$6:$Z$680,13,FALSE))</f>
        <v>600</v>
      </c>
      <c r="CE90" s="1315">
        <f>IF(CA86=0,"",VLOOKUP(CA86,'Tablas Magia'!$D$6:$Z$680,17,FALSE))</f>
        <v>60</v>
      </c>
      <c r="CF90" s="5029" t="str">
        <f>IF(CA86=0,"",VLOOKUP(CA86,'Tablas Magia'!$D$6:$Z$680,21,FALSE))</f>
        <v>10.000 km / 200 RM</v>
      </c>
      <c r="CG90" s="5030"/>
      <c r="CH90" s="5030"/>
      <c r="CI90" s="5030"/>
      <c r="CJ90" s="5030"/>
      <c r="CK90" s="5030"/>
      <c r="CL90" s="5030"/>
      <c r="CM90" s="5030"/>
      <c r="CN90" s="5030"/>
      <c r="CO90" s="5031"/>
      <c r="CP90" s="1295"/>
      <c r="CQ90" s="1289"/>
    </row>
    <row r="91" spans="1:95" ht="12" customHeight="1" thickBot="1" x14ac:dyDescent="0.25">
      <c r="A91" s="1289"/>
      <c r="B91" s="2471"/>
      <c r="C91" s="5037" t="s">
        <v>5260</v>
      </c>
      <c r="D91" s="5038"/>
      <c r="E91" s="1318">
        <f>IF(C86=0,"",VLOOKUP(C86,'Tablas Magia'!$D$6:$Z$680,10,FALSE))</f>
        <v>15</v>
      </c>
      <c r="F91" s="1318">
        <f>IF(C86=0,"",VLOOKUP(C86,'Tablas Magia'!$D$6:$Z$680,14,FALSE))</f>
        <v>250</v>
      </c>
      <c r="G91" s="1319" t="str">
        <f>IF(C86=0,"",VLOOKUP(C86,'Tablas Magia'!$D$6:$Z$680,18,FALSE))</f>
        <v>No</v>
      </c>
      <c r="H91" s="5039" t="str">
        <f>IF(C86=0,"",VLOOKUP(C86,'Tablas Magia'!$D$6:$Z$680,22,FALSE))</f>
        <v>Daño Base 160 / Área de 150 metros de radio</v>
      </c>
      <c r="I91" s="5040"/>
      <c r="J91" s="5040"/>
      <c r="K91" s="5040"/>
      <c r="L91" s="5040"/>
      <c r="M91" s="5040"/>
      <c r="N91" s="5040"/>
      <c r="O91" s="5040"/>
      <c r="P91" s="5040"/>
      <c r="Q91" s="5041"/>
      <c r="R91" s="1295"/>
      <c r="S91" s="1289"/>
      <c r="T91" s="1289"/>
      <c r="U91" s="2471"/>
      <c r="V91" s="5037" t="s">
        <v>5260</v>
      </c>
      <c r="W91" s="5038"/>
      <c r="X91" s="1318">
        <f>IF(V86=0,"",VLOOKUP(V86,'Tablas Magia'!$D$6:$Z$680,10,FALSE))</f>
        <v>15</v>
      </c>
      <c r="Y91" s="1318">
        <f>IF(V86=0,"",VLOOKUP(V86,'Tablas Magia'!$D$6:$Z$680,14,FALSE))</f>
        <v>300</v>
      </c>
      <c r="Z91" s="1319">
        <f>IF(V86=0,"",VLOOKUP(V86,'Tablas Magia'!$D$6:$Z$680,18,FALSE))</f>
        <v>60</v>
      </c>
      <c r="AA91" s="5039" t="str">
        <f>IF(V86=0,"",VLOOKUP(V86,'Tablas Magia'!$D$6:$Z$680,22,FALSE))</f>
        <v>+30 grados / 15 km de  radio</v>
      </c>
      <c r="AB91" s="5040"/>
      <c r="AC91" s="5040"/>
      <c r="AD91" s="5040"/>
      <c r="AE91" s="5040"/>
      <c r="AF91" s="5040"/>
      <c r="AG91" s="5040"/>
      <c r="AH91" s="5040"/>
      <c r="AI91" s="5040"/>
      <c r="AJ91" s="5041"/>
      <c r="AK91" s="1295"/>
      <c r="AL91" s="1289"/>
      <c r="AM91" s="1289"/>
      <c r="AN91" s="2485"/>
      <c r="AO91" s="5037" t="s">
        <v>5260</v>
      </c>
      <c r="AP91" s="5038"/>
      <c r="AQ91" s="1318">
        <f>IF(AO86=0,"",VLOOKUP(AO86,'Tablas Magia'!$D$6:$Z$680,10,FALSE))</f>
        <v>15</v>
      </c>
      <c r="AR91" s="1318">
        <f>IF(AO86=0,"",VLOOKUP(AO86,'Tablas Magia'!$D$6:$Z$680,14,FALSE))</f>
        <v>300</v>
      </c>
      <c r="AS91" s="1319">
        <f>IF(AO86=0,"",VLOOKUP(AO86,'Tablas Magia'!$D$6:$Z$680,18,FALSE))</f>
        <v>15</v>
      </c>
      <c r="AT91" s="5039" t="str">
        <f>IF(AO86=0,"",VLOOKUP(AO86,'Tablas Magia'!$D$6:$Z$680,22,FALSE))</f>
        <v>Sacrificio máximo de 200 PV por asalto</v>
      </c>
      <c r="AU91" s="5040"/>
      <c r="AV91" s="5040"/>
      <c r="AW91" s="5040"/>
      <c r="AX91" s="5040"/>
      <c r="AY91" s="5040"/>
      <c r="AZ91" s="5040"/>
      <c r="BA91" s="5040"/>
      <c r="BB91" s="5040"/>
      <c r="BC91" s="5041"/>
      <c r="BD91" s="1295"/>
      <c r="BE91" s="1289"/>
      <c r="BF91" s="1289"/>
      <c r="BG91" s="2485"/>
      <c r="BH91" s="5037" t="s">
        <v>5260</v>
      </c>
      <c r="BI91" s="5038"/>
      <c r="BJ91" s="1318">
        <f>IF(BH86=0,"",VLOOKUP(BH86,'Tablas Magia'!$D$6:$Z$680,10,FALSE))</f>
        <v>15</v>
      </c>
      <c r="BK91" s="1318">
        <f>IF(BH86=0,"",VLOOKUP(BH86,'Tablas Magia'!$D$6:$Z$680,14,FALSE))</f>
        <v>280</v>
      </c>
      <c r="BL91" s="1319">
        <f>IF(BH86=0,"",VLOOKUP(BH86,'Tablas Magia'!$D$6:$Z$680,18,FALSE))</f>
        <v>30</v>
      </c>
      <c r="BM91" s="5039" t="str">
        <f>IF(BH86=0,"",VLOOKUP(BH86,'Tablas Magia'!$D$6:$Z$680,22,FALSE))</f>
        <v>250 metros de radio/ HA INH (320)</v>
      </c>
      <c r="BN91" s="5040"/>
      <c r="BO91" s="5040"/>
      <c r="BP91" s="5040"/>
      <c r="BQ91" s="5040"/>
      <c r="BR91" s="5040"/>
      <c r="BS91" s="5040"/>
      <c r="BT91" s="5040"/>
      <c r="BU91" s="5040"/>
      <c r="BV91" s="5041"/>
      <c r="BW91" s="1295"/>
      <c r="BX91" s="1289"/>
      <c r="BY91" s="1289"/>
      <c r="BZ91" s="2485"/>
      <c r="CA91" s="5037" t="s">
        <v>5260</v>
      </c>
      <c r="CB91" s="5038"/>
      <c r="CC91" s="1318">
        <f>IF(CA86=0,"",VLOOKUP(CA86,'Tablas Magia'!$D$6:$Z$680,10,FALSE))</f>
        <v>18</v>
      </c>
      <c r="CD91" s="1318">
        <f>IF(CA86=0,"",VLOOKUP(CA86,'Tablas Magia'!$D$6:$Z$680,14,FALSE))</f>
        <v>1000</v>
      </c>
      <c r="CE91" s="1319">
        <f>IF(CA86=0,"",VLOOKUP(CA86,'Tablas Magia'!$D$6:$Z$680,18,FALSE))</f>
        <v>100</v>
      </c>
      <c r="CF91" s="5039" t="str">
        <f>IF(CA86=0,"",VLOOKUP(CA86,'Tablas Magia'!$D$6:$Z$680,22,FALSE))</f>
        <v>Afecta a cualquier fuente de calor / RM 240</v>
      </c>
      <c r="CG91" s="5040"/>
      <c r="CH91" s="5040"/>
      <c r="CI91" s="5040"/>
      <c r="CJ91" s="5040"/>
      <c r="CK91" s="5040"/>
      <c r="CL91" s="5040"/>
      <c r="CM91" s="5040"/>
      <c r="CN91" s="5040"/>
      <c r="CO91" s="5041"/>
      <c r="CP91" s="1295"/>
      <c r="CQ91" s="1289"/>
    </row>
    <row r="92" spans="1:95" ht="12" customHeight="1" x14ac:dyDescent="0.2">
      <c r="A92" s="1289"/>
      <c r="B92" s="2471"/>
      <c r="C92" s="5042" t="str">
        <f>IF(C86=0,"",VLOOKUP(C86,'Tablas Magia'!$D$6:$Z$680,23,FALSE))</f>
        <v>Proyecta un ataque ígneo que estalla en un área. No es posible seleccionar blancos en el interior de la explosión. Ataca en la TA de calor</v>
      </c>
      <c r="D92" s="5043"/>
      <c r="E92" s="5043"/>
      <c r="F92" s="5043"/>
      <c r="G92" s="5043"/>
      <c r="H92" s="5043"/>
      <c r="I92" s="5043"/>
      <c r="J92" s="5043"/>
      <c r="K92" s="5043"/>
      <c r="L92" s="5043"/>
      <c r="M92" s="5043"/>
      <c r="N92" s="5043"/>
      <c r="O92" s="5043"/>
      <c r="P92" s="5043"/>
      <c r="Q92" s="5044"/>
      <c r="R92" s="1295"/>
      <c r="S92" s="1289"/>
      <c r="T92" s="1289"/>
      <c r="U92" s="2471"/>
      <c r="V92" s="5042" t="str">
        <f>IF(V86=0,"",VLOOKUP(V86,'Tablas Magia'!$D$6:$Z$680,23,FALSE))</f>
        <v>Aumenta la temperatura ambiente. Si la temperatura aumenta 10º por encima de lo que es natural en una zona en su momento más cálido, el índice de aumento se reduce a la mitad.</v>
      </c>
      <c r="W92" s="5043"/>
      <c r="X92" s="5043"/>
      <c r="Y92" s="5043"/>
      <c r="Z92" s="5043"/>
      <c r="AA92" s="5043"/>
      <c r="AB92" s="5043"/>
      <c r="AC92" s="5043"/>
      <c r="AD92" s="5043"/>
      <c r="AE92" s="5043"/>
      <c r="AF92" s="5043"/>
      <c r="AG92" s="5043"/>
      <c r="AH92" s="5043"/>
      <c r="AI92" s="5043"/>
      <c r="AJ92" s="5044"/>
      <c r="AK92" s="1295"/>
      <c r="AL92" s="1289"/>
      <c r="AM92" s="1289"/>
      <c r="AN92" s="2485"/>
      <c r="AO92" s="504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43"/>
      <c r="AQ92" s="5043"/>
      <c r="AR92" s="5043"/>
      <c r="AS92" s="5043"/>
      <c r="AT92" s="5043"/>
      <c r="AU92" s="5043"/>
      <c r="AV92" s="5043"/>
      <c r="AW92" s="5043"/>
      <c r="AX92" s="5043"/>
      <c r="AY92" s="5043"/>
      <c r="AZ92" s="5043"/>
      <c r="BA92" s="5043"/>
      <c r="BB92" s="5043"/>
      <c r="BC92" s="5044"/>
      <c r="BD92" s="1295"/>
      <c r="BE92" s="1289"/>
      <c r="BF92" s="1289"/>
      <c r="BG92" s="2485"/>
      <c r="BH92" s="504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43"/>
      <c r="BJ92" s="5043"/>
      <c r="BK92" s="5043"/>
      <c r="BL92" s="5043"/>
      <c r="BM92" s="5043"/>
      <c r="BN92" s="5043"/>
      <c r="BO92" s="5043"/>
      <c r="BP92" s="5043"/>
      <c r="BQ92" s="5043"/>
      <c r="BR92" s="5043"/>
      <c r="BS92" s="5043"/>
      <c r="BT92" s="5043"/>
      <c r="BU92" s="5043"/>
      <c r="BV92" s="5044"/>
      <c r="BW92" s="1295"/>
      <c r="BX92" s="1289"/>
      <c r="BY92" s="1289"/>
      <c r="BZ92" s="2485"/>
      <c r="CA92" s="504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43"/>
      <c r="CC92" s="5043"/>
      <c r="CD92" s="5043"/>
      <c r="CE92" s="5043"/>
      <c r="CF92" s="5043"/>
      <c r="CG92" s="5043"/>
      <c r="CH92" s="5043"/>
      <c r="CI92" s="5043"/>
      <c r="CJ92" s="5043"/>
      <c r="CK92" s="5043"/>
      <c r="CL92" s="5043"/>
      <c r="CM92" s="5043"/>
      <c r="CN92" s="5043"/>
      <c r="CO92" s="5044"/>
      <c r="CP92" s="1295"/>
      <c r="CQ92" s="1289"/>
    </row>
    <row r="93" spans="1:95" ht="12" customHeight="1" x14ac:dyDescent="0.2">
      <c r="A93" s="1289"/>
      <c r="B93" s="2471"/>
      <c r="C93" s="5045"/>
      <c r="D93" s="5046"/>
      <c r="E93" s="5046"/>
      <c r="F93" s="5046"/>
      <c r="G93" s="5046"/>
      <c r="H93" s="5046"/>
      <c r="I93" s="5046"/>
      <c r="J93" s="5046"/>
      <c r="K93" s="5046"/>
      <c r="L93" s="5046"/>
      <c r="M93" s="5046"/>
      <c r="N93" s="5046"/>
      <c r="O93" s="5046"/>
      <c r="P93" s="5046"/>
      <c r="Q93" s="5047"/>
      <c r="R93" s="1295"/>
      <c r="S93" s="1289"/>
      <c r="T93" s="1289"/>
      <c r="U93" s="2471"/>
      <c r="V93" s="5045"/>
      <c r="W93" s="5046"/>
      <c r="X93" s="5046"/>
      <c r="Y93" s="5046"/>
      <c r="Z93" s="5046"/>
      <c r="AA93" s="5046"/>
      <c r="AB93" s="5046"/>
      <c r="AC93" s="5046"/>
      <c r="AD93" s="5046"/>
      <c r="AE93" s="5046"/>
      <c r="AF93" s="5046"/>
      <c r="AG93" s="5046"/>
      <c r="AH93" s="5046"/>
      <c r="AI93" s="5046"/>
      <c r="AJ93" s="5047"/>
      <c r="AK93" s="1295"/>
      <c r="AL93" s="1289"/>
      <c r="AM93" s="1289"/>
      <c r="AN93" s="2485"/>
      <c r="AO93" s="5045"/>
      <c r="AP93" s="5046"/>
      <c r="AQ93" s="5046"/>
      <c r="AR93" s="5046"/>
      <c r="AS93" s="5046"/>
      <c r="AT93" s="5046"/>
      <c r="AU93" s="5046"/>
      <c r="AV93" s="5046"/>
      <c r="AW93" s="5046"/>
      <c r="AX93" s="5046"/>
      <c r="AY93" s="5046"/>
      <c r="AZ93" s="5046"/>
      <c r="BA93" s="5046"/>
      <c r="BB93" s="5046"/>
      <c r="BC93" s="5047"/>
      <c r="BD93" s="1295"/>
      <c r="BE93" s="1289"/>
      <c r="BF93" s="1289"/>
      <c r="BG93" s="2485"/>
      <c r="BH93" s="5045"/>
      <c r="BI93" s="5046"/>
      <c r="BJ93" s="5046"/>
      <c r="BK93" s="5046"/>
      <c r="BL93" s="5046"/>
      <c r="BM93" s="5046"/>
      <c r="BN93" s="5046"/>
      <c r="BO93" s="5046"/>
      <c r="BP93" s="5046"/>
      <c r="BQ93" s="5046"/>
      <c r="BR93" s="5046"/>
      <c r="BS93" s="5046"/>
      <c r="BT93" s="5046"/>
      <c r="BU93" s="5046"/>
      <c r="BV93" s="5047"/>
      <c r="BW93" s="1295"/>
      <c r="BX93" s="1289"/>
      <c r="BY93" s="1289"/>
      <c r="BZ93" s="2485"/>
      <c r="CA93" s="5045"/>
      <c r="CB93" s="5046"/>
      <c r="CC93" s="5046"/>
      <c r="CD93" s="5046"/>
      <c r="CE93" s="5046"/>
      <c r="CF93" s="5046"/>
      <c r="CG93" s="5046"/>
      <c r="CH93" s="5046"/>
      <c r="CI93" s="5046"/>
      <c r="CJ93" s="5046"/>
      <c r="CK93" s="5046"/>
      <c r="CL93" s="5046"/>
      <c r="CM93" s="5046"/>
      <c r="CN93" s="5046"/>
      <c r="CO93" s="5047"/>
      <c r="CP93" s="1295"/>
      <c r="CQ93" s="1289"/>
    </row>
    <row r="94" spans="1:95" ht="12" customHeight="1" x14ac:dyDescent="0.2">
      <c r="A94" s="1289"/>
      <c r="B94" s="2471"/>
      <c r="C94" s="5045"/>
      <c r="D94" s="5046"/>
      <c r="E94" s="5046"/>
      <c r="F94" s="5046"/>
      <c r="G94" s="5046"/>
      <c r="H94" s="5046"/>
      <c r="I94" s="5046"/>
      <c r="J94" s="5046"/>
      <c r="K94" s="5046"/>
      <c r="L94" s="5046"/>
      <c r="M94" s="5046"/>
      <c r="N94" s="5046"/>
      <c r="O94" s="5046"/>
      <c r="P94" s="5046"/>
      <c r="Q94" s="5047"/>
      <c r="R94" s="1295"/>
      <c r="S94" s="1289"/>
      <c r="T94" s="1289"/>
      <c r="U94" s="2471"/>
      <c r="V94" s="5045"/>
      <c r="W94" s="5046"/>
      <c r="X94" s="5046"/>
      <c r="Y94" s="5046"/>
      <c r="Z94" s="5046"/>
      <c r="AA94" s="5046"/>
      <c r="AB94" s="5046"/>
      <c r="AC94" s="5046"/>
      <c r="AD94" s="5046"/>
      <c r="AE94" s="5046"/>
      <c r="AF94" s="5046"/>
      <c r="AG94" s="5046"/>
      <c r="AH94" s="5046"/>
      <c r="AI94" s="5046"/>
      <c r="AJ94" s="5047"/>
      <c r="AK94" s="1295"/>
      <c r="AL94" s="1289"/>
      <c r="AM94" s="1289"/>
      <c r="AN94" s="2485"/>
      <c r="AO94" s="5045"/>
      <c r="AP94" s="5046"/>
      <c r="AQ94" s="5046"/>
      <c r="AR94" s="5046"/>
      <c r="AS94" s="5046"/>
      <c r="AT94" s="5046"/>
      <c r="AU94" s="5046"/>
      <c r="AV94" s="5046"/>
      <c r="AW94" s="5046"/>
      <c r="AX94" s="5046"/>
      <c r="AY94" s="5046"/>
      <c r="AZ94" s="5046"/>
      <c r="BA94" s="5046"/>
      <c r="BB94" s="5046"/>
      <c r="BC94" s="5047"/>
      <c r="BD94" s="1295"/>
      <c r="BE94" s="1289"/>
      <c r="BF94" s="1289"/>
      <c r="BG94" s="2485"/>
      <c r="BH94" s="5045"/>
      <c r="BI94" s="5046"/>
      <c r="BJ94" s="5046"/>
      <c r="BK94" s="5046"/>
      <c r="BL94" s="5046"/>
      <c r="BM94" s="5046"/>
      <c r="BN94" s="5046"/>
      <c r="BO94" s="5046"/>
      <c r="BP94" s="5046"/>
      <c r="BQ94" s="5046"/>
      <c r="BR94" s="5046"/>
      <c r="BS94" s="5046"/>
      <c r="BT94" s="5046"/>
      <c r="BU94" s="5046"/>
      <c r="BV94" s="5047"/>
      <c r="BW94" s="1295"/>
      <c r="BX94" s="1289"/>
      <c r="BY94" s="1289"/>
      <c r="BZ94" s="2485"/>
      <c r="CA94" s="5045"/>
      <c r="CB94" s="5046"/>
      <c r="CC94" s="5046"/>
      <c r="CD94" s="5046"/>
      <c r="CE94" s="5046"/>
      <c r="CF94" s="5046"/>
      <c r="CG94" s="5046"/>
      <c r="CH94" s="5046"/>
      <c r="CI94" s="5046"/>
      <c r="CJ94" s="5046"/>
      <c r="CK94" s="5046"/>
      <c r="CL94" s="5046"/>
      <c r="CM94" s="5046"/>
      <c r="CN94" s="5046"/>
      <c r="CO94" s="5047"/>
      <c r="CP94" s="1295"/>
      <c r="CQ94" s="1289"/>
    </row>
    <row r="95" spans="1:95" ht="12" customHeight="1" thickBot="1" x14ac:dyDescent="0.25">
      <c r="A95" s="1289"/>
      <c r="B95" s="2471"/>
      <c r="C95" s="5048"/>
      <c r="D95" s="5049"/>
      <c r="E95" s="5049"/>
      <c r="F95" s="5049"/>
      <c r="G95" s="5049"/>
      <c r="H95" s="5049"/>
      <c r="I95" s="5049"/>
      <c r="J95" s="5049"/>
      <c r="K95" s="5049"/>
      <c r="L95" s="5049"/>
      <c r="M95" s="5049"/>
      <c r="N95" s="5049"/>
      <c r="O95" s="5049"/>
      <c r="P95" s="5049"/>
      <c r="Q95" s="5050"/>
      <c r="R95" s="1295"/>
      <c r="S95" s="1289"/>
      <c r="T95" s="1289"/>
      <c r="U95" s="2471"/>
      <c r="V95" s="5048"/>
      <c r="W95" s="5049"/>
      <c r="X95" s="5049"/>
      <c r="Y95" s="5049"/>
      <c r="Z95" s="5049"/>
      <c r="AA95" s="5049"/>
      <c r="AB95" s="5049"/>
      <c r="AC95" s="5049"/>
      <c r="AD95" s="5049"/>
      <c r="AE95" s="5049"/>
      <c r="AF95" s="5049"/>
      <c r="AG95" s="5049"/>
      <c r="AH95" s="5049"/>
      <c r="AI95" s="5049"/>
      <c r="AJ95" s="5050"/>
      <c r="AK95" s="1295"/>
      <c r="AL95" s="1289"/>
      <c r="AM95" s="1289"/>
      <c r="AN95" s="2485"/>
      <c r="AO95" s="5048"/>
      <c r="AP95" s="5049"/>
      <c r="AQ95" s="5049"/>
      <c r="AR95" s="5049"/>
      <c r="AS95" s="5049"/>
      <c r="AT95" s="5049"/>
      <c r="AU95" s="5049"/>
      <c r="AV95" s="5049"/>
      <c r="AW95" s="5049"/>
      <c r="AX95" s="5049"/>
      <c r="AY95" s="5049"/>
      <c r="AZ95" s="5049"/>
      <c r="BA95" s="5049"/>
      <c r="BB95" s="5049"/>
      <c r="BC95" s="5050"/>
      <c r="BD95" s="1295"/>
      <c r="BE95" s="1289"/>
      <c r="BF95" s="1289"/>
      <c r="BG95" s="2485"/>
      <c r="BH95" s="5048"/>
      <c r="BI95" s="5049"/>
      <c r="BJ95" s="5049"/>
      <c r="BK95" s="5049"/>
      <c r="BL95" s="5049"/>
      <c r="BM95" s="5049"/>
      <c r="BN95" s="5049"/>
      <c r="BO95" s="5049"/>
      <c r="BP95" s="5049"/>
      <c r="BQ95" s="5049"/>
      <c r="BR95" s="5049"/>
      <c r="BS95" s="5049"/>
      <c r="BT95" s="5049"/>
      <c r="BU95" s="5049"/>
      <c r="BV95" s="5050"/>
      <c r="BW95" s="1295"/>
      <c r="BX95" s="1289"/>
      <c r="BY95" s="1289"/>
      <c r="BZ95" s="2485"/>
      <c r="CA95" s="5048"/>
      <c r="CB95" s="5049"/>
      <c r="CC95" s="5049"/>
      <c r="CD95" s="5049"/>
      <c r="CE95" s="5049"/>
      <c r="CF95" s="5049"/>
      <c r="CG95" s="5049"/>
      <c r="CH95" s="5049"/>
      <c r="CI95" s="5049"/>
      <c r="CJ95" s="5049"/>
      <c r="CK95" s="5049"/>
      <c r="CL95" s="5049"/>
      <c r="CM95" s="5049"/>
      <c r="CN95" s="5049"/>
      <c r="CO95" s="5050"/>
      <c r="CP95" s="1295"/>
      <c r="CQ95" s="1289"/>
    </row>
    <row r="96" spans="1:95" ht="12" customHeight="1" thickBot="1" x14ac:dyDescent="0.25">
      <c r="A96" s="1289"/>
      <c r="B96" s="2471"/>
      <c r="C96" s="1330"/>
      <c r="D96" s="1330"/>
      <c r="E96" s="1316"/>
      <c r="F96" s="1316"/>
      <c r="G96" s="1316"/>
      <c r="H96" s="1331"/>
      <c r="I96" s="1331"/>
      <c r="J96" s="1331"/>
      <c r="K96" s="1331"/>
      <c r="L96" s="1331"/>
      <c r="M96" s="1331"/>
      <c r="N96" s="1331"/>
      <c r="O96" s="1331"/>
      <c r="P96" s="1331"/>
      <c r="Q96" s="1331"/>
      <c r="R96" s="1295"/>
      <c r="S96" s="1289"/>
      <c r="T96" s="1289"/>
      <c r="U96" s="2471"/>
      <c r="V96" s="1330"/>
      <c r="W96" s="1330"/>
      <c r="X96" s="1316"/>
      <c r="Y96" s="1316"/>
      <c r="Z96" s="1316"/>
      <c r="AA96" s="1331"/>
      <c r="AB96" s="1331"/>
      <c r="AC96" s="1331"/>
      <c r="AD96" s="1331"/>
      <c r="AE96" s="1331"/>
      <c r="AF96" s="1331"/>
      <c r="AG96" s="1331"/>
      <c r="AH96" s="1331"/>
      <c r="AI96" s="1331"/>
      <c r="AJ96" s="1331"/>
      <c r="AK96" s="1295"/>
      <c r="AL96" s="1289"/>
      <c r="AM96" s="1289"/>
      <c r="AN96" s="2471"/>
      <c r="AO96" s="1330"/>
      <c r="AP96" s="1330"/>
      <c r="AQ96" s="1316"/>
      <c r="AR96" s="1316"/>
      <c r="AS96" s="1316"/>
      <c r="AT96" s="1331"/>
      <c r="AU96" s="1331"/>
      <c r="AV96" s="1331"/>
      <c r="AW96" s="1331"/>
      <c r="AX96" s="1331"/>
      <c r="AY96" s="1331"/>
      <c r="AZ96" s="1331"/>
      <c r="BA96" s="1331"/>
      <c r="BB96" s="1331"/>
      <c r="BC96" s="1331"/>
      <c r="BD96" s="1295"/>
      <c r="BE96" s="1289"/>
      <c r="BF96" s="1289"/>
      <c r="BG96" s="2471"/>
      <c r="BH96" s="1330"/>
      <c r="BI96" s="1330"/>
      <c r="BJ96" s="1316"/>
      <c r="BK96" s="1316"/>
      <c r="BL96" s="1316"/>
      <c r="BM96" s="1331"/>
      <c r="BN96" s="1331"/>
      <c r="BO96" s="1331"/>
      <c r="BP96" s="1331"/>
      <c r="BQ96" s="1331"/>
      <c r="BR96" s="1331"/>
      <c r="BS96" s="1331"/>
      <c r="BT96" s="1331"/>
      <c r="BU96" s="1331"/>
      <c r="BV96" s="1331"/>
      <c r="BW96" s="1295"/>
      <c r="BX96" s="1289"/>
      <c r="BY96" s="1289"/>
      <c r="BZ96" s="2471"/>
      <c r="CA96" s="1330"/>
      <c r="CB96" s="1330"/>
      <c r="CC96" s="1316"/>
      <c r="CD96" s="1316"/>
      <c r="CE96" s="1316"/>
      <c r="CF96" s="1331"/>
      <c r="CG96" s="1331"/>
      <c r="CH96" s="1331"/>
      <c r="CI96" s="1331"/>
      <c r="CJ96" s="1331"/>
      <c r="CK96" s="1331"/>
      <c r="CL96" s="1331"/>
      <c r="CM96" s="1331"/>
      <c r="CN96" s="1331"/>
      <c r="CO96" s="1331"/>
      <c r="CP96" s="1295"/>
      <c r="CQ96" s="1289"/>
    </row>
    <row r="97" spans="1:95" ht="12" customHeight="1" x14ac:dyDescent="0.2">
      <c r="A97" s="1289"/>
      <c r="B97" s="2471">
        <f>B86+2</f>
        <v>18</v>
      </c>
      <c r="C97" s="5051"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52"/>
      <c r="E97" s="5052"/>
      <c r="F97" s="5052"/>
      <c r="G97" s="5052"/>
      <c r="H97" s="1309" t="s">
        <v>2171</v>
      </c>
      <c r="I97" s="1310" t="e">
        <f>IF(C97=0,"",VLOOKUP(C97,'Tablas Magia'!$D$6:$Z$680,3,FALSE))</f>
        <v>#N/A</v>
      </c>
      <c r="J97" s="5017" t="s">
        <v>8715</v>
      </c>
      <c r="K97" s="5017"/>
      <c r="L97" s="5017"/>
      <c r="M97" s="5018" t="e">
        <f>IF(C97=0,"",VLOOKUP(C97,'Tablas Magia'!$D$6:$Z$680,2,FALSE))</f>
        <v>#N/A</v>
      </c>
      <c r="N97" s="5018"/>
      <c r="O97" s="5018"/>
      <c r="P97" s="5018"/>
      <c r="Q97" s="5019"/>
      <c r="R97" s="1295"/>
      <c r="S97" s="1289"/>
      <c r="T97" s="1289"/>
      <c r="U97" s="2471">
        <f>U86+2</f>
        <v>38</v>
      </c>
      <c r="V97" s="5051"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52"/>
      <c r="X97" s="5052"/>
      <c r="Y97" s="5052"/>
      <c r="Z97" s="5052"/>
      <c r="AA97" s="1309" t="s">
        <v>2171</v>
      </c>
      <c r="AB97" s="1310" t="e">
        <f>IF(V97=0,"",VLOOKUP(V97,'Tablas Magia'!$D$6:$Z$680,3,FALSE))</f>
        <v>#N/A</v>
      </c>
      <c r="AC97" s="5017" t="s">
        <v>8715</v>
      </c>
      <c r="AD97" s="5017"/>
      <c r="AE97" s="5017"/>
      <c r="AF97" s="5018" t="e">
        <f>IF(V97=0,"",VLOOKUP(V97,'Tablas Magia'!$D$6:$Z$680,2,FALSE))</f>
        <v>#N/A</v>
      </c>
      <c r="AG97" s="5018"/>
      <c r="AH97" s="5018"/>
      <c r="AI97" s="5018"/>
      <c r="AJ97" s="5019"/>
      <c r="AK97" s="1295"/>
      <c r="AL97" s="1289"/>
      <c r="AM97" s="1289"/>
      <c r="AN97" s="2485">
        <f>AN86+2</f>
        <v>58</v>
      </c>
      <c r="AO97" s="5051"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52"/>
      <c r="AQ97" s="5052"/>
      <c r="AR97" s="5052"/>
      <c r="AS97" s="5052"/>
      <c r="AT97" s="1309" t="s">
        <v>2171</v>
      </c>
      <c r="AU97" s="1310" t="e">
        <f>IF(AO97=0,"",VLOOKUP(AO97,'Tablas Magia'!$D$6:$Z$680,3,FALSE))</f>
        <v>#N/A</v>
      </c>
      <c r="AV97" s="5017" t="s">
        <v>8715</v>
      </c>
      <c r="AW97" s="5017"/>
      <c r="AX97" s="5017"/>
      <c r="AY97" s="5018" t="e">
        <f>IF(AO97=0,"",VLOOKUP(AO97,'Tablas Magia'!$D$6:$Z$680,2,FALSE))</f>
        <v>#N/A</v>
      </c>
      <c r="AZ97" s="5018"/>
      <c r="BA97" s="5018"/>
      <c r="BB97" s="5018"/>
      <c r="BC97" s="5019"/>
      <c r="BD97" s="1295"/>
      <c r="BE97" s="1289"/>
      <c r="BF97" s="1289"/>
      <c r="BG97" s="2485">
        <f>BG86+2</f>
        <v>78</v>
      </c>
      <c r="BH97" s="5051"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52"/>
      <c r="BJ97" s="5052"/>
      <c r="BK97" s="5052"/>
      <c r="BL97" s="5052"/>
      <c r="BM97" s="1309" t="s">
        <v>2171</v>
      </c>
      <c r="BN97" s="1310" t="e">
        <f>IF(BH97=0,"",VLOOKUP(BH97,'Tablas Magia'!$D$6:$Z$680,3,FALSE))</f>
        <v>#N/A</v>
      </c>
      <c r="BO97" s="5017" t="s">
        <v>8715</v>
      </c>
      <c r="BP97" s="5017"/>
      <c r="BQ97" s="5017"/>
      <c r="BR97" s="5018" t="e">
        <f>IF(BH97=0,"",VLOOKUP(BH97,'Tablas Magia'!$D$6:$Z$680,2,FALSE))</f>
        <v>#N/A</v>
      </c>
      <c r="BS97" s="5018"/>
      <c r="BT97" s="5018"/>
      <c r="BU97" s="5018"/>
      <c r="BV97" s="5019"/>
      <c r="BW97" s="1295"/>
      <c r="BX97" s="1289"/>
      <c r="BY97" s="1289"/>
      <c r="BZ97" s="2485">
        <f>BZ86+2</f>
        <v>98</v>
      </c>
      <c r="CA97" s="5051"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52"/>
      <c r="CC97" s="5052"/>
      <c r="CD97" s="5052"/>
      <c r="CE97" s="5052"/>
      <c r="CF97" s="1309" t="s">
        <v>2171</v>
      </c>
      <c r="CG97" s="1310" t="e">
        <f>IF(CA97=0,"",VLOOKUP(CA97,'Tablas Magia'!$D$6:$Z$680,3,FALSE))</f>
        <v>#N/A</v>
      </c>
      <c r="CH97" s="5017" t="s">
        <v>8715</v>
      </c>
      <c r="CI97" s="5017"/>
      <c r="CJ97" s="5017"/>
      <c r="CK97" s="5018" t="e">
        <f>IF(CA97=0,"",VLOOKUP(CA97,'Tablas Magia'!$D$6:$Z$680,2,FALSE))</f>
        <v>#N/A</v>
      </c>
      <c r="CL97" s="5018"/>
      <c r="CM97" s="5018"/>
      <c r="CN97" s="5018"/>
      <c r="CO97" s="5019"/>
      <c r="CP97" s="1295"/>
      <c r="CQ97" s="1289"/>
    </row>
    <row r="98" spans="1:95" ht="12" customHeight="1" x14ac:dyDescent="0.2">
      <c r="A98" s="1289"/>
      <c r="B98" s="2471"/>
      <c r="C98" s="5035" t="s">
        <v>8716</v>
      </c>
      <c r="D98" s="5036"/>
      <c r="E98" s="1311" t="s">
        <v>8717</v>
      </c>
      <c r="F98" s="1311" t="s">
        <v>2365</v>
      </c>
      <c r="G98" s="1311" t="s">
        <v>4020</v>
      </c>
      <c r="H98" s="1312" t="s">
        <v>2716</v>
      </c>
      <c r="I98" s="5032" t="e">
        <f>IF(C97=0,"",VLOOKUP(C97,'Tablas Magia'!$D$6:$Z$680,5,FALSE))</f>
        <v>#N/A</v>
      </c>
      <c r="J98" s="5032"/>
      <c r="K98" s="5033" t="s">
        <v>8718</v>
      </c>
      <c r="L98" s="5033"/>
      <c r="M98" s="5032" t="e">
        <f>IF(C97=0,"",VLOOKUP(C97,'Tablas Magia'!$D$6:$Z$680,6,FALSE))</f>
        <v>#N/A</v>
      </c>
      <c r="N98" s="5032"/>
      <c r="O98" s="5034" t="s">
        <v>8719</v>
      </c>
      <c r="P98" s="5034"/>
      <c r="Q98" s="1313" t="e">
        <f>IF(C97=0,"",VLOOKUP(C97,'Tablas Magia'!$D$6:$Z$680,4,FALSE))</f>
        <v>#N/A</v>
      </c>
      <c r="R98" s="1295"/>
      <c r="S98" s="1289"/>
      <c r="T98" s="1289"/>
      <c r="U98" s="2471"/>
      <c r="V98" s="5035" t="s">
        <v>8716</v>
      </c>
      <c r="W98" s="5036"/>
      <c r="X98" s="1311" t="s">
        <v>8717</v>
      </c>
      <c r="Y98" s="1311" t="s">
        <v>2365</v>
      </c>
      <c r="Z98" s="1311" t="s">
        <v>4020</v>
      </c>
      <c r="AA98" s="1312" t="s">
        <v>2716</v>
      </c>
      <c r="AB98" s="5032" t="e">
        <f>IF(V97=0,"",VLOOKUP(V97,'Tablas Magia'!$D$6:$Z$680,5,FALSE))</f>
        <v>#N/A</v>
      </c>
      <c r="AC98" s="5032"/>
      <c r="AD98" s="5033" t="s">
        <v>8718</v>
      </c>
      <c r="AE98" s="5033"/>
      <c r="AF98" s="5032" t="e">
        <f>IF(V97=0,"",VLOOKUP(V97,'Tablas Magia'!$D$6:$Z$680,6,FALSE))</f>
        <v>#N/A</v>
      </c>
      <c r="AG98" s="5032"/>
      <c r="AH98" s="5034" t="s">
        <v>8719</v>
      </c>
      <c r="AI98" s="5034"/>
      <c r="AJ98" s="1313" t="e">
        <f>IF(V97=0,"",VLOOKUP(V97,'Tablas Magia'!$D$6:$Z$680,4,FALSE))</f>
        <v>#N/A</v>
      </c>
      <c r="AK98" s="1295"/>
      <c r="AL98" s="1289"/>
      <c r="AM98" s="1289"/>
      <c r="AN98" s="2485"/>
      <c r="AO98" s="5035" t="s">
        <v>8716</v>
      </c>
      <c r="AP98" s="5036"/>
      <c r="AQ98" s="1311" t="s">
        <v>8717</v>
      </c>
      <c r="AR98" s="1311" t="s">
        <v>2365</v>
      </c>
      <c r="AS98" s="1311" t="s">
        <v>4020</v>
      </c>
      <c r="AT98" s="1312" t="s">
        <v>2716</v>
      </c>
      <c r="AU98" s="5032" t="e">
        <f>IF(AO97=0,"",VLOOKUP(AO97,'Tablas Magia'!$D$6:$Z$680,5,FALSE))</f>
        <v>#N/A</v>
      </c>
      <c r="AV98" s="5032"/>
      <c r="AW98" s="5033" t="s">
        <v>8718</v>
      </c>
      <c r="AX98" s="5033"/>
      <c r="AY98" s="5032" t="e">
        <f>IF(AO97=0,"",VLOOKUP(AO97,'Tablas Magia'!$D$6:$Z$680,6,FALSE))</f>
        <v>#N/A</v>
      </c>
      <c r="AZ98" s="5032"/>
      <c r="BA98" s="5034" t="s">
        <v>8719</v>
      </c>
      <c r="BB98" s="5034"/>
      <c r="BC98" s="1313" t="e">
        <f>IF(AO97=0,"",VLOOKUP(AO97,'Tablas Magia'!$D$6:$Z$680,4,FALSE))</f>
        <v>#N/A</v>
      </c>
      <c r="BD98" s="1295"/>
      <c r="BE98" s="1289"/>
      <c r="BF98" s="1289"/>
      <c r="BG98" s="2485"/>
      <c r="BH98" s="5035" t="s">
        <v>8716</v>
      </c>
      <c r="BI98" s="5036"/>
      <c r="BJ98" s="1311" t="s">
        <v>8717</v>
      </c>
      <c r="BK98" s="1311" t="s">
        <v>2365</v>
      </c>
      <c r="BL98" s="1311" t="s">
        <v>4020</v>
      </c>
      <c r="BM98" s="1312" t="s">
        <v>2716</v>
      </c>
      <c r="BN98" s="5032" t="e">
        <f>IF(BH97=0,"",VLOOKUP(BH97,'Tablas Magia'!$D$6:$Z$680,5,FALSE))</f>
        <v>#N/A</v>
      </c>
      <c r="BO98" s="5032"/>
      <c r="BP98" s="5033" t="s">
        <v>8718</v>
      </c>
      <c r="BQ98" s="5033"/>
      <c r="BR98" s="5032" t="e">
        <f>IF(BH97=0,"",VLOOKUP(BH97,'Tablas Magia'!$D$6:$Z$680,6,FALSE))</f>
        <v>#N/A</v>
      </c>
      <c r="BS98" s="5032"/>
      <c r="BT98" s="5034" t="s">
        <v>8719</v>
      </c>
      <c r="BU98" s="5034"/>
      <c r="BV98" s="1313" t="e">
        <f>IF(BH97=0,"",VLOOKUP(BH97,'Tablas Magia'!$D$6:$Z$680,4,FALSE))</f>
        <v>#N/A</v>
      </c>
      <c r="BW98" s="1295"/>
      <c r="BX98" s="1289"/>
      <c r="BY98" s="1289"/>
      <c r="BZ98" s="2485"/>
      <c r="CA98" s="5035" t="s">
        <v>8716</v>
      </c>
      <c r="CB98" s="5036"/>
      <c r="CC98" s="1311" t="s">
        <v>8717</v>
      </c>
      <c r="CD98" s="1311" t="s">
        <v>2365</v>
      </c>
      <c r="CE98" s="1311" t="s">
        <v>4020</v>
      </c>
      <c r="CF98" s="1312" t="s">
        <v>2716</v>
      </c>
      <c r="CG98" s="5032" t="e">
        <f>IF(CA97=0,"",VLOOKUP(CA97,'Tablas Magia'!$D$6:$Z$680,5,FALSE))</f>
        <v>#N/A</v>
      </c>
      <c r="CH98" s="5032"/>
      <c r="CI98" s="5033" t="s">
        <v>8718</v>
      </c>
      <c r="CJ98" s="5033"/>
      <c r="CK98" s="5032" t="e">
        <f>IF(CA97=0,"",VLOOKUP(CA97,'Tablas Magia'!$D$6:$Z$680,6,FALSE))</f>
        <v>#N/A</v>
      </c>
      <c r="CL98" s="5032"/>
      <c r="CM98" s="5034" t="s">
        <v>8719</v>
      </c>
      <c r="CN98" s="5034"/>
      <c r="CO98" s="1313" t="e">
        <f>IF(CA97=0,"",VLOOKUP(CA97,'Tablas Magia'!$D$6:$Z$680,4,FALSE))</f>
        <v>#N/A</v>
      </c>
      <c r="CP98" s="1295"/>
      <c r="CQ98" s="1289"/>
    </row>
    <row r="99" spans="1:95" ht="12" customHeight="1" x14ac:dyDescent="0.2">
      <c r="A99" s="1289"/>
      <c r="B99" s="2471"/>
      <c r="C99" s="5027" t="s">
        <v>2218</v>
      </c>
      <c r="D99" s="5028"/>
      <c r="E99" s="1314" t="e">
        <f>IF(C97=0,"",VLOOKUP(C97,'Tablas Magia'!$D$6:$Z$680,7,FALSE))</f>
        <v>#N/A</v>
      </c>
      <c r="F99" s="1314" t="e">
        <f>IF(C97=0,"",VLOOKUP(C97,'Tablas Magia'!$D$6:$Z$680,11,FALSE))</f>
        <v>#N/A</v>
      </c>
      <c r="G99" s="1315" t="e">
        <f>IF(C97=0,"",VLOOKUP(C97,'Tablas Magia'!$D$6:$Z$680,15,FALSE))</f>
        <v>#N/A</v>
      </c>
      <c r="H99" s="5029" t="e">
        <f>IF(C97=0,"",VLOOKUP(C97,'Tablas Magia'!$D$6:$Z$680,19,FALSE))</f>
        <v>#N/A</v>
      </c>
      <c r="I99" s="5030"/>
      <c r="J99" s="5030"/>
      <c r="K99" s="5030"/>
      <c r="L99" s="5030"/>
      <c r="M99" s="5030"/>
      <c r="N99" s="5030"/>
      <c r="O99" s="5030"/>
      <c r="P99" s="5030"/>
      <c r="Q99" s="5031"/>
      <c r="R99" s="1295"/>
      <c r="S99" s="1289"/>
      <c r="T99" s="1289"/>
      <c r="U99" s="2471"/>
      <c r="V99" s="5027" t="s">
        <v>2218</v>
      </c>
      <c r="W99" s="5028"/>
      <c r="X99" s="1314" t="e">
        <f>IF(V97=0,"",VLOOKUP(V97,'Tablas Magia'!$D$6:$Z$680,7,FALSE))</f>
        <v>#N/A</v>
      </c>
      <c r="Y99" s="1314" t="e">
        <f>IF(V97=0,"",VLOOKUP(V97,'Tablas Magia'!$D$6:$Z$680,11,FALSE))</f>
        <v>#N/A</v>
      </c>
      <c r="Z99" s="1315" t="e">
        <f>IF(V97=0,"",VLOOKUP(V97,'Tablas Magia'!$D$6:$Z$680,15,FALSE))</f>
        <v>#N/A</v>
      </c>
      <c r="AA99" s="5029" t="e">
        <f>IF(V97=0,"",VLOOKUP(V97,'Tablas Magia'!$D$6:$Z$680,19,FALSE))</f>
        <v>#N/A</v>
      </c>
      <c r="AB99" s="5030"/>
      <c r="AC99" s="5030"/>
      <c r="AD99" s="5030"/>
      <c r="AE99" s="5030"/>
      <c r="AF99" s="5030"/>
      <c r="AG99" s="5030"/>
      <c r="AH99" s="5030"/>
      <c r="AI99" s="5030"/>
      <c r="AJ99" s="5031"/>
      <c r="AK99" s="1295"/>
      <c r="AL99" s="1289"/>
      <c r="AM99" s="1289"/>
      <c r="AN99" s="2485"/>
      <c r="AO99" s="5027" t="s">
        <v>2218</v>
      </c>
      <c r="AP99" s="5028"/>
      <c r="AQ99" s="1314" t="e">
        <f>IF(AO97=0,"",VLOOKUP(AO97,'Tablas Magia'!$D$6:$Z$680,7,FALSE))</f>
        <v>#N/A</v>
      </c>
      <c r="AR99" s="1314" t="e">
        <f>IF(AO97=0,"",VLOOKUP(AO97,'Tablas Magia'!$D$6:$Z$680,11,FALSE))</f>
        <v>#N/A</v>
      </c>
      <c r="AS99" s="1315" t="e">
        <f>IF(AO97=0,"",VLOOKUP(AO97,'Tablas Magia'!$D$6:$Z$680,15,FALSE))</f>
        <v>#N/A</v>
      </c>
      <c r="AT99" s="5029" t="e">
        <f>IF(AO97=0,"",VLOOKUP(AO97,'Tablas Magia'!$D$6:$Z$680,19,FALSE))</f>
        <v>#N/A</v>
      </c>
      <c r="AU99" s="5030"/>
      <c r="AV99" s="5030"/>
      <c r="AW99" s="5030"/>
      <c r="AX99" s="5030"/>
      <c r="AY99" s="5030"/>
      <c r="AZ99" s="5030"/>
      <c r="BA99" s="5030"/>
      <c r="BB99" s="5030"/>
      <c r="BC99" s="5031"/>
      <c r="BD99" s="1295"/>
      <c r="BE99" s="1289"/>
      <c r="BF99" s="1289"/>
      <c r="BG99" s="2485"/>
      <c r="BH99" s="5027" t="s">
        <v>2218</v>
      </c>
      <c r="BI99" s="5028"/>
      <c r="BJ99" s="1314" t="e">
        <f>IF(BH97=0,"",VLOOKUP(BH97,'Tablas Magia'!$D$6:$Z$680,7,FALSE))</f>
        <v>#N/A</v>
      </c>
      <c r="BK99" s="1314" t="e">
        <f>IF(BH97=0,"",VLOOKUP(BH97,'Tablas Magia'!$D$6:$Z$680,11,FALSE))</f>
        <v>#N/A</v>
      </c>
      <c r="BL99" s="1315" t="e">
        <f>IF(BH97=0,"",VLOOKUP(BH97,'Tablas Magia'!$D$6:$Z$680,15,FALSE))</f>
        <v>#N/A</v>
      </c>
      <c r="BM99" s="5029" t="e">
        <f>IF(BH97=0,"",VLOOKUP(BH97,'Tablas Magia'!$D$6:$Z$680,19,FALSE))</f>
        <v>#N/A</v>
      </c>
      <c r="BN99" s="5030"/>
      <c r="BO99" s="5030"/>
      <c r="BP99" s="5030"/>
      <c r="BQ99" s="5030"/>
      <c r="BR99" s="5030"/>
      <c r="BS99" s="5030"/>
      <c r="BT99" s="5030"/>
      <c r="BU99" s="5030"/>
      <c r="BV99" s="5031"/>
      <c r="BW99" s="1295"/>
      <c r="BX99" s="1289"/>
      <c r="BY99" s="1289"/>
      <c r="BZ99" s="2485"/>
      <c r="CA99" s="5027" t="s">
        <v>2218</v>
      </c>
      <c r="CB99" s="5028"/>
      <c r="CC99" s="1314" t="e">
        <f>IF(CA97=0,"",VLOOKUP(CA97,'Tablas Magia'!$D$6:$Z$680,7,FALSE))</f>
        <v>#N/A</v>
      </c>
      <c r="CD99" s="1314" t="e">
        <f>IF(CA97=0,"",VLOOKUP(CA97,'Tablas Magia'!$D$6:$Z$680,11,FALSE))</f>
        <v>#N/A</v>
      </c>
      <c r="CE99" s="1315" t="e">
        <f>IF(CA97=0,"",VLOOKUP(CA97,'Tablas Magia'!$D$6:$Z$680,15,FALSE))</f>
        <v>#N/A</v>
      </c>
      <c r="CF99" s="5029" t="e">
        <f>IF(CA97=0,"",VLOOKUP(CA97,'Tablas Magia'!$D$6:$Z$680,19,FALSE))</f>
        <v>#N/A</v>
      </c>
      <c r="CG99" s="5030"/>
      <c r="CH99" s="5030"/>
      <c r="CI99" s="5030"/>
      <c r="CJ99" s="5030"/>
      <c r="CK99" s="5030"/>
      <c r="CL99" s="5030"/>
      <c r="CM99" s="5030"/>
      <c r="CN99" s="5030"/>
      <c r="CO99" s="5031"/>
      <c r="CP99" s="1295"/>
      <c r="CQ99" s="1289"/>
    </row>
    <row r="100" spans="1:95" ht="12" customHeight="1" x14ac:dyDescent="0.2">
      <c r="A100" s="1289"/>
      <c r="B100" s="2471"/>
      <c r="C100" s="5022" t="s">
        <v>5258</v>
      </c>
      <c r="D100" s="5023"/>
      <c r="E100" s="1316" t="e">
        <f>IF(C97=0,"",VLOOKUP(C97,'Tablas Magia'!$D$6:$Z$680,8,FALSE))</f>
        <v>#N/A</v>
      </c>
      <c r="F100" s="1316" t="e">
        <f>IF(C97=0,"",VLOOKUP(C97,'Tablas Magia'!$D$6:$Z$680,12,FALSE))</f>
        <v>#N/A</v>
      </c>
      <c r="G100" s="1317" t="e">
        <f>IF(C97=0,"",VLOOKUP(C97,'Tablas Magia'!$D$6:$Z$680,16,FALSE))</f>
        <v>#N/A</v>
      </c>
      <c r="H100" s="5024" t="e">
        <f>IF(C97=0,"",VLOOKUP(C97,'Tablas Magia'!$D$6:$Z$680,20,FALSE))</f>
        <v>#N/A</v>
      </c>
      <c r="I100" s="5025"/>
      <c r="J100" s="5025"/>
      <c r="K100" s="5025"/>
      <c r="L100" s="5025"/>
      <c r="M100" s="5025"/>
      <c r="N100" s="5025"/>
      <c r="O100" s="5025"/>
      <c r="P100" s="5025"/>
      <c r="Q100" s="5026"/>
      <c r="R100" s="1295"/>
      <c r="S100" s="1289"/>
      <c r="T100" s="1289"/>
      <c r="U100" s="2471"/>
      <c r="V100" s="5022" t="s">
        <v>5258</v>
      </c>
      <c r="W100" s="5023"/>
      <c r="X100" s="1316" t="e">
        <f>IF(V97=0,"",VLOOKUP(V97,'Tablas Magia'!$D$6:$Z$680,8,FALSE))</f>
        <v>#N/A</v>
      </c>
      <c r="Y100" s="1316" t="e">
        <f>IF(V97=0,"",VLOOKUP(V97,'Tablas Magia'!$D$6:$Z$680,12,FALSE))</f>
        <v>#N/A</v>
      </c>
      <c r="Z100" s="1317" t="e">
        <f>IF(V97=0,"",VLOOKUP(V97,'Tablas Magia'!$D$6:$Z$680,16,FALSE))</f>
        <v>#N/A</v>
      </c>
      <c r="AA100" s="5024" t="e">
        <f>IF(V97=0,"",VLOOKUP(V97,'Tablas Magia'!$D$6:$Z$680,20,FALSE))</f>
        <v>#N/A</v>
      </c>
      <c r="AB100" s="5025"/>
      <c r="AC100" s="5025"/>
      <c r="AD100" s="5025"/>
      <c r="AE100" s="5025"/>
      <c r="AF100" s="5025"/>
      <c r="AG100" s="5025"/>
      <c r="AH100" s="5025"/>
      <c r="AI100" s="5025"/>
      <c r="AJ100" s="5026"/>
      <c r="AK100" s="1295"/>
      <c r="AL100" s="1289"/>
      <c r="AM100" s="1289"/>
      <c r="AN100" s="2485"/>
      <c r="AO100" s="5022" t="s">
        <v>5258</v>
      </c>
      <c r="AP100" s="5023"/>
      <c r="AQ100" s="1316" t="e">
        <f>IF(AO97=0,"",VLOOKUP(AO97,'Tablas Magia'!$D$6:$Z$680,8,FALSE))</f>
        <v>#N/A</v>
      </c>
      <c r="AR100" s="1316" t="e">
        <f>IF(AO97=0,"",VLOOKUP(AO97,'Tablas Magia'!$D$6:$Z$680,12,FALSE))</f>
        <v>#N/A</v>
      </c>
      <c r="AS100" s="1317" t="e">
        <f>IF(AO97=0,"",VLOOKUP(AO97,'Tablas Magia'!$D$6:$Z$680,16,FALSE))</f>
        <v>#N/A</v>
      </c>
      <c r="AT100" s="5024" t="e">
        <f>IF(AO97=0,"",VLOOKUP(AO97,'Tablas Magia'!$D$6:$Z$680,20,FALSE))</f>
        <v>#N/A</v>
      </c>
      <c r="AU100" s="5025"/>
      <c r="AV100" s="5025"/>
      <c r="AW100" s="5025"/>
      <c r="AX100" s="5025"/>
      <c r="AY100" s="5025"/>
      <c r="AZ100" s="5025"/>
      <c r="BA100" s="5025"/>
      <c r="BB100" s="5025"/>
      <c r="BC100" s="5026"/>
      <c r="BD100" s="1295"/>
      <c r="BE100" s="1289"/>
      <c r="BF100" s="1289"/>
      <c r="BG100" s="2485"/>
      <c r="BH100" s="5022" t="s">
        <v>5258</v>
      </c>
      <c r="BI100" s="5023"/>
      <c r="BJ100" s="1316" t="e">
        <f>IF(BH97=0,"",VLOOKUP(BH97,'Tablas Magia'!$D$6:$Z$680,8,FALSE))</f>
        <v>#N/A</v>
      </c>
      <c r="BK100" s="1316" t="e">
        <f>IF(BH97=0,"",VLOOKUP(BH97,'Tablas Magia'!$D$6:$Z$680,12,FALSE))</f>
        <v>#N/A</v>
      </c>
      <c r="BL100" s="1317" t="e">
        <f>IF(BH97=0,"",VLOOKUP(BH97,'Tablas Magia'!$D$6:$Z$680,16,FALSE))</f>
        <v>#N/A</v>
      </c>
      <c r="BM100" s="5024" t="e">
        <f>IF(BH97=0,"",VLOOKUP(BH97,'Tablas Magia'!$D$6:$Z$680,20,FALSE))</f>
        <v>#N/A</v>
      </c>
      <c r="BN100" s="5025"/>
      <c r="BO100" s="5025"/>
      <c r="BP100" s="5025"/>
      <c r="BQ100" s="5025"/>
      <c r="BR100" s="5025"/>
      <c r="BS100" s="5025"/>
      <c r="BT100" s="5025"/>
      <c r="BU100" s="5025"/>
      <c r="BV100" s="5026"/>
      <c r="BW100" s="1295"/>
      <c r="BX100" s="1289"/>
      <c r="BY100" s="1289"/>
      <c r="BZ100" s="2485"/>
      <c r="CA100" s="5022" t="s">
        <v>5258</v>
      </c>
      <c r="CB100" s="5023"/>
      <c r="CC100" s="1316" t="e">
        <f>IF(CA97=0,"",VLOOKUP(CA97,'Tablas Magia'!$D$6:$Z$680,8,FALSE))</f>
        <v>#N/A</v>
      </c>
      <c r="CD100" s="1316" t="e">
        <f>IF(CA97=0,"",VLOOKUP(CA97,'Tablas Magia'!$D$6:$Z$680,12,FALSE))</f>
        <v>#N/A</v>
      </c>
      <c r="CE100" s="1317" t="e">
        <f>IF(CA97=0,"",VLOOKUP(CA97,'Tablas Magia'!$D$6:$Z$680,16,FALSE))</f>
        <v>#N/A</v>
      </c>
      <c r="CF100" s="5024" t="e">
        <f>IF(CA97=0,"",VLOOKUP(CA97,'Tablas Magia'!$D$6:$Z$680,20,FALSE))</f>
        <v>#N/A</v>
      </c>
      <c r="CG100" s="5025"/>
      <c r="CH100" s="5025"/>
      <c r="CI100" s="5025"/>
      <c r="CJ100" s="5025"/>
      <c r="CK100" s="5025"/>
      <c r="CL100" s="5025"/>
      <c r="CM100" s="5025"/>
      <c r="CN100" s="5025"/>
      <c r="CO100" s="5026"/>
      <c r="CP100" s="1295"/>
      <c r="CQ100" s="1289"/>
    </row>
    <row r="101" spans="1:95" ht="12" customHeight="1" x14ac:dyDescent="0.2">
      <c r="A101" s="1289"/>
      <c r="B101" s="2471"/>
      <c r="C101" s="5027" t="s">
        <v>5259</v>
      </c>
      <c r="D101" s="5028"/>
      <c r="E101" s="1314" t="e">
        <f>IF(C97=0,"",VLOOKUP(C97,'Tablas Magia'!$D$6:$Z$680,9,FALSE))</f>
        <v>#N/A</v>
      </c>
      <c r="F101" s="1314" t="e">
        <f>IF(C97=0,"",VLOOKUP(C97,'Tablas Magia'!$D$6:$Z$680,13,FALSE))</f>
        <v>#N/A</v>
      </c>
      <c r="G101" s="1315" t="e">
        <f>IF(C97=0,"",VLOOKUP(C97,'Tablas Magia'!$D$6:$Z$680,17,FALSE))</f>
        <v>#N/A</v>
      </c>
      <c r="H101" s="5029" t="e">
        <f>IF(C97=0,"",VLOOKUP(C97,'Tablas Magia'!$D$6:$Z$680,21,FALSE))</f>
        <v>#N/A</v>
      </c>
      <c r="I101" s="5030"/>
      <c r="J101" s="5030"/>
      <c r="K101" s="5030"/>
      <c r="L101" s="5030"/>
      <c r="M101" s="5030"/>
      <c r="N101" s="5030"/>
      <c r="O101" s="5030"/>
      <c r="P101" s="5030"/>
      <c r="Q101" s="5031"/>
      <c r="R101" s="1295"/>
      <c r="S101" s="1289"/>
      <c r="T101" s="1289"/>
      <c r="U101" s="2471"/>
      <c r="V101" s="5027" t="s">
        <v>5259</v>
      </c>
      <c r="W101" s="5028"/>
      <c r="X101" s="1314" t="e">
        <f>IF(V97=0,"",VLOOKUP(V97,'Tablas Magia'!$D$6:$Z$680,9,FALSE))</f>
        <v>#N/A</v>
      </c>
      <c r="Y101" s="1314" t="e">
        <f>IF(V97=0,"",VLOOKUP(V97,'Tablas Magia'!$D$6:$Z$680,13,FALSE))</f>
        <v>#N/A</v>
      </c>
      <c r="Z101" s="1315" t="e">
        <f>IF(V97=0,"",VLOOKUP(V97,'Tablas Magia'!$D$6:$Z$680,17,FALSE))</f>
        <v>#N/A</v>
      </c>
      <c r="AA101" s="5029" t="e">
        <f>IF(V97=0,"",VLOOKUP(V97,'Tablas Magia'!$D$6:$Z$680,21,FALSE))</f>
        <v>#N/A</v>
      </c>
      <c r="AB101" s="5030"/>
      <c r="AC101" s="5030"/>
      <c r="AD101" s="5030"/>
      <c r="AE101" s="5030"/>
      <c r="AF101" s="5030"/>
      <c r="AG101" s="5030"/>
      <c r="AH101" s="5030"/>
      <c r="AI101" s="5030"/>
      <c r="AJ101" s="5031"/>
      <c r="AK101" s="1295"/>
      <c r="AL101" s="1289"/>
      <c r="AM101" s="1289"/>
      <c r="AN101" s="2485"/>
      <c r="AO101" s="5027" t="s">
        <v>5259</v>
      </c>
      <c r="AP101" s="5028"/>
      <c r="AQ101" s="1314" t="e">
        <f>IF(AO97=0,"",VLOOKUP(AO97,'Tablas Magia'!$D$6:$Z$680,9,FALSE))</f>
        <v>#N/A</v>
      </c>
      <c r="AR101" s="1314" t="e">
        <f>IF(AO97=0,"",VLOOKUP(AO97,'Tablas Magia'!$D$6:$Z$680,13,FALSE))</f>
        <v>#N/A</v>
      </c>
      <c r="AS101" s="1315" t="e">
        <f>IF(AO97=0,"",VLOOKUP(AO97,'Tablas Magia'!$D$6:$Z$680,17,FALSE))</f>
        <v>#N/A</v>
      </c>
      <c r="AT101" s="5029" t="e">
        <f>IF(AO97=0,"",VLOOKUP(AO97,'Tablas Magia'!$D$6:$Z$680,21,FALSE))</f>
        <v>#N/A</v>
      </c>
      <c r="AU101" s="5030"/>
      <c r="AV101" s="5030"/>
      <c r="AW101" s="5030"/>
      <c r="AX101" s="5030"/>
      <c r="AY101" s="5030"/>
      <c r="AZ101" s="5030"/>
      <c r="BA101" s="5030"/>
      <c r="BB101" s="5030"/>
      <c r="BC101" s="5031"/>
      <c r="BD101" s="1295"/>
      <c r="BE101" s="1289"/>
      <c r="BF101" s="1289"/>
      <c r="BG101" s="2485"/>
      <c r="BH101" s="5027" t="s">
        <v>5259</v>
      </c>
      <c r="BI101" s="5028"/>
      <c r="BJ101" s="1314" t="e">
        <f>IF(BH97=0,"",VLOOKUP(BH97,'Tablas Magia'!$D$6:$Z$680,9,FALSE))</f>
        <v>#N/A</v>
      </c>
      <c r="BK101" s="1314" t="e">
        <f>IF(BH97=0,"",VLOOKUP(BH97,'Tablas Magia'!$D$6:$Z$680,13,FALSE))</f>
        <v>#N/A</v>
      </c>
      <c r="BL101" s="1315" t="e">
        <f>IF(BH97=0,"",VLOOKUP(BH97,'Tablas Magia'!$D$6:$Z$680,17,FALSE))</f>
        <v>#N/A</v>
      </c>
      <c r="BM101" s="5029" t="e">
        <f>IF(BH97=0,"",VLOOKUP(BH97,'Tablas Magia'!$D$6:$Z$680,21,FALSE))</f>
        <v>#N/A</v>
      </c>
      <c r="BN101" s="5030"/>
      <c r="BO101" s="5030"/>
      <c r="BP101" s="5030"/>
      <c r="BQ101" s="5030"/>
      <c r="BR101" s="5030"/>
      <c r="BS101" s="5030"/>
      <c r="BT101" s="5030"/>
      <c r="BU101" s="5030"/>
      <c r="BV101" s="5031"/>
      <c r="BW101" s="1295"/>
      <c r="BX101" s="1289"/>
      <c r="BY101" s="1289"/>
      <c r="BZ101" s="2485"/>
      <c r="CA101" s="5027" t="s">
        <v>5259</v>
      </c>
      <c r="CB101" s="5028"/>
      <c r="CC101" s="1314" t="e">
        <f>IF(CA97=0,"",VLOOKUP(CA97,'Tablas Magia'!$D$6:$Z$680,9,FALSE))</f>
        <v>#N/A</v>
      </c>
      <c r="CD101" s="1314" t="e">
        <f>IF(CA97=0,"",VLOOKUP(CA97,'Tablas Magia'!$D$6:$Z$680,13,FALSE))</f>
        <v>#N/A</v>
      </c>
      <c r="CE101" s="1315" t="e">
        <f>IF(CA97=0,"",VLOOKUP(CA97,'Tablas Magia'!$D$6:$Z$680,17,FALSE))</f>
        <v>#N/A</v>
      </c>
      <c r="CF101" s="5029" t="e">
        <f>IF(CA97=0,"",VLOOKUP(CA97,'Tablas Magia'!$D$6:$Z$680,21,FALSE))</f>
        <v>#N/A</v>
      </c>
      <c r="CG101" s="5030"/>
      <c r="CH101" s="5030"/>
      <c r="CI101" s="5030"/>
      <c r="CJ101" s="5030"/>
      <c r="CK101" s="5030"/>
      <c r="CL101" s="5030"/>
      <c r="CM101" s="5030"/>
      <c r="CN101" s="5030"/>
      <c r="CO101" s="5031"/>
      <c r="CP101" s="1295"/>
      <c r="CQ101" s="1289"/>
    </row>
    <row r="102" spans="1:95" ht="12" customHeight="1" thickBot="1" x14ac:dyDescent="0.25">
      <c r="A102" s="1289"/>
      <c r="B102" s="2471"/>
      <c r="C102" s="5037" t="s">
        <v>5260</v>
      </c>
      <c r="D102" s="5038"/>
      <c r="E102" s="1318" t="e">
        <f>IF(C97=0,"",VLOOKUP(C97,'Tablas Magia'!$D$6:$Z$680,10,FALSE))</f>
        <v>#N/A</v>
      </c>
      <c r="F102" s="1318" t="e">
        <f>IF(C97=0,"",VLOOKUP(C97,'Tablas Magia'!$D$6:$Z$680,14,FALSE))</f>
        <v>#N/A</v>
      </c>
      <c r="G102" s="1319" t="e">
        <f>IF(C97=0,"",VLOOKUP(C97,'Tablas Magia'!$D$6:$Z$680,18,FALSE))</f>
        <v>#N/A</v>
      </c>
      <c r="H102" s="5039" t="e">
        <f>IF(C97=0,"",VLOOKUP(C97,'Tablas Magia'!$D$6:$Z$680,22,FALSE))</f>
        <v>#N/A</v>
      </c>
      <c r="I102" s="5040"/>
      <c r="J102" s="5040"/>
      <c r="K102" s="5040"/>
      <c r="L102" s="5040"/>
      <c r="M102" s="5040"/>
      <c r="N102" s="5040"/>
      <c r="O102" s="5040"/>
      <c r="P102" s="5040"/>
      <c r="Q102" s="5041"/>
      <c r="R102" s="1295"/>
      <c r="S102" s="1289"/>
      <c r="T102" s="1289"/>
      <c r="U102" s="2471"/>
      <c r="V102" s="5037" t="s">
        <v>5260</v>
      </c>
      <c r="W102" s="5038"/>
      <c r="X102" s="1318" t="e">
        <f>IF(V97=0,"",VLOOKUP(V97,'Tablas Magia'!$D$6:$Z$680,10,FALSE))</f>
        <v>#N/A</v>
      </c>
      <c r="Y102" s="1318" t="e">
        <f>IF(V97=0,"",VLOOKUP(V97,'Tablas Magia'!$D$6:$Z$680,14,FALSE))</f>
        <v>#N/A</v>
      </c>
      <c r="Z102" s="1319" t="e">
        <f>IF(V97=0,"",VLOOKUP(V97,'Tablas Magia'!$D$6:$Z$680,18,FALSE))</f>
        <v>#N/A</v>
      </c>
      <c r="AA102" s="5039" t="e">
        <f>IF(V97=0,"",VLOOKUP(V97,'Tablas Magia'!$D$6:$Z$680,22,FALSE))</f>
        <v>#N/A</v>
      </c>
      <c r="AB102" s="5040"/>
      <c r="AC102" s="5040"/>
      <c r="AD102" s="5040"/>
      <c r="AE102" s="5040"/>
      <c r="AF102" s="5040"/>
      <c r="AG102" s="5040"/>
      <c r="AH102" s="5040"/>
      <c r="AI102" s="5040"/>
      <c r="AJ102" s="5041"/>
      <c r="AK102" s="1295"/>
      <c r="AL102" s="1289"/>
      <c r="AM102" s="1289"/>
      <c r="AN102" s="2485"/>
      <c r="AO102" s="5037" t="s">
        <v>5260</v>
      </c>
      <c r="AP102" s="5038"/>
      <c r="AQ102" s="1318" t="e">
        <f>IF(AO97=0,"",VLOOKUP(AO97,'Tablas Magia'!$D$6:$Z$680,10,FALSE))</f>
        <v>#N/A</v>
      </c>
      <c r="AR102" s="1318" t="e">
        <f>IF(AO97=0,"",VLOOKUP(AO97,'Tablas Magia'!$D$6:$Z$680,14,FALSE))</f>
        <v>#N/A</v>
      </c>
      <c r="AS102" s="1319" t="e">
        <f>IF(AO97=0,"",VLOOKUP(AO97,'Tablas Magia'!$D$6:$Z$680,18,FALSE))</f>
        <v>#N/A</v>
      </c>
      <c r="AT102" s="5039" t="e">
        <f>IF(AO97=0,"",VLOOKUP(AO97,'Tablas Magia'!$D$6:$Z$680,22,FALSE))</f>
        <v>#N/A</v>
      </c>
      <c r="AU102" s="5040"/>
      <c r="AV102" s="5040"/>
      <c r="AW102" s="5040"/>
      <c r="AX102" s="5040"/>
      <c r="AY102" s="5040"/>
      <c r="AZ102" s="5040"/>
      <c r="BA102" s="5040"/>
      <c r="BB102" s="5040"/>
      <c r="BC102" s="5041"/>
      <c r="BD102" s="1295"/>
      <c r="BE102" s="1289"/>
      <c r="BF102" s="1289"/>
      <c r="BG102" s="2485"/>
      <c r="BH102" s="5037" t="s">
        <v>5260</v>
      </c>
      <c r="BI102" s="5038"/>
      <c r="BJ102" s="1318" t="e">
        <f>IF(BH97=0,"",VLOOKUP(BH97,'Tablas Magia'!$D$6:$Z$680,10,FALSE))</f>
        <v>#N/A</v>
      </c>
      <c r="BK102" s="1318" t="e">
        <f>IF(BH97=0,"",VLOOKUP(BH97,'Tablas Magia'!$D$6:$Z$680,14,FALSE))</f>
        <v>#N/A</v>
      </c>
      <c r="BL102" s="1319" t="e">
        <f>IF(BH97=0,"",VLOOKUP(BH97,'Tablas Magia'!$D$6:$Z$680,18,FALSE))</f>
        <v>#N/A</v>
      </c>
      <c r="BM102" s="5039" t="e">
        <f>IF(BH97=0,"",VLOOKUP(BH97,'Tablas Magia'!$D$6:$Z$680,22,FALSE))</f>
        <v>#N/A</v>
      </c>
      <c r="BN102" s="5040"/>
      <c r="BO102" s="5040"/>
      <c r="BP102" s="5040"/>
      <c r="BQ102" s="5040"/>
      <c r="BR102" s="5040"/>
      <c r="BS102" s="5040"/>
      <c r="BT102" s="5040"/>
      <c r="BU102" s="5040"/>
      <c r="BV102" s="5041"/>
      <c r="BW102" s="1295"/>
      <c r="BX102" s="1289"/>
      <c r="BY102" s="1289"/>
      <c r="BZ102" s="2485"/>
      <c r="CA102" s="5037" t="s">
        <v>5260</v>
      </c>
      <c r="CB102" s="5038"/>
      <c r="CC102" s="1318" t="e">
        <f>IF(CA97=0,"",VLOOKUP(CA97,'Tablas Magia'!$D$6:$Z$680,10,FALSE))</f>
        <v>#N/A</v>
      </c>
      <c r="CD102" s="1318" t="e">
        <f>IF(CA97=0,"",VLOOKUP(CA97,'Tablas Magia'!$D$6:$Z$680,14,FALSE))</f>
        <v>#N/A</v>
      </c>
      <c r="CE102" s="1319" t="e">
        <f>IF(CA97=0,"",VLOOKUP(CA97,'Tablas Magia'!$D$6:$Z$680,18,FALSE))</f>
        <v>#N/A</v>
      </c>
      <c r="CF102" s="5039" t="e">
        <f>IF(CA97=0,"",VLOOKUP(CA97,'Tablas Magia'!$D$6:$Z$680,22,FALSE))</f>
        <v>#N/A</v>
      </c>
      <c r="CG102" s="5040"/>
      <c r="CH102" s="5040"/>
      <c r="CI102" s="5040"/>
      <c r="CJ102" s="5040"/>
      <c r="CK102" s="5040"/>
      <c r="CL102" s="5040"/>
      <c r="CM102" s="5040"/>
      <c r="CN102" s="5040"/>
      <c r="CO102" s="5041"/>
      <c r="CP102" s="1295"/>
      <c r="CQ102" s="1289"/>
    </row>
    <row r="103" spans="1:95" ht="12" customHeight="1" x14ac:dyDescent="0.2">
      <c r="A103" s="1289"/>
      <c r="B103" s="2471"/>
      <c r="C103" s="5042" t="e">
        <f>IF(C97=0,"",VLOOKUP(C97,'Tablas Magia'!$D$6:$Z$680,23,FALSE))</f>
        <v>#N/A</v>
      </c>
      <c r="D103" s="5043"/>
      <c r="E103" s="5043"/>
      <c r="F103" s="5043"/>
      <c r="G103" s="5043"/>
      <c r="H103" s="5043"/>
      <c r="I103" s="5043"/>
      <c r="J103" s="5043"/>
      <c r="K103" s="5043"/>
      <c r="L103" s="5043"/>
      <c r="M103" s="5043"/>
      <c r="N103" s="5043"/>
      <c r="O103" s="5043"/>
      <c r="P103" s="5043"/>
      <c r="Q103" s="5044"/>
      <c r="R103" s="1295"/>
      <c r="S103" s="1289"/>
      <c r="T103" s="1289"/>
      <c r="U103" s="2471"/>
      <c r="V103" s="5042" t="e">
        <f>IF(V97=0,"",VLOOKUP(V97,'Tablas Magia'!$D$6:$Z$680,23,FALSE))</f>
        <v>#N/A</v>
      </c>
      <c r="W103" s="5043"/>
      <c r="X103" s="5043"/>
      <c r="Y103" s="5043"/>
      <c r="Z103" s="5043"/>
      <c r="AA103" s="5043"/>
      <c r="AB103" s="5043"/>
      <c r="AC103" s="5043"/>
      <c r="AD103" s="5043"/>
      <c r="AE103" s="5043"/>
      <c r="AF103" s="5043"/>
      <c r="AG103" s="5043"/>
      <c r="AH103" s="5043"/>
      <c r="AI103" s="5043"/>
      <c r="AJ103" s="5044"/>
      <c r="AK103" s="1295"/>
      <c r="AL103" s="1289"/>
      <c r="AM103" s="1289"/>
      <c r="AN103" s="2485"/>
      <c r="AO103" s="5042" t="e">
        <f>IF(AO97=0,"",VLOOKUP(AO97,'Tablas Magia'!$D$6:$Z$680,23,FALSE))</f>
        <v>#N/A</v>
      </c>
      <c r="AP103" s="5043"/>
      <c r="AQ103" s="5043"/>
      <c r="AR103" s="5043"/>
      <c r="AS103" s="5043"/>
      <c r="AT103" s="5043"/>
      <c r="AU103" s="5043"/>
      <c r="AV103" s="5043"/>
      <c r="AW103" s="5043"/>
      <c r="AX103" s="5043"/>
      <c r="AY103" s="5043"/>
      <c r="AZ103" s="5043"/>
      <c r="BA103" s="5043"/>
      <c r="BB103" s="5043"/>
      <c r="BC103" s="5044"/>
      <c r="BD103" s="1295"/>
      <c r="BE103" s="1289"/>
      <c r="BF103" s="1289"/>
      <c r="BG103" s="2485"/>
      <c r="BH103" s="5042" t="e">
        <f>IF(BH97=0,"",VLOOKUP(BH97,'Tablas Magia'!$D$6:$Z$680,23,FALSE))</f>
        <v>#N/A</v>
      </c>
      <c r="BI103" s="5043"/>
      <c r="BJ103" s="5043"/>
      <c r="BK103" s="5043"/>
      <c r="BL103" s="5043"/>
      <c r="BM103" s="5043"/>
      <c r="BN103" s="5043"/>
      <c r="BO103" s="5043"/>
      <c r="BP103" s="5043"/>
      <c r="BQ103" s="5043"/>
      <c r="BR103" s="5043"/>
      <c r="BS103" s="5043"/>
      <c r="BT103" s="5043"/>
      <c r="BU103" s="5043"/>
      <c r="BV103" s="5044"/>
      <c r="BW103" s="1295"/>
      <c r="BX103" s="1289"/>
      <c r="BY103" s="1289"/>
      <c r="BZ103" s="2485"/>
      <c r="CA103" s="5042" t="e">
        <f>IF(CA97=0,"",VLOOKUP(CA97,'Tablas Magia'!$D$6:$Z$680,23,FALSE))</f>
        <v>#N/A</v>
      </c>
      <c r="CB103" s="5043"/>
      <c r="CC103" s="5043"/>
      <c r="CD103" s="5043"/>
      <c r="CE103" s="5043"/>
      <c r="CF103" s="5043"/>
      <c r="CG103" s="5043"/>
      <c r="CH103" s="5043"/>
      <c r="CI103" s="5043"/>
      <c r="CJ103" s="5043"/>
      <c r="CK103" s="5043"/>
      <c r="CL103" s="5043"/>
      <c r="CM103" s="5043"/>
      <c r="CN103" s="5043"/>
      <c r="CO103" s="5044"/>
      <c r="CP103" s="1295"/>
      <c r="CQ103" s="1289"/>
    </row>
    <row r="104" spans="1:95" ht="12" customHeight="1" x14ac:dyDescent="0.2">
      <c r="A104" s="1289"/>
      <c r="B104" s="2471"/>
      <c r="C104" s="5045"/>
      <c r="D104" s="5046"/>
      <c r="E104" s="5046"/>
      <c r="F104" s="5046"/>
      <c r="G104" s="5046"/>
      <c r="H104" s="5046"/>
      <c r="I104" s="5046"/>
      <c r="J104" s="5046"/>
      <c r="K104" s="5046"/>
      <c r="L104" s="5046"/>
      <c r="M104" s="5046"/>
      <c r="N104" s="5046"/>
      <c r="O104" s="5046"/>
      <c r="P104" s="5046"/>
      <c r="Q104" s="5047"/>
      <c r="R104" s="1295"/>
      <c r="S104" s="1289"/>
      <c r="T104" s="1289"/>
      <c r="U104" s="2471"/>
      <c r="V104" s="5045"/>
      <c r="W104" s="5046"/>
      <c r="X104" s="5046"/>
      <c r="Y104" s="5046"/>
      <c r="Z104" s="5046"/>
      <c r="AA104" s="5046"/>
      <c r="AB104" s="5046"/>
      <c r="AC104" s="5046"/>
      <c r="AD104" s="5046"/>
      <c r="AE104" s="5046"/>
      <c r="AF104" s="5046"/>
      <c r="AG104" s="5046"/>
      <c r="AH104" s="5046"/>
      <c r="AI104" s="5046"/>
      <c r="AJ104" s="5047"/>
      <c r="AK104" s="1295"/>
      <c r="AL104" s="1289"/>
      <c r="AM104" s="1289"/>
      <c r="AN104" s="2485"/>
      <c r="AO104" s="5045"/>
      <c r="AP104" s="5046"/>
      <c r="AQ104" s="5046"/>
      <c r="AR104" s="5046"/>
      <c r="AS104" s="5046"/>
      <c r="AT104" s="5046"/>
      <c r="AU104" s="5046"/>
      <c r="AV104" s="5046"/>
      <c r="AW104" s="5046"/>
      <c r="AX104" s="5046"/>
      <c r="AY104" s="5046"/>
      <c r="AZ104" s="5046"/>
      <c r="BA104" s="5046"/>
      <c r="BB104" s="5046"/>
      <c r="BC104" s="5047"/>
      <c r="BD104" s="1295"/>
      <c r="BE104" s="1289"/>
      <c r="BF104" s="1289"/>
      <c r="BG104" s="2485"/>
      <c r="BH104" s="5045"/>
      <c r="BI104" s="5046"/>
      <c r="BJ104" s="5046"/>
      <c r="BK104" s="5046"/>
      <c r="BL104" s="5046"/>
      <c r="BM104" s="5046"/>
      <c r="BN104" s="5046"/>
      <c r="BO104" s="5046"/>
      <c r="BP104" s="5046"/>
      <c r="BQ104" s="5046"/>
      <c r="BR104" s="5046"/>
      <c r="BS104" s="5046"/>
      <c r="BT104" s="5046"/>
      <c r="BU104" s="5046"/>
      <c r="BV104" s="5047"/>
      <c r="BW104" s="1295"/>
      <c r="BX104" s="1289"/>
      <c r="BY104" s="1289"/>
      <c r="BZ104" s="2485"/>
      <c r="CA104" s="5045"/>
      <c r="CB104" s="5046"/>
      <c r="CC104" s="5046"/>
      <c r="CD104" s="5046"/>
      <c r="CE104" s="5046"/>
      <c r="CF104" s="5046"/>
      <c r="CG104" s="5046"/>
      <c r="CH104" s="5046"/>
      <c r="CI104" s="5046"/>
      <c r="CJ104" s="5046"/>
      <c r="CK104" s="5046"/>
      <c r="CL104" s="5046"/>
      <c r="CM104" s="5046"/>
      <c r="CN104" s="5046"/>
      <c r="CO104" s="5047"/>
      <c r="CP104" s="1295"/>
      <c r="CQ104" s="1289"/>
    </row>
    <row r="105" spans="1:95" ht="12" customHeight="1" x14ac:dyDescent="0.2">
      <c r="A105" s="1289"/>
      <c r="B105" s="2471"/>
      <c r="C105" s="5045"/>
      <c r="D105" s="5046"/>
      <c r="E105" s="5046"/>
      <c r="F105" s="5046"/>
      <c r="G105" s="5046"/>
      <c r="H105" s="5046"/>
      <c r="I105" s="5046"/>
      <c r="J105" s="5046"/>
      <c r="K105" s="5046"/>
      <c r="L105" s="5046"/>
      <c r="M105" s="5046"/>
      <c r="N105" s="5046"/>
      <c r="O105" s="5046"/>
      <c r="P105" s="5046"/>
      <c r="Q105" s="5047"/>
      <c r="R105" s="1295"/>
      <c r="S105" s="1289"/>
      <c r="T105" s="1289"/>
      <c r="U105" s="2471"/>
      <c r="V105" s="5045"/>
      <c r="W105" s="5046"/>
      <c r="X105" s="5046"/>
      <c r="Y105" s="5046"/>
      <c r="Z105" s="5046"/>
      <c r="AA105" s="5046"/>
      <c r="AB105" s="5046"/>
      <c r="AC105" s="5046"/>
      <c r="AD105" s="5046"/>
      <c r="AE105" s="5046"/>
      <c r="AF105" s="5046"/>
      <c r="AG105" s="5046"/>
      <c r="AH105" s="5046"/>
      <c r="AI105" s="5046"/>
      <c r="AJ105" s="5047"/>
      <c r="AK105" s="1295"/>
      <c r="AL105" s="1289"/>
      <c r="AM105" s="1289"/>
      <c r="AN105" s="2485"/>
      <c r="AO105" s="5045"/>
      <c r="AP105" s="5046"/>
      <c r="AQ105" s="5046"/>
      <c r="AR105" s="5046"/>
      <c r="AS105" s="5046"/>
      <c r="AT105" s="5046"/>
      <c r="AU105" s="5046"/>
      <c r="AV105" s="5046"/>
      <c r="AW105" s="5046"/>
      <c r="AX105" s="5046"/>
      <c r="AY105" s="5046"/>
      <c r="AZ105" s="5046"/>
      <c r="BA105" s="5046"/>
      <c r="BB105" s="5046"/>
      <c r="BC105" s="5047"/>
      <c r="BD105" s="1295"/>
      <c r="BE105" s="1289"/>
      <c r="BF105" s="1289"/>
      <c r="BG105" s="2485"/>
      <c r="BH105" s="5045"/>
      <c r="BI105" s="5046"/>
      <c r="BJ105" s="5046"/>
      <c r="BK105" s="5046"/>
      <c r="BL105" s="5046"/>
      <c r="BM105" s="5046"/>
      <c r="BN105" s="5046"/>
      <c r="BO105" s="5046"/>
      <c r="BP105" s="5046"/>
      <c r="BQ105" s="5046"/>
      <c r="BR105" s="5046"/>
      <c r="BS105" s="5046"/>
      <c r="BT105" s="5046"/>
      <c r="BU105" s="5046"/>
      <c r="BV105" s="5047"/>
      <c r="BW105" s="1295"/>
      <c r="BX105" s="1289"/>
      <c r="BY105" s="1289"/>
      <c r="BZ105" s="2485"/>
      <c r="CA105" s="5045"/>
      <c r="CB105" s="5046"/>
      <c r="CC105" s="5046"/>
      <c r="CD105" s="5046"/>
      <c r="CE105" s="5046"/>
      <c r="CF105" s="5046"/>
      <c r="CG105" s="5046"/>
      <c r="CH105" s="5046"/>
      <c r="CI105" s="5046"/>
      <c r="CJ105" s="5046"/>
      <c r="CK105" s="5046"/>
      <c r="CL105" s="5046"/>
      <c r="CM105" s="5046"/>
      <c r="CN105" s="5046"/>
      <c r="CO105" s="5047"/>
      <c r="CP105" s="1295"/>
      <c r="CQ105" s="1289"/>
    </row>
    <row r="106" spans="1:95" ht="13.5" thickBot="1" x14ac:dyDescent="0.25">
      <c r="A106" s="1289"/>
      <c r="B106" s="2471"/>
      <c r="C106" s="5048"/>
      <c r="D106" s="5049"/>
      <c r="E106" s="5049"/>
      <c r="F106" s="5049"/>
      <c r="G106" s="5049"/>
      <c r="H106" s="5049"/>
      <c r="I106" s="5049"/>
      <c r="J106" s="5049"/>
      <c r="K106" s="5049"/>
      <c r="L106" s="5049"/>
      <c r="M106" s="5049"/>
      <c r="N106" s="5049"/>
      <c r="O106" s="5049"/>
      <c r="P106" s="5049"/>
      <c r="Q106" s="5050"/>
      <c r="R106" s="1295"/>
      <c r="S106" s="1289"/>
      <c r="T106" s="1289"/>
      <c r="U106" s="2471"/>
      <c r="V106" s="5048"/>
      <c r="W106" s="5049"/>
      <c r="X106" s="5049"/>
      <c r="Y106" s="5049"/>
      <c r="Z106" s="5049"/>
      <c r="AA106" s="5049"/>
      <c r="AB106" s="5049"/>
      <c r="AC106" s="5049"/>
      <c r="AD106" s="5049"/>
      <c r="AE106" s="5049"/>
      <c r="AF106" s="5049"/>
      <c r="AG106" s="5049"/>
      <c r="AH106" s="5049"/>
      <c r="AI106" s="5049"/>
      <c r="AJ106" s="5050"/>
      <c r="AK106" s="1295"/>
      <c r="AL106" s="1289"/>
      <c r="AM106" s="1289"/>
      <c r="AN106" s="2485"/>
      <c r="AO106" s="5048"/>
      <c r="AP106" s="5049"/>
      <c r="AQ106" s="5049"/>
      <c r="AR106" s="5049"/>
      <c r="AS106" s="5049"/>
      <c r="AT106" s="5049"/>
      <c r="AU106" s="5049"/>
      <c r="AV106" s="5049"/>
      <c r="AW106" s="5049"/>
      <c r="AX106" s="5049"/>
      <c r="AY106" s="5049"/>
      <c r="AZ106" s="5049"/>
      <c r="BA106" s="5049"/>
      <c r="BB106" s="5049"/>
      <c r="BC106" s="5050"/>
      <c r="BD106" s="1295"/>
      <c r="BE106" s="1289"/>
      <c r="BF106" s="1289"/>
      <c r="BG106" s="2485"/>
      <c r="BH106" s="5048"/>
      <c r="BI106" s="5049"/>
      <c r="BJ106" s="5049"/>
      <c r="BK106" s="5049"/>
      <c r="BL106" s="5049"/>
      <c r="BM106" s="5049"/>
      <c r="BN106" s="5049"/>
      <c r="BO106" s="5049"/>
      <c r="BP106" s="5049"/>
      <c r="BQ106" s="5049"/>
      <c r="BR106" s="5049"/>
      <c r="BS106" s="5049"/>
      <c r="BT106" s="5049"/>
      <c r="BU106" s="5049"/>
      <c r="BV106" s="5050"/>
      <c r="BW106" s="1295"/>
      <c r="BX106" s="1289"/>
      <c r="BY106" s="1289"/>
      <c r="BZ106" s="2485"/>
      <c r="CA106" s="5048"/>
      <c r="CB106" s="5049"/>
      <c r="CC106" s="5049"/>
      <c r="CD106" s="5049"/>
      <c r="CE106" s="5049"/>
      <c r="CF106" s="5049"/>
      <c r="CG106" s="5049"/>
      <c r="CH106" s="5049"/>
      <c r="CI106" s="5049"/>
      <c r="CJ106" s="5049"/>
      <c r="CK106" s="5049"/>
      <c r="CL106" s="5049"/>
      <c r="CM106" s="5049"/>
      <c r="CN106" s="5049"/>
      <c r="CO106" s="5050"/>
      <c r="CP106" s="1295"/>
      <c r="CQ106" s="1289"/>
    </row>
    <row r="107" spans="1:95" ht="13.5" thickBot="1" x14ac:dyDescent="0.25">
      <c r="A107" s="1289"/>
      <c r="B107" s="2471"/>
      <c r="C107" s="1330"/>
      <c r="D107" s="1330"/>
      <c r="E107" s="1316"/>
      <c r="F107" s="1316"/>
      <c r="G107" s="1316"/>
      <c r="H107" s="1331"/>
      <c r="I107" s="1331"/>
      <c r="J107" s="1331"/>
      <c r="K107" s="1331"/>
      <c r="L107" s="1331"/>
      <c r="M107" s="1331"/>
      <c r="N107" s="1331"/>
      <c r="O107" s="1331"/>
      <c r="P107" s="1331"/>
      <c r="Q107" s="1331"/>
      <c r="R107" s="1295"/>
      <c r="S107" s="1289"/>
      <c r="T107" s="1289"/>
      <c r="U107" s="2471"/>
      <c r="V107" s="1330"/>
      <c r="W107" s="1330"/>
      <c r="X107" s="1316"/>
      <c r="Y107" s="1316"/>
      <c r="Z107" s="1316"/>
      <c r="AA107" s="1331"/>
      <c r="AB107" s="1331"/>
      <c r="AC107" s="1331"/>
      <c r="AD107" s="1331"/>
      <c r="AE107" s="1331"/>
      <c r="AF107" s="1331"/>
      <c r="AG107" s="1331"/>
      <c r="AH107" s="1331"/>
      <c r="AI107" s="1331"/>
      <c r="AJ107" s="1331"/>
      <c r="AK107" s="1295"/>
      <c r="AL107" s="1289"/>
      <c r="AM107" s="1289"/>
      <c r="AN107" s="2471"/>
      <c r="AO107" s="1330"/>
      <c r="AP107" s="1330"/>
      <c r="AQ107" s="1316"/>
      <c r="AR107" s="1316"/>
      <c r="AS107" s="1316"/>
      <c r="AT107" s="1331"/>
      <c r="AU107" s="1331"/>
      <c r="AV107" s="1331"/>
      <c r="AW107" s="1331"/>
      <c r="AX107" s="1331"/>
      <c r="AY107" s="1331"/>
      <c r="AZ107" s="1331"/>
      <c r="BA107" s="1331"/>
      <c r="BB107" s="1331"/>
      <c r="BC107" s="1331"/>
      <c r="BD107" s="1295"/>
      <c r="BE107" s="1289"/>
      <c r="BF107" s="1289"/>
      <c r="BG107" s="2471"/>
      <c r="BH107" s="1330"/>
      <c r="BI107" s="1330"/>
      <c r="BJ107" s="1316"/>
      <c r="BK107" s="1316"/>
      <c r="BL107" s="1316"/>
      <c r="BM107" s="1331"/>
      <c r="BN107" s="1331"/>
      <c r="BO107" s="1331"/>
      <c r="BP107" s="1331"/>
      <c r="BQ107" s="1331"/>
      <c r="BR107" s="1331"/>
      <c r="BS107" s="1331"/>
      <c r="BT107" s="1331"/>
      <c r="BU107" s="1331"/>
      <c r="BV107" s="1331"/>
      <c r="BW107" s="1295"/>
      <c r="BX107" s="1289"/>
      <c r="BY107" s="1289"/>
      <c r="BZ107" s="2471"/>
      <c r="CA107" s="1330"/>
      <c r="CB107" s="1330"/>
      <c r="CC107" s="1316"/>
      <c r="CD107" s="1316"/>
      <c r="CE107" s="1316"/>
      <c r="CF107" s="1331"/>
      <c r="CG107" s="1331"/>
      <c r="CH107" s="1331"/>
      <c r="CI107" s="1331"/>
      <c r="CJ107" s="1331"/>
      <c r="CK107" s="1331"/>
      <c r="CL107" s="1331"/>
      <c r="CM107" s="1331"/>
      <c r="CN107" s="1331"/>
      <c r="CO107" s="1331"/>
      <c r="CP107" s="1295"/>
      <c r="CQ107" s="1289"/>
    </row>
    <row r="108" spans="1:95" ht="12.75" customHeight="1" x14ac:dyDescent="0.2">
      <c r="A108" s="1289"/>
      <c r="B108" s="2471">
        <f>B97+2</f>
        <v>20</v>
      </c>
      <c r="C108" s="5051"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52"/>
      <c r="E108" s="5052"/>
      <c r="F108" s="5052"/>
      <c r="G108" s="5052"/>
      <c r="H108" s="1309" t="s">
        <v>2171</v>
      </c>
      <c r="I108" s="1310">
        <f>IF(C108=0,"",VLOOKUP(C108,'Tablas Magia'!$D$6:$Z$680,3,FALSE))</f>
        <v>20</v>
      </c>
      <c r="J108" s="5017" t="s">
        <v>8715</v>
      </c>
      <c r="K108" s="5017"/>
      <c r="L108" s="5017"/>
      <c r="M108" s="5018" t="str">
        <f>IF(C108=0,"",VLOOKUP(C108,'Tablas Magia'!$D$6:$Z$680,2,FALSE))</f>
        <v>Fuego</v>
      </c>
      <c r="N108" s="5018"/>
      <c r="O108" s="5018"/>
      <c r="P108" s="5018"/>
      <c r="Q108" s="5019"/>
      <c r="R108" s="1295"/>
      <c r="S108" s="1289"/>
      <c r="T108" s="1289"/>
      <c r="U108" s="2471">
        <f>U97+2</f>
        <v>40</v>
      </c>
      <c r="V108" s="5051"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52"/>
      <c r="X108" s="5052"/>
      <c r="Y108" s="5052"/>
      <c r="Z108" s="5052"/>
      <c r="AA108" s="1309" t="s">
        <v>2171</v>
      </c>
      <c r="AB108" s="1310">
        <f>IF(V108=0,"",VLOOKUP(V108,'Tablas Magia'!$D$6:$Z$680,3,FALSE))</f>
        <v>40</v>
      </c>
      <c r="AC108" s="5017" t="s">
        <v>8715</v>
      </c>
      <c r="AD108" s="5017"/>
      <c r="AE108" s="5017"/>
      <c r="AF108" s="5018" t="str">
        <f>IF(V108=0,"",VLOOKUP(V108,'Tablas Magia'!$D$6:$Z$680,2,FALSE))</f>
        <v>Fuego</v>
      </c>
      <c r="AG108" s="5018"/>
      <c r="AH108" s="5018"/>
      <c r="AI108" s="5018"/>
      <c r="AJ108" s="5019"/>
      <c r="AK108" s="1295"/>
      <c r="AL108" s="1289"/>
      <c r="AM108" s="1289"/>
      <c r="AN108" s="2485">
        <f>AN97+2</f>
        <v>60</v>
      </c>
      <c r="AO108" s="5051"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52"/>
      <c r="AQ108" s="5052"/>
      <c r="AR108" s="5052"/>
      <c r="AS108" s="5052"/>
      <c r="AT108" s="1309" t="s">
        <v>2171</v>
      </c>
      <c r="AU108" s="1310">
        <f>IF(AO108=0,"",VLOOKUP(AO108,'Tablas Magia'!$D$6:$Z$680,3,FALSE))</f>
        <v>60</v>
      </c>
      <c r="AV108" s="5017" t="s">
        <v>8715</v>
      </c>
      <c r="AW108" s="5017"/>
      <c r="AX108" s="5017"/>
      <c r="AY108" s="5018" t="str">
        <f>IF(AO108=0,"",VLOOKUP(AO108,'Tablas Magia'!$D$6:$Z$680,2,FALSE))</f>
        <v>Fuego</v>
      </c>
      <c r="AZ108" s="5018"/>
      <c r="BA108" s="5018"/>
      <c r="BB108" s="5018"/>
      <c r="BC108" s="5019"/>
      <c r="BD108" s="1295"/>
      <c r="BE108" s="1289"/>
      <c r="BF108" s="1289"/>
      <c r="BG108" s="2485">
        <f>BG97+2</f>
        <v>80</v>
      </c>
      <c r="BH108" s="5051"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52"/>
      <c r="BJ108" s="5052"/>
      <c r="BK108" s="5052"/>
      <c r="BL108" s="5052"/>
      <c r="BM108" s="1309" t="s">
        <v>2171</v>
      </c>
      <c r="BN108" s="1310">
        <f>IF(BH108=0,"",VLOOKUP(BH108,'Tablas Magia'!$D$6:$Z$680,3,FALSE))</f>
        <v>80</v>
      </c>
      <c r="BO108" s="5017" t="s">
        <v>8715</v>
      </c>
      <c r="BP108" s="5017"/>
      <c r="BQ108" s="5017"/>
      <c r="BR108" s="5018" t="str">
        <f>IF(BH108=0,"",VLOOKUP(BH108,'Tablas Magia'!$D$6:$Z$680,2,FALSE))</f>
        <v>Fuego</v>
      </c>
      <c r="BS108" s="5018"/>
      <c r="BT108" s="5018"/>
      <c r="BU108" s="5018"/>
      <c r="BV108" s="5019"/>
      <c r="BW108" s="1295"/>
      <c r="BX108" s="1289"/>
      <c r="BY108" s="1289"/>
      <c r="BZ108" s="2485">
        <f>BZ97+2</f>
        <v>100</v>
      </c>
      <c r="CA108" s="5051"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52"/>
      <c r="CC108" s="5052"/>
      <c r="CD108" s="5052"/>
      <c r="CE108" s="5052"/>
      <c r="CF108" s="1309" t="s">
        <v>2171</v>
      </c>
      <c r="CG108" s="1310">
        <f>IF(CA108=0,"",VLOOKUP(CA108,'Tablas Magia'!$D$6:$Z$680,3,FALSE))</f>
        <v>100</v>
      </c>
      <c r="CH108" s="5017" t="s">
        <v>8715</v>
      </c>
      <c r="CI108" s="5017"/>
      <c r="CJ108" s="5017"/>
      <c r="CK108" s="5018" t="str">
        <f>IF(CA108=0,"",VLOOKUP(CA108,'Tablas Magia'!$D$6:$Z$680,2,FALSE))</f>
        <v>Fuego</v>
      </c>
      <c r="CL108" s="5018"/>
      <c r="CM108" s="5018"/>
      <c r="CN108" s="5018"/>
      <c r="CO108" s="5019"/>
      <c r="CP108" s="1295"/>
      <c r="CQ108" s="1289"/>
    </row>
    <row r="109" spans="1:95" ht="12.75" customHeight="1" x14ac:dyDescent="0.2">
      <c r="A109" s="1289"/>
      <c r="B109" s="2471"/>
      <c r="C109" s="5035" t="s">
        <v>8716</v>
      </c>
      <c r="D109" s="5036"/>
      <c r="E109" s="1311" t="s">
        <v>8717</v>
      </c>
      <c r="F109" s="1311" t="s">
        <v>2365</v>
      </c>
      <c r="G109" s="1311" t="s">
        <v>4020</v>
      </c>
      <c r="H109" s="1312" t="s">
        <v>2716</v>
      </c>
      <c r="I109" s="5032" t="str">
        <f>IF(C108=0,"",VLOOKUP(C108,'Tablas Magia'!$D$6:$Z$680,5,FALSE))</f>
        <v>Efecto</v>
      </c>
      <c r="J109" s="5032"/>
      <c r="K109" s="5033" t="s">
        <v>8718</v>
      </c>
      <c r="L109" s="5033"/>
      <c r="M109" s="5032" t="str">
        <f>IF(C108=0,"",VLOOKUP(C108,'Tablas Magia'!$D$6:$Z$680,6,FALSE))</f>
        <v>Activa</v>
      </c>
      <c r="N109" s="5032"/>
      <c r="O109" s="5034" t="s">
        <v>8719</v>
      </c>
      <c r="P109" s="5034"/>
      <c r="Q109" s="1313" t="str">
        <f>IF(C108=0,"",VLOOKUP(C108,'Tablas Magia'!$D$6:$Z$680,4,FALSE))</f>
        <v>Si</v>
      </c>
      <c r="R109" s="1295"/>
      <c r="S109" s="1289"/>
      <c r="T109" s="1289"/>
      <c r="U109" s="2471"/>
      <c r="V109" s="5035" t="s">
        <v>8716</v>
      </c>
      <c r="W109" s="5036"/>
      <c r="X109" s="1311" t="s">
        <v>8717</v>
      </c>
      <c r="Y109" s="1311" t="s">
        <v>2365</v>
      </c>
      <c r="Z109" s="1311" t="s">
        <v>4020</v>
      </c>
      <c r="AA109" s="1312" t="s">
        <v>2716</v>
      </c>
      <c r="AB109" s="5032" t="str">
        <f>IF(V108=0,"",VLOOKUP(V108,'Tablas Magia'!$D$6:$Z$680,5,FALSE))</f>
        <v>Efecto</v>
      </c>
      <c r="AC109" s="5032"/>
      <c r="AD109" s="5033" t="s">
        <v>8718</v>
      </c>
      <c r="AE109" s="5033"/>
      <c r="AF109" s="5032" t="str">
        <f>IF(V108=0,"",VLOOKUP(V108,'Tablas Magia'!$D$6:$Z$680,6,FALSE))</f>
        <v>Activa</v>
      </c>
      <c r="AG109" s="5032"/>
      <c r="AH109" s="5034" t="s">
        <v>8719</v>
      </c>
      <c r="AI109" s="5034"/>
      <c r="AJ109" s="1313" t="str">
        <f>IF(V108=0,"",VLOOKUP(V108,'Tablas Magia'!$D$6:$Z$680,4,FALSE))</f>
        <v>Si</v>
      </c>
      <c r="AK109" s="1295"/>
      <c r="AL109" s="1289"/>
      <c r="AM109" s="1289"/>
      <c r="AN109" s="2485"/>
      <c r="AO109" s="5035" t="s">
        <v>8716</v>
      </c>
      <c r="AP109" s="5036"/>
      <c r="AQ109" s="1311" t="s">
        <v>8717</v>
      </c>
      <c r="AR109" s="1311" t="s">
        <v>2365</v>
      </c>
      <c r="AS109" s="1311" t="s">
        <v>4020</v>
      </c>
      <c r="AT109" s="1312" t="s">
        <v>2716</v>
      </c>
      <c r="AU109" s="5032" t="str">
        <f>IF(AO108=0,"",VLOOKUP(AO108,'Tablas Magia'!$D$6:$Z$680,5,FALSE))</f>
        <v>Automático</v>
      </c>
      <c r="AV109" s="5032"/>
      <c r="AW109" s="5033" t="s">
        <v>8718</v>
      </c>
      <c r="AX109" s="5033"/>
      <c r="AY109" s="5032" t="str">
        <f>IF(AO108=0,"",VLOOKUP(AO108,'Tablas Magia'!$D$6:$Z$680,6,FALSE))</f>
        <v>Activa</v>
      </c>
      <c r="AZ109" s="5032"/>
      <c r="BA109" s="5034" t="s">
        <v>8719</v>
      </c>
      <c r="BB109" s="5034"/>
      <c r="BC109" s="1313" t="str">
        <f>IF(AO108=0,"",VLOOKUP(AO108,'Tablas Magia'!$D$6:$Z$680,4,FALSE))</f>
        <v>No</v>
      </c>
      <c r="BD109" s="1295"/>
      <c r="BE109" s="1289"/>
      <c r="BF109" s="1289"/>
      <c r="BG109" s="2485"/>
      <c r="BH109" s="5035" t="s">
        <v>8716</v>
      </c>
      <c r="BI109" s="5036"/>
      <c r="BJ109" s="1311" t="s">
        <v>8717</v>
      </c>
      <c r="BK109" s="1311" t="s">
        <v>2365</v>
      </c>
      <c r="BL109" s="1311" t="s">
        <v>4020</v>
      </c>
      <c r="BM109" s="1312" t="s">
        <v>2716</v>
      </c>
      <c r="BN109" s="5032" t="str">
        <f>IF(BH108=0,"",VLOOKUP(BH108,'Tablas Magia'!$D$6:$Z$680,5,FALSE))</f>
        <v>Efecto</v>
      </c>
      <c r="BO109" s="5032"/>
      <c r="BP109" s="5033" t="s">
        <v>8718</v>
      </c>
      <c r="BQ109" s="5033"/>
      <c r="BR109" s="5032" t="str">
        <f>IF(BH108=0,"",VLOOKUP(BH108,'Tablas Magia'!$D$6:$Z$680,6,FALSE))</f>
        <v>Activa</v>
      </c>
      <c r="BS109" s="5032"/>
      <c r="BT109" s="5034" t="s">
        <v>8719</v>
      </c>
      <c r="BU109" s="5034"/>
      <c r="BV109" s="1313" t="str">
        <f>IF(BH108=0,"",VLOOKUP(BH108,'Tablas Magia'!$D$6:$Z$680,4,FALSE))</f>
        <v>Si</v>
      </c>
      <c r="BW109" s="1295"/>
      <c r="BX109" s="1289"/>
      <c r="BY109" s="1289"/>
      <c r="BZ109" s="2485"/>
      <c r="CA109" s="5035" t="s">
        <v>8716</v>
      </c>
      <c r="CB109" s="5036"/>
      <c r="CC109" s="1311" t="s">
        <v>8717</v>
      </c>
      <c r="CD109" s="1311" t="s">
        <v>2365</v>
      </c>
      <c r="CE109" s="1311" t="s">
        <v>4020</v>
      </c>
      <c r="CF109" s="1312" t="s">
        <v>2716</v>
      </c>
      <c r="CG109" s="5032" t="str">
        <f>IF(CA108=0,"",VLOOKUP(CA108,'Tablas Magia'!$D$6:$Z$680,5,FALSE))</f>
        <v>Automático</v>
      </c>
      <c r="CH109" s="5032"/>
      <c r="CI109" s="5033" t="s">
        <v>8718</v>
      </c>
      <c r="CJ109" s="5033"/>
      <c r="CK109" s="5032" t="str">
        <f>IF(CA108=0,"",VLOOKUP(CA108,'Tablas Magia'!$D$6:$Z$680,6,FALSE))</f>
        <v>Activa</v>
      </c>
      <c r="CL109" s="5032"/>
      <c r="CM109" s="5034" t="s">
        <v>8719</v>
      </c>
      <c r="CN109" s="5034"/>
      <c r="CO109" s="1313" t="str">
        <f>IF(CA108=0,"",VLOOKUP(CA108,'Tablas Magia'!$D$6:$Z$680,4,FALSE))</f>
        <v>Si</v>
      </c>
      <c r="CP109" s="1295"/>
      <c r="CQ109" s="1289"/>
    </row>
    <row r="110" spans="1:95" ht="12.75" customHeight="1" x14ac:dyDescent="0.2">
      <c r="A110" s="1289"/>
      <c r="B110" s="2471"/>
      <c r="C110" s="5027" t="s">
        <v>2218</v>
      </c>
      <c r="D110" s="5028"/>
      <c r="E110" s="1314">
        <f>IF(C108=0,"",VLOOKUP(C108,'Tablas Magia'!$D$6:$Z$680,7,FALSE))</f>
        <v>6</v>
      </c>
      <c r="F110" s="1314">
        <f>IF(C108=0,"",VLOOKUP(C108,'Tablas Magia'!$D$6:$Z$680,11,FALSE))</f>
        <v>50</v>
      </c>
      <c r="G110" s="1315">
        <f>IF(C108=0,"",VLOOKUP(C108,'Tablas Magia'!$D$6:$Z$680,15,FALSE))</f>
        <v>5</v>
      </c>
      <c r="H110" s="5029" t="str">
        <f>IF(C108=0,"",VLOOKUP(C108,'Tablas Magia'!$D$6:$Z$680,19,FALSE))</f>
        <v>RM 100/ 5 intensidades</v>
      </c>
      <c r="I110" s="5030"/>
      <c r="J110" s="5030"/>
      <c r="K110" s="5030"/>
      <c r="L110" s="5030"/>
      <c r="M110" s="5030"/>
      <c r="N110" s="5030"/>
      <c r="O110" s="5030"/>
      <c r="P110" s="5030"/>
      <c r="Q110" s="5031"/>
      <c r="R110" s="1295"/>
      <c r="S110" s="1289"/>
      <c r="T110" s="1289"/>
      <c r="U110" s="2471"/>
      <c r="V110" s="5027" t="s">
        <v>2218</v>
      </c>
      <c r="W110" s="5028"/>
      <c r="X110" s="1314">
        <f>IF(V108=0,"",VLOOKUP(V108,'Tablas Magia'!$D$6:$Z$680,7,FALSE))</f>
        <v>7</v>
      </c>
      <c r="Y110" s="1314">
        <f>IF(V108=0,"",VLOOKUP(V108,'Tablas Magia'!$D$6:$Z$680,11,FALSE))</f>
        <v>80</v>
      </c>
      <c r="Z110" s="1315">
        <f>IF(V108=0,"",VLOOKUP(V108,'Tablas Magia'!$D$6:$Z$680,15,FALSE))</f>
        <v>20</v>
      </c>
      <c r="AA110" s="5029" t="str">
        <f>IF(V108=0,"",VLOOKUP(V108,'Tablas Magia'!$D$6:$Z$680,19,FALSE))</f>
        <v>10 metros de radio/ Daño 80</v>
      </c>
      <c r="AB110" s="5030"/>
      <c r="AC110" s="5030"/>
      <c r="AD110" s="5030"/>
      <c r="AE110" s="5030"/>
      <c r="AF110" s="5030"/>
      <c r="AG110" s="5030"/>
      <c r="AH110" s="5030"/>
      <c r="AI110" s="5030"/>
      <c r="AJ110" s="5031"/>
      <c r="AK110" s="1295"/>
      <c r="AL110" s="1289"/>
      <c r="AM110" s="1289"/>
      <c r="AN110" s="2485"/>
      <c r="AO110" s="5027" t="s">
        <v>2218</v>
      </c>
      <c r="AP110" s="5028"/>
      <c r="AQ110" s="1314">
        <f>IF(AO108=0,"",VLOOKUP(AO108,'Tablas Magia'!$D$6:$Z$680,7,FALSE))</f>
        <v>10</v>
      </c>
      <c r="AR110" s="1314">
        <f>IF(AO108=0,"",VLOOKUP(AO108,'Tablas Magia'!$D$6:$Z$680,11,FALSE))</f>
        <v>100</v>
      </c>
      <c r="AS110" s="1315">
        <f>IF(AO108=0,"",VLOOKUP(AO108,'Tablas Magia'!$D$6:$Z$680,15,FALSE))</f>
        <v>10</v>
      </c>
      <c r="AT110" s="5029" t="str">
        <f>IF(AO108=0,"",VLOOKUP(AO108,'Tablas Magia'!$D$6:$Z$680,19,FALSE))</f>
        <v>RM 140/ +100 a la Tabla 76/ 50 metros de radio</v>
      </c>
      <c r="AU110" s="5030"/>
      <c r="AV110" s="5030"/>
      <c r="AW110" s="5030"/>
      <c r="AX110" s="5030"/>
      <c r="AY110" s="5030"/>
      <c r="AZ110" s="5030"/>
      <c r="BA110" s="5030"/>
      <c r="BB110" s="5030"/>
      <c r="BC110" s="5031"/>
      <c r="BD110" s="1295"/>
      <c r="BE110" s="1289"/>
      <c r="BF110" s="1289"/>
      <c r="BG110" s="2485"/>
      <c r="BH110" s="5027" t="s">
        <v>2218</v>
      </c>
      <c r="BI110" s="5028"/>
      <c r="BJ110" s="1314">
        <f>IF(BH108=0,"",VLOOKUP(BH108,'Tablas Magia'!$D$6:$Z$680,7,FALSE))</f>
        <v>6</v>
      </c>
      <c r="BK110" s="1314">
        <f>IF(BH108=0,"",VLOOKUP(BH108,'Tablas Magia'!$D$6:$Z$680,11,FALSE))</f>
        <v>120</v>
      </c>
      <c r="BL110" s="1315">
        <f>IF(BH108=0,"",VLOOKUP(BH108,'Tablas Magia'!$D$6:$Z$680,15,FALSE))</f>
        <v>10</v>
      </c>
      <c r="BM110" s="5029" t="str">
        <f>IF(BH108=0,"",VLOOKUP(BH108,'Tablas Magia'!$D$6:$Z$680,19,FALSE))</f>
        <v>20 PV por asalto</v>
      </c>
      <c r="BN110" s="5030"/>
      <c r="BO110" s="5030"/>
      <c r="BP110" s="5030"/>
      <c r="BQ110" s="5030"/>
      <c r="BR110" s="5030"/>
      <c r="BS110" s="5030"/>
      <c r="BT110" s="5030"/>
      <c r="BU110" s="5030"/>
      <c r="BV110" s="5031"/>
      <c r="BW110" s="1295"/>
      <c r="BX110" s="1289"/>
      <c r="BY110" s="1289"/>
      <c r="BZ110" s="2485"/>
      <c r="CA110" s="5027" t="s">
        <v>2218</v>
      </c>
      <c r="CB110" s="5028"/>
      <c r="CC110" s="1314">
        <f>IF(CA108=0,"",VLOOKUP(CA108,'Tablas Magia'!$D$6:$Z$680,7,FALSE))</f>
        <v>15</v>
      </c>
      <c r="CD110" s="1314">
        <f>IF(CA108=0,"",VLOOKUP(CA108,'Tablas Magia'!$D$6:$Z$680,11,FALSE))</f>
        <v>450</v>
      </c>
      <c r="CE110" s="1315">
        <f>IF(CA108=0,"",VLOOKUP(CA108,'Tablas Magia'!$D$6:$Z$680,15,FALSE))</f>
        <v>90</v>
      </c>
      <c r="CF110" s="5029" t="str">
        <f>IF(CA108=0,"",VLOOKUP(CA108,'Tablas Magia'!$D$6:$Z$680,19,FALSE))</f>
        <v>10 km de radio / RM 240</v>
      </c>
      <c r="CG110" s="5030"/>
      <c r="CH110" s="5030"/>
      <c r="CI110" s="5030"/>
      <c r="CJ110" s="5030"/>
      <c r="CK110" s="5030"/>
      <c r="CL110" s="5030"/>
      <c r="CM110" s="5030"/>
      <c r="CN110" s="5030"/>
      <c r="CO110" s="5031"/>
      <c r="CP110" s="1295"/>
      <c r="CQ110" s="1289"/>
    </row>
    <row r="111" spans="1:95" x14ac:dyDescent="0.2">
      <c r="A111" s="1289"/>
      <c r="B111" s="2471"/>
      <c r="C111" s="5022" t="s">
        <v>5258</v>
      </c>
      <c r="D111" s="5023"/>
      <c r="E111" s="1316">
        <f>IF(C108=0,"",VLOOKUP(C108,'Tablas Magia'!$D$6:$Z$680,8,FALSE))</f>
        <v>9</v>
      </c>
      <c r="F111" s="1316">
        <f>IF(C108=0,"",VLOOKUP(C108,'Tablas Magia'!$D$6:$Z$680,12,FALSE))</f>
        <v>80</v>
      </c>
      <c r="G111" s="1317">
        <f>IF(C108=0,"",VLOOKUP(C108,'Tablas Magia'!$D$6:$Z$680,16,FALSE))</f>
        <v>10</v>
      </c>
      <c r="H111" s="5024" t="str">
        <f>IF(C108=0,"",VLOOKUP(C108,'Tablas Magia'!$D$6:$Z$680,20,FALSE))</f>
        <v>RM 120 / 8 intensidades</v>
      </c>
      <c r="I111" s="5025"/>
      <c r="J111" s="5025"/>
      <c r="K111" s="5025"/>
      <c r="L111" s="5025"/>
      <c r="M111" s="5025"/>
      <c r="N111" s="5025"/>
      <c r="O111" s="5025"/>
      <c r="P111" s="5025"/>
      <c r="Q111" s="5026"/>
      <c r="R111" s="1295"/>
      <c r="S111" s="1289"/>
      <c r="T111" s="1289"/>
      <c r="U111" s="2471"/>
      <c r="V111" s="5022" t="s">
        <v>5258</v>
      </c>
      <c r="W111" s="5023"/>
      <c r="X111" s="1316">
        <f>IF(V108=0,"",VLOOKUP(V108,'Tablas Magia'!$D$6:$Z$680,8,FALSE))</f>
        <v>10</v>
      </c>
      <c r="Y111" s="1316">
        <f>IF(V108=0,"",VLOOKUP(V108,'Tablas Magia'!$D$6:$Z$680,12,FALSE))</f>
        <v>160</v>
      </c>
      <c r="Z111" s="1317">
        <f>IF(V108=0,"",VLOOKUP(V108,'Tablas Magia'!$D$6:$Z$680,16,FALSE))</f>
        <v>40</v>
      </c>
      <c r="AA111" s="5024" t="str">
        <f>IF(V108=0,"",VLOOKUP(V108,'Tablas Magia'!$D$6:$Z$680,20,FALSE))</f>
        <v>50 metros de radio/ Daño 120</v>
      </c>
      <c r="AB111" s="5025"/>
      <c r="AC111" s="5025"/>
      <c r="AD111" s="5025"/>
      <c r="AE111" s="5025"/>
      <c r="AF111" s="5025"/>
      <c r="AG111" s="5025"/>
      <c r="AH111" s="5025"/>
      <c r="AI111" s="5025"/>
      <c r="AJ111" s="5026"/>
      <c r="AK111" s="1295"/>
      <c r="AL111" s="1289"/>
      <c r="AM111" s="1289"/>
      <c r="AN111" s="2485"/>
      <c r="AO111" s="5022" t="s">
        <v>5258</v>
      </c>
      <c r="AP111" s="5023"/>
      <c r="AQ111" s="1316">
        <f>IF(AO108=0,"",VLOOKUP(AO108,'Tablas Magia'!$D$6:$Z$680,8,FALSE))</f>
        <v>12</v>
      </c>
      <c r="AR111" s="1316">
        <f>IF(AO108=0,"",VLOOKUP(AO108,'Tablas Magia'!$D$6:$Z$680,12,FALSE))</f>
        <v>150</v>
      </c>
      <c r="AS111" s="1317">
        <f>IF(AO108=0,"",VLOOKUP(AO108,'Tablas Magia'!$D$6:$Z$680,16,FALSE))</f>
        <v>15</v>
      </c>
      <c r="AT111" s="5024" t="str">
        <f>IF(AO108=0,"",VLOOKUP(AO108,'Tablas Magia'!$D$6:$Z$680,20,FALSE))</f>
        <v>RM 160/ +120 a la Tabla 76/ 100 metros de radio</v>
      </c>
      <c r="AU111" s="5025"/>
      <c r="AV111" s="5025"/>
      <c r="AW111" s="5025"/>
      <c r="AX111" s="5025"/>
      <c r="AY111" s="5025"/>
      <c r="AZ111" s="5025"/>
      <c r="BA111" s="5025"/>
      <c r="BB111" s="5025"/>
      <c r="BC111" s="5026"/>
      <c r="BD111" s="1295"/>
      <c r="BE111" s="1289"/>
      <c r="BF111" s="1289"/>
      <c r="BG111" s="2485"/>
      <c r="BH111" s="5022" t="s">
        <v>5258</v>
      </c>
      <c r="BI111" s="5023"/>
      <c r="BJ111" s="1316">
        <f>IF(BH108=0,"",VLOOKUP(BH108,'Tablas Magia'!$D$6:$Z$680,8,FALSE))</f>
        <v>9</v>
      </c>
      <c r="BK111" s="1316">
        <f>IF(BH108=0,"",VLOOKUP(BH108,'Tablas Magia'!$D$6:$Z$680,12,FALSE))</f>
        <v>180</v>
      </c>
      <c r="BL111" s="1317">
        <f>IF(BH108=0,"",VLOOKUP(BH108,'Tablas Magia'!$D$6:$Z$680,16,FALSE))</f>
        <v>10</v>
      </c>
      <c r="BM111" s="5024" t="str">
        <f>IF(BH108=0,"",VLOOKUP(BH108,'Tablas Magia'!$D$6:$Z$680,20,FALSE))</f>
        <v>80 PV por asalto</v>
      </c>
      <c r="BN111" s="5025"/>
      <c r="BO111" s="5025"/>
      <c r="BP111" s="5025"/>
      <c r="BQ111" s="5025"/>
      <c r="BR111" s="5025"/>
      <c r="BS111" s="5025"/>
      <c r="BT111" s="5025"/>
      <c r="BU111" s="5025"/>
      <c r="BV111" s="5026"/>
      <c r="BW111" s="1295"/>
      <c r="BX111" s="1289"/>
      <c r="BY111" s="1289"/>
      <c r="BZ111" s="2485"/>
      <c r="CA111" s="5022" t="s">
        <v>5258</v>
      </c>
      <c r="CB111" s="5023"/>
      <c r="CC111" s="1316">
        <f>IF(CA108=0,"",VLOOKUP(CA108,'Tablas Magia'!$D$6:$Z$680,8,FALSE))</f>
        <v>16</v>
      </c>
      <c r="CD111" s="1316">
        <f>IF(CA108=0,"",VLOOKUP(CA108,'Tablas Magia'!$D$6:$Z$680,12,FALSE))</f>
        <v>800</v>
      </c>
      <c r="CE111" s="1317">
        <f>IF(CA108=0,"",VLOOKUP(CA108,'Tablas Magia'!$D$6:$Z$680,16,FALSE))</f>
        <v>100</v>
      </c>
      <c r="CF111" s="5024" t="str">
        <f>IF(CA108=0,"",VLOOKUP(CA108,'Tablas Magia'!$D$6:$Z$680,20,FALSE))</f>
        <v>25 km de radio / RM 150</v>
      </c>
      <c r="CG111" s="5025"/>
      <c r="CH111" s="5025"/>
      <c r="CI111" s="5025"/>
      <c r="CJ111" s="5025"/>
      <c r="CK111" s="5025"/>
      <c r="CL111" s="5025"/>
      <c r="CM111" s="5025"/>
      <c r="CN111" s="5025"/>
      <c r="CO111" s="5026"/>
      <c r="CP111" s="1295"/>
      <c r="CQ111" s="1289"/>
    </row>
    <row r="112" spans="1:95" x14ac:dyDescent="0.2">
      <c r="A112" s="1289"/>
      <c r="B112" s="2471"/>
      <c r="C112" s="5027" t="s">
        <v>5259</v>
      </c>
      <c r="D112" s="5028"/>
      <c r="E112" s="1314">
        <f>IF(C108=0,"",VLOOKUP(C108,'Tablas Magia'!$D$6:$Z$680,9,FALSE))</f>
        <v>12</v>
      </c>
      <c r="F112" s="1314">
        <f>IF(C108=0,"",VLOOKUP(C108,'Tablas Magia'!$D$6:$Z$680,13,FALSE))</f>
        <v>120</v>
      </c>
      <c r="G112" s="1315">
        <f>IF(C108=0,"",VLOOKUP(C108,'Tablas Magia'!$D$6:$Z$680,17,FALSE))</f>
        <v>15</v>
      </c>
      <c r="H112" s="5029" t="str">
        <f>IF(C108=0,"",VLOOKUP(C108,'Tablas Magia'!$D$6:$Z$680,21,FALSE))</f>
        <v>RM 140/ 12 intensidades</v>
      </c>
      <c r="I112" s="5030"/>
      <c r="J112" s="5030"/>
      <c r="K112" s="5030"/>
      <c r="L112" s="5030"/>
      <c r="M112" s="5030"/>
      <c r="N112" s="5030"/>
      <c r="O112" s="5030"/>
      <c r="P112" s="5030"/>
      <c r="Q112" s="5031"/>
      <c r="R112" s="1295"/>
      <c r="S112" s="1289"/>
      <c r="T112" s="1289"/>
      <c r="U112" s="2471"/>
      <c r="V112" s="5027" t="s">
        <v>5259</v>
      </c>
      <c r="W112" s="5028"/>
      <c r="X112" s="1314">
        <f>IF(V108=0,"",VLOOKUP(V108,'Tablas Magia'!$D$6:$Z$680,9,FALSE))</f>
        <v>12</v>
      </c>
      <c r="Y112" s="1314">
        <f>IF(V108=0,"",VLOOKUP(V108,'Tablas Magia'!$D$6:$Z$680,13,FALSE))</f>
        <v>240</v>
      </c>
      <c r="Z112" s="1315">
        <f>IF(V108=0,"",VLOOKUP(V108,'Tablas Magia'!$D$6:$Z$680,17,FALSE))</f>
        <v>50</v>
      </c>
      <c r="AA112" s="5029" t="str">
        <f>IF(V108=0,"",VLOOKUP(V108,'Tablas Magia'!$D$6:$Z$680,21,FALSE))</f>
        <v>150 metros de radio/ Daño 180</v>
      </c>
      <c r="AB112" s="5030"/>
      <c r="AC112" s="5030"/>
      <c r="AD112" s="5030"/>
      <c r="AE112" s="5030"/>
      <c r="AF112" s="5030"/>
      <c r="AG112" s="5030"/>
      <c r="AH112" s="5030"/>
      <c r="AI112" s="5030"/>
      <c r="AJ112" s="5031"/>
      <c r="AK112" s="1295"/>
      <c r="AL112" s="1289"/>
      <c r="AM112" s="1289"/>
      <c r="AN112" s="2485"/>
      <c r="AO112" s="5027" t="s">
        <v>5259</v>
      </c>
      <c r="AP112" s="5028"/>
      <c r="AQ112" s="1314">
        <f>IF(AO108=0,"",VLOOKUP(AO108,'Tablas Magia'!$D$6:$Z$680,9,FALSE))</f>
        <v>12</v>
      </c>
      <c r="AR112" s="1314">
        <f>IF(AO108=0,"",VLOOKUP(AO108,'Tablas Magia'!$D$6:$Z$680,13,FALSE))</f>
        <v>200</v>
      </c>
      <c r="AS112" s="1315">
        <f>IF(AO108=0,"",VLOOKUP(AO108,'Tablas Magia'!$D$6:$Z$680,17,FALSE))</f>
        <v>15</v>
      </c>
      <c r="AT112" s="5029" t="str">
        <f>IF(AO108=0,"",VLOOKUP(AO108,'Tablas Magia'!$D$6:$Z$680,21,FALSE))</f>
        <v>RM 180/ +140 a la Tabla 76/ 150 metros de radio</v>
      </c>
      <c r="AU112" s="5030"/>
      <c r="AV112" s="5030"/>
      <c r="AW112" s="5030"/>
      <c r="AX112" s="5030"/>
      <c r="AY112" s="5030"/>
      <c r="AZ112" s="5030"/>
      <c r="BA112" s="5030"/>
      <c r="BB112" s="5030"/>
      <c r="BC112" s="5031"/>
      <c r="BD112" s="1295"/>
      <c r="BE112" s="1289"/>
      <c r="BF112" s="1289"/>
      <c r="BG112" s="2485"/>
      <c r="BH112" s="5027" t="s">
        <v>5259</v>
      </c>
      <c r="BI112" s="5028"/>
      <c r="BJ112" s="1314">
        <f>IF(BH108=0,"",VLOOKUP(BH108,'Tablas Magia'!$D$6:$Z$680,9,FALSE))</f>
        <v>12</v>
      </c>
      <c r="BK112" s="1314">
        <f>IF(BH108=0,"",VLOOKUP(BH108,'Tablas Magia'!$D$6:$Z$680,13,FALSE))</f>
        <v>240</v>
      </c>
      <c r="BL112" s="1315">
        <f>IF(BH108=0,"",VLOOKUP(BH108,'Tablas Magia'!$D$6:$Z$680,17,FALSE))</f>
        <v>15</v>
      </c>
      <c r="BM112" s="5029" t="str">
        <f>IF(BH108=0,"",VLOOKUP(BH108,'Tablas Magia'!$D$6:$Z$680,21,FALSE))</f>
        <v>140 PV por asalto</v>
      </c>
      <c r="BN112" s="5030"/>
      <c r="BO112" s="5030"/>
      <c r="BP112" s="5030"/>
      <c r="BQ112" s="5030"/>
      <c r="BR112" s="5030"/>
      <c r="BS112" s="5030"/>
      <c r="BT112" s="5030"/>
      <c r="BU112" s="5030"/>
      <c r="BV112" s="5031"/>
      <c r="BW112" s="1295"/>
      <c r="BX112" s="1289"/>
      <c r="BY112" s="1289"/>
      <c r="BZ112" s="2485"/>
      <c r="CA112" s="5027" t="s">
        <v>5259</v>
      </c>
      <c r="CB112" s="5028"/>
      <c r="CC112" s="1314">
        <f>IF(CA108=0,"",VLOOKUP(CA108,'Tablas Magia'!$D$6:$Z$680,9,FALSE))</f>
        <v>17</v>
      </c>
      <c r="CD112" s="1314">
        <f>IF(CA108=0,"",VLOOKUP(CA108,'Tablas Magia'!$D$6:$Z$680,13,FALSE))</f>
        <v>1200</v>
      </c>
      <c r="CE112" s="1315">
        <f>IF(CA108=0,"",VLOOKUP(CA108,'Tablas Magia'!$D$6:$Z$680,17,FALSE))</f>
        <v>105</v>
      </c>
      <c r="CF112" s="5029" t="str">
        <f>IF(CA108=0,"",VLOOKUP(CA108,'Tablas Magia'!$D$6:$Z$680,21,FALSE))</f>
        <v>50 km de radio / RM 160</v>
      </c>
      <c r="CG112" s="5030"/>
      <c r="CH112" s="5030"/>
      <c r="CI112" s="5030"/>
      <c r="CJ112" s="5030"/>
      <c r="CK112" s="5030"/>
      <c r="CL112" s="5030"/>
      <c r="CM112" s="5030"/>
      <c r="CN112" s="5030"/>
      <c r="CO112" s="5031"/>
      <c r="CP112" s="1295"/>
      <c r="CQ112" s="1289"/>
    </row>
    <row r="113" spans="1:95" ht="13.5" thickBot="1" x14ac:dyDescent="0.25">
      <c r="A113" s="1289"/>
      <c r="B113" s="2471"/>
      <c r="C113" s="5037" t="s">
        <v>5260</v>
      </c>
      <c r="D113" s="5038"/>
      <c r="E113" s="1318">
        <f>IF(C108=0,"",VLOOKUP(C108,'Tablas Magia'!$D$6:$Z$680,10,FALSE))</f>
        <v>15</v>
      </c>
      <c r="F113" s="1318">
        <f>IF(C108=0,"",VLOOKUP(C108,'Tablas Magia'!$D$6:$Z$680,14,FALSE))</f>
        <v>180</v>
      </c>
      <c r="G113" s="1319">
        <f>IF(C108=0,"",VLOOKUP(C108,'Tablas Magia'!$D$6:$Z$680,18,FALSE))</f>
        <v>20</v>
      </c>
      <c r="H113" s="5039" t="str">
        <f>IF(C108=0,"",VLOOKUP(C108,'Tablas Magia'!$D$6:$Z$680,22,FALSE))</f>
        <v>RM 180/ 15 intensidades</v>
      </c>
      <c r="I113" s="5040"/>
      <c r="J113" s="5040"/>
      <c r="K113" s="5040"/>
      <c r="L113" s="5040"/>
      <c r="M113" s="5040"/>
      <c r="N113" s="5040"/>
      <c r="O113" s="5040"/>
      <c r="P113" s="5040"/>
      <c r="Q113" s="5041"/>
      <c r="R113" s="1295"/>
      <c r="S113" s="1289"/>
      <c r="T113" s="1289"/>
      <c r="U113" s="2471"/>
      <c r="V113" s="5037" t="s">
        <v>5260</v>
      </c>
      <c r="W113" s="5038"/>
      <c r="X113" s="1318">
        <f>IF(V108=0,"",VLOOKUP(V108,'Tablas Magia'!$D$6:$Z$680,10,FALSE))</f>
        <v>15</v>
      </c>
      <c r="Y113" s="1318">
        <f>IF(V108=0,"",VLOOKUP(V108,'Tablas Magia'!$D$6:$Z$680,14,FALSE))</f>
        <v>320</v>
      </c>
      <c r="Z113" s="1319">
        <f>IF(V108=0,"",VLOOKUP(V108,'Tablas Magia'!$D$6:$Z$680,18,FALSE))</f>
        <v>60</v>
      </c>
      <c r="AA113" s="5039" t="str">
        <f>IF(V108=0,"",VLOOKUP(V108,'Tablas Magia'!$D$6:$Z$680,22,FALSE))</f>
        <v>250 metros de radio/ Daño 240</v>
      </c>
      <c r="AB113" s="5040"/>
      <c r="AC113" s="5040"/>
      <c r="AD113" s="5040"/>
      <c r="AE113" s="5040"/>
      <c r="AF113" s="5040"/>
      <c r="AG113" s="5040"/>
      <c r="AH113" s="5040"/>
      <c r="AI113" s="5040"/>
      <c r="AJ113" s="5041"/>
      <c r="AK113" s="1295"/>
      <c r="AL113" s="1289"/>
      <c r="AM113" s="1289"/>
      <c r="AN113" s="2485"/>
      <c r="AO113" s="5037" t="s">
        <v>5260</v>
      </c>
      <c r="AP113" s="5038"/>
      <c r="AQ113" s="1318">
        <f>IF(AO108=0,"",VLOOKUP(AO108,'Tablas Magia'!$D$6:$Z$680,10,FALSE))</f>
        <v>16</v>
      </c>
      <c r="AR113" s="1318">
        <f>IF(AO108=0,"",VLOOKUP(AO108,'Tablas Magia'!$D$6:$Z$680,14,FALSE))</f>
        <v>260</v>
      </c>
      <c r="AS113" s="1319">
        <f>IF(AO108=0,"",VLOOKUP(AO108,'Tablas Magia'!$D$6:$Z$680,18,FALSE))</f>
        <v>20</v>
      </c>
      <c r="AT113" s="5039" t="str">
        <f>IF(AO108=0,"",VLOOKUP(AO108,'Tablas Magia'!$D$6:$Z$680,22,FALSE))</f>
        <v>RM 200/ +160 a la Tabla 76/ 200 metros de radio</v>
      </c>
      <c r="AU113" s="5040"/>
      <c r="AV113" s="5040"/>
      <c r="AW113" s="5040"/>
      <c r="AX113" s="5040"/>
      <c r="AY113" s="5040"/>
      <c r="AZ113" s="5040"/>
      <c r="BA113" s="5040"/>
      <c r="BB113" s="5040"/>
      <c r="BC113" s="5041"/>
      <c r="BD113" s="1295"/>
      <c r="BE113" s="1289"/>
      <c r="BF113" s="1289"/>
      <c r="BG113" s="2485"/>
      <c r="BH113" s="5037" t="s">
        <v>5260</v>
      </c>
      <c r="BI113" s="5038"/>
      <c r="BJ113" s="1318">
        <f>IF(BH108=0,"",VLOOKUP(BH108,'Tablas Magia'!$D$6:$Z$680,10,FALSE))</f>
        <v>15</v>
      </c>
      <c r="BK113" s="1318">
        <f>IF(BH108=0,"",VLOOKUP(BH108,'Tablas Magia'!$D$6:$Z$680,14,FALSE))</f>
        <v>300</v>
      </c>
      <c r="BL113" s="1319">
        <f>IF(BH108=0,"",VLOOKUP(BH108,'Tablas Magia'!$D$6:$Z$680,18,FALSE))</f>
        <v>15</v>
      </c>
      <c r="BM113" s="5039" t="str">
        <f>IF(BH108=0,"",VLOOKUP(BH108,'Tablas Magia'!$D$6:$Z$680,22,FALSE))</f>
        <v>200 PV por asalto</v>
      </c>
      <c r="BN113" s="5040"/>
      <c r="BO113" s="5040"/>
      <c r="BP113" s="5040"/>
      <c r="BQ113" s="5040"/>
      <c r="BR113" s="5040"/>
      <c r="BS113" s="5040"/>
      <c r="BT113" s="5040"/>
      <c r="BU113" s="5040"/>
      <c r="BV113" s="5041"/>
      <c r="BW113" s="1295"/>
      <c r="BX113" s="1289"/>
      <c r="BY113" s="1289"/>
      <c r="BZ113" s="2485"/>
      <c r="CA113" s="5037" t="s">
        <v>5260</v>
      </c>
      <c r="CB113" s="5038"/>
      <c r="CC113" s="1318">
        <f>IF(CA108=0,"",VLOOKUP(CA108,'Tablas Magia'!$D$6:$Z$680,10,FALSE))</f>
        <v>18</v>
      </c>
      <c r="CD113" s="1318">
        <f>IF(CA108=0,"",VLOOKUP(CA108,'Tablas Magia'!$D$6:$Z$680,14,FALSE))</f>
        <v>1600</v>
      </c>
      <c r="CE113" s="1319">
        <f>IF(CA108=0,"",VLOOKUP(CA108,'Tablas Magia'!$D$6:$Z$680,18,FALSE))</f>
        <v>110</v>
      </c>
      <c r="CF113" s="5039" t="str">
        <f>IF(CA108=0,"",VLOOKUP(CA108,'Tablas Magia'!$D$6:$Z$680,22,FALSE))</f>
        <v>150 km de radio / RM 180</v>
      </c>
      <c r="CG113" s="5040"/>
      <c r="CH113" s="5040"/>
      <c r="CI113" s="5040"/>
      <c r="CJ113" s="5040"/>
      <c r="CK113" s="5040"/>
      <c r="CL113" s="5040"/>
      <c r="CM113" s="5040"/>
      <c r="CN113" s="5040"/>
      <c r="CO113" s="5041"/>
      <c r="CP113" s="1295"/>
      <c r="CQ113" s="1289"/>
    </row>
    <row r="114" spans="1:95" ht="12.75" customHeight="1" x14ac:dyDescent="0.2">
      <c r="A114" s="1289"/>
      <c r="B114" s="2471"/>
      <c r="C114" s="504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43"/>
      <c r="E114" s="5043"/>
      <c r="F114" s="5043"/>
      <c r="G114" s="5043"/>
      <c r="H114" s="5043"/>
      <c r="I114" s="5043"/>
      <c r="J114" s="5043"/>
      <c r="K114" s="5043"/>
      <c r="L114" s="5043"/>
      <c r="M114" s="5043"/>
      <c r="N114" s="5043"/>
      <c r="O114" s="5043"/>
      <c r="P114" s="5043"/>
      <c r="Q114" s="5044"/>
      <c r="R114" s="1295"/>
      <c r="S114" s="1289"/>
      <c r="T114" s="1289"/>
      <c r="U114" s="2471"/>
      <c r="V114" s="504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43"/>
      <c r="X114" s="5043"/>
      <c r="Y114" s="5043"/>
      <c r="Z114" s="5043"/>
      <c r="AA114" s="5043"/>
      <c r="AB114" s="5043"/>
      <c r="AC114" s="5043"/>
      <c r="AD114" s="5043"/>
      <c r="AE114" s="5043"/>
      <c r="AF114" s="5043"/>
      <c r="AG114" s="5043"/>
      <c r="AH114" s="5043"/>
      <c r="AI114" s="5043"/>
      <c r="AJ114" s="5044"/>
      <c r="AK114" s="1295"/>
      <c r="AL114" s="1289"/>
      <c r="AM114" s="1289"/>
      <c r="AN114" s="2485"/>
      <c r="AO114" s="504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43"/>
      <c r="AQ114" s="5043"/>
      <c r="AR114" s="5043"/>
      <c r="AS114" s="5043"/>
      <c r="AT114" s="5043"/>
      <c r="AU114" s="5043"/>
      <c r="AV114" s="5043"/>
      <c r="AW114" s="5043"/>
      <c r="AX114" s="5043"/>
      <c r="AY114" s="5043"/>
      <c r="AZ114" s="5043"/>
      <c r="BA114" s="5043"/>
      <c r="BB114" s="5043"/>
      <c r="BC114" s="5044"/>
      <c r="BD114" s="1295"/>
      <c r="BE114" s="1289"/>
      <c r="BF114" s="1289"/>
      <c r="BG114" s="2485"/>
      <c r="BH114" s="504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43"/>
      <c r="BJ114" s="5043"/>
      <c r="BK114" s="5043"/>
      <c r="BL114" s="5043"/>
      <c r="BM114" s="5043"/>
      <c r="BN114" s="5043"/>
      <c r="BO114" s="5043"/>
      <c r="BP114" s="5043"/>
      <c r="BQ114" s="5043"/>
      <c r="BR114" s="5043"/>
      <c r="BS114" s="5043"/>
      <c r="BT114" s="5043"/>
      <c r="BU114" s="5043"/>
      <c r="BV114" s="5044"/>
      <c r="BW114" s="1295"/>
      <c r="BX114" s="1289"/>
      <c r="BY114" s="1289"/>
      <c r="BZ114" s="2485"/>
      <c r="CA114" s="504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43"/>
      <c r="CC114" s="5043"/>
      <c r="CD114" s="5043"/>
      <c r="CE114" s="5043"/>
      <c r="CF114" s="5043"/>
      <c r="CG114" s="5043"/>
      <c r="CH114" s="5043"/>
      <c r="CI114" s="5043"/>
      <c r="CJ114" s="5043"/>
      <c r="CK114" s="5043"/>
      <c r="CL114" s="5043"/>
      <c r="CM114" s="5043"/>
      <c r="CN114" s="5043"/>
      <c r="CO114" s="5044"/>
      <c r="CP114" s="1295"/>
      <c r="CQ114" s="1289"/>
    </row>
    <row r="115" spans="1:95" x14ac:dyDescent="0.2">
      <c r="A115" s="1289"/>
      <c r="B115" s="2471"/>
      <c r="C115" s="5045"/>
      <c r="D115" s="5046"/>
      <c r="E115" s="5046"/>
      <c r="F115" s="5046"/>
      <c r="G115" s="5046"/>
      <c r="H115" s="5046"/>
      <c r="I115" s="5046"/>
      <c r="J115" s="5046"/>
      <c r="K115" s="5046"/>
      <c r="L115" s="5046"/>
      <c r="M115" s="5046"/>
      <c r="N115" s="5046"/>
      <c r="O115" s="5046"/>
      <c r="P115" s="5046"/>
      <c r="Q115" s="5047"/>
      <c r="R115" s="1295"/>
      <c r="S115" s="1289"/>
      <c r="T115" s="1289"/>
      <c r="U115" s="2471"/>
      <c r="V115" s="5045"/>
      <c r="W115" s="5046"/>
      <c r="X115" s="5046"/>
      <c r="Y115" s="5046"/>
      <c r="Z115" s="5046"/>
      <c r="AA115" s="5046"/>
      <c r="AB115" s="5046"/>
      <c r="AC115" s="5046"/>
      <c r="AD115" s="5046"/>
      <c r="AE115" s="5046"/>
      <c r="AF115" s="5046"/>
      <c r="AG115" s="5046"/>
      <c r="AH115" s="5046"/>
      <c r="AI115" s="5046"/>
      <c r="AJ115" s="5047"/>
      <c r="AK115" s="1295"/>
      <c r="AL115" s="1289"/>
      <c r="AM115" s="1289"/>
      <c r="AN115" s="2485"/>
      <c r="AO115" s="5045"/>
      <c r="AP115" s="5046"/>
      <c r="AQ115" s="5046"/>
      <c r="AR115" s="5046"/>
      <c r="AS115" s="5046"/>
      <c r="AT115" s="5046"/>
      <c r="AU115" s="5046"/>
      <c r="AV115" s="5046"/>
      <c r="AW115" s="5046"/>
      <c r="AX115" s="5046"/>
      <c r="AY115" s="5046"/>
      <c r="AZ115" s="5046"/>
      <c r="BA115" s="5046"/>
      <c r="BB115" s="5046"/>
      <c r="BC115" s="5047"/>
      <c r="BD115" s="1295"/>
      <c r="BE115" s="1289"/>
      <c r="BF115" s="1289"/>
      <c r="BG115" s="2485"/>
      <c r="BH115" s="5045"/>
      <c r="BI115" s="5046"/>
      <c r="BJ115" s="5046"/>
      <c r="BK115" s="5046"/>
      <c r="BL115" s="5046"/>
      <c r="BM115" s="5046"/>
      <c r="BN115" s="5046"/>
      <c r="BO115" s="5046"/>
      <c r="BP115" s="5046"/>
      <c r="BQ115" s="5046"/>
      <c r="BR115" s="5046"/>
      <c r="BS115" s="5046"/>
      <c r="BT115" s="5046"/>
      <c r="BU115" s="5046"/>
      <c r="BV115" s="5047"/>
      <c r="BW115" s="1295"/>
      <c r="BX115" s="1289"/>
      <c r="BY115" s="1289"/>
      <c r="BZ115" s="2485"/>
      <c r="CA115" s="5045"/>
      <c r="CB115" s="5046"/>
      <c r="CC115" s="5046"/>
      <c r="CD115" s="5046"/>
      <c r="CE115" s="5046"/>
      <c r="CF115" s="5046"/>
      <c r="CG115" s="5046"/>
      <c r="CH115" s="5046"/>
      <c r="CI115" s="5046"/>
      <c r="CJ115" s="5046"/>
      <c r="CK115" s="5046"/>
      <c r="CL115" s="5046"/>
      <c r="CM115" s="5046"/>
      <c r="CN115" s="5046"/>
      <c r="CO115" s="5047"/>
      <c r="CP115" s="1295"/>
      <c r="CQ115" s="1289"/>
    </row>
    <row r="116" spans="1:95" x14ac:dyDescent="0.2">
      <c r="A116" s="1289"/>
      <c r="B116" s="2471"/>
      <c r="C116" s="5045"/>
      <c r="D116" s="5046"/>
      <c r="E116" s="5046"/>
      <c r="F116" s="5046"/>
      <c r="G116" s="5046"/>
      <c r="H116" s="5046"/>
      <c r="I116" s="5046"/>
      <c r="J116" s="5046"/>
      <c r="K116" s="5046"/>
      <c r="L116" s="5046"/>
      <c r="M116" s="5046"/>
      <c r="N116" s="5046"/>
      <c r="O116" s="5046"/>
      <c r="P116" s="5046"/>
      <c r="Q116" s="5047"/>
      <c r="R116" s="1295"/>
      <c r="S116" s="1289"/>
      <c r="T116" s="1289"/>
      <c r="U116" s="2471"/>
      <c r="V116" s="5045"/>
      <c r="W116" s="5046"/>
      <c r="X116" s="5046"/>
      <c r="Y116" s="5046"/>
      <c r="Z116" s="5046"/>
      <c r="AA116" s="5046"/>
      <c r="AB116" s="5046"/>
      <c r="AC116" s="5046"/>
      <c r="AD116" s="5046"/>
      <c r="AE116" s="5046"/>
      <c r="AF116" s="5046"/>
      <c r="AG116" s="5046"/>
      <c r="AH116" s="5046"/>
      <c r="AI116" s="5046"/>
      <c r="AJ116" s="5047"/>
      <c r="AK116" s="1295"/>
      <c r="AL116" s="1289"/>
      <c r="AM116" s="1289"/>
      <c r="AN116" s="2485"/>
      <c r="AO116" s="5045"/>
      <c r="AP116" s="5046"/>
      <c r="AQ116" s="5046"/>
      <c r="AR116" s="5046"/>
      <c r="AS116" s="5046"/>
      <c r="AT116" s="5046"/>
      <c r="AU116" s="5046"/>
      <c r="AV116" s="5046"/>
      <c r="AW116" s="5046"/>
      <c r="AX116" s="5046"/>
      <c r="AY116" s="5046"/>
      <c r="AZ116" s="5046"/>
      <c r="BA116" s="5046"/>
      <c r="BB116" s="5046"/>
      <c r="BC116" s="5047"/>
      <c r="BD116" s="1295"/>
      <c r="BE116" s="1289"/>
      <c r="BF116" s="1289"/>
      <c r="BG116" s="2485"/>
      <c r="BH116" s="5045"/>
      <c r="BI116" s="5046"/>
      <c r="BJ116" s="5046"/>
      <c r="BK116" s="5046"/>
      <c r="BL116" s="5046"/>
      <c r="BM116" s="5046"/>
      <c r="BN116" s="5046"/>
      <c r="BO116" s="5046"/>
      <c r="BP116" s="5046"/>
      <c r="BQ116" s="5046"/>
      <c r="BR116" s="5046"/>
      <c r="BS116" s="5046"/>
      <c r="BT116" s="5046"/>
      <c r="BU116" s="5046"/>
      <c r="BV116" s="5047"/>
      <c r="BW116" s="1295"/>
      <c r="BX116" s="1289"/>
      <c r="BY116" s="1289"/>
      <c r="BZ116" s="2485"/>
      <c r="CA116" s="5045"/>
      <c r="CB116" s="5046"/>
      <c r="CC116" s="5046"/>
      <c r="CD116" s="5046"/>
      <c r="CE116" s="5046"/>
      <c r="CF116" s="5046"/>
      <c r="CG116" s="5046"/>
      <c r="CH116" s="5046"/>
      <c r="CI116" s="5046"/>
      <c r="CJ116" s="5046"/>
      <c r="CK116" s="5046"/>
      <c r="CL116" s="5046"/>
      <c r="CM116" s="5046"/>
      <c r="CN116" s="5046"/>
      <c r="CO116" s="5047"/>
      <c r="CP116" s="1295"/>
      <c r="CQ116" s="1289"/>
    </row>
    <row r="117" spans="1:95" ht="13.5" thickBot="1" x14ac:dyDescent="0.25">
      <c r="A117" s="1289"/>
      <c r="B117" s="2471"/>
      <c r="C117" s="5048"/>
      <c r="D117" s="5049"/>
      <c r="E117" s="5049"/>
      <c r="F117" s="5049"/>
      <c r="G117" s="5049"/>
      <c r="H117" s="5049"/>
      <c r="I117" s="5049"/>
      <c r="J117" s="5049"/>
      <c r="K117" s="5049"/>
      <c r="L117" s="5049"/>
      <c r="M117" s="5049"/>
      <c r="N117" s="5049"/>
      <c r="O117" s="5049"/>
      <c r="P117" s="5049"/>
      <c r="Q117" s="5050"/>
      <c r="R117" s="1295"/>
      <c r="S117" s="1289"/>
      <c r="T117" s="1289"/>
      <c r="U117" s="2471"/>
      <c r="V117" s="5048"/>
      <c r="W117" s="5049"/>
      <c r="X117" s="5049"/>
      <c r="Y117" s="5049"/>
      <c r="Z117" s="5049"/>
      <c r="AA117" s="5049"/>
      <c r="AB117" s="5049"/>
      <c r="AC117" s="5049"/>
      <c r="AD117" s="5049"/>
      <c r="AE117" s="5049"/>
      <c r="AF117" s="5049"/>
      <c r="AG117" s="5049"/>
      <c r="AH117" s="5049"/>
      <c r="AI117" s="5049"/>
      <c r="AJ117" s="5050"/>
      <c r="AK117" s="1295"/>
      <c r="AL117" s="1289"/>
      <c r="AM117" s="1289"/>
      <c r="AN117" s="2485"/>
      <c r="AO117" s="5048"/>
      <c r="AP117" s="5049"/>
      <c r="AQ117" s="5049"/>
      <c r="AR117" s="5049"/>
      <c r="AS117" s="5049"/>
      <c r="AT117" s="5049"/>
      <c r="AU117" s="5049"/>
      <c r="AV117" s="5049"/>
      <c r="AW117" s="5049"/>
      <c r="AX117" s="5049"/>
      <c r="AY117" s="5049"/>
      <c r="AZ117" s="5049"/>
      <c r="BA117" s="5049"/>
      <c r="BB117" s="5049"/>
      <c r="BC117" s="5050"/>
      <c r="BD117" s="1295"/>
      <c r="BE117" s="1289"/>
      <c r="BF117" s="1289"/>
      <c r="BG117" s="2485"/>
      <c r="BH117" s="5048"/>
      <c r="BI117" s="5049"/>
      <c r="BJ117" s="5049"/>
      <c r="BK117" s="5049"/>
      <c r="BL117" s="5049"/>
      <c r="BM117" s="5049"/>
      <c r="BN117" s="5049"/>
      <c r="BO117" s="5049"/>
      <c r="BP117" s="5049"/>
      <c r="BQ117" s="5049"/>
      <c r="BR117" s="5049"/>
      <c r="BS117" s="5049"/>
      <c r="BT117" s="5049"/>
      <c r="BU117" s="5049"/>
      <c r="BV117" s="5050"/>
      <c r="BW117" s="1295"/>
      <c r="BX117" s="1289"/>
      <c r="BY117" s="1289"/>
      <c r="BZ117" s="2485"/>
      <c r="CA117" s="5048"/>
      <c r="CB117" s="5049"/>
      <c r="CC117" s="5049"/>
      <c r="CD117" s="5049"/>
      <c r="CE117" s="5049"/>
      <c r="CF117" s="5049"/>
      <c r="CG117" s="5049"/>
      <c r="CH117" s="5049"/>
      <c r="CI117" s="5049"/>
      <c r="CJ117" s="5049"/>
      <c r="CK117" s="5049"/>
      <c r="CL117" s="5049"/>
      <c r="CM117" s="5049"/>
      <c r="CN117" s="5049"/>
      <c r="CO117" s="5050"/>
      <c r="CP117" s="1295"/>
      <c r="CQ117" s="1289"/>
    </row>
    <row r="118" spans="1:95" x14ac:dyDescent="0.2">
      <c r="A118" s="1289"/>
      <c r="B118" s="2471"/>
      <c r="C118" s="1330"/>
      <c r="D118" s="1330"/>
      <c r="E118" s="1316"/>
      <c r="F118" s="1316"/>
      <c r="G118" s="1316"/>
      <c r="H118" s="1331"/>
      <c r="I118" s="1331"/>
      <c r="J118" s="1331"/>
      <c r="K118" s="1331"/>
      <c r="L118" s="1331"/>
      <c r="M118" s="1331"/>
      <c r="N118" s="1331"/>
      <c r="O118" s="1331"/>
      <c r="P118" s="1331"/>
      <c r="Q118" s="1331"/>
      <c r="R118" s="1295"/>
      <c r="S118" s="1289"/>
      <c r="T118" s="1289"/>
      <c r="U118" s="2471"/>
      <c r="V118" s="1330"/>
      <c r="W118" s="1330"/>
      <c r="X118" s="1331"/>
      <c r="Y118" s="1331"/>
      <c r="Z118" s="1331"/>
      <c r="AA118" s="1331"/>
      <c r="AB118" s="1331"/>
      <c r="AC118" s="1331"/>
      <c r="AD118" s="1331"/>
      <c r="AE118" s="1331"/>
      <c r="AF118" s="1331"/>
      <c r="AG118" s="1331"/>
      <c r="AH118" s="1331"/>
      <c r="AI118" s="1331"/>
      <c r="AJ118" s="1331"/>
      <c r="AK118" s="1295"/>
      <c r="AL118" s="1289"/>
      <c r="AM118" s="1289"/>
      <c r="AN118" s="2471"/>
      <c r="AO118" s="1330"/>
      <c r="AP118" s="1330"/>
      <c r="AQ118" s="1331"/>
      <c r="AR118" s="1331"/>
      <c r="AS118" s="1331"/>
      <c r="AT118" s="1331"/>
      <c r="AU118" s="1331"/>
      <c r="AV118" s="1331"/>
      <c r="AW118" s="1331"/>
      <c r="AX118" s="1331"/>
      <c r="AY118" s="1331"/>
      <c r="AZ118" s="1331"/>
      <c r="BA118" s="1331"/>
      <c r="BB118" s="1331"/>
      <c r="BC118" s="1331"/>
      <c r="BD118" s="1295"/>
      <c r="BE118" s="1289"/>
      <c r="BF118" s="1289"/>
      <c r="BG118" s="2471"/>
      <c r="BH118" s="1330"/>
      <c r="BI118" s="1330"/>
      <c r="BJ118" s="1331"/>
      <c r="BK118" s="1331"/>
      <c r="BL118" s="1331"/>
      <c r="BM118" s="1331"/>
      <c r="BN118" s="1331"/>
      <c r="BO118" s="1331"/>
      <c r="BP118" s="1331"/>
      <c r="BQ118" s="1331"/>
      <c r="BR118" s="1331"/>
      <c r="BS118" s="1331"/>
      <c r="BT118" s="1331"/>
      <c r="BU118" s="1331"/>
      <c r="BV118" s="1331"/>
      <c r="BW118" s="1295"/>
      <c r="BX118" s="1289"/>
      <c r="BY118" s="1289"/>
      <c r="BZ118" s="2471"/>
      <c r="CA118" s="1330"/>
      <c r="CB118" s="1330"/>
      <c r="CC118" s="1316"/>
      <c r="CD118" s="1316"/>
      <c r="CE118" s="1316"/>
      <c r="CF118" s="1331"/>
      <c r="CG118" s="1331"/>
      <c r="CH118" s="1331"/>
      <c r="CI118" s="1331"/>
      <c r="CJ118" s="1331"/>
      <c r="CK118" s="1331"/>
      <c r="CL118" s="1331"/>
      <c r="CM118" s="1331"/>
      <c r="CN118" s="1331"/>
      <c r="CO118" s="1331"/>
      <c r="CP118" s="1295"/>
      <c r="CQ118" s="1289"/>
    </row>
    <row r="119" spans="1:95" ht="13.5" thickBot="1" x14ac:dyDescent="0.25">
      <c r="A119" s="1289"/>
      <c r="B119" s="2472"/>
      <c r="C119" s="1332"/>
      <c r="D119" s="1332"/>
      <c r="E119" s="1332"/>
      <c r="F119" s="1332"/>
      <c r="G119" s="1332"/>
      <c r="H119" s="1332"/>
      <c r="I119" s="1332"/>
      <c r="J119" s="1332"/>
      <c r="K119" s="1332"/>
      <c r="L119" s="1332"/>
      <c r="M119" s="1332"/>
      <c r="N119" s="1332"/>
      <c r="O119" s="1332"/>
      <c r="P119" s="1332"/>
      <c r="Q119" s="1332"/>
      <c r="R119" s="1333"/>
      <c r="S119" s="1289"/>
      <c r="T119" s="1289"/>
      <c r="U119" s="2472"/>
      <c r="V119" s="1332"/>
      <c r="W119" s="1332"/>
      <c r="X119" s="1332"/>
      <c r="Y119" s="1332"/>
      <c r="Z119" s="1332"/>
      <c r="AA119" s="1332"/>
      <c r="AB119" s="1332"/>
      <c r="AC119" s="1332"/>
      <c r="AD119" s="1332"/>
      <c r="AE119" s="1332"/>
      <c r="AF119" s="1332"/>
      <c r="AG119" s="1332"/>
      <c r="AH119" s="1332"/>
      <c r="AI119" s="1332"/>
      <c r="AJ119" s="1332"/>
      <c r="AK119" s="1333"/>
      <c r="AL119" s="1289"/>
      <c r="AM119" s="1289"/>
      <c r="AN119" s="2472"/>
      <c r="AO119" s="1332"/>
      <c r="AP119" s="1332"/>
      <c r="AQ119" s="1332"/>
      <c r="AR119" s="1332"/>
      <c r="AS119" s="1332"/>
      <c r="AT119" s="1332"/>
      <c r="AU119" s="1332"/>
      <c r="AV119" s="1332"/>
      <c r="AW119" s="1332"/>
      <c r="AX119" s="1332"/>
      <c r="AY119" s="1332"/>
      <c r="AZ119" s="1332"/>
      <c r="BA119" s="1332"/>
      <c r="BB119" s="1332"/>
      <c r="BC119" s="1332"/>
      <c r="BD119" s="1333"/>
      <c r="BE119" s="1289"/>
      <c r="BF119" s="1289"/>
      <c r="BG119" s="2472"/>
      <c r="BH119" s="1332"/>
      <c r="BI119" s="1332"/>
      <c r="BJ119" s="1332"/>
      <c r="BK119" s="1332"/>
      <c r="BL119" s="1332"/>
      <c r="BM119" s="1332"/>
      <c r="BN119" s="1332"/>
      <c r="BO119" s="1332"/>
      <c r="BP119" s="1332"/>
      <c r="BQ119" s="1332"/>
      <c r="BR119" s="1332"/>
      <c r="BS119" s="1332"/>
      <c r="BT119" s="1332"/>
      <c r="BU119" s="1332"/>
      <c r="BV119" s="1332"/>
      <c r="BW119" s="1333"/>
      <c r="BX119" s="1289"/>
      <c r="BY119" s="1289"/>
      <c r="BZ119" s="2472"/>
      <c r="CA119" s="1332"/>
      <c r="CB119" s="1332"/>
      <c r="CC119" s="1332"/>
      <c r="CD119" s="1332"/>
      <c r="CE119" s="1332"/>
      <c r="CF119" s="1332"/>
      <c r="CG119" s="1332"/>
      <c r="CH119" s="1332"/>
      <c r="CI119" s="1332"/>
      <c r="CJ119" s="1332"/>
      <c r="CK119" s="1332"/>
      <c r="CL119" s="1332"/>
      <c r="CM119" s="1332"/>
      <c r="CN119" s="1332"/>
      <c r="CO119" s="1332"/>
      <c r="CP119" s="1333"/>
      <c r="CQ119" s="1289"/>
    </row>
    <row r="120" spans="1:95" x14ac:dyDescent="0.2">
      <c r="A120" s="1289"/>
      <c r="B120" s="2469"/>
      <c r="C120" s="1289"/>
      <c r="D120" s="1289"/>
      <c r="E120" s="1289"/>
      <c r="F120" s="1289"/>
      <c r="G120" s="1289"/>
      <c r="H120" s="1289"/>
      <c r="I120" s="1289"/>
      <c r="J120" s="1289"/>
      <c r="K120" s="1289"/>
      <c r="L120" s="1289"/>
      <c r="M120" s="1289"/>
      <c r="N120" s="1289"/>
      <c r="O120" s="1289"/>
      <c r="P120" s="1289"/>
      <c r="Q120" s="1289"/>
      <c r="R120" s="1289"/>
      <c r="T120" s="1289"/>
      <c r="U120" s="2469"/>
      <c r="V120" s="1289"/>
      <c r="W120" s="1289"/>
      <c r="X120" s="1289"/>
      <c r="Y120" s="1289"/>
      <c r="Z120" s="1289"/>
      <c r="AA120" s="1289"/>
      <c r="AB120" s="1289"/>
      <c r="AC120" s="1289"/>
      <c r="AD120" s="1289"/>
      <c r="AE120" s="1289"/>
      <c r="AF120" s="1289"/>
      <c r="AG120" s="1289"/>
      <c r="AH120" s="1289"/>
      <c r="AI120" s="1289"/>
      <c r="AJ120" s="1289"/>
      <c r="AK120" s="1289"/>
      <c r="AM120" s="1289"/>
      <c r="AN120" s="2469"/>
      <c r="AO120" s="1289"/>
      <c r="AP120" s="1289"/>
      <c r="AQ120" s="1289"/>
      <c r="AR120" s="1289"/>
      <c r="AS120" s="1289"/>
      <c r="AT120" s="1289"/>
      <c r="AU120" s="1289"/>
      <c r="AV120" s="1289"/>
      <c r="AW120" s="1289"/>
      <c r="AX120" s="1289"/>
      <c r="AY120" s="1289"/>
      <c r="AZ120" s="1289"/>
      <c r="BA120" s="1289"/>
      <c r="BB120" s="1289"/>
      <c r="BC120" s="1289"/>
      <c r="BD120" s="1289"/>
      <c r="BF120" s="1289"/>
      <c r="BG120" s="2469"/>
      <c r="BH120" s="1289"/>
      <c r="BI120" s="1289"/>
      <c r="BJ120" s="1289"/>
      <c r="BK120" s="1289"/>
      <c r="BL120" s="1289"/>
      <c r="BM120" s="1289"/>
      <c r="BN120" s="1289"/>
      <c r="BO120" s="1289"/>
      <c r="BP120" s="1289"/>
      <c r="BQ120" s="1289"/>
      <c r="BR120" s="1289"/>
      <c r="BS120" s="1289"/>
      <c r="BT120" s="1289"/>
      <c r="BU120" s="1289"/>
      <c r="BV120" s="1289"/>
      <c r="BW120" s="1289"/>
      <c r="BY120" s="1289"/>
      <c r="BZ120" s="2469"/>
      <c r="CA120" s="1289"/>
      <c r="CB120" s="1289"/>
      <c r="CC120" s="1289"/>
      <c r="CD120" s="1289"/>
      <c r="CE120" s="1289"/>
      <c r="CF120" s="1289"/>
      <c r="CG120" s="1289"/>
      <c r="CH120" s="1289"/>
      <c r="CI120" s="1289"/>
      <c r="CJ120" s="1289"/>
      <c r="CK120" s="1289"/>
      <c r="CL120" s="1289"/>
      <c r="CM120" s="1289"/>
      <c r="CN120" s="1289"/>
      <c r="CO120" s="1289"/>
      <c r="CP120" s="1289"/>
    </row>
    <row r="121" spans="1:95" x14ac:dyDescent="0.2">
      <c r="U121" s="2473"/>
      <c r="AN121" s="2473"/>
      <c r="BG121" s="2473"/>
      <c r="BZ121" s="2473"/>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79" customWidth="1"/>
    <col min="2" max="2" width="3.7109375" style="1441" customWidth="1"/>
    <col min="3" max="17" width="5.7109375" style="979"/>
    <col min="18" max="18" width="5.5703125" style="979" customWidth="1"/>
    <col min="19" max="19" width="3.7109375" style="979" customWidth="1"/>
    <col min="20" max="20" width="1.7109375" style="979" customWidth="1"/>
    <col min="21" max="21" width="1.7109375" style="1094" customWidth="1"/>
    <col min="22" max="22" width="3.7109375" style="1441" customWidth="1"/>
    <col min="23" max="38" width="5.7109375" style="1094"/>
    <col min="39" max="39" width="3.7109375" style="979" customWidth="1"/>
    <col min="40" max="40" width="1.7109375" style="1095" customWidth="1"/>
    <col min="41" max="16384" width="5.7109375" style="1042"/>
  </cols>
  <sheetData>
    <row r="1" spans="1:41" ht="12" customHeight="1" thickBot="1" x14ac:dyDescent="0.25">
      <c r="A1" s="850"/>
      <c r="B1" s="1437"/>
      <c r="C1" s="850"/>
      <c r="D1" s="850"/>
      <c r="E1" s="850"/>
      <c r="F1" s="850"/>
      <c r="G1" s="850"/>
      <c r="H1" s="850"/>
      <c r="I1" s="850"/>
      <c r="J1" s="850"/>
      <c r="K1" s="850"/>
      <c r="L1" s="850"/>
      <c r="M1" s="850"/>
      <c r="N1" s="850"/>
      <c r="O1" s="850"/>
      <c r="P1" s="850"/>
      <c r="Q1" s="850"/>
      <c r="R1" s="850"/>
      <c r="S1" s="850"/>
      <c r="T1" s="850"/>
      <c r="U1" s="851"/>
      <c r="V1" s="1437"/>
      <c r="W1" s="851"/>
      <c r="X1" s="851"/>
      <c r="Y1" s="851"/>
      <c r="Z1" s="851"/>
      <c r="AA1" s="851"/>
      <c r="AB1" s="851"/>
      <c r="AC1" s="851"/>
      <c r="AD1" s="851"/>
      <c r="AE1" s="851"/>
      <c r="AF1" s="851"/>
      <c r="AG1" s="851"/>
      <c r="AH1" s="851"/>
      <c r="AI1" s="851"/>
      <c r="AJ1" s="851"/>
      <c r="AK1" s="851"/>
      <c r="AL1" s="851"/>
      <c r="AM1" s="850"/>
      <c r="AN1" s="852"/>
      <c r="AO1" s="1041"/>
    </row>
    <row r="2" spans="1:41" ht="12" customHeight="1" thickBot="1" x14ac:dyDescent="0.25">
      <c r="A2" s="850"/>
      <c r="B2" s="1438"/>
      <c r="C2" s="865"/>
      <c r="D2" s="865"/>
      <c r="E2" s="865"/>
      <c r="F2" s="865"/>
      <c r="G2" s="865"/>
      <c r="H2" s="865"/>
      <c r="I2" s="865"/>
      <c r="J2" s="865"/>
      <c r="K2" s="865"/>
      <c r="L2" s="865"/>
      <c r="M2" s="865"/>
      <c r="N2" s="865"/>
      <c r="O2" s="865"/>
      <c r="P2" s="865"/>
      <c r="Q2" s="865"/>
      <c r="R2" s="865"/>
      <c r="S2" s="866"/>
      <c r="T2" s="850"/>
      <c r="U2" s="851"/>
      <c r="V2" s="1444"/>
      <c r="W2" s="867"/>
      <c r="X2" s="867"/>
      <c r="Y2" s="867"/>
      <c r="Z2" s="867"/>
      <c r="AA2" s="867"/>
      <c r="AB2" s="867"/>
      <c r="AC2" s="867"/>
      <c r="AD2" s="867"/>
      <c r="AE2" s="867"/>
      <c r="AF2" s="867"/>
      <c r="AG2" s="867"/>
      <c r="AH2" s="867"/>
      <c r="AI2" s="867"/>
      <c r="AJ2" s="867"/>
      <c r="AK2" s="867"/>
      <c r="AL2" s="867"/>
      <c r="AM2" s="866"/>
      <c r="AN2" s="852"/>
      <c r="AO2" s="1041"/>
    </row>
    <row r="3" spans="1:41" ht="12" customHeight="1" x14ac:dyDescent="0.2">
      <c r="A3" s="850"/>
      <c r="B3" s="1439"/>
      <c r="C3" s="878"/>
      <c r="D3" s="879"/>
      <c r="E3" s="879"/>
      <c r="F3" s="879"/>
      <c r="G3" s="879"/>
      <c r="H3" s="879"/>
      <c r="I3" s="880"/>
      <c r="J3" s="880"/>
      <c r="K3" s="880"/>
      <c r="L3" s="880"/>
      <c r="M3" s="880"/>
      <c r="N3" s="880"/>
      <c r="O3" s="880"/>
      <c r="P3" s="880"/>
      <c r="Q3" s="880"/>
      <c r="R3" s="881"/>
      <c r="S3" s="882"/>
      <c r="T3" s="850"/>
      <c r="U3" s="851"/>
      <c r="V3" s="1439"/>
      <c r="W3" s="5067"/>
      <c r="X3" s="5068"/>
      <c r="Y3" s="5068"/>
      <c r="Z3" s="5068"/>
      <c r="AA3" s="5068"/>
      <c r="AB3" s="5068"/>
      <c r="AC3" s="1433"/>
      <c r="AD3" s="1433"/>
      <c r="AE3" s="1433"/>
      <c r="AF3" s="1433"/>
      <c r="AG3" s="1433"/>
      <c r="AH3" s="1433"/>
      <c r="AI3" s="1433"/>
      <c r="AJ3" s="1433"/>
      <c r="AK3" s="1433"/>
      <c r="AL3" s="883"/>
      <c r="AM3" s="882"/>
      <c r="AN3" s="852"/>
      <c r="AO3" s="1041"/>
    </row>
    <row r="4" spans="1:41" ht="12" customHeight="1" x14ac:dyDescent="0.2">
      <c r="A4" s="850"/>
      <c r="B4" s="1439"/>
      <c r="C4" s="891"/>
      <c r="D4" s="5064" t="s">
        <v>4005</v>
      </c>
      <c r="E4" s="5064"/>
      <c r="F4" s="5064"/>
      <c r="G4" s="5064"/>
      <c r="H4" s="5073" t="str">
        <f>Principal!L4</f>
        <v/>
      </c>
      <c r="I4" s="5073"/>
      <c r="J4" s="5073"/>
      <c r="K4" s="5073"/>
      <c r="L4" s="5073"/>
      <c r="M4" s="5074" t="s">
        <v>8732</v>
      </c>
      <c r="N4" s="5074"/>
      <c r="O4" s="5074"/>
      <c r="P4" s="5074"/>
      <c r="Q4" s="5074"/>
      <c r="R4" s="892"/>
      <c r="S4" s="882"/>
      <c r="T4" s="850"/>
      <c r="U4" s="851"/>
      <c r="V4" s="1439"/>
      <c r="W4" s="5069"/>
      <c r="X4" s="5070"/>
      <c r="Y4" s="5070"/>
      <c r="Z4" s="5070"/>
      <c r="AA4" s="5070"/>
      <c r="AB4" s="5070"/>
      <c r="AC4" s="1434"/>
      <c r="AD4" s="5075" t="s">
        <v>8732</v>
      </c>
      <c r="AE4" s="5075"/>
      <c r="AF4" s="5075"/>
      <c r="AG4" s="5075"/>
      <c r="AH4" s="5075"/>
      <c r="AI4" s="5075"/>
      <c r="AJ4" s="5075"/>
      <c r="AK4" s="5075"/>
      <c r="AL4" s="893"/>
      <c r="AM4" s="882"/>
      <c r="AN4" s="852"/>
      <c r="AO4" s="1041"/>
    </row>
    <row r="5" spans="1:41" ht="12" customHeight="1" x14ac:dyDescent="0.2">
      <c r="A5" s="850"/>
      <c r="B5" s="1439"/>
      <c r="C5" s="5076"/>
      <c r="D5" s="5066"/>
      <c r="E5" s="5066"/>
      <c r="F5" s="5066"/>
      <c r="G5" s="5066"/>
      <c r="H5" s="5066"/>
      <c r="I5" s="5077"/>
      <c r="J5" s="5077"/>
      <c r="K5" s="5077"/>
      <c r="L5" s="5077"/>
      <c r="M5" s="5074"/>
      <c r="N5" s="5074"/>
      <c r="O5" s="5074"/>
      <c r="P5" s="5074"/>
      <c r="Q5" s="5074"/>
      <c r="R5" s="909"/>
      <c r="S5" s="882"/>
      <c r="T5" s="850"/>
      <c r="U5" s="851"/>
      <c r="V5" s="1439"/>
      <c r="W5" s="5069"/>
      <c r="X5" s="5070"/>
      <c r="Y5" s="5070"/>
      <c r="Z5" s="5070"/>
      <c r="AA5" s="5070"/>
      <c r="AB5" s="5070"/>
      <c r="AC5" s="1434"/>
      <c r="AD5" s="5075"/>
      <c r="AE5" s="5075"/>
      <c r="AF5" s="5075"/>
      <c r="AG5" s="5075"/>
      <c r="AH5" s="5075"/>
      <c r="AI5" s="5075"/>
      <c r="AJ5" s="5075"/>
      <c r="AK5" s="5075"/>
      <c r="AL5" s="893"/>
      <c r="AM5" s="882"/>
      <c r="AN5" s="852"/>
      <c r="AO5" s="1041"/>
    </row>
    <row r="6" spans="1:41" ht="12" customHeight="1" x14ac:dyDescent="0.2">
      <c r="A6" s="850"/>
      <c r="B6" s="1439"/>
      <c r="C6" s="891"/>
      <c r="D6" s="5065" t="s">
        <v>4012</v>
      </c>
      <c r="E6" s="5065"/>
      <c r="F6" s="5066" t="str">
        <f>Principal!L5</f>
        <v>Hechicero</v>
      </c>
      <c r="G6" s="5066"/>
      <c r="H6" s="5066"/>
      <c r="I6" s="912"/>
      <c r="J6" s="912"/>
      <c r="K6" s="5065"/>
      <c r="L6" s="5065"/>
      <c r="M6" s="1430"/>
      <c r="N6" s="1428"/>
      <c r="O6" s="5063"/>
      <c r="P6" s="5063"/>
      <c r="Q6" s="913"/>
      <c r="R6" s="909"/>
      <c r="S6" s="882"/>
      <c r="T6" s="850"/>
      <c r="U6" s="851"/>
      <c r="V6" s="1439"/>
      <c r="W6" s="5069"/>
      <c r="X6" s="5070"/>
      <c r="Y6" s="5070"/>
      <c r="Z6" s="5070"/>
      <c r="AA6" s="5070"/>
      <c r="AB6" s="5070"/>
      <c r="AC6" s="1434"/>
      <c r="AD6" s="5064"/>
      <c r="AE6" s="5064"/>
      <c r="AF6" s="5064"/>
      <c r="AG6" s="5064"/>
      <c r="AH6" s="5064"/>
      <c r="AI6" s="5064"/>
      <c r="AJ6" s="5064"/>
      <c r="AK6" s="5064"/>
      <c r="AL6" s="893"/>
      <c r="AM6" s="882"/>
      <c r="AN6" s="852"/>
      <c r="AO6" s="1041"/>
    </row>
    <row r="7" spans="1:41" ht="12" customHeight="1" x14ac:dyDescent="0.2">
      <c r="A7" s="850"/>
      <c r="B7" s="1439"/>
      <c r="C7" s="891"/>
      <c r="D7" s="5065" t="s">
        <v>2171</v>
      </c>
      <c r="E7" s="5065"/>
      <c r="F7" s="5066" t="str">
        <f>Principal!P5</f>
        <v>1 + 2</v>
      </c>
      <c r="G7" s="5066"/>
      <c r="H7" s="5066"/>
      <c r="I7" s="916"/>
      <c r="J7" s="916"/>
      <c r="K7" s="916"/>
      <c r="L7" s="916"/>
      <c r="M7" s="5065"/>
      <c r="N7" s="5065"/>
      <c r="O7" s="917"/>
      <c r="P7" s="1428"/>
      <c r="Q7" s="1428"/>
      <c r="R7" s="909"/>
      <c r="S7" s="882"/>
      <c r="T7" s="850"/>
      <c r="U7" s="851"/>
      <c r="V7" s="1439"/>
      <c r="W7" s="5069"/>
      <c r="X7" s="5070"/>
      <c r="Y7" s="5070"/>
      <c r="Z7" s="5070"/>
      <c r="AA7" s="5070"/>
      <c r="AB7" s="5070"/>
      <c r="AC7" s="1434"/>
      <c r="AD7" s="5066" t="str">
        <f>IF(C5&lt;1,"",C5)</f>
        <v/>
      </c>
      <c r="AE7" s="5066"/>
      <c r="AF7" s="5066"/>
      <c r="AG7" s="5066"/>
      <c r="AH7" s="5066"/>
      <c r="AI7" s="5066"/>
      <c r="AJ7" s="5066"/>
      <c r="AK7" s="5066"/>
      <c r="AL7" s="893"/>
      <c r="AM7" s="882"/>
      <c r="AN7" s="852"/>
      <c r="AO7" s="1041"/>
    </row>
    <row r="8" spans="1:41" ht="12" customHeight="1" thickBot="1" x14ac:dyDescent="0.25">
      <c r="A8" s="850"/>
      <c r="B8" s="1439"/>
      <c r="C8" s="920"/>
      <c r="D8" s="921"/>
      <c r="E8" s="921"/>
      <c r="F8" s="921"/>
      <c r="G8" s="921"/>
      <c r="H8" s="921"/>
      <c r="I8" s="922"/>
      <c r="J8" s="923"/>
      <c r="K8" s="923"/>
      <c r="L8" s="923"/>
      <c r="M8" s="923"/>
      <c r="N8" s="924"/>
      <c r="O8" s="922"/>
      <c r="P8" s="922"/>
      <c r="Q8" s="922"/>
      <c r="R8" s="925"/>
      <c r="S8" s="882"/>
      <c r="T8" s="850"/>
      <c r="U8" s="851"/>
      <c r="V8" s="1439"/>
      <c r="W8" s="5071"/>
      <c r="X8" s="5072"/>
      <c r="Y8" s="5072"/>
      <c r="Z8" s="5072"/>
      <c r="AA8" s="5072"/>
      <c r="AB8" s="5072"/>
      <c r="AC8" s="1435"/>
      <c r="AD8" s="1435"/>
      <c r="AE8" s="1435"/>
      <c r="AF8" s="1435"/>
      <c r="AG8" s="1435"/>
      <c r="AH8" s="1435"/>
      <c r="AI8" s="1435"/>
      <c r="AJ8" s="1435"/>
      <c r="AK8" s="1435"/>
      <c r="AL8" s="926"/>
      <c r="AM8" s="882"/>
      <c r="AN8" s="852"/>
      <c r="AO8" s="1041"/>
    </row>
    <row r="9" spans="1:41" ht="12" customHeight="1" x14ac:dyDescent="0.2">
      <c r="A9" s="850"/>
      <c r="B9" s="1439"/>
      <c r="C9" s="928"/>
      <c r="D9" s="928"/>
      <c r="E9" s="928"/>
      <c r="F9" s="928"/>
      <c r="G9" s="928"/>
      <c r="H9" s="928"/>
      <c r="I9" s="928"/>
      <c r="J9" s="928"/>
      <c r="K9" s="928"/>
      <c r="L9" s="928"/>
      <c r="M9" s="928"/>
      <c r="N9" s="928"/>
      <c r="O9" s="928"/>
      <c r="P9" s="928"/>
      <c r="Q9" s="929"/>
      <c r="R9" s="928"/>
      <c r="S9" s="882"/>
      <c r="T9" s="850"/>
      <c r="U9" s="851"/>
      <c r="V9" s="1439"/>
      <c r="W9" s="930"/>
      <c r="X9" s="930"/>
      <c r="Y9" s="930"/>
      <c r="Z9" s="930"/>
      <c r="AA9" s="930"/>
      <c r="AB9" s="930"/>
      <c r="AC9" s="930"/>
      <c r="AD9" s="930"/>
      <c r="AE9" s="930"/>
      <c r="AF9" s="930"/>
      <c r="AG9" s="930"/>
      <c r="AH9" s="930"/>
      <c r="AI9" s="930"/>
      <c r="AJ9" s="930"/>
      <c r="AK9" s="930"/>
      <c r="AL9" s="930"/>
      <c r="AM9" s="882"/>
      <c r="AN9" s="852"/>
      <c r="AO9" s="1041"/>
    </row>
    <row r="10" spans="1:41" ht="12" customHeight="1" thickBot="1" x14ac:dyDescent="0.25">
      <c r="A10" s="850"/>
      <c r="B10" s="1439"/>
      <c r="C10" s="928"/>
      <c r="D10" s="928"/>
      <c r="E10" s="928"/>
      <c r="F10" s="928"/>
      <c r="G10" s="928"/>
      <c r="H10" s="928"/>
      <c r="I10" s="928"/>
      <c r="J10" s="928"/>
      <c r="K10" s="928"/>
      <c r="L10" s="928"/>
      <c r="M10" s="928"/>
      <c r="N10" s="928"/>
      <c r="O10" s="928"/>
      <c r="P10" s="928"/>
      <c r="Q10" s="929"/>
      <c r="R10" s="933"/>
      <c r="S10" s="882"/>
      <c r="T10" s="850"/>
      <c r="U10" s="851"/>
      <c r="V10" s="1439"/>
      <c r="W10" s="930"/>
      <c r="X10" s="930"/>
      <c r="Y10" s="930"/>
      <c r="Z10" s="930"/>
      <c r="AA10" s="930"/>
      <c r="AB10" s="930"/>
      <c r="AC10" s="930"/>
      <c r="AD10" s="930"/>
      <c r="AE10" s="930"/>
      <c r="AF10" s="930"/>
      <c r="AG10" s="930"/>
      <c r="AH10" s="930"/>
      <c r="AI10" s="930"/>
      <c r="AJ10" s="930"/>
      <c r="AK10" s="930"/>
      <c r="AL10" s="930"/>
      <c r="AM10" s="882"/>
      <c r="AN10" s="852"/>
      <c r="AO10" s="1041"/>
    </row>
    <row r="11" spans="1:41" ht="12" customHeight="1" x14ac:dyDescent="0.2">
      <c r="A11" s="850"/>
      <c r="B11" s="1436">
        <v>1</v>
      </c>
      <c r="C11" s="5078" t="s">
        <v>8730</v>
      </c>
      <c r="D11" s="5079"/>
      <c r="E11" s="5079"/>
      <c r="F11" s="5079"/>
      <c r="G11" s="5079"/>
      <c r="H11" s="5079"/>
      <c r="I11" s="5079"/>
      <c r="J11" s="5079"/>
      <c r="K11" s="5079"/>
      <c r="L11" s="5079"/>
      <c r="M11" s="5079"/>
      <c r="N11" s="5079"/>
      <c r="O11" s="5079"/>
      <c r="P11" s="5079"/>
      <c r="Q11" s="5080"/>
      <c r="R11" s="5081">
        <f>IF(C11="","",IF(ISNA(VLOOKUP(C11,'Tablas Técnicas'!$AD$6:$AJ$188,3,FALSE)),"-",VLOOKUP(C11,'Tablas Técnicas'!$AD$6:$AJ$188,3,FALSE)))</f>
        <v>0</v>
      </c>
      <c r="S11" s="937"/>
      <c r="T11" s="850"/>
      <c r="U11" s="850"/>
      <c r="V11" s="1436">
        <v>6</v>
      </c>
      <c r="W11" s="5078" t="s">
        <v>8730</v>
      </c>
      <c r="X11" s="5079"/>
      <c r="Y11" s="5079"/>
      <c r="Z11" s="5079"/>
      <c r="AA11" s="5079"/>
      <c r="AB11" s="5079"/>
      <c r="AC11" s="5079"/>
      <c r="AD11" s="5079"/>
      <c r="AE11" s="5079"/>
      <c r="AF11" s="5079"/>
      <c r="AG11" s="5079"/>
      <c r="AH11" s="5079"/>
      <c r="AI11" s="5079"/>
      <c r="AJ11" s="5079"/>
      <c r="AK11" s="5080"/>
      <c r="AL11" s="5081">
        <f>IF(W11="","",IF(ISNA(VLOOKUP(W11,'Tablas Técnicas'!$AD$6:$AJ$188,3,FALSE)),"-",VLOOKUP(W11,'Tablas Técnicas'!$AD$6:$AJ$188,3,FALSE)))</f>
        <v>0</v>
      </c>
      <c r="AM11" s="938"/>
      <c r="AN11" s="852"/>
      <c r="AO11" s="1041"/>
    </row>
    <row r="12" spans="1:41" ht="12" customHeight="1" x14ac:dyDescent="0.2">
      <c r="A12" s="850"/>
      <c r="B12" s="1436"/>
      <c r="C12" s="943" t="s">
        <v>2171</v>
      </c>
      <c r="D12" s="944">
        <f>IF(C11="","",IF(ISNA(VLOOKUP(C11,'Tablas Técnicas'!$AD$6:$AJ$188,2,FALSE)),"-",VLOOKUP(C11,'Tablas Técnicas'!$AD$6:$AJ$188,2,FALSE)))</f>
        <v>1</v>
      </c>
      <c r="E12" s="945" t="s">
        <v>2716</v>
      </c>
      <c r="F12" s="5083"/>
      <c r="G12" s="5083"/>
      <c r="H12" s="5083"/>
      <c r="I12" s="5084" t="s">
        <v>4033</v>
      </c>
      <c r="J12" s="5084"/>
      <c r="K12" s="5084"/>
      <c r="L12" s="5085" t="str">
        <f>IF(C11="","",IF(ISNA(VLOOKUP(C11,'Tablas Técnicas'!$AD$6:$AJ$188,7,FALSE)),"-",VLOOKUP(C11,'Tablas Técnicas'!$AD$6:$AJ$188,7,FALSE)))</f>
        <v/>
      </c>
      <c r="M12" s="5085"/>
      <c r="N12" s="5085"/>
      <c r="O12" s="5085"/>
      <c r="P12" s="5085"/>
      <c r="Q12" s="5086"/>
      <c r="R12" s="5082"/>
      <c r="S12" s="882"/>
      <c r="T12" s="850"/>
      <c r="U12" s="850"/>
      <c r="V12" s="1436"/>
      <c r="W12" s="943" t="s">
        <v>2171</v>
      </c>
      <c r="X12" s="944">
        <f>IF(W11="","",IF(ISNA(VLOOKUP(W11,'Tablas Técnicas'!$AD$6:$AJ$188,2,FALSE)),"-",VLOOKUP(W11,'Tablas Técnicas'!$AD$6:$AJ$188,2,FALSE)))</f>
        <v>1</v>
      </c>
      <c r="Y12" s="945" t="s">
        <v>2716</v>
      </c>
      <c r="Z12" s="5083"/>
      <c r="AA12" s="5083"/>
      <c r="AB12" s="5083"/>
      <c r="AC12" s="5084" t="s">
        <v>4033</v>
      </c>
      <c r="AD12" s="5084"/>
      <c r="AE12" s="5084"/>
      <c r="AF12" s="5085" t="str">
        <f>IF(W11="","",IF(ISNA(VLOOKUP(W11,'Tablas Técnicas'!$AD$6:$AJ$188,7,FALSE)),"-",VLOOKUP(W11,'Tablas Técnicas'!$AD$6:$AJ$188,7,FALSE)))</f>
        <v/>
      </c>
      <c r="AG12" s="5085"/>
      <c r="AH12" s="5085"/>
      <c r="AI12" s="5085"/>
      <c r="AJ12" s="5085"/>
      <c r="AK12" s="5086"/>
      <c r="AL12" s="5082"/>
      <c r="AM12" s="882"/>
      <c r="AN12" s="852"/>
      <c r="AO12" s="1041"/>
    </row>
    <row r="13" spans="1:41" ht="12" customHeight="1" x14ac:dyDescent="0.2">
      <c r="A13" s="850"/>
      <c r="B13" s="1436"/>
      <c r="C13" s="5087" t="str">
        <f>IF(C11="","",IF(ISNA(VLOOKUP(C11,'Tablas Técnicas'!$AD$6:$AJ$188,5,FALSE)),"-",VLOOKUP(C11,'Tablas Técnicas'!$AD$6:$AJ$188,5,FALSE)))</f>
        <v/>
      </c>
      <c r="D13" s="5088"/>
      <c r="E13" s="5088"/>
      <c r="F13" s="5088"/>
      <c r="G13" s="5088"/>
      <c r="H13" s="5088"/>
      <c r="I13" s="5088"/>
      <c r="J13" s="5088"/>
      <c r="K13" s="5088"/>
      <c r="L13" s="5088"/>
      <c r="M13" s="5088"/>
      <c r="N13" s="5088"/>
      <c r="O13" s="5088"/>
      <c r="P13" s="5088"/>
      <c r="Q13" s="5088"/>
      <c r="R13" s="5089"/>
      <c r="S13" s="950"/>
      <c r="T13" s="949"/>
      <c r="U13" s="850"/>
      <c r="V13" s="1436"/>
      <c r="W13" s="5087" t="str">
        <f>IF(W11="","",IF(ISNA(VLOOKUP(W11,'Tablas Técnicas'!$AD$6:$AJ$188,5,FALSE)),"-",VLOOKUP(W11,'Tablas Técnicas'!$AD$6:$AJ$188,5,FALSE)))</f>
        <v/>
      </c>
      <c r="X13" s="5088"/>
      <c r="Y13" s="5088"/>
      <c r="Z13" s="5088"/>
      <c r="AA13" s="5088"/>
      <c r="AB13" s="5088"/>
      <c r="AC13" s="5088"/>
      <c r="AD13" s="5088"/>
      <c r="AE13" s="5088"/>
      <c r="AF13" s="5088"/>
      <c r="AG13" s="5088"/>
      <c r="AH13" s="5088"/>
      <c r="AI13" s="5088"/>
      <c r="AJ13" s="5088"/>
      <c r="AK13" s="5088"/>
      <c r="AL13" s="5089"/>
      <c r="AM13" s="950"/>
      <c r="AN13" s="852"/>
      <c r="AO13" s="1041"/>
    </row>
    <row r="14" spans="1:41" ht="12" customHeight="1" x14ac:dyDescent="0.2">
      <c r="A14" s="850"/>
      <c r="B14" s="1436"/>
      <c r="C14" s="5090"/>
      <c r="D14" s="5091"/>
      <c r="E14" s="5091"/>
      <c r="F14" s="5091"/>
      <c r="G14" s="5091"/>
      <c r="H14" s="5091"/>
      <c r="I14" s="5091"/>
      <c r="J14" s="5091"/>
      <c r="K14" s="5091"/>
      <c r="L14" s="5091"/>
      <c r="M14" s="5091"/>
      <c r="N14" s="5091"/>
      <c r="O14" s="5091"/>
      <c r="P14" s="5091"/>
      <c r="Q14" s="5091"/>
      <c r="R14" s="5092"/>
      <c r="S14" s="959"/>
      <c r="T14" s="949"/>
      <c r="U14" s="850"/>
      <c r="V14" s="1436"/>
      <c r="W14" s="5090"/>
      <c r="X14" s="5091"/>
      <c r="Y14" s="5091"/>
      <c r="Z14" s="5091"/>
      <c r="AA14" s="5091"/>
      <c r="AB14" s="5091"/>
      <c r="AC14" s="5091"/>
      <c r="AD14" s="5091"/>
      <c r="AE14" s="5091"/>
      <c r="AF14" s="5091"/>
      <c r="AG14" s="5091"/>
      <c r="AH14" s="5091"/>
      <c r="AI14" s="5091"/>
      <c r="AJ14" s="5091"/>
      <c r="AK14" s="5091"/>
      <c r="AL14" s="5092"/>
      <c r="AM14" s="959"/>
      <c r="AN14" s="852"/>
      <c r="AO14" s="1041"/>
    </row>
    <row r="15" spans="1:41" ht="12" customHeight="1" x14ac:dyDescent="0.2">
      <c r="A15" s="850"/>
      <c r="B15" s="1436"/>
      <c r="C15" s="5090"/>
      <c r="D15" s="5091"/>
      <c r="E15" s="5091"/>
      <c r="F15" s="5091"/>
      <c r="G15" s="5091"/>
      <c r="H15" s="5091"/>
      <c r="I15" s="5091"/>
      <c r="J15" s="5091"/>
      <c r="K15" s="5091"/>
      <c r="L15" s="5091"/>
      <c r="M15" s="5091"/>
      <c r="N15" s="5091"/>
      <c r="O15" s="5091"/>
      <c r="P15" s="5091"/>
      <c r="Q15" s="5091"/>
      <c r="R15" s="5092"/>
      <c r="S15" s="959"/>
      <c r="T15" s="949"/>
      <c r="U15" s="850"/>
      <c r="V15" s="1436"/>
      <c r="W15" s="5090"/>
      <c r="X15" s="5091"/>
      <c r="Y15" s="5091"/>
      <c r="Z15" s="5091"/>
      <c r="AA15" s="5091"/>
      <c r="AB15" s="5091"/>
      <c r="AC15" s="5091"/>
      <c r="AD15" s="5091"/>
      <c r="AE15" s="5091"/>
      <c r="AF15" s="5091"/>
      <c r="AG15" s="5091"/>
      <c r="AH15" s="5091"/>
      <c r="AI15" s="5091"/>
      <c r="AJ15" s="5091"/>
      <c r="AK15" s="5091"/>
      <c r="AL15" s="5092"/>
      <c r="AM15" s="959"/>
      <c r="AN15" s="852"/>
      <c r="AO15" s="1041"/>
    </row>
    <row r="16" spans="1:41" ht="12" customHeight="1" x14ac:dyDescent="0.2">
      <c r="A16" s="850"/>
      <c r="B16" s="1436"/>
      <c r="C16" s="5093"/>
      <c r="D16" s="5094"/>
      <c r="E16" s="5094"/>
      <c r="F16" s="5094"/>
      <c r="G16" s="5094"/>
      <c r="H16" s="5094"/>
      <c r="I16" s="5094"/>
      <c r="J16" s="5094"/>
      <c r="K16" s="5094"/>
      <c r="L16" s="5094"/>
      <c r="M16" s="5094"/>
      <c r="N16" s="5094"/>
      <c r="O16" s="5094"/>
      <c r="P16" s="5094"/>
      <c r="Q16" s="5094"/>
      <c r="R16" s="5095"/>
      <c r="S16" s="959"/>
      <c r="T16" s="949"/>
      <c r="U16" s="850"/>
      <c r="V16" s="1436"/>
      <c r="W16" s="5093"/>
      <c r="X16" s="5094"/>
      <c r="Y16" s="5094"/>
      <c r="Z16" s="5094"/>
      <c r="AA16" s="5094"/>
      <c r="AB16" s="5094"/>
      <c r="AC16" s="5094"/>
      <c r="AD16" s="5094"/>
      <c r="AE16" s="5094"/>
      <c r="AF16" s="5094"/>
      <c r="AG16" s="5094"/>
      <c r="AH16" s="5094"/>
      <c r="AI16" s="5094"/>
      <c r="AJ16" s="5094"/>
      <c r="AK16" s="5094"/>
      <c r="AL16" s="5095"/>
      <c r="AM16" s="959"/>
      <c r="AN16" s="852"/>
      <c r="AO16" s="1041"/>
    </row>
    <row r="17" spans="1:43" ht="12" customHeight="1" x14ac:dyDescent="0.2">
      <c r="A17" s="850"/>
      <c r="B17" s="1440"/>
      <c r="C17" s="5096" t="str">
        <f>"Desventajas: "&amp;IF(C11="","",IF(ISNA(VLOOKUP(C11,'Tablas Técnicas'!$AD$6:$AJ$188,6,FALSE)),"-",VLOOKUP(C11,'Tablas Técnicas'!$AD$6:$AJ$188,6,FALSE)))</f>
        <v xml:space="preserve">Desventajas: </v>
      </c>
      <c r="D17" s="5097"/>
      <c r="E17" s="5097"/>
      <c r="F17" s="5097"/>
      <c r="G17" s="5097"/>
      <c r="H17" s="5097"/>
      <c r="I17" s="5097"/>
      <c r="J17" s="5097"/>
      <c r="K17" s="5097"/>
      <c r="L17" s="5097"/>
      <c r="M17" s="5097"/>
      <c r="N17" s="5098"/>
      <c r="O17" s="5102" t="s">
        <v>4053</v>
      </c>
      <c r="P17" s="5103"/>
      <c r="Q17" s="5103"/>
      <c r="R17" s="5104"/>
      <c r="S17" s="882"/>
      <c r="T17" s="850"/>
      <c r="U17" s="850"/>
      <c r="V17" s="1440"/>
      <c r="W17" s="5096" t="str">
        <f>"Desventajas: "&amp;IF(W11="","",IF(ISNA(VLOOKUP(W11,'Tablas Técnicas'!$AD$6:$AJ$188,6,FALSE)),"-",VLOOKUP(W11,'Tablas Técnicas'!$AD$6:$AJ$188,6,FALSE)))</f>
        <v xml:space="preserve">Desventajas: </v>
      </c>
      <c r="X17" s="5097"/>
      <c r="Y17" s="5097"/>
      <c r="Z17" s="5097"/>
      <c r="AA17" s="5097"/>
      <c r="AB17" s="5097"/>
      <c r="AC17" s="5097"/>
      <c r="AD17" s="5097"/>
      <c r="AE17" s="5097"/>
      <c r="AF17" s="5097"/>
      <c r="AG17" s="5097"/>
      <c r="AH17" s="5098"/>
      <c r="AI17" s="5102" t="s">
        <v>4053</v>
      </c>
      <c r="AJ17" s="5103"/>
      <c r="AK17" s="5103"/>
      <c r="AL17" s="5104"/>
      <c r="AM17" s="882"/>
      <c r="AN17" s="852"/>
      <c r="AO17" s="1041"/>
      <c r="AQ17" s="1564"/>
    </row>
    <row r="18" spans="1:43" ht="12" customHeight="1" x14ac:dyDescent="0.2">
      <c r="A18" s="850"/>
      <c r="B18" s="1436"/>
      <c r="C18" s="5099"/>
      <c r="D18" s="5100"/>
      <c r="E18" s="5100"/>
      <c r="F18" s="5100"/>
      <c r="G18" s="5100"/>
      <c r="H18" s="5100"/>
      <c r="I18" s="5100"/>
      <c r="J18" s="5100"/>
      <c r="K18" s="5100"/>
      <c r="L18" s="5100"/>
      <c r="M18" s="5100"/>
      <c r="N18" s="5101"/>
      <c r="O18" s="5105"/>
      <c r="P18" s="5106"/>
      <c r="Q18" s="5106"/>
      <c r="R18" s="5107"/>
      <c r="S18" s="882"/>
      <c r="T18" s="850"/>
      <c r="U18" s="850"/>
      <c r="V18" s="1436"/>
      <c r="W18" s="5099"/>
      <c r="X18" s="5100"/>
      <c r="Y18" s="5100"/>
      <c r="Z18" s="5100"/>
      <c r="AA18" s="5100"/>
      <c r="AB18" s="5100"/>
      <c r="AC18" s="5100"/>
      <c r="AD18" s="5100"/>
      <c r="AE18" s="5100"/>
      <c r="AF18" s="5100"/>
      <c r="AG18" s="5100"/>
      <c r="AH18" s="5101"/>
      <c r="AI18" s="5105"/>
      <c r="AJ18" s="5106"/>
      <c r="AK18" s="5106"/>
      <c r="AL18" s="5107"/>
      <c r="AM18" s="882"/>
      <c r="AN18" s="852"/>
      <c r="AO18" s="1041"/>
    </row>
    <row r="19" spans="1:43" ht="12" customHeight="1" x14ac:dyDescent="0.2">
      <c r="A19" s="850"/>
      <c r="B19" s="1440"/>
      <c r="C19" s="5114" t="str">
        <f>IF(C11="","",IF(ISNA(VLOOKUP(C11,'Tablas Técnicas'!$AD$6:$AJ$188,4,FALSE)),"-",VLOOKUP(C11,'Tablas Técnicas'!$AD$6:$AJ$188,4,FALSE)))</f>
        <v/>
      </c>
      <c r="D19" s="5115"/>
      <c r="E19" s="5115"/>
      <c r="F19" s="5115"/>
      <c r="G19" s="5115"/>
      <c r="H19" s="5115"/>
      <c r="I19" s="5115"/>
      <c r="J19" s="5115"/>
      <c r="K19" s="5115"/>
      <c r="L19" s="5115"/>
      <c r="M19" s="5115"/>
      <c r="N19" s="5115"/>
      <c r="O19" s="5108"/>
      <c r="P19" s="5109"/>
      <c r="Q19" s="5109"/>
      <c r="R19" s="5110"/>
      <c r="S19" s="882"/>
      <c r="T19" s="850"/>
      <c r="U19" s="850"/>
      <c r="V19" s="1440"/>
      <c r="W19" s="5114" t="str">
        <f>IF(W11="","",IF(ISNA(VLOOKUP(W11,'Tablas Técnicas'!$AD$6:$AJ$188,4,FALSE)),"-",VLOOKUP(W11,'Tablas Técnicas'!$AD$6:$AJ$188,4,FALSE)))</f>
        <v/>
      </c>
      <c r="X19" s="5115"/>
      <c r="Y19" s="5115"/>
      <c r="Z19" s="5115"/>
      <c r="AA19" s="5115"/>
      <c r="AB19" s="5115"/>
      <c r="AC19" s="5115"/>
      <c r="AD19" s="5115"/>
      <c r="AE19" s="5115"/>
      <c r="AF19" s="5115"/>
      <c r="AG19" s="5115"/>
      <c r="AH19" s="5115"/>
      <c r="AI19" s="5108"/>
      <c r="AJ19" s="5109"/>
      <c r="AK19" s="5109"/>
      <c r="AL19" s="5110"/>
      <c r="AM19" s="882"/>
      <c r="AN19" s="852"/>
      <c r="AO19" s="1041"/>
    </row>
    <row r="20" spans="1:43" ht="12" customHeight="1" thickBot="1" x14ac:dyDescent="0.25">
      <c r="A20" s="850"/>
      <c r="B20" s="1436"/>
      <c r="C20" s="5116"/>
      <c r="D20" s="5117"/>
      <c r="E20" s="5117"/>
      <c r="F20" s="5117"/>
      <c r="G20" s="5117"/>
      <c r="H20" s="5117"/>
      <c r="I20" s="5117"/>
      <c r="J20" s="5117"/>
      <c r="K20" s="5117"/>
      <c r="L20" s="5117"/>
      <c r="M20" s="5117"/>
      <c r="N20" s="5117"/>
      <c r="O20" s="5111"/>
      <c r="P20" s="5112"/>
      <c r="Q20" s="5112"/>
      <c r="R20" s="5113"/>
      <c r="S20" s="882"/>
      <c r="T20" s="850"/>
      <c r="U20" s="850"/>
      <c r="V20" s="1436"/>
      <c r="W20" s="5116"/>
      <c r="X20" s="5117"/>
      <c r="Y20" s="5117"/>
      <c r="Z20" s="5117"/>
      <c r="AA20" s="5117"/>
      <c r="AB20" s="5117"/>
      <c r="AC20" s="5117"/>
      <c r="AD20" s="5117"/>
      <c r="AE20" s="5117"/>
      <c r="AF20" s="5117"/>
      <c r="AG20" s="5117"/>
      <c r="AH20" s="5117"/>
      <c r="AI20" s="5111"/>
      <c r="AJ20" s="5112"/>
      <c r="AK20" s="5112"/>
      <c r="AL20" s="5113"/>
      <c r="AM20" s="882"/>
      <c r="AN20" s="852"/>
      <c r="AO20" s="1041"/>
    </row>
    <row r="21" spans="1:43" ht="12" customHeight="1" thickBot="1" x14ac:dyDescent="0.25">
      <c r="A21" s="850"/>
      <c r="B21" s="1439"/>
      <c r="C21" s="928"/>
      <c r="D21" s="928"/>
      <c r="E21" s="928"/>
      <c r="F21" s="928"/>
      <c r="G21" s="928"/>
      <c r="H21" s="928"/>
      <c r="I21" s="928"/>
      <c r="J21" s="928"/>
      <c r="K21" s="928"/>
      <c r="L21" s="928"/>
      <c r="M21" s="928"/>
      <c r="N21" s="928"/>
      <c r="O21" s="928"/>
      <c r="P21" s="928"/>
      <c r="Q21" s="929"/>
      <c r="R21" s="933"/>
      <c r="S21" s="882"/>
      <c r="T21" s="850"/>
      <c r="U21" s="851"/>
      <c r="V21" s="1439"/>
      <c r="W21" s="930"/>
      <c r="X21" s="930"/>
      <c r="Y21" s="930"/>
      <c r="Z21" s="930"/>
      <c r="AA21" s="930"/>
      <c r="AB21" s="930"/>
      <c r="AC21" s="930"/>
      <c r="AD21" s="930"/>
      <c r="AE21" s="930"/>
      <c r="AF21" s="930"/>
      <c r="AG21" s="930"/>
      <c r="AH21" s="930"/>
      <c r="AI21" s="930"/>
      <c r="AJ21" s="930"/>
      <c r="AK21" s="973"/>
      <c r="AL21" s="973"/>
      <c r="AM21" s="882"/>
      <c r="AN21" s="852"/>
      <c r="AO21" s="1041"/>
    </row>
    <row r="22" spans="1:43" ht="12" customHeight="1" x14ac:dyDescent="0.2">
      <c r="A22" s="850"/>
      <c r="B22" s="1436">
        <v>2</v>
      </c>
      <c r="C22" s="5078" t="s">
        <v>8730</v>
      </c>
      <c r="D22" s="5079"/>
      <c r="E22" s="5079"/>
      <c r="F22" s="5079"/>
      <c r="G22" s="5079"/>
      <c r="H22" s="5079"/>
      <c r="I22" s="5079"/>
      <c r="J22" s="5079"/>
      <c r="K22" s="5079"/>
      <c r="L22" s="5079"/>
      <c r="M22" s="5079"/>
      <c r="N22" s="5079"/>
      <c r="O22" s="5079"/>
      <c r="P22" s="5079"/>
      <c r="Q22" s="5080"/>
      <c r="R22" s="5081">
        <f>IF(C22="","",IF(ISNA(VLOOKUP(C22,'Tablas Técnicas'!$AD$6:$AJ$188,3,FALSE)),"-",VLOOKUP(C22,'Tablas Técnicas'!$AD$6:$AJ$188,3,FALSE)))</f>
        <v>0</v>
      </c>
      <c r="S22" s="937"/>
      <c r="T22" s="850"/>
      <c r="U22" s="850"/>
      <c r="V22" s="1436">
        <v>7</v>
      </c>
      <c r="W22" s="5078" t="s">
        <v>8730</v>
      </c>
      <c r="X22" s="5079"/>
      <c r="Y22" s="5079"/>
      <c r="Z22" s="5079"/>
      <c r="AA22" s="5079"/>
      <c r="AB22" s="5079"/>
      <c r="AC22" s="5079"/>
      <c r="AD22" s="5079"/>
      <c r="AE22" s="5079"/>
      <c r="AF22" s="5079"/>
      <c r="AG22" s="5079"/>
      <c r="AH22" s="5079"/>
      <c r="AI22" s="5079"/>
      <c r="AJ22" s="5079"/>
      <c r="AK22" s="5080"/>
      <c r="AL22" s="5081">
        <f>IF(W22="","",IF(ISNA(VLOOKUP(W22,'Tablas Técnicas'!$AD$6:$AJ$188,3,FALSE)),"-",VLOOKUP(W22,'Tablas Técnicas'!$AD$6:$AJ$188,3,FALSE)))</f>
        <v>0</v>
      </c>
      <c r="AM22" s="937"/>
      <c r="AN22" s="852"/>
      <c r="AO22" s="1041"/>
    </row>
    <row r="23" spans="1:43" ht="12" customHeight="1" x14ac:dyDescent="0.2">
      <c r="A23" s="850"/>
      <c r="B23" s="1436"/>
      <c r="C23" s="943" t="s">
        <v>2171</v>
      </c>
      <c r="D23" s="944">
        <f>IF(C22="","",IF(ISNA(VLOOKUP(C22,'Tablas Técnicas'!$AD$6:$AJ$188,2,FALSE)),"-",VLOOKUP(C22,'Tablas Técnicas'!$AD$6:$AJ$188,2,FALSE)))</f>
        <v>1</v>
      </c>
      <c r="E23" s="945" t="s">
        <v>2716</v>
      </c>
      <c r="F23" s="5083"/>
      <c r="G23" s="5083"/>
      <c r="H23" s="5083"/>
      <c r="I23" s="5084" t="s">
        <v>4033</v>
      </c>
      <c r="J23" s="5084"/>
      <c r="K23" s="5084"/>
      <c r="L23" s="5085" t="str">
        <f>IF(C22="","",IF(ISNA(VLOOKUP(C22,'Tablas Técnicas'!$AD$6:$AJ$188,7,FALSE)),"-",VLOOKUP(C22,'Tablas Técnicas'!$AD$6:$AJ$188,7,FALSE)))</f>
        <v/>
      </c>
      <c r="M23" s="5085"/>
      <c r="N23" s="5085"/>
      <c r="O23" s="5085"/>
      <c r="P23" s="5085"/>
      <c r="Q23" s="5086"/>
      <c r="R23" s="5082"/>
      <c r="S23" s="882"/>
      <c r="T23" s="850"/>
      <c r="U23" s="850"/>
      <c r="V23" s="1436"/>
      <c r="W23" s="943" t="s">
        <v>2171</v>
      </c>
      <c r="X23" s="944">
        <f>IF(W22="","",IF(ISNA(VLOOKUP(W22,'Tablas Técnicas'!$AD$6:$AJ$188,2,FALSE)),"-",VLOOKUP(W22,'Tablas Técnicas'!$AD$6:$AJ$188,2,FALSE)))</f>
        <v>1</v>
      </c>
      <c r="Y23" s="945" t="s">
        <v>2716</v>
      </c>
      <c r="Z23" s="5083"/>
      <c r="AA23" s="5083"/>
      <c r="AB23" s="5083"/>
      <c r="AC23" s="5084" t="s">
        <v>4033</v>
      </c>
      <c r="AD23" s="5084"/>
      <c r="AE23" s="5084"/>
      <c r="AF23" s="5085" t="str">
        <f>IF(W22="","",IF(ISNA(VLOOKUP(W22,'Tablas Técnicas'!$AD$6:$AJ$188,7,FALSE)),"-",VLOOKUP(W22,'Tablas Técnicas'!$AD$6:$AJ$188,7,FALSE)))</f>
        <v/>
      </c>
      <c r="AG23" s="5085"/>
      <c r="AH23" s="5085"/>
      <c r="AI23" s="5085"/>
      <c r="AJ23" s="5085"/>
      <c r="AK23" s="5086"/>
      <c r="AL23" s="5082"/>
      <c r="AM23" s="882"/>
      <c r="AN23" s="852"/>
      <c r="AO23" s="1041"/>
    </row>
    <row r="24" spans="1:43" ht="12" customHeight="1" x14ac:dyDescent="0.2">
      <c r="A24" s="850"/>
      <c r="B24" s="1436"/>
      <c r="C24" s="5087" t="str">
        <f>IF(C22="","",IF(ISNA(VLOOKUP(C22,'Tablas Técnicas'!$AD$6:$AJ$188,5,FALSE)),"-",VLOOKUP(C22,'Tablas Técnicas'!$AD$6:$AJ$188,5,FALSE)))</f>
        <v/>
      </c>
      <c r="D24" s="5088"/>
      <c r="E24" s="5088"/>
      <c r="F24" s="5088"/>
      <c r="G24" s="5088"/>
      <c r="H24" s="5088"/>
      <c r="I24" s="5088"/>
      <c r="J24" s="5088"/>
      <c r="K24" s="5088"/>
      <c r="L24" s="5088"/>
      <c r="M24" s="5088"/>
      <c r="N24" s="5088"/>
      <c r="O24" s="5088"/>
      <c r="P24" s="5088"/>
      <c r="Q24" s="5088"/>
      <c r="R24" s="5089"/>
      <c r="S24" s="950"/>
      <c r="T24" s="949"/>
      <c r="U24" s="850"/>
      <c r="V24" s="1436"/>
      <c r="W24" s="5087" t="str">
        <f>IF(W22="","",IF(ISNA(VLOOKUP(W22,'Tablas Técnicas'!$AD$6:$AJ$188,5,FALSE)),"-",VLOOKUP(W22,'Tablas Técnicas'!$AD$6:$AJ$188,5,FALSE)))</f>
        <v/>
      </c>
      <c r="X24" s="5088"/>
      <c r="Y24" s="5088"/>
      <c r="Z24" s="5088"/>
      <c r="AA24" s="5088"/>
      <c r="AB24" s="5088"/>
      <c r="AC24" s="5088"/>
      <c r="AD24" s="5088"/>
      <c r="AE24" s="5088"/>
      <c r="AF24" s="5088"/>
      <c r="AG24" s="5088"/>
      <c r="AH24" s="5088"/>
      <c r="AI24" s="5088"/>
      <c r="AJ24" s="5088"/>
      <c r="AK24" s="5088"/>
      <c r="AL24" s="5089"/>
      <c r="AM24" s="950"/>
      <c r="AN24" s="852"/>
      <c r="AO24" s="1041"/>
    </row>
    <row r="25" spans="1:43" ht="12" customHeight="1" x14ac:dyDescent="0.2">
      <c r="A25" s="850"/>
      <c r="B25" s="1436"/>
      <c r="C25" s="5090"/>
      <c r="D25" s="5091"/>
      <c r="E25" s="5091"/>
      <c r="F25" s="5091"/>
      <c r="G25" s="5091"/>
      <c r="H25" s="5091"/>
      <c r="I25" s="5091"/>
      <c r="J25" s="5091"/>
      <c r="K25" s="5091"/>
      <c r="L25" s="5091"/>
      <c r="M25" s="5091"/>
      <c r="N25" s="5091"/>
      <c r="O25" s="5091"/>
      <c r="P25" s="5091"/>
      <c r="Q25" s="5091"/>
      <c r="R25" s="5092"/>
      <c r="S25" s="959"/>
      <c r="T25" s="949"/>
      <c r="U25" s="850"/>
      <c r="V25" s="1436"/>
      <c r="W25" s="5090"/>
      <c r="X25" s="5091"/>
      <c r="Y25" s="5091"/>
      <c r="Z25" s="5091"/>
      <c r="AA25" s="5091"/>
      <c r="AB25" s="5091"/>
      <c r="AC25" s="5091"/>
      <c r="AD25" s="5091"/>
      <c r="AE25" s="5091"/>
      <c r="AF25" s="5091"/>
      <c r="AG25" s="5091"/>
      <c r="AH25" s="5091"/>
      <c r="AI25" s="5091"/>
      <c r="AJ25" s="5091"/>
      <c r="AK25" s="5091"/>
      <c r="AL25" s="5092"/>
      <c r="AM25" s="959"/>
      <c r="AN25" s="852"/>
      <c r="AO25" s="1041"/>
    </row>
    <row r="26" spans="1:43" ht="12" customHeight="1" x14ac:dyDescent="0.2">
      <c r="A26" s="850"/>
      <c r="B26" s="1436"/>
      <c r="C26" s="5090"/>
      <c r="D26" s="5091"/>
      <c r="E26" s="5091"/>
      <c r="F26" s="5091"/>
      <c r="G26" s="5091"/>
      <c r="H26" s="5091"/>
      <c r="I26" s="5091"/>
      <c r="J26" s="5091"/>
      <c r="K26" s="5091"/>
      <c r="L26" s="5091"/>
      <c r="M26" s="5091"/>
      <c r="N26" s="5091"/>
      <c r="O26" s="5091"/>
      <c r="P26" s="5091"/>
      <c r="Q26" s="5091"/>
      <c r="R26" s="5092"/>
      <c r="S26" s="959"/>
      <c r="T26" s="949"/>
      <c r="U26" s="850"/>
      <c r="V26" s="1436"/>
      <c r="W26" s="5090"/>
      <c r="X26" s="5091"/>
      <c r="Y26" s="5091"/>
      <c r="Z26" s="5091"/>
      <c r="AA26" s="5091"/>
      <c r="AB26" s="5091"/>
      <c r="AC26" s="5091"/>
      <c r="AD26" s="5091"/>
      <c r="AE26" s="5091"/>
      <c r="AF26" s="5091"/>
      <c r="AG26" s="5091"/>
      <c r="AH26" s="5091"/>
      <c r="AI26" s="5091"/>
      <c r="AJ26" s="5091"/>
      <c r="AK26" s="5091"/>
      <c r="AL26" s="5092"/>
      <c r="AM26" s="959"/>
      <c r="AN26" s="852"/>
      <c r="AO26" s="1041"/>
    </row>
    <row r="27" spans="1:43" ht="12" customHeight="1" x14ac:dyDescent="0.2">
      <c r="A27" s="850"/>
      <c r="B27" s="1436"/>
      <c r="C27" s="5093"/>
      <c r="D27" s="5094"/>
      <c r="E27" s="5094"/>
      <c r="F27" s="5094"/>
      <c r="G27" s="5094"/>
      <c r="H27" s="5094"/>
      <c r="I27" s="5094"/>
      <c r="J27" s="5094"/>
      <c r="K27" s="5094"/>
      <c r="L27" s="5094"/>
      <c r="M27" s="5094"/>
      <c r="N27" s="5094"/>
      <c r="O27" s="5094"/>
      <c r="P27" s="5094"/>
      <c r="Q27" s="5094"/>
      <c r="R27" s="5095"/>
      <c r="S27" s="959"/>
      <c r="T27" s="949"/>
      <c r="U27" s="850"/>
      <c r="V27" s="1436"/>
      <c r="W27" s="5093"/>
      <c r="X27" s="5094"/>
      <c r="Y27" s="5094"/>
      <c r="Z27" s="5094"/>
      <c r="AA27" s="5094"/>
      <c r="AB27" s="5094"/>
      <c r="AC27" s="5094"/>
      <c r="AD27" s="5094"/>
      <c r="AE27" s="5094"/>
      <c r="AF27" s="5094"/>
      <c r="AG27" s="5094"/>
      <c r="AH27" s="5094"/>
      <c r="AI27" s="5094"/>
      <c r="AJ27" s="5094"/>
      <c r="AK27" s="5094"/>
      <c r="AL27" s="5095"/>
      <c r="AM27" s="959"/>
      <c r="AN27" s="852"/>
      <c r="AO27" s="1041"/>
    </row>
    <row r="28" spans="1:43" ht="12" customHeight="1" x14ac:dyDescent="0.2">
      <c r="A28" s="850"/>
      <c r="B28" s="1440"/>
      <c r="C28" s="5096" t="str">
        <f>"Desventajas: "&amp;IF(C22="","",IF(ISNA(VLOOKUP(C22,'Tablas Técnicas'!$AD$6:$AJ$188,6,FALSE)),"-",VLOOKUP(C22,'Tablas Técnicas'!$AD$6:$AJ$188,6,FALSE)))</f>
        <v xml:space="preserve">Desventajas: </v>
      </c>
      <c r="D28" s="5097"/>
      <c r="E28" s="5097"/>
      <c r="F28" s="5097"/>
      <c r="G28" s="5097"/>
      <c r="H28" s="5097"/>
      <c r="I28" s="5097"/>
      <c r="J28" s="5097"/>
      <c r="K28" s="5097"/>
      <c r="L28" s="5097"/>
      <c r="M28" s="5097"/>
      <c r="N28" s="5098"/>
      <c r="O28" s="5102" t="s">
        <v>4053</v>
      </c>
      <c r="P28" s="5103"/>
      <c r="Q28" s="5103"/>
      <c r="R28" s="5104"/>
      <c r="S28" s="882"/>
      <c r="T28" s="850"/>
      <c r="U28" s="850"/>
      <c r="V28" s="1440"/>
      <c r="W28" s="5096" t="str">
        <f>"Desventajas: "&amp;IF(W22="","",IF(ISNA(VLOOKUP(W22,'Tablas Técnicas'!$AD$6:$AJ$188,6,FALSE)),"-",VLOOKUP(W22,'Tablas Técnicas'!$AD$6:$AJ$188,6,FALSE)))</f>
        <v xml:space="preserve">Desventajas: </v>
      </c>
      <c r="X28" s="5097"/>
      <c r="Y28" s="5097"/>
      <c r="Z28" s="5097"/>
      <c r="AA28" s="5097"/>
      <c r="AB28" s="5097"/>
      <c r="AC28" s="5097"/>
      <c r="AD28" s="5097"/>
      <c r="AE28" s="5097"/>
      <c r="AF28" s="5097"/>
      <c r="AG28" s="5097"/>
      <c r="AH28" s="5098"/>
      <c r="AI28" s="5102" t="s">
        <v>4053</v>
      </c>
      <c r="AJ28" s="5103"/>
      <c r="AK28" s="5103"/>
      <c r="AL28" s="5104"/>
      <c r="AM28" s="882"/>
      <c r="AN28" s="852"/>
      <c r="AO28" s="1041"/>
    </row>
    <row r="29" spans="1:43" ht="12" customHeight="1" x14ac:dyDescent="0.2">
      <c r="A29" s="850"/>
      <c r="B29" s="1436"/>
      <c r="C29" s="5099"/>
      <c r="D29" s="5100"/>
      <c r="E29" s="5100"/>
      <c r="F29" s="5100"/>
      <c r="G29" s="5100"/>
      <c r="H29" s="5100"/>
      <c r="I29" s="5100"/>
      <c r="J29" s="5100"/>
      <c r="K29" s="5100"/>
      <c r="L29" s="5100"/>
      <c r="M29" s="5100"/>
      <c r="N29" s="5101"/>
      <c r="O29" s="5105"/>
      <c r="P29" s="5106"/>
      <c r="Q29" s="5106"/>
      <c r="R29" s="5107"/>
      <c r="S29" s="882"/>
      <c r="T29" s="850"/>
      <c r="U29" s="850"/>
      <c r="V29" s="1436"/>
      <c r="W29" s="5099"/>
      <c r="X29" s="5100"/>
      <c r="Y29" s="5100"/>
      <c r="Z29" s="5100"/>
      <c r="AA29" s="5100"/>
      <c r="AB29" s="5100"/>
      <c r="AC29" s="5100"/>
      <c r="AD29" s="5100"/>
      <c r="AE29" s="5100"/>
      <c r="AF29" s="5100"/>
      <c r="AG29" s="5100"/>
      <c r="AH29" s="5101"/>
      <c r="AI29" s="5105"/>
      <c r="AJ29" s="5106"/>
      <c r="AK29" s="5106"/>
      <c r="AL29" s="5107"/>
      <c r="AM29" s="882"/>
      <c r="AN29" s="852"/>
      <c r="AO29" s="1041"/>
    </row>
    <row r="30" spans="1:43" ht="12" customHeight="1" x14ac:dyDescent="0.2">
      <c r="A30" s="850"/>
      <c r="B30" s="1440"/>
      <c r="C30" s="5114" t="str">
        <f>IF(C22="","",IF(ISNA(VLOOKUP(C22,'Tablas Técnicas'!$AD$6:$AJ$188,4,FALSE)),"-",VLOOKUP(C22,'Tablas Técnicas'!$AD$6:$AJ$188,4,FALSE)))</f>
        <v/>
      </c>
      <c r="D30" s="5115"/>
      <c r="E30" s="5115"/>
      <c r="F30" s="5115"/>
      <c r="G30" s="5115"/>
      <c r="H30" s="5115"/>
      <c r="I30" s="5115"/>
      <c r="J30" s="5115"/>
      <c r="K30" s="5115"/>
      <c r="L30" s="5115"/>
      <c r="M30" s="5115"/>
      <c r="N30" s="5115"/>
      <c r="O30" s="5108"/>
      <c r="P30" s="5109"/>
      <c r="Q30" s="5109"/>
      <c r="R30" s="5110"/>
      <c r="S30" s="882"/>
      <c r="T30" s="850"/>
      <c r="U30" s="850"/>
      <c r="V30" s="1440"/>
      <c r="W30" s="5114" t="str">
        <f>IF(W22="","",IF(ISNA(VLOOKUP(W22,'Tablas Técnicas'!$AD$6:$AJ$188,4,FALSE)),"-",VLOOKUP(W22,'Tablas Técnicas'!$AD$6:$AJ$188,4,FALSE)))</f>
        <v/>
      </c>
      <c r="X30" s="5115"/>
      <c r="Y30" s="5115"/>
      <c r="Z30" s="5115"/>
      <c r="AA30" s="5115"/>
      <c r="AB30" s="5115"/>
      <c r="AC30" s="5115"/>
      <c r="AD30" s="5115"/>
      <c r="AE30" s="5115"/>
      <c r="AF30" s="5115"/>
      <c r="AG30" s="5115"/>
      <c r="AH30" s="5115"/>
      <c r="AI30" s="5108"/>
      <c r="AJ30" s="5109"/>
      <c r="AK30" s="5109"/>
      <c r="AL30" s="5110"/>
      <c r="AM30" s="882"/>
      <c r="AN30" s="852"/>
      <c r="AO30" s="1041"/>
    </row>
    <row r="31" spans="1:43" ht="12" customHeight="1" thickBot="1" x14ac:dyDescent="0.25">
      <c r="A31" s="850"/>
      <c r="B31" s="1436"/>
      <c r="C31" s="5116"/>
      <c r="D31" s="5117"/>
      <c r="E31" s="5117"/>
      <c r="F31" s="5117"/>
      <c r="G31" s="5117"/>
      <c r="H31" s="5117"/>
      <c r="I31" s="5117"/>
      <c r="J31" s="5117"/>
      <c r="K31" s="5117"/>
      <c r="L31" s="5117"/>
      <c r="M31" s="5117"/>
      <c r="N31" s="5117"/>
      <c r="O31" s="5111"/>
      <c r="P31" s="5112"/>
      <c r="Q31" s="5112"/>
      <c r="R31" s="5113"/>
      <c r="S31" s="882"/>
      <c r="T31" s="850"/>
      <c r="U31" s="850"/>
      <c r="V31" s="1436"/>
      <c r="W31" s="5116"/>
      <c r="X31" s="5117"/>
      <c r="Y31" s="5117"/>
      <c r="Z31" s="5117"/>
      <c r="AA31" s="5117"/>
      <c r="AB31" s="5117"/>
      <c r="AC31" s="5117"/>
      <c r="AD31" s="5117"/>
      <c r="AE31" s="5117"/>
      <c r="AF31" s="5117"/>
      <c r="AG31" s="5117"/>
      <c r="AH31" s="5117"/>
      <c r="AI31" s="5111"/>
      <c r="AJ31" s="5112"/>
      <c r="AK31" s="5112"/>
      <c r="AL31" s="5113"/>
      <c r="AM31" s="882"/>
      <c r="AN31" s="852"/>
      <c r="AO31" s="1041"/>
    </row>
    <row r="32" spans="1:43" ht="12" customHeight="1" thickBot="1" x14ac:dyDescent="0.25">
      <c r="A32" s="850"/>
      <c r="B32" s="1439"/>
      <c r="C32" s="928"/>
      <c r="D32" s="928"/>
      <c r="E32" s="928"/>
      <c r="F32" s="928"/>
      <c r="G32" s="928"/>
      <c r="H32" s="928"/>
      <c r="I32" s="928"/>
      <c r="J32" s="928"/>
      <c r="K32" s="928"/>
      <c r="L32" s="928"/>
      <c r="M32" s="928"/>
      <c r="N32" s="928"/>
      <c r="O32" s="928"/>
      <c r="P32" s="928"/>
      <c r="Q32" s="928"/>
      <c r="R32" s="928"/>
      <c r="S32" s="882"/>
      <c r="T32" s="850"/>
      <c r="U32" s="851"/>
      <c r="V32" s="1439"/>
      <c r="W32" s="930"/>
      <c r="X32" s="977"/>
      <c r="Y32" s="977"/>
      <c r="Z32" s="977"/>
      <c r="AA32" s="977"/>
      <c r="AB32" s="977"/>
      <c r="AC32" s="977"/>
      <c r="AD32" s="977"/>
      <c r="AE32" s="977"/>
      <c r="AF32" s="973"/>
      <c r="AG32" s="973"/>
      <c r="AH32" s="973"/>
      <c r="AI32" s="973"/>
      <c r="AJ32" s="973"/>
      <c r="AK32" s="973"/>
      <c r="AL32" s="973"/>
      <c r="AM32" s="882"/>
      <c r="AN32" s="852"/>
      <c r="AO32" s="1041"/>
    </row>
    <row r="33" spans="1:41" ht="12" customHeight="1" x14ac:dyDescent="0.2">
      <c r="A33" s="850"/>
      <c r="B33" s="1436">
        <v>3</v>
      </c>
      <c r="C33" s="5078" t="s">
        <v>8730</v>
      </c>
      <c r="D33" s="5079"/>
      <c r="E33" s="5079"/>
      <c r="F33" s="5079"/>
      <c r="G33" s="5079"/>
      <c r="H33" s="5079"/>
      <c r="I33" s="5079"/>
      <c r="J33" s="5079"/>
      <c r="K33" s="5079"/>
      <c r="L33" s="5079"/>
      <c r="M33" s="5079"/>
      <c r="N33" s="5079"/>
      <c r="O33" s="5079"/>
      <c r="P33" s="5079"/>
      <c r="Q33" s="5080"/>
      <c r="R33" s="5081">
        <f>IF(C33="","",IF(ISNA(VLOOKUP(C33,'Tablas Técnicas'!$AD$6:$AJ$188,3,FALSE)),"-",VLOOKUP(C33,'Tablas Técnicas'!$AD$6:$AJ$188,3,FALSE)))</f>
        <v>0</v>
      </c>
      <c r="S33" s="937"/>
      <c r="T33" s="850"/>
      <c r="U33" s="850"/>
      <c r="V33" s="1436">
        <v>8</v>
      </c>
      <c r="W33" s="5078" t="s">
        <v>8730</v>
      </c>
      <c r="X33" s="5079"/>
      <c r="Y33" s="5079"/>
      <c r="Z33" s="5079"/>
      <c r="AA33" s="5079"/>
      <c r="AB33" s="5079"/>
      <c r="AC33" s="5079"/>
      <c r="AD33" s="5079"/>
      <c r="AE33" s="5079"/>
      <c r="AF33" s="5079"/>
      <c r="AG33" s="5079"/>
      <c r="AH33" s="5079"/>
      <c r="AI33" s="5079"/>
      <c r="AJ33" s="5079"/>
      <c r="AK33" s="5080"/>
      <c r="AL33" s="5081">
        <f>IF(W33="","",IF(ISNA(VLOOKUP(W33,'Tablas Técnicas'!$AD$6:$AJ$188,3,FALSE)),"-",VLOOKUP(W33,'Tablas Técnicas'!$AD$6:$AJ$188,3,FALSE)))</f>
        <v>0</v>
      </c>
      <c r="AM33" s="937"/>
      <c r="AN33" s="852"/>
      <c r="AO33" s="1041"/>
    </row>
    <row r="34" spans="1:41" ht="12" customHeight="1" x14ac:dyDescent="0.2">
      <c r="A34" s="850"/>
      <c r="B34" s="1436"/>
      <c r="C34" s="943" t="s">
        <v>2171</v>
      </c>
      <c r="D34" s="944">
        <f>IF(C33="","",IF(ISNA(VLOOKUP(C33,'Tablas Técnicas'!$AD$6:$AJ$188,2,FALSE)),"-",VLOOKUP(C33,'Tablas Técnicas'!$AD$6:$AJ$188,2,FALSE)))</f>
        <v>1</v>
      </c>
      <c r="E34" s="945" t="s">
        <v>2716</v>
      </c>
      <c r="F34" s="5083"/>
      <c r="G34" s="5083"/>
      <c r="H34" s="5083"/>
      <c r="I34" s="5084" t="s">
        <v>4033</v>
      </c>
      <c r="J34" s="5084"/>
      <c r="K34" s="5084"/>
      <c r="L34" s="5085" t="str">
        <f>IF(C33="","",IF(ISNA(VLOOKUP(C33,'Tablas Técnicas'!$AD$6:$AJ$188,7,FALSE)),"-",VLOOKUP(C33,'Tablas Técnicas'!$AD$6:$AJ$188,7,FALSE)))</f>
        <v/>
      </c>
      <c r="M34" s="5085"/>
      <c r="N34" s="5085"/>
      <c r="O34" s="5085"/>
      <c r="P34" s="5085"/>
      <c r="Q34" s="5086"/>
      <c r="R34" s="5082"/>
      <c r="S34" s="882"/>
      <c r="T34" s="850"/>
      <c r="U34" s="850"/>
      <c r="V34" s="1436"/>
      <c r="W34" s="943" t="s">
        <v>2171</v>
      </c>
      <c r="X34" s="944">
        <f>IF(W33="","",IF(ISNA(VLOOKUP(W33,'Tablas Técnicas'!$AD$6:$AJ$188,2,FALSE)),"-",VLOOKUP(W33,'Tablas Técnicas'!$AD$6:$AJ$188,2,FALSE)))</f>
        <v>1</v>
      </c>
      <c r="Y34" s="945" t="s">
        <v>2716</v>
      </c>
      <c r="Z34" s="5083"/>
      <c r="AA34" s="5083"/>
      <c r="AB34" s="5083"/>
      <c r="AC34" s="5084" t="s">
        <v>4033</v>
      </c>
      <c r="AD34" s="5084"/>
      <c r="AE34" s="5084"/>
      <c r="AF34" s="5085" t="str">
        <f>IF(W33="","",IF(ISNA(VLOOKUP(W33,'Tablas Técnicas'!$AD$6:$AJ$188,7,FALSE)),"-",VLOOKUP(W33,'Tablas Técnicas'!$AD$6:$AJ$188,7,FALSE)))</f>
        <v/>
      </c>
      <c r="AG34" s="5085"/>
      <c r="AH34" s="5085"/>
      <c r="AI34" s="5085"/>
      <c r="AJ34" s="5085"/>
      <c r="AK34" s="5086"/>
      <c r="AL34" s="5082"/>
      <c r="AM34" s="882"/>
      <c r="AN34" s="852"/>
      <c r="AO34" s="1041"/>
    </row>
    <row r="35" spans="1:41" ht="12" customHeight="1" x14ac:dyDescent="0.2">
      <c r="A35" s="850"/>
      <c r="B35" s="1436"/>
      <c r="C35" s="5087" t="str">
        <f>IF(C33="","",IF(ISNA(VLOOKUP(C33,'Tablas Técnicas'!$AD$6:$AJ$188,5,FALSE)),"-",VLOOKUP(C33,'Tablas Técnicas'!$AD$6:$AJ$188,5,FALSE)))</f>
        <v/>
      </c>
      <c r="D35" s="5088"/>
      <c r="E35" s="5088"/>
      <c r="F35" s="5088"/>
      <c r="G35" s="5088"/>
      <c r="H35" s="5088"/>
      <c r="I35" s="5088"/>
      <c r="J35" s="5088"/>
      <c r="K35" s="5088"/>
      <c r="L35" s="5088"/>
      <c r="M35" s="5088"/>
      <c r="N35" s="5088"/>
      <c r="O35" s="5088"/>
      <c r="P35" s="5088"/>
      <c r="Q35" s="5088"/>
      <c r="R35" s="5089"/>
      <c r="S35" s="950"/>
      <c r="T35" s="949"/>
      <c r="U35" s="850"/>
      <c r="V35" s="1436"/>
      <c r="W35" s="5087" t="str">
        <f>IF(W33="","",IF(ISNA(VLOOKUP(W33,'Tablas Técnicas'!$AD$6:$AJ$188,5,FALSE)),"-",VLOOKUP(W33,'Tablas Técnicas'!$AD$6:$AJ$188,5,FALSE)))</f>
        <v/>
      </c>
      <c r="X35" s="5088"/>
      <c r="Y35" s="5088"/>
      <c r="Z35" s="5088"/>
      <c r="AA35" s="5088"/>
      <c r="AB35" s="5088"/>
      <c r="AC35" s="5088"/>
      <c r="AD35" s="5088"/>
      <c r="AE35" s="5088"/>
      <c r="AF35" s="5088"/>
      <c r="AG35" s="5088"/>
      <c r="AH35" s="5088"/>
      <c r="AI35" s="5088"/>
      <c r="AJ35" s="5088"/>
      <c r="AK35" s="5088"/>
      <c r="AL35" s="5089"/>
      <c r="AM35" s="950"/>
      <c r="AN35" s="852"/>
      <c r="AO35" s="1041"/>
    </row>
    <row r="36" spans="1:41" ht="12" customHeight="1" x14ac:dyDescent="0.2">
      <c r="A36" s="850"/>
      <c r="B36" s="1436"/>
      <c r="C36" s="5090"/>
      <c r="D36" s="5091"/>
      <c r="E36" s="5091"/>
      <c r="F36" s="5091"/>
      <c r="G36" s="5091"/>
      <c r="H36" s="5091"/>
      <c r="I36" s="5091"/>
      <c r="J36" s="5091"/>
      <c r="K36" s="5091"/>
      <c r="L36" s="5091"/>
      <c r="M36" s="5091"/>
      <c r="N36" s="5091"/>
      <c r="O36" s="5091"/>
      <c r="P36" s="5091"/>
      <c r="Q36" s="5091"/>
      <c r="R36" s="5092"/>
      <c r="S36" s="959"/>
      <c r="T36" s="949"/>
      <c r="U36" s="850"/>
      <c r="V36" s="1436"/>
      <c r="W36" s="5090"/>
      <c r="X36" s="5091"/>
      <c r="Y36" s="5091"/>
      <c r="Z36" s="5091"/>
      <c r="AA36" s="5091"/>
      <c r="AB36" s="5091"/>
      <c r="AC36" s="5091"/>
      <c r="AD36" s="5091"/>
      <c r="AE36" s="5091"/>
      <c r="AF36" s="5091"/>
      <c r="AG36" s="5091"/>
      <c r="AH36" s="5091"/>
      <c r="AI36" s="5091"/>
      <c r="AJ36" s="5091"/>
      <c r="AK36" s="5091"/>
      <c r="AL36" s="5092"/>
      <c r="AM36" s="959"/>
      <c r="AN36" s="852"/>
      <c r="AO36" s="1041"/>
    </row>
    <row r="37" spans="1:41" ht="12" customHeight="1" x14ac:dyDescent="0.2">
      <c r="A37" s="850"/>
      <c r="B37" s="1436"/>
      <c r="C37" s="5090"/>
      <c r="D37" s="5091"/>
      <c r="E37" s="5091"/>
      <c r="F37" s="5091"/>
      <c r="G37" s="5091"/>
      <c r="H37" s="5091"/>
      <c r="I37" s="5091"/>
      <c r="J37" s="5091"/>
      <c r="K37" s="5091"/>
      <c r="L37" s="5091"/>
      <c r="M37" s="5091"/>
      <c r="N37" s="5091"/>
      <c r="O37" s="5091"/>
      <c r="P37" s="5091"/>
      <c r="Q37" s="5091"/>
      <c r="R37" s="5092"/>
      <c r="S37" s="959"/>
      <c r="T37" s="949"/>
      <c r="U37" s="850"/>
      <c r="V37" s="1436"/>
      <c r="W37" s="5090"/>
      <c r="X37" s="5091"/>
      <c r="Y37" s="5091"/>
      <c r="Z37" s="5091"/>
      <c r="AA37" s="5091"/>
      <c r="AB37" s="5091"/>
      <c r="AC37" s="5091"/>
      <c r="AD37" s="5091"/>
      <c r="AE37" s="5091"/>
      <c r="AF37" s="5091"/>
      <c r="AG37" s="5091"/>
      <c r="AH37" s="5091"/>
      <c r="AI37" s="5091"/>
      <c r="AJ37" s="5091"/>
      <c r="AK37" s="5091"/>
      <c r="AL37" s="5092"/>
      <c r="AM37" s="959"/>
      <c r="AN37" s="852"/>
      <c r="AO37" s="1041"/>
    </row>
    <row r="38" spans="1:41" ht="12" customHeight="1" x14ac:dyDescent="0.2">
      <c r="A38" s="850"/>
      <c r="B38" s="1436"/>
      <c r="C38" s="5093"/>
      <c r="D38" s="5094"/>
      <c r="E38" s="5094"/>
      <c r="F38" s="5094"/>
      <c r="G38" s="5094"/>
      <c r="H38" s="5094"/>
      <c r="I38" s="5094"/>
      <c r="J38" s="5094"/>
      <c r="K38" s="5094"/>
      <c r="L38" s="5094"/>
      <c r="M38" s="5094"/>
      <c r="N38" s="5094"/>
      <c r="O38" s="5094"/>
      <c r="P38" s="5094"/>
      <c r="Q38" s="5094"/>
      <c r="R38" s="5095"/>
      <c r="S38" s="959"/>
      <c r="T38" s="949"/>
      <c r="U38" s="850"/>
      <c r="V38" s="1436"/>
      <c r="W38" s="5093"/>
      <c r="X38" s="5094"/>
      <c r="Y38" s="5094"/>
      <c r="Z38" s="5094"/>
      <c r="AA38" s="5094"/>
      <c r="AB38" s="5094"/>
      <c r="AC38" s="5094"/>
      <c r="AD38" s="5094"/>
      <c r="AE38" s="5094"/>
      <c r="AF38" s="5094"/>
      <c r="AG38" s="5094"/>
      <c r="AH38" s="5094"/>
      <c r="AI38" s="5094"/>
      <c r="AJ38" s="5094"/>
      <c r="AK38" s="5094"/>
      <c r="AL38" s="5095"/>
      <c r="AM38" s="959"/>
      <c r="AN38" s="852"/>
      <c r="AO38" s="1041"/>
    </row>
    <row r="39" spans="1:41" ht="12" customHeight="1" x14ac:dyDescent="0.2">
      <c r="A39" s="850"/>
      <c r="B39" s="1440"/>
      <c r="C39" s="5096" t="str">
        <f>"Desventajas: "&amp;IF(C33="","",IF(ISNA(VLOOKUP(C33,'Tablas Técnicas'!$AD$6:$AJ$188,6,FALSE)),"-",VLOOKUP(C33,'Tablas Técnicas'!$AD$6:$AJ$188,6,FALSE)))</f>
        <v xml:space="preserve">Desventajas: </v>
      </c>
      <c r="D39" s="5097"/>
      <c r="E39" s="5097"/>
      <c r="F39" s="5097"/>
      <c r="G39" s="5097"/>
      <c r="H39" s="5097"/>
      <c r="I39" s="5097"/>
      <c r="J39" s="5097"/>
      <c r="K39" s="5097"/>
      <c r="L39" s="5097"/>
      <c r="M39" s="5097"/>
      <c r="N39" s="5098"/>
      <c r="O39" s="5102" t="s">
        <v>4053</v>
      </c>
      <c r="P39" s="5103"/>
      <c r="Q39" s="5103"/>
      <c r="R39" s="5104"/>
      <c r="S39" s="882"/>
      <c r="T39" s="850"/>
      <c r="U39" s="850"/>
      <c r="V39" s="1440"/>
      <c r="W39" s="5096" t="str">
        <f>"Desventajas: "&amp;IF(W33="","",IF(ISNA(VLOOKUP(W33,'Tablas Técnicas'!$AD$6:$AJ$188,6,FALSE)),"-",VLOOKUP(W33,'Tablas Técnicas'!$AD$6:$AJ$188,6,FALSE)))</f>
        <v xml:space="preserve">Desventajas: </v>
      </c>
      <c r="X39" s="5097"/>
      <c r="Y39" s="5097"/>
      <c r="Z39" s="5097"/>
      <c r="AA39" s="5097"/>
      <c r="AB39" s="5097"/>
      <c r="AC39" s="5097"/>
      <c r="AD39" s="5097"/>
      <c r="AE39" s="5097"/>
      <c r="AF39" s="5097"/>
      <c r="AG39" s="5097"/>
      <c r="AH39" s="5098"/>
      <c r="AI39" s="5102" t="s">
        <v>4053</v>
      </c>
      <c r="AJ39" s="5103"/>
      <c r="AK39" s="5103"/>
      <c r="AL39" s="5104"/>
      <c r="AM39" s="882"/>
      <c r="AN39" s="852"/>
      <c r="AO39" s="1041"/>
    </row>
    <row r="40" spans="1:41" ht="12" customHeight="1" x14ac:dyDescent="0.2">
      <c r="A40" s="850"/>
      <c r="B40" s="1436"/>
      <c r="C40" s="5099"/>
      <c r="D40" s="5100"/>
      <c r="E40" s="5100"/>
      <c r="F40" s="5100"/>
      <c r="G40" s="5100"/>
      <c r="H40" s="5100"/>
      <c r="I40" s="5100"/>
      <c r="J40" s="5100"/>
      <c r="K40" s="5100"/>
      <c r="L40" s="5100"/>
      <c r="M40" s="5100"/>
      <c r="N40" s="5101"/>
      <c r="O40" s="5105"/>
      <c r="P40" s="5106"/>
      <c r="Q40" s="5106"/>
      <c r="R40" s="5107"/>
      <c r="S40" s="882"/>
      <c r="T40" s="850"/>
      <c r="U40" s="850"/>
      <c r="V40" s="1436"/>
      <c r="W40" s="5099"/>
      <c r="X40" s="5100"/>
      <c r="Y40" s="5100"/>
      <c r="Z40" s="5100"/>
      <c r="AA40" s="5100"/>
      <c r="AB40" s="5100"/>
      <c r="AC40" s="5100"/>
      <c r="AD40" s="5100"/>
      <c r="AE40" s="5100"/>
      <c r="AF40" s="5100"/>
      <c r="AG40" s="5100"/>
      <c r="AH40" s="5101"/>
      <c r="AI40" s="5105"/>
      <c r="AJ40" s="5106"/>
      <c r="AK40" s="5106"/>
      <c r="AL40" s="5107"/>
      <c r="AM40" s="882"/>
      <c r="AN40" s="852"/>
      <c r="AO40" s="1041"/>
    </row>
    <row r="41" spans="1:41" ht="12" customHeight="1" x14ac:dyDescent="0.2">
      <c r="A41" s="850"/>
      <c r="B41" s="1440"/>
      <c r="C41" s="5114" t="str">
        <f>IF(C33="","",IF(ISNA(VLOOKUP(C33,'Tablas Técnicas'!$AD$6:$AJ$188,4,FALSE)),"-",VLOOKUP(C33,'Tablas Técnicas'!$AD$6:$AJ$188,4,FALSE)))</f>
        <v/>
      </c>
      <c r="D41" s="5115"/>
      <c r="E41" s="5115"/>
      <c r="F41" s="5115"/>
      <c r="G41" s="5115"/>
      <c r="H41" s="5115"/>
      <c r="I41" s="5115"/>
      <c r="J41" s="5115"/>
      <c r="K41" s="5115"/>
      <c r="L41" s="5115"/>
      <c r="M41" s="5115"/>
      <c r="N41" s="5115"/>
      <c r="O41" s="5108"/>
      <c r="P41" s="5109"/>
      <c r="Q41" s="5109"/>
      <c r="R41" s="5110"/>
      <c r="S41" s="882"/>
      <c r="T41" s="850"/>
      <c r="U41" s="850"/>
      <c r="V41" s="1440"/>
      <c r="W41" s="5114" t="str">
        <f>IF(W33="","",IF(ISNA(VLOOKUP(W33,'Tablas Técnicas'!$AD$6:$AJ$188,4,FALSE)),"-",VLOOKUP(W33,'Tablas Técnicas'!$AD$6:$AJ$188,4,FALSE)))</f>
        <v/>
      </c>
      <c r="X41" s="5115"/>
      <c r="Y41" s="5115"/>
      <c r="Z41" s="5115"/>
      <c r="AA41" s="5115"/>
      <c r="AB41" s="5115"/>
      <c r="AC41" s="5115"/>
      <c r="AD41" s="5115"/>
      <c r="AE41" s="5115"/>
      <c r="AF41" s="5115"/>
      <c r="AG41" s="5115"/>
      <c r="AH41" s="5115"/>
      <c r="AI41" s="5108"/>
      <c r="AJ41" s="5109"/>
      <c r="AK41" s="5109"/>
      <c r="AL41" s="5110"/>
      <c r="AM41" s="882"/>
      <c r="AN41" s="852"/>
      <c r="AO41" s="1041"/>
    </row>
    <row r="42" spans="1:41" ht="12" customHeight="1" thickBot="1" x14ac:dyDescent="0.25">
      <c r="A42" s="850"/>
      <c r="B42" s="1436"/>
      <c r="C42" s="5116"/>
      <c r="D42" s="5117"/>
      <c r="E42" s="5117"/>
      <c r="F42" s="5117"/>
      <c r="G42" s="5117"/>
      <c r="H42" s="5117"/>
      <c r="I42" s="5117"/>
      <c r="J42" s="5117"/>
      <c r="K42" s="5117"/>
      <c r="L42" s="5117"/>
      <c r="M42" s="5117"/>
      <c r="N42" s="5117"/>
      <c r="O42" s="5111"/>
      <c r="P42" s="5112"/>
      <c r="Q42" s="5112"/>
      <c r="R42" s="5113"/>
      <c r="S42" s="882"/>
      <c r="T42" s="850"/>
      <c r="U42" s="850"/>
      <c r="V42" s="1436"/>
      <c r="W42" s="5116"/>
      <c r="X42" s="5117"/>
      <c r="Y42" s="5117"/>
      <c r="Z42" s="5117"/>
      <c r="AA42" s="5117"/>
      <c r="AB42" s="5117"/>
      <c r="AC42" s="5117"/>
      <c r="AD42" s="5117"/>
      <c r="AE42" s="5117"/>
      <c r="AF42" s="5117"/>
      <c r="AG42" s="5117"/>
      <c r="AH42" s="5117"/>
      <c r="AI42" s="5111"/>
      <c r="AJ42" s="5112"/>
      <c r="AK42" s="5112"/>
      <c r="AL42" s="5113"/>
      <c r="AM42" s="882"/>
      <c r="AN42" s="852"/>
      <c r="AO42" s="1041"/>
    </row>
    <row r="43" spans="1:41" ht="12" customHeight="1" thickBot="1" x14ac:dyDescent="0.25">
      <c r="A43" s="850"/>
      <c r="B43" s="1439"/>
      <c r="C43" s="928"/>
      <c r="D43" s="928"/>
      <c r="E43" s="928"/>
      <c r="F43" s="928"/>
      <c r="G43" s="928"/>
      <c r="H43" s="928"/>
      <c r="I43" s="928"/>
      <c r="J43" s="928"/>
      <c r="K43" s="928"/>
      <c r="L43" s="928"/>
      <c r="M43" s="928"/>
      <c r="N43" s="928"/>
      <c r="O43" s="928"/>
      <c r="P43" s="928"/>
      <c r="Q43" s="928"/>
      <c r="R43" s="928"/>
      <c r="S43" s="882"/>
      <c r="T43" s="850"/>
      <c r="U43" s="851"/>
      <c r="V43" s="1439"/>
      <c r="W43" s="930"/>
      <c r="X43" s="930"/>
      <c r="Y43" s="930"/>
      <c r="Z43" s="930"/>
      <c r="AA43" s="930"/>
      <c r="AB43" s="930"/>
      <c r="AC43" s="930"/>
      <c r="AD43" s="930"/>
      <c r="AE43" s="930"/>
      <c r="AF43" s="930"/>
      <c r="AG43" s="930"/>
      <c r="AH43" s="930"/>
      <c r="AI43" s="930"/>
      <c r="AJ43" s="930"/>
      <c r="AK43" s="930"/>
      <c r="AL43" s="973"/>
      <c r="AM43" s="882"/>
      <c r="AN43" s="852"/>
      <c r="AO43" s="1041"/>
    </row>
    <row r="44" spans="1:41" ht="12" customHeight="1" x14ac:dyDescent="0.2">
      <c r="A44" s="850"/>
      <c r="B44" s="1436">
        <v>4</v>
      </c>
      <c r="C44" s="5078" t="s">
        <v>8730</v>
      </c>
      <c r="D44" s="5079"/>
      <c r="E44" s="5079"/>
      <c r="F44" s="5079"/>
      <c r="G44" s="5079"/>
      <c r="H44" s="5079"/>
      <c r="I44" s="5079"/>
      <c r="J44" s="5079"/>
      <c r="K44" s="5079"/>
      <c r="L44" s="5079"/>
      <c r="M44" s="5079"/>
      <c r="N44" s="5079"/>
      <c r="O44" s="5079"/>
      <c r="P44" s="5079"/>
      <c r="Q44" s="5080"/>
      <c r="R44" s="5081">
        <f>IF(C44="","",IF(ISNA(VLOOKUP(C44,'Tablas Técnicas'!$AD$6:$AJ$188,3,FALSE)),"-",VLOOKUP(C44,'Tablas Técnicas'!$AD$6:$AJ$188,3,FALSE)))</f>
        <v>0</v>
      </c>
      <c r="S44" s="937"/>
      <c r="T44" s="850"/>
      <c r="U44" s="850"/>
      <c r="V44" s="1436">
        <v>9</v>
      </c>
      <c r="W44" s="5078" t="s">
        <v>8730</v>
      </c>
      <c r="X44" s="5079"/>
      <c r="Y44" s="5079"/>
      <c r="Z44" s="5079"/>
      <c r="AA44" s="5079"/>
      <c r="AB44" s="5079"/>
      <c r="AC44" s="5079"/>
      <c r="AD44" s="5079"/>
      <c r="AE44" s="5079"/>
      <c r="AF44" s="5079"/>
      <c r="AG44" s="5079"/>
      <c r="AH44" s="5079"/>
      <c r="AI44" s="5079"/>
      <c r="AJ44" s="5079"/>
      <c r="AK44" s="5080"/>
      <c r="AL44" s="5081">
        <f>IF(W44="","",IF(ISNA(VLOOKUP(W44,'Tablas Técnicas'!$AD$6:$AJ$188,3,FALSE)),"-",VLOOKUP(W44,'Tablas Técnicas'!$AD$6:$AJ$188,3,FALSE)))</f>
        <v>0</v>
      </c>
      <c r="AM44" s="937"/>
      <c r="AN44" s="852"/>
      <c r="AO44" s="1041"/>
    </row>
    <row r="45" spans="1:41" ht="12" customHeight="1" x14ac:dyDescent="0.2">
      <c r="A45" s="850"/>
      <c r="B45" s="1436"/>
      <c r="C45" s="943" t="s">
        <v>2171</v>
      </c>
      <c r="D45" s="944">
        <f>IF(C44="","",IF(ISNA(VLOOKUP(C44,'Tablas Técnicas'!$AD$6:$AJ$188,2,FALSE)),"-",VLOOKUP(C44,'Tablas Técnicas'!$AD$6:$AJ$188,2,FALSE)))</f>
        <v>1</v>
      </c>
      <c r="E45" s="945" t="s">
        <v>2716</v>
      </c>
      <c r="F45" s="5083"/>
      <c r="G45" s="5083"/>
      <c r="H45" s="5083"/>
      <c r="I45" s="5084" t="s">
        <v>4033</v>
      </c>
      <c r="J45" s="5084"/>
      <c r="K45" s="5084"/>
      <c r="L45" s="5085" t="str">
        <f>IF(C44="","",IF(ISNA(VLOOKUP(C44,'Tablas Técnicas'!$AD$6:$AJ$188,7,FALSE)),"-",VLOOKUP(C44,'Tablas Técnicas'!$AD$6:$AJ$188,7,FALSE)))</f>
        <v/>
      </c>
      <c r="M45" s="5085"/>
      <c r="N45" s="5085"/>
      <c r="O45" s="5085"/>
      <c r="P45" s="5085"/>
      <c r="Q45" s="5086"/>
      <c r="R45" s="5082"/>
      <c r="S45" s="882"/>
      <c r="T45" s="850"/>
      <c r="U45" s="850"/>
      <c r="V45" s="1436"/>
      <c r="W45" s="943" t="s">
        <v>2171</v>
      </c>
      <c r="X45" s="944">
        <f>IF(W44="","",IF(ISNA(VLOOKUP(W44,'Tablas Técnicas'!$AD$6:$AJ$188,2,FALSE)),"-",VLOOKUP(W44,'Tablas Técnicas'!$AD$6:$AJ$188,2,FALSE)))</f>
        <v>1</v>
      </c>
      <c r="Y45" s="945" t="s">
        <v>2716</v>
      </c>
      <c r="Z45" s="5083"/>
      <c r="AA45" s="5083"/>
      <c r="AB45" s="5083"/>
      <c r="AC45" s="5084" t="s">
        <v>4033</v>
      </c>
      <c r="AD45" s="5084"/>
      <c r="AE45" s="5084"/>
      <c r="AF45" s="5085" t="str">
        <f>IF(W44="","",IF(ISNA(VLOOKUP(W44,'Tablas Técnicas'!$AD$6:$AJ$188,7,FALSE)),"-",VLOOKUP(W44,'Tablas Técnicas'!$AD$6:$AJ$188,7,FALSE)))</f>
        <v/>
      </c>
      <c r="AG45" s="5085"/>
      <c r="AH45" s="5085"/>
      <c r="AI45" s="5085"/>
      <c r="AJ45" s="5085"/>
      <c r="AK45" s="5086"/>
      <c r="AL45" s="5082"/>
      <c r="AM45" s="882"/>
      <c r="AN45" s="852"/>
      <c r="AO45" s="1041"/>
    </row>
    <row r="46" spans="1:41" ht="12" customHeight="1" x14ac:dyDescent="0.2">
      <c r="A46" s="850"/>
      <c r="B46" s="1436"/>
      <c r="C46" s="5087" t="str">
        <f>IF(C44="","",IF(ISNA(VLOOKUP(C44,'Tablas Técnicas'!$AD$6:$AJ$188,5,FALSE)),"-",VLOOKUP(C44,'Tablas Técnicas'!$AD$6:$AJ$188,5,FALSE)))</f>
        <v/>
      </c>
      <c r="D46" s="5088"/>
      <c r="E46" s="5088"/>
      <c r="F46" s="5088"/>
      <c r="G46" s="5088"/>
      <c r="H46" s="5088"/>
      <c r="I46" s="5088"/>
      <c r="J46" s="5088"/>
      <c r="K46" s="5088"/>
      <c r="L46" s="5088"/>
      <c r="M46" s="5088"/>
      <c r="N46" s="5088"/>
      <c r="O46" s="5088"/>
      <c r="P46" s="5088"/>
      <c r="Q46" s="5088"/>
      <c r="R46" s="5089"/>
      <c r="S46" s="950"/>
      <c r="T46" s="949"/>
      <c r="U46" s="850"/>
      <c r="V46" s="1436"/>
      <c r="W46" s="5087" t="str">
        <f>IF(W44="","",IF(ISNA(VLOOKUP(W44,'Tablas Técnicas'!$AD$6:$AJ$188,5,FALSE)),"-",VLOOKUP(W44,'Tablas Técnicas'!$AD$6:$AJ$188,5,FALSE)))</f>
        <v/>
      </c>
      <c r="X46" s="5088"/>
      <c r="Y46" s="5088"/>
      <c r="Z46" s="5088"/>
      <c r="AA46" s="5088"/>
      <c r="AB46" s="5088"/>
      <c r="AC46" s="5088"/>
      <c r="AD46" s="5088"/>
      <c r="AE46" s="5088"/>
      <c r="AF46" s="5088"/>
      <c r="AG46" s="5088"/>
      <c r="AH46" s="5088"/>
      <c r="AI46" s="5088"/>
      <c r="AJ46" s="5088"/>
      <c r="AK46" s="5088"/>
      <c r="AL46" s="5089"/>
      <c r="AM46" s="950"/>
      <c r="AN46" s="852"/>
      <c r="AO46" s="1041"/>
    </row>
    <row r="47" spans="1:41" ht="12" customHeight="1" x14ac:dyDescent="0.2">
      <c r="A47" s="850"/>
      <c r="B47" s="1436"/>
      <c r="C47" s="5090"/>
      <c r="D47" s="5091"/>
      <c r="E47" s="5091"/>
      <c r="F47" s="5091"/>
      <c r="G47" s="5091"/>
      <c r="H47" s="5091"/>
      <c r="I47" s="5091"/>
      <c r="J47" s="5091"/>
      <c r="K47" s="5091"/>
      <c r="L47" s="5091"/>
      <c r="M47" s="5091"/>
      <c r="N47" s="5091"/>
      <c r="O47" s="5091"/>
      <c r="P47" s="5091"/>
      <c r="Q47" s="5091"/>
      <c r="R47" s="5092"/>
      <c r="S47" s="959"/>
      <c r="T47" s="949"/>
      <c r="U47" s="850"/>
      <c r="V47" s="1436"/>
      <c r="W47" s="5090"/>
      <c r="X47" s="5091"/>
      <c r="Y47" s="5091"/>
      <c r="Z47" s="5091"/>
      <c r="AA47" s="5091"/>
      <c r="AB47" s="5091"/>
      <c r="AC47" s="5091"/>
      <c r="AD47" s="5091"/>
      <c r="AE47" s="5091"/>
      <c r="AF47" s="5091"/>
      <c r="AG47" s="5091"/>
      <c r="AH47" s="5091"/>
      <c r="AI47" s="5091"/>
      <c r="AJ47" s="5091"/>
      <c r="AK47" s="5091"/>
      <c r="AL47" s="5092"/>
      <c r="AM47" s="959"/>
      <c r="AN47" s="852"/>
      <c r="AO47" s="1041"/>
    </row>
    <row r="48" spans="1:41" ht="12" customHeight="1" x14ac:dyDescent="0.2">
      <c r="A48" s="850"/>
      <c r="B48" s="1436"/>
      <c r="C48" s="5090"/>
      <c r="D48" s="5091"/>
      <c r="E48" s="5091"/>
      <c r="F48" s="5091"/>
      <c r="G48" s="5091"/>
      <c r="H48" s="5091"/>
      <c r="I48" s="5091"/>
      <c r="J48" s="5091"/>
      <c r="K48" s="5091"/>
      <c r="L48" s="5091"/>
      <c r="M48" s="5091"/>
      <c r="N48" s="5091"/>
      <c r="O48" s="5091"/>
      <c r="P48" s="5091"/>
      <c r="Q48" s="5091"/>
      <c r="R48" s="5092"/>
      <c r="S48" s="959"/>
      <c r="T48" s="949"/>
      <c r="U48" s="850"/>
      <c r="V48" s="1436"/>
      <c r="W48" s="5090"/>
      <c r="X48" s="5091"/>
      <c r="Y48" s="5091"/>
      <c r="Z48" s="5091"/>
      <c r="AA48" s="5091"/>
      <c r="AB48" s="5091"/>
      <c r="AC48" s="5091"/>
      <c r="AD48" s="5091"/>
      <c r="AE48" s="5091"/>
      <c r="AF48" s="5091"/>
      <c r="AG48" s="5091"/>
      <c r="AH48" s="5091"/>
      <c r="AI48" s="5091"/>
      <c r="AJ48" s="5091"/>
      <c r="AK48" s="5091"/>
      <c r="AL48" s="5092"/>
      <c r="AM48" s="959"/>
      <c r="AN48" s="852"/>
      <c r="AO48" s="1041"/>
    </row>
    <row r="49" spans="1:41" ht="12" customHeight="1" x14ac:dyDescent="0.2">
      <c r="A49" s="850"/>
      <c r="B49" s="1436"/>
      <c r="C49" s="5093"/>
      <c r="D49" s="5094"/>
      <c r="E49" s="5094"/>
      <c r="F49" s="5094"/>
      <c r="G49" s="5094"/>
      <c r="H49" s="5094"/>
      <c r="I49" s="5094"/>
      <c r="J49" s="5094"/>
      <c r="K49" s="5094"/>
      <c r="L49" s="5094"/>
      <c r="M49" s="5094"/>
      <c r="N49" s="5094"/>
      <c r="O49" s="5094"/>
      <c r="P49" s="5094"/>
      <c r="Q49" s="5094"/>
      <c r="R49" s="5095"/>
      <c r="S49" s="959"/>
      <c r="T49" s="949"/>
      <c r="U49" s="850"/>
      <c r="V49" s="1436"/>
      <c r="W49" s="5093"/>
      <c r="X49" s="5094"/>
      <c r="Y49" s="5094"/>
      <c r="Z49" s="5094"/>
      <c r="AA49" s="5094"/>
      <c r="AB49" s="5094"/>
      <c r="AC49" s="5094"/>
      <c r="AD49" s="5094"/>
      <c r="AE49" s="5094"/>
      <c r="AF49" s="5094"/>
      <c r="AG49" s="5094"/>
      <c r="AH49" s="5094"/>
      <c r="AI49" s="5094"/>
      <c r="AJ49" s="5094"/>
      <c r="AK49" s="5094"/>
      <c r="AL49" s="5095"/>
      <c r="AM49" s="959"/>
      <c r="AN49" s="852"/>
      <c r="AO49" s="1041"/>
    </row>
    <row r="50" spans="1:41" ht="12" customHeight="1" x14ac:dyDescent="0.2">
      <c r="A50" s="850"/>
      <c r="B50" s="1440"/>
      <c r="C50" s="5096" t="str">
        <f>"Desventajas: "&amp;IF(C44="","",IF(ISNA(VLOOKUP(C44,'Tablas Técnicas'!$AD$6:$AJ$188,6,FALSE)),"-",VLOOKUP(C44,'Tablas Técnicas'!$AD$6:$AJ$188,6,FALSE)))</f>
        <v xml:space="preserve">Desventajas: </v>
      </c>
      <c r="D50" s="5097"/>
      <c r="E50" s="5097"/>
      <c r="F50" s="5097"/>
      <c r="G50" s="5097"/>
      <c r="H50" s="5097"/>
      <c r="I50" s="5097"/>
      <c r="J50" s="5097"/>
      <c r="K50" s="5097"/>
      <c r="L50" s="5097"/>
      <c r="M50" s="5097"/>
      <c r="N50" s="5098"/>
      <c r="O50" s="5102" t="s">
        <v>4053</v>
      </c>
      <c r="P50" s="5103"/>
      <c r="Q50" s="5103"/>
      <c r="R50" s="5104"/>
      <c r="S50" s="882"/>
      <c r="T50" s="850"/>
      <c r="U50" s="850"/>
      <c r="V50" s="1440"/>
      <c r="W50" s="5096" t="str">
        <f>"Desventajas: "&amp;IF(W44="","",IF(ISNA(VLOOKUP(W44,'Tablas Técnicas'!$AD$6:$AJ$188,6,FALSE)),"-",VLOOKUP(W44,'Tablas Técnicas'!$AD$6:$AJ$188,6,FALSE)))</f>
        <v xml:space="preserve">Desventajas: </v>
      </c>
      <c r="X50" s="5097"/>
      <c r="Y50" s="5097"/>
      <c r="Z50" s="5097"/>
      <c r="AA50" s="5097"/>
      <c r="AB50" s="5097"/>
      <c r="AC50" s="5097"/>
      <c r="AD50" s="5097"/>
      <c r="AE50" s="5097"/>
      <c r="AF50" s="5097"/>
      <c r="AG50" s="5097"/>
      <c r="AH50" s="5098"/>
      <c r="AI50" s="5102" t="s">
        <v>4053</v>
      </c>
      <c r="AJ50" s="5103"/>
      <c r="AK50" s="5103"/>
      <c r="AL50" s="5104"/>
      <c r="AM50" s="882"/>
      <c r="AN50" s="852"/>
      <c r="AO50" s="1041"/>
    </row>
    <row r="51" spans="1:41" ht="12" customHeight="1" x14ac:dyDescent="0.2">
      <c r="A51" s="850"/>
      <c r="B51" s="1436"/>
      <c r="C51" s="5099"/>
      <c r="D51" s="5100"/>
      <c r="E51" s="5100"/>
      <c r="F51" s="5100"/>
      <c r="G51" s="5100"/>
      <c r="H51" s="5100"/>
      <c r="I51" s="5100"/>
      <c r="J51" s="5100"/>
      <c r="K51" s="5100"/>
      <c r="L51" s="5100"/>
      <c r="M51" s="5100"/>
      <c r="N51" s="5101"/>
      <c r="O51" s="5105"/>
      <c r="P51" s="5106"/>
      <c r="Q51" s="5106"/>
      <c r="R51" s="5107"/>
      <c r="S51" s="882"/>
      <c r="T51" s="850"/>
      <c r="U51" s="850"/>
      <c r="V51" s="1436"/>
      <c r="W51" s="5099"/>
      <c r="X51" s="5100"/>
      <c r="Y51" s="5100"/>
      <c r="Z51" s="5100"/>
      <c r="AA51" s="5100"/>
      <c r="AB51" s="5100"/>
      <c r="AC51" s="5100"/>
      <c r="AD51" s="5100"/>
      <c r="AE51" s="5100"/>
      <c r="AF51" s="5100"/>
      <c r="AG51" s="5100"/>
      <c r="AH51" s="5101"/>
      <c r="AI51" s="5105"/>
      <c r="AJ51" s="5106"/>
      <c r="AK51" s="5106"/>
      <c r="AL51" s="5107"/>
      <c r="AM51" s="882"/>
      <c r="AN51" s="852"/>
      <c r="AO51" s="1041"/>
    </row>
    <row r="52" spans="1:41" ht="12" customHeight="1" x14ac:dyDescent="0.2">
      <c r="A52" s="850"/>
      <c r="B52" s="1440"/>
      <c r="C52" s="5114" t="str">
        <f>IF(C44="","",IF(ISNA(VLOOKUP(C44,'Tablas Técnicas'!$AD$6:$AJ$188,4,FALSE)),"-",VLOOKUP(C44,'Tablas Técnicas'!$AD$6:$AJ$188,4,FALSE)))</f>
        <v/>
      </c>
      <c r="D52" s="5115"/>
      <c r="E52" s="5115"/>
      <c r="F52" s="5115"/>
      <c r="G52" s="5115"/>
      <c r="H52" s="5115"/>
      <c r="I52" s="5115"/>
      <c r="J52" s="5115"/>
      <c r="K52" s="5115"/>
      <c r="L52" s="5115"/>
      <c r="M52" s="5115"/>
      <c r="N52" s="5115"/>
      <c r="O52" s="5108"/>
      <c r="P52" s="5109"/>
      <c r="Q52" s="5109"/>
      <c r="R52" s="5110"/>
      <c r="S52" s="882"/>
      <c r="T52" s="850"/>
      <c r="U52" s="850"/>
      <c r="V52" s="1440"/>
      <c r="W52" s="5114" t="str">
        <f>IF(W44="","",IF(ISNA(VLOOKUP(W44,'Tablas Técnicas'!$AD$6:$AJ$188,4,FALSE)),"-",VLOOKUP(W44,'Tablas Técnicas'!$AD$6:$AJ$188,4,FALSE)))</f>
        <v/>
      </c>
      <c r="X52" s="5115"/>
      <c r="Y52" s="5115"/>
      <c r="Z52" s="5115"/>
      <c r="AA52" s="5115"/>
      <c r="AB52" s="5115"/>
      <c r="AC52" s="5115"/>
      <c r="AD52" s="5115"/>
      <c r="AE52" s="5115"/>
      <c r="AF52" s="5115"/>
      <c r="AG52" s="5115"/>
      <c r="AH52" s="5115"/>
      <c r="AI52" s="5108"/>
      <c r="AJ52" s="5109"/>
      <c r="AK52" s="5109"/>
      <c r="AL52" s="5110"/>
      <c r="AM52" s="882"/>
      <c r="AN52" s="852"/>
      <c r="AO52" s="1041"/>
    </row>
    <row r="53" spans="1:41" ht="12" customHeight="1" thickBot="1" x14ac:dyDescent="0.25">
      <c r="A53" s="850"/>
      <c r="B53" s="1436"/>
      <c r="C53" s="5116"/>
      <c r="D53" s="5117"/>
      <c r="E53" s="5117"/>
      <c r="F53" s="5117"/>
      <c r="G53" s="5117"/>
      <c r="H53" s="5117"/>
      <c r="I53" s="5117"/>
      <c r="J53" s="5117"/>
      <c r="K53" s="5117"/>
      <c r="L53" s="5117"/>
      <c r="M53" s="5117"/>
      <c r="N53" s="5117"/>
      <c r="O53" s="5111"/>
      <c r="P53" s="5112"/>
      <c r="Q53" s="5112"/>
      <c r="R53" s="5113"/>
      <c r="S53" s="882"/>
      <c r="T53" s="850"/>
      <c r="U53" s="850"/>
      <c r="V53" s="1436"/>
      <c r="W53" s="5116"/>
      <c r="X53" s="5117"/>
      <c r="Y53" s="5117"/>
      <c r="Z53" s="5117"/>
      <c r="AA53" s="5117"/>
      <c r="AB53" s="5117"/>
      <c r="AC53" s="5117"/>
      <c r="AD53" s="5117"/>
      <c r="AE53" s="5117"/>
      <c r="AF53" s="5117"/>
      <c r="AG53" s="5117"/>
      <c r="AH53" s="5117"/>
      <c r="AI53" s="5111"/>
      <c r="AJ53" s="5112"/>
      <c r="AK53" s="5112"/>
      <c r="AL53" s="5113"/>
      <c r="AM53" s="882"/>
      <c r="AN53" s="852"/>
      <c r="AO53" s="1041"/>
    </row>
    <row r="54" spans="1:41" ht="12" customHeight="1" thickBot="1" x14ac:dyDescent="0.25">
      <c r="A54" s="978"/>
      <c r="S54" s="882"/>
      <c r="T54" s="850"/>
      <c r="U54" s="851"/>
      <c r="V54" s="1439"/>
      <c r="W54" s="930"/>
      <c r="X54" s="980"/>
      <c r="Y54" s="980"/>
      <c r="Z54" s="980"/>
      <c r="AA54" s="980"/>
      <c r="AB54" s="980"/>
      <c r="AC54" s="980"/>
      <c r="AD54" s="980"/>
      <c r="AE54" s="980"/>
      <c r="AF54" s="973"/>
      <c r="AG54" s="973"/>
      <c r="AH54" s="973"/>
      <c r="AI54" s="973"/>
      <c r="AJ54" s="973"/>
      <c r="AK54" s="973"/>
      <c r="AL54" s="973"/>
      <c r="AM54" s="882"/>
      <c r="AN54" s="852"/>
      <c r="AO54" s="1041"/>
    </row>
    <row r="55" spans="1:41" ht="12" customHeight="1" x14ac:dyDescent="0.2">
      <c r="A55" s="850"/>
      <c r="B55" s="1436">
        <v>5</v>
      </c>
      <c r="C55" s="5078" t="s">
        <v>8730</v>
      </c>
      <c r="D55" s="5079"/>
      <c r="E55" s="5079"/>
      <c r="F55" s="5079"/>
      <c r="G55" s="5079"/>
      <c r="H55" s="5079"/>
      <c r="I55" s="5079"/>
      <c r="J55" s="5079"/>
      <c r="K55" s="5079"/>
      <c r="L55" s="5079"/>
      <c r="M55" s="5079"/>
      <c r="N55" s="5079"/>
      <c r="O55" s="5079"/>
      <c r="P55" s="5079"/>
      <c r="Q55" s="5080"/>
      <c r="R55" s="5081">
        <f>IF(C55="","",IF(ISNA(VLOOKUP(C55,'Tablas Técnicas'!$AD$6:$AJ$188,3,FALSE)),"-",VLOOKUP(C55,'Tablas Técnicas'!$AD$6:$AJ$188,3,FALSE)))</f>
        <v>0</v>
      </c>
      <c r="S55" s="937"/>
      <c r="T55" s="850"/>
      <c r="U55" s="850"/>
      <c r="V55" s="1436">
        <v>10</v>
      </c>
      <c r="W55" s="5078" t="s">
        <v>8730</v>
      </c>
      <c r="X55" s="5079"/>
      <c r="Y55" s="5079"/>
      <c r="Z55" s="5079"/>
      <c r="AA55" s="5079"/>
      <c r="AB55" s="5079"/>
      <c r="AC55" s="5079"/>
      <c r="AD55" s="5079"/>
      <c r="AE55" s="5079"/>
      <c r="AF55" s="5079"/>
      <c r="AG55" s="5079"/>
      <c r="AH55" s="5079"/>
      <c r="AI55" s="5079"/>
      <c r="AJ55" s="5079"/>
      <c r="AK55" s="5080"/>
      <c r="AL55" s="5081">
        <f>IF(W55="","",IF(ISNA(VLOOKUP(W55,'Tablas Técnicas'!$AD$6:$AJ$188,3,FALSE)),"-",VLOOKUP(W55,'Tablas Técnicas'!$AD$6:$AJ$188,3,FALSE)))</f>
        <v>0</v>
      </c>
      <c r="AM55" s="937"/>
      <c r="AN55" s="852"/>
      <c r="AO55" s="1041"/>
    </row>
    <row r="56" spans="1:41" ht="12" customHeight="1" x14ac:dyDescent="0.2">
      <c r="A56" s="850"/>
      <c r="B56" s="1436"/>
      <c r="C56" s="943" t="s">
        <v>2171</v>
      </c>
      <c r="D56" s="944">
        <f>IF(C55="","",IF(ISNA(VLOOKUP(C55,'Tablas Técnicas'!$AD$6:$AJ$188,2,FALSE)),"-",VLOOKUP(C55,'Tablas Técnicas'!$AD$6:$AJ$188,2,FALSE)))</f>
        <v>1</v>
      </c>
      <c r="E56" s="945" t="s">
        <v>2716</v>
      </c>
      <c r="F56" s="5083"/>
      <c r="G56" s="5083"/>
      <c r="H56" s="5083"/>
      <c r="I56" s="5084" t="s">
        <v>4033</v>
      </c>
      <c r="J56" s="5084"/>
      <c r="K56" s="5084"/>
      <c r="L56" s="5085" t="str">
        <f>IF(C55="","",IF(ISNA(VLOOKUP(C55,'Tablas Técnicas'!$AD$6:$AJ$188,7,FALSE)),"-",VLOOKUP(C55,'Tablas Técnicas'!$AD$6:$AJ$188,7,FALSE)))</f>
        <v/>
      </c>
      <c r="M56" s="5085"/>
      <c r="N56" s="5085"/>
      <c r="O56" s="5085"/>
      <c r="P56" s="5085"/>
      <c r="Q56" s="5086"/>
      <c r="R56" s="5082"/>
      <c r="S56" s="882"/>
      <c r="T56" s="850"/>
      <c r="U56" s="850"/>
      <c r="V56" s="1436"/>
      <c r="W56" s="943" t="s">
        <v>2171</v>
      </c>
      <c r="X56" s="944">
        <f>IF(W55="","",IF(ISNA(VLOOKUP(W55,'Tablas Técnicas'!$AD$6:$AJ$188,2,FALSE)),"-",VLOOKUP(W55,'Tablas Técnicas'!$AD$6:$AJ$188,2,FALSE)))</f>
        <v>1</v>
      </c>
      <c r="Y56" s="945" t="s">
        <v>2716</v>
      </c>
      <c r="Z56" s="5083"/>
      <c r="AA56" s="5083"/>
      <c r="AB56" s="5083"/>
      <c r="AC56" s="5084" t="s">
        <v>4033</v>
      </c>
      <c r="AD56" s="5084"/>
      <c r="AE56" s="5084"/>
      <c r="AF56" s="5085" t="str">
        <f>IF(W55="","",IF(ISNA(VLOOKUP(W55,'Tablas Técnicas'!$AD$6:$AJ$188,7,FALSE)),"-",VLOOKUP(W55,'Tablas Técnicas'!$AD$6:$AJ$188,7,FALSE)))</f>
        <v/>
      </c>
      <c r="AG56" s="5085"/>
      <c r="AH56" s="5085"/>
      <c r="AI56" s="5085"/>
      <c r="AJ56" s="5085"/>
      <c r="AK56" s="5086"/>
      <c r="AL56" s="5082"/>
      <c r="AM56" s="882"/>
      <c r="AN56" s="852"/>
      <c r="AO56" s="1041"/>
    </row>
    <row r="57" spans="1:41" ht="12" customHeight="1" x14ac:dyDescent="0.2">
      <c r="A57" s="850"/>
      <c r="B57" s="1436"/>
      <c r="C57" s="5087" t="str">
        <f>IF(C55="","",IF(ISNA(VLOOKUP(C55,'Tablas Técnicas'!$AD$6:$AJ$188,5,FALSE)),"-",VLOOKUP(C55,'Tablas Técnicas'!$AD$6:$AJ$188,5,FALSE)))</f>
        <v/>
      </c>
      <c r="D57" s="5088"/>
      <c r="E57" s="5088"/>
      <c r="F57" s="5088"/>
      <c r="G57" s="5088"/>
      <c r="H57" s="5088"/>
      <c r="I57" s="5088"/>
      <c r="J57" s="5088"/>
      <c r="K57" s="5088"/>
      <c r="L57" s="5088"/>
      <c r="M57" s="5088"/>
      <c r="N57" s="5088"/>
      <c r="O57" s="5088"/>
      <c r="P57" s="5088"/>
      <c r="Q57" s="5088"/>
      <c r="R57" s="5089"/>
      <c r="S57" s="950"/>
      <c r="T57" s="949"/>
      <c r="U57" s="850"/>
      <c r="V57" s="1436"/>
      <c r="W57" s="5087" t="str">
        <f>IF(W55="","",IF(ISNA(VLOOKUP(W55,'Tablas Técnicas'!$AD$6:$AJ$188,5,FALSE)),"-",VLOOKUP(W55,'Tablas Técnicas'!$AD$6:$AJ$188,5,FALSE)))</f>
        <v/>
      </c>
      <c r="X57" s="5088"/>
      <c r="Y57" s="5088"/>
      <c r="Z57" s="5088"/>
      <c r="AA57" s="5088"/>
      <c r="AB57" s="5088"/>
      <c r="AC57" s="5088"/>
      <c r="AD57" s="5088"/>
      <c r="AE57" s="5088"/>
      <c r="AF57" s="5088"/>
      <c r="AG57" s="5088"/>
      <c r="AH57" s="5088"/>
      <c r="AI57" s="5088"/>
      <c r="AJ57" s="5088"/>
      <c r="AK57" s="5088"/>
      <c r="AL57" s="5089"/>
      <c r="AM57" s="950"/>
      <c r="AN57" s="852"/>
      <c r="AO57" s="1041"/>
    </row>
    <row r="58" spans="1:41" ht="12" customHeight="1" x14ac:dyDescent="0.2">
      <c r="A58" s="850"/>
      <c r="B58" s="1436"/>
      <c r="C58" s="5090"/>
      <c r="D58" s="5091"/>
      <c r="E58" s="5091"/>
      <c r="F58" s="5091"/>
      <c r="G58" s="5091"/>
      <c r="H58" s="5091"/>
      <c r="I58" s="5091"/>
      <c r="J58" s="5091"/>
      <c r="K58" s="5091"/>
      <c r="L58" s="5091"/>
      <c r="M58" s="5091"/>
      <c r="N58" s="5091"/>
      <c r="O58" s="5091"/>
      <c r="P58" s="5091"/>
      <c r="Q58" s="5091"/>
      <c r="R58" s="5092"/>
      <c r="S58" s="959"/>
      <c r="T58" s="949"/>
      <c r="U58" s="850"/>
      <c r="V58" s="1436"/>
      <c r="W58" s="5090"/>
      <c r="X58" s="5091"/>
      <c r="Y58" s="5091"/>
      <c r="Z58" s="5091"/>
      <c r="AA58" s="5091"/>
      <c r="AB58" s="5091"/>
      <c r="AC58" s="5091"/>
      <c r="AD58" s="5091"/>
      <c r="AE58" s="5091"/>
      <c r="AF58" s="5091"/>
      <c r="AG58" s="5091"/>
      <c r="AH58" s="5091"/>
      <c r="AI58" s="5091"/>
      <c r="AJ58" s="5091"/>
      <c r="AK58" s="5091"/>
      <c r="AL58" s="5092"/>
      <c r="AM58" s="959"/>
      <c r="AN58" s="852"/>
      <c r="AO58" s="1041"/>
    </row>
    <row r="59" spans="1:41" ht="12" customHeight="1" x14ac:dyDescent="0.2">
      <c r="A59" s="850"/>
      <c r="B59" s="1436"/>
      <c r="C59" s="5090"/>
      <c r="D59" s="5091"/>
      <c r="E59" s="5091"/>
      <c r="F59" s="5091"/>
      <c r="G59" s="5091"/>
      <c r="H59" s="5091"/>
      <c r="I59" s="5091"/>
      <c r="J59" s="5091"/>
      <c r="K59" s="5091"/>
      <c r="L59" s="5091"/>
      <c r="M59" s="5091"/>
      <c r="N59" s="5091"/>
      <c r="O59" s="5091"/>
      <c r="P59" s="5091"/>
      <c r="Q59" s="5091"/>
      <c r="R59" s="5092"/>
      <c r="S59" s="959"/>
      <c r="T59" s="949"/>
      <c r="U59" s="850"/>
      <c r="V59" s="1436"/>
      <c r="W59" s="5090"/>
      <c r="X59" s="5091"/>
      <c r="Y59" s="5091"/>
      <c r="Z59" s="5091"/>
      <c r="AA59" s="5091"/>
      <c r="AB59" s="5091"/>
      <c r="AC59" s="5091"/>
      <c r="AD59" s="5091"/>
      <c r="AE59" s="5091"/>
      <c r="AF59" s="5091"/>
      <c r="AG59" s="5091"/>
      <c r="AH59" s="5091"/>
      <c r="AI59" s="5091"/>
      <c r="AJ59" s="5091"/>
      <c r="AK59" s="5091"/>
      <c r="AL59" s="5092"/>
      <c r="AM59" s="959"/>
      <c r="AN59" s="852"/>
      <c r="AO59" s="1041"/>
    </row>
    <row r="60" spans="1:41" ht="12" customHeight="1" x14ac:dyDescent="0.2">
      <c r="A60" s="850"/>
      <c r="B60" s="1436"/>
      <c r="C60" s="5093"/>
      <c r="D60" s="5094"/>
      <c r="E60" s="5094"/>
      <c r="F60" s="5094"/>
      <c r="G60" s="5094"/>
      <c r="H60" s="5094"/>
      <c r="I60" s="5094"/>
      <c r="J60" s="5094"/>
      <c r="K60" s="5094"/>
      <c r="L60" s="5094"/>
      <c r="M60" s="5094"/>
      <c r="N60" s="5094"/>
      <c r="O60" s="5094"/>
      <c r="P60" s="5094"/>
      <c r="Q60" s="5094"/>
      <c r="R60" s="5095"/>
      <c r="S60" s="959"/>
      <c r="T60" s="949"/>
      <c r="U60" s="850"/>
      <c r="V60" s="1436"/>
      <c r="W60" s="5093"/>
      <c r="X60" s="5094"/>
      <c r="Y60" s="5094"/>
      <c r="Z60" s="5094"/>
      <c r="AA60" s="5094"/>
      <c r="AB60" s="5094"/>
      <c r="AC60" s="5094"/>
      <c r="AD60" s="5094"/>
      <c r="AE60" s="5094"/>
      <c r="AF60" s="5094"/>
      <c r="AG60" s="5094"/>
      <c r="AH60" s="5094"/>
      <c r="AI60" s="5094"/>
      <c r="AJ60" s="5094"/>
      <c r="AK60" s="5094"/>
      <c r="AL60" s="5095"/>
      <c r="AM60" s="959"/>
      <c r="AN60" s="852"/>
      <c r="AO60" s="1041"/>
    </row>
    <row r="61" spans="1:41" ht="12" customHeight="1" x14ac:dyDescent="0.2">
      <c r="A61" s="850"/>
      <c r="B61" s="1440"/>
      <c r="C61" s="5096" t="str">
        <f>"Desventajas: "&amp;IF(C55="","",IF(ISNA(VLOOKUP(C55,'Tablas Técnicas'!$AD$6:$AJ$188,6,FALSE)),"-",VLOOKUP(C55,'Tablas Técnicas'!$AD$6:$AJ$188,6,FALSE)))</f>
        <v xml:space="preserve">Desventajas: </v>
      </c>
      <c r="D61" s="5097"/>
      <c r="E61" s="5097"/>
      <c r="F61" s="5097"/>
      <c r="G61" s="5097"/>
      <c r="H61" s="5097"/>
      <c r="I61" s="5097"/>
      <c r="J61" s="5097"/>
      <c r="K61" s="5097"/>
      <c r="L61" s="5097"/>
      <c r="M61" s="5097"/>
      <c r="N61" s="5098"/>
      <c r="O61" s="5102" t="s">
        <v>4053</v>
      </c>
      <c r="P61" s="5103"/>
      <c r="Q61" s="5103"/>
      <c r="R61" s="5104"/>
      <c r="S61" s="882"/>
      <c r="T61" s="850"/>
      <c r="U61" s="850"/>
      <c r="V61" s="1440"/>
      <c r="W61" s="5096" t="str">
        <f>"Desventajas: "&amp;IF(W55="","",IF(ISNA(VLOOKUP(W55,'Tablas Técnicas'!$AD$6:$AJ$188,6,FALSE)),"-",VLOOKUP(W55,'Tablas Técnicas'!$AD$6:$AJ$188,6,FALSE)))</f>
        <v xml:space="preserve">Desventajas: </v>
      </c>
      <c r="X61" s="5097"/>
      <c r="Y61" s="5097"/>
      <c r="Z61" s="5097"/>
      <c r="AA61" s="5097"/>
      <c r="AB61" s="5097"/>
      <c r="AC61" s="5097"/>
      <c r="AD61" s="5097"/>
      <c r="AE61" s="5097"/>
      <c r="AF61" s="5097"/>
      <c r="AG61" s="5097"/>
      <c r="AH61" s="5098"/>
      <c r="AI61" s="5102" t="s">
        <v>4053</v>
      </c>
      <c r="AJ61" s="5103"/>
      <c r="AK61" s="5103"/>
      <c r="AL61" s="5104"/>
      <c r="AM61" s="882"/>
      <c r="AN61" s="852"/>
      <c r="AO61" s="1041"/>
    </row>
    <row r="62" spans="1:41" ht="12" customHeight="1" x14ac:dyDescent="0.2">
      <c r="A62" s="850"/>
      <c r="B62" s="1436"/>
      <c r="C62" s="5099"/>
      <c r="D62" s="5100"/>
      <c r="E62" s="5100"/>
      <c r="F62" s="5100"/>
      <c r="G62" s="5100"/>
      <c r="H62" s="5100"/>
      <c r="I62" s="5100"/>
      <c r="J62" s="5100"/>
      <c r="K62" s="5100"/>
      <c r="L62" s="5100"/>
      <c r="M62" s="5100"/>
      <c r="N62" s="5101"/>
      <c r="O62" s="5105"/>
      <c r="P62" s="5106"/>
      <c r="Q62" s="5106"/>
      <c r="R62" s="5107"/>
      <c r="S62" s="882"/>
      <c r="T62" s="850"/>
      <c r="U62" s="850"/>
      <c r="V62" s="1436"/>
      <c r="W62" s="5099"/>
      <c r="X62" s="5100"/>
      <c r="Y62" s="5100"/>
      <c r="Z62" s="5100"/>
      <c r="AA62" s="5100"/>
      <c r="AB62" s="5100"/>
      <c r="AC62" s="5100"/>
      <c r="AD62" s="5100"/>
      <c r="AE62" s="5100"/>
      <c r="AF62" s="5100"/>
      <c r="AG62" s="5100"/>
      <c r="AH62" s="5101"/>
      <c r="AI62" s="5105"/>
      <c r="AJ62" s="5106"/>
      <c r="AK62" s="5106"/>
      <c r="AL62" s="5107"/>
      <c r="AM62" s="882"/>
      <c r="AN62" s="852"/>
      <c r="AO62" s="1041"/>
    </row>
    <row r="63" spans="1:41" ht="12" customHeight="1" x14ac:dyDescent="0.2">
      <c r="A63" s="850"/>
      <c r="B63" s="1440"/>
      <c r="C63" s="5114" t="str">
        <f>IF(C55="","",IF(ISNA(VLOOKUP(C55,'Tablas Técnicas'!$AD$6:$AJ$188,4,FALSE)),"-",VLOOKUP(C55,'Tablas Técnicas'!$AD$6:$AJ$188,4,FALSE)))</f>
        <v/>
      </c>
      <c r="D63" s="5115"/>
      <c r="E63" s="5115"/>
      <c r="F63" s="5115"/>
      <c r="G63" s="5115"/>
      <c r="H63" s="5115"/>
      <c r="I63" s="5115"/>
      <c r="J63" s="5115"/>
      <c r="K63" s="5115"/>
      <c r="L63" s="5115"/>
      <c r="M63" s="5115"/>
      <c r="N63" s="5115"/>
      <c r="O63" s="5108"/>
      <c r="P63" s="5109"/>
      <c r="Q63" s="5109"/>
      <c r="R63" s="5110"/>
      <c r="S63" s="882"/>
      <c r="T63" s="850"/>
      <c r="U63" s="850"/>
      <c r="V63" s="1440"/>
      <c r="W63" s="5114" t="str">
        <f>IF(W55="","",IF(ISNA(VLOOKUP(W55,'Tablas Técnicas'!$AD$6:$AJ$188,4,FALSE)),"-",VLOOKUP(W55,'Tablas Técnicas'!$AD$6:$AJ$188,4,FALSE)))</f>
        <v/>
      </c>
      <c r="X63" s="5115"/>
      <c r="Y63" s="5115"/>
      <c r="Z63" s="5115"/>
      <c r="AA63" s="5115"/>
      <c r="AB63" s="5115"/>
      <c r="AC63" s="5115"/>
      <c r="AD63" s="5115"/>
      <c r="AE63" s="5115"/>
      <c r="AF63" s="5115"/>
      <c r="AG63" s="5115"/>
      <c r="AH63" s="5115"/>
      <c r="AI63" s="5108"/>
      <c r="AJ63" s="5109"/>
      <c r="AK63" s="5109"/>
      <c r="AL63" s="5110"/>
      <c r="AM63" s="882"/>
      <c r="AN63" s="852"/>
      <c r="AO63" s="1041"/>
    </row>
    <row r="64" spans="1:41" ht="12" customHeight="1" thickBot="1" x14ac:dyDescent="0.25">
      <c r="A64" s="850"/>
      <c r="B64" s="1436"/>
      <c r="C64" s="5116"/>
      <c r="D64" s="5117"/>
      <c r="E64" s="5117"/>
      <c r="F64" s="5117"/>
      <c r="G64" s="5117"/>
      <c r="H64" s="5117"/>
      <c r="I64" s="5117"/>
      <c r="J64" s="5117"/>
      <c r="K64" s="5117"/>
      <c r="L64" s="5117"/>
      <c r="M64" s="5117"/>
      <c r="N64" s="5117"/>
      <c r="O64" s="5111"/>
      <c r="P64" s="5112"/>
      <c r="Q64" s="5112"/>
      <c r="R64" s="5113"/>
      <c r="S64" s="882"/>
      <c r="T64" s="850"/>
      <c r="U64" s="850"/>
      <c r="V64" s="1436"/>
      <c r="W64" s="5116"/>
      <c r="X64" s="5117"/>
      <c r="Y64" s="5117"/>
      <c r="Z64" s="5117"/>
      <c r="AA64" s="5117"/>
      <c r="AB64" s="5117"/>
      <c r="AC64" s="5117"/>
      <c r="AD64" s="5117"/>
      <c r="AE64" s="5117"/>
      <c r="AF64" s="5117"/>
      <c r="AG64" s="5117"/>
      <c r="AH64" s="5117"/>
      <c r="AI64" s="5111"/>
      <c r="AJ64" s="5112"/>
      <c r="AK64" s="5112"/>
      <c r="AL64" s="5113"/>
      <c r="AM64" s="882"/>
      <c r="AN64" s="852"/>
      <c r="AO64" s="1041"/>
    </row>
    <row r="65" spans="1:41" ht="12" customHeight="1" x14ac:dyDescent="0.2">
      <c r="A65" s="851"/>
      <c r="B65" s="1439"/>
      <c r="S65" s="882"/>
      <c r="T65" s="852"/>
      <c r="U65" s="851"/>
      <c r="V65" s="1439"/>
      <c r="W65" s="930"/>
      <c r="X65" s="930"/>
      <c r="Y65" s="930"/>
      <c r="Z65" s="930"/>
      <c r="AA65" s="930"/>
      <c r="AB65" s="930"/>
      <c r="AC65" s="930"/>
      <c r="AD65" s="930"/>
      <c r="AE65" s="930"/>
      <c r="AF65" s="930"/>
      <c r="AG65" s="930"/>
      <c r="AH65" s="930"/>
      <c r="AI65" s="930"/>
      <c r="AJ65" s="930"/>
      <c r="AK65" s="930"/>
      <c r="AL65" s="930"/>
      <c r="AM65" s="882"/>
      <c r="AN65" s="852"/>
      <c r="AO65" s="1041"/>
    </row>
    <row r="66" spans="1:41" ht="12" customHeight="1" x14ac:dyDescent="0.2">
      <c r="A66" s="851"/>
      <c r="B66" s="1439"/>
      <c r="S66" s="882"/>
      <c r="T66" s="852"/>
      <c r="U66" s="851"/>
      <c r="V66" s="1439"/>
      <c r="W66" s="930"/>
      <c r="X66" s="930"/>
      <c r="Y66" s="930"/>
      <c r="Z66" s="930"/>
      <c r="AA66" s="930"/>
      <c r="AB66" s="930"/>
      <c r="AC66" s="930"/>
      <c r="AD66" s="930"/>
      <c r="AE66" s="930"/>
      <c r="AF66" s="930"/>
      <c r="AG66" s="930"/>
      <c r="AH66" s="930"/>
      <c r="AI66" s="930"/>
      <c r="AJ66" s="930"/>
      <c r="AK66" s="930"/>
      <c r="AL66" s="930"/>
      <c r="AM66" s="882"/>
      <c r="AN66" s="852"/>
      <c r="AO66" s="1041"/>
    </row>
    <row r="67" spans="1:41" ht="12" customHeight="1" thickBot="1" x14ac:dyDescent="0.25">
      <c r="A67" s="851"/>
      <c r="B67" s="1442"/>
      <c r="C67" s="986"/>
      <c r="D67" s="986"/>
      <c r="E67" s="986"/>
      <c r="F67" s="986"/>
      <c r="G67" s="986"/>
      <c r="H67" s="986"/>
      <c r="I67" s="986"/>
      <c r="J67" s="5118" t="s">
        <v>4293</v>
      </c>
      <c r="K67" s="5118"/>
      <c r="L67" s="986"/>
      <c r="M67" s="986"/>
      <c r="N67" s="986"/>
      <c r="O67" s="986"/>
      <c r="P67" s="986"/>
      <c r="Q67" s="986"/>
      <c r="R67" s="986"/>
      <c r="S67" s="987"/>
      <c r="T67" s="852"/>
      <c r="U67" s="851"/>
      <c r="V67" s="1442"/>
      <c r="W67" s="986"/>
      <c r="X67" s="986"/>
      <c r="Y67" s="986"/>
      <c r="Z67" s="986"/>
      <c r="AA67" s="986"/>
      <c r="AB67" s="986"/>
      <c r="AC67" s="986"/>
      <c r="AD67" s="5118" t="s">
        <v>4294</v>
      </c>
      <c r="AE67" s="5118"/>
      <c r="AF67" s="986"/>
      <c r="AG67" s="986"/>
      <c r="AH67" s="986"/>
      <c r="AI67" s="986"/>
      <c r="AJ67" s="986"/>
      <c r="AK67" s="986"/>
      <c r="AL67" s="986"/>
      <c r="AM67" s="987"/>
      <c r="AN67" s="852"/>
      <c r="AO67" s="1041"/>
    </row>
    <row r="68" spans="1:41" ht="12" customHeight="1" x14ac:dyDescent="0.2">
      <c r="A68" s="851"/>
      <c r="B68" s="1437"/>
      <c r="C68" s="851"/>
      <c r="D68" s="851"/>
      <c r="E68" s="851"/>
      <c r="F68" s="851"/>
      <c r="G68" s="851"/>
      <c r="H68" s="851"/>
      <c r="I68" s="851"/>
      <c r="J68" s="851"/>
      <c r="K68" s="851"/>
      <c r="L68" s="851"/>
      <c r="M68" s="851"/>
      <c r="N68" s="851"/>
      <c r="O68" s="851"/>
      <c r="P68" s="851"/>
      <c r="Q68" s="851"/>
      <c r="R68" s="851"/>
      <c r="S68" s="988"/>
      <c r="T68" s="852"/>
      <c r="U68" s="851"/>
      <c r="V68" s="1437"/>
      <c r="W68" s="851"/>
      <c r="X68" s="851"/>
      <c r="Y68" s="851"/>
      <c r="Z68" s="851"/>
      <c r="AA68" s="851"/>
      <c r="AB68" s="851"/>
      <c r="AC68" s="851"/>
      <c r="AD68" s="851"/>
      <c r="AE68" s="851"/>
      <c r="AF68" s="851"/>
      <c r="AG68" s="851"/>
      <c r="AH68" s="851"/>
      <c r="AI68" s="851"/>
      <c r="AJ68" s="851"/>
      <c r="AK68" s="851"/>
      <c r="AL68" s="851"/>
      <c r="AM68" s="988"/>
      <c r="AN68" s="852"/>
      <c r="AO68" s="1041"/>
    </row>
    <row r="69" spans="1:41" ht="12" customHeight="1" x14ac:dyDescent="0.2">
      <c r="A69" s="928"/>
      <c r="B69" s="1443"/>
      <c r="C69" s="928"/>
      <c r="D69" s="928"/>
      <c r="E69" s="928"/>
      <c r="F69" s="928"/>
      <c r="G69" s="928"/>
      <c r="H69" s="928"/>
      <c r="I69" s="928"/>
      <c r="J69" s="928"/>
      <c r="K69" s="928"/>
      <c r="L69" s="928"/>
      <c r="M69" s="928"/>
      <c r="N69" s="928"/>
      <c r="O69" s="928"/>
      <c r="P69" s="928"/>
      <c r="Q69" s="928"/>
      <c r="R69" s="928"/>
      <c r="S69" s="928"/>
      <c r="T69" s="928"/>
      <c r="U69" s="930"/>
      <c r="V69" s="1443"/>
      <c r="W69" s="930"/>
      <c r="X69" s="930"/>
      <c r="Y69" s="930"/>
      <c r="Z69" s="930"/>
      <c r="AA69" s="930"/>
      <c r="AB69" s="930"/>
      <c r="AC69" s="930"/>
      <c r="AD69" s="930"/>
      <c r="AE69" s="930"/>
      <c r="AF69" s="930"/>
      <c r="AG69" s="930"/>
      <c r="AH69" s="930"/>
      <c r="AI69" s="930"/>
      <c r="AJ69" s="930"/>
      <c r="AK69" s="930"/>
      <c r="AL69" s="930"/>
      <c r="AM69" s="928"/>
      <c r="AN69" s="1043"/>
      <c r="AO69" s="1041"/>
    </row>
    <row r="70" spans="1:41" ht="12" customHeight="1" x14ac:dyDescent="0.2">
      <c r="T70" s="928"/>
      <c r="U70" s="930"/>
      <c r="V70" s="1443"/>
      <c r="W70" s="930"/>
      <c r="X70" s="930"/>
      <c r="Y70" s="930"/>
      <c r="Z70" s="930"/>
      <c r="AA70" s="930"/>
      <c r="AB70" s="930"/>
      <c r="AC70" s="930"/>
      <c r="AD70" s="930"/>
      <c r="AE70" s="930"/>
      <c r="AF70" s="930"/>
      <c r="AG70" s="930"/>
      <c r="AH70" s="930"/>
      <c r="AI70" s="930"/>
      <c r="AJ70" s="930"/>
      <c r="AK70" s="930"/>
      <c r="AL70" s="930"/>
      <c r="AM70" s="928"/>
      <c r="AN70" s="1043"/>
      <c r="AO70" s="1041"/>
    </row>
    <row r="71" spans="1:41" ht="12" customHeight="1" x14ac:dyDescent="0.2">
      <c r="T71" s="928"/>
      <c r="U71" s="930"/>
      <c r="V71" s="1443"/>
      <c r="W71" s="930"/>
      <c r="X71" s="1044"/>
      <c r="Y71" s="1044"/>
      <c r="Z71" s="1044"/>
      <c r="AA71" s="1044"/>
      <c r="AB71" s="1044"/>
      <c r="AC71" s="1044"/>
      <c r="AD71" s="1044"/>
      <c r="AE71" s="1044"/>
      <c r="AF71" s="1044"/>
      <c r="AG71" s="1044"/>
      <c r="AH71" s="1044"/>
      <c r="AI71" s="1044"/>
      <c r="AJ71" s="1044"/>
      <c r="AK71" s="1044"/>
      <c r="AL71" s="1044"/>
      <c r="AM71" s="928"/>
      <c r="AN71" s="1043"/>
      <c r="AO71" s="1041"/>
    </row>
    <row r="72" spans="1:41" ht="12" customHeight="1" x14ac:dyDescent="0.2">
      <c r="T72" s="928"/>
      <c r="U72" s="930"/>
      <c r="V72" s="1443"/>
      <c r="W72" s="930"/>
      <c r="X72" s="1044"/>
      <c r="Y72" s="1044"/>
      <c r="Z72" s="1044"/>
      <c r="AA72" s="1044"/>
      <c r="AB72" s="1044"/>
      <c r="AC72" s="1044"/>
      <c r="AD72" s="1044"/>
      <c r="AE72" s="1045"/>
      <c r="AF72" s="1046"/>
      <c r="AG72" s="1046"/>
      <c r="AH72" s="1046"/>
      <c r="AI72" s="1046"/>
      <c r="AJ72" s="1046"/>
      <c r="AK72" s="1046"/>
      <c r="AL72" s="1047"/>
      <c r="AM72" s="928"/>
      <c r="AN72" s="1043"/>
      <c r="AO72" s="1041"/>
    </row>
    <row r="73" spans="1:41" ht="12" customHeight="1" x14ac:dyDescent="0.2">
      <c r="T73" s="928"/>
      <c r="U73" s="930"/>
      <c r="V73" s="1443"/>
      <c r="W73" s="930"/>
      <c r="X73" s="1044"/>
      <c r="Y73" s="1044"/>
      <c r="Z73" s="1044"/>
      <c r="AA73" s="1044"/>
      <c r="AB73" s="1044"/>
      <c r="AC73" s="1044"/>
      <c r="AD73" s="1044"/>
      <c r="AE73" s="1046"/>
      <c r="AF73" s="1046"/>
      <c r="AG73" s="1046"/>
      <c r="AH73" s="1046"/>
      <c r="AI73" s="1046"/>
      <c r="AJ73" s="1046"/>
      <c r="AK73" s="1046"/>
      <c r="AL73" s="1044"/>
      <c r="AM73" s="928"/>
      <c r="AN73" s="1043"/>
      <c r="AO73" s="1041"/>
    </row>
    <row r="74" spans="1:41" ht="12" customHeight="1" x14ac:dyDescent="0.2">
      <c r="T74" s="928"/>
      <c r="U74" s="930"/>
      <c r="V74" s="1443"/>
      <c r="W74" s="930"/>
      <c r="X74" s="1044"/>
      <c r="Y74" s="1044"/>
      <c r="Z74" s="1044"/>
      <c r="AA74" s="1044"/>
      <c r="AB74" s="1044"/>
      <c r="AC74" s="1044"/>
      <c r="AD74" s="1044"/>
      <c r="AE74" s="1045"/>
      <c r="AF74" s="1046"/>
      <c r="AG74" s="1046"/>
      <c r="AH74" s="1046"/>
      <c r="AI74" s="1046"/>
      <c r="AJ74" s="1046"/>
      <c r="AK74" s="1046"/>
      <c r="AL74" s="1044"/>
      <c r="AM74" s="928"/>
      <c r="AN74" s="1043"/>
      <c r="AO74" s="1041"/>
    </row>
    <row r="75" spans="1:41" ht="12" customHeight="1" x14ac:dyDescent="0.2">
      <c r="T75" s="928"/>
      <c r="U75" s="930"/>
      <c r="V75" s="1443"/>
      <c r="W75" s="930"/>
      <c r="X75" s="1044"/>
      <c r="Y75" s="1044"/>
      <c r="Z75" s="1044"/>
      <c r="AA75" s="1044"/>
      <c r="AB75" s="1044"/>
      <c r="AC75" s="1044"/>
      <c r="AD75" s="1044"/>
      <c r="AE75" s="1046"/>
      <c r="AF75" s="1046"/>
      <c r="AG75" s="1046"/>
      <c r="AH75" s="1046"/>
      <c r="AI75" s="1046"/>
      <c r="AJ75" s="1046"/>
      <c r="AK75" s="1046"/>
      <c r="AL75" s="1044"/>
      <c r="AM75" s="928"/>
      <c r="AN75" s="1043"/>
      <c r="AO75" s="1041"/>
    </row>
    <row r="76" spans="1:41" ht="12" customHeight="1" x14ac:dyDescent="0.2">
      <c r="T76" s="928"/>
      <c r="U76" s="930"/>
      <c r="V76" s="1443"/>
      <c r="W76" s="930"/>
      <c r="X76" s="1044"/>
      <c r="Y76" s="1044"/>
      <c r="Z76" s="1044"/>
      <c r="AA76" s="1044"/>
      <c r="AB76" s="1044"/>
      <c r="AC76" s="1044"/>
      <c r="AD76" s="1044"/>
      <c r="AE76" s="1044"/>
      <c r="AF76" s="1044"/>
      <c r="AG76" s="1044"/>
      <c r="AH76" s="1044"/>
      <c r="AI76" s="1044"/>
      <c r="AJ76" s="1044"/>
      <c r="AK76" s="1044"/>
      <c r="AL76" s="1044"/>
      <c r="AM76" s="928"/>
      <c r="AN76" s="1043"/>
      <c r="AO76" s="1041"/>
    </row>
    <row r="77" spans="1:41" ht="12" customHeight="1" x14ac:dyDescent="0.2">
      <c r="T77" s="928"/>
      <c r="U77" s="930"/>
      <c r="V77" s="1443"/>
      <c r="W77" s="930"/>
      <c r="X77" s="930"/>
      <c r="Y77" s="930"/>
      <c r="Z77" s="930"/>
      <c r="AA77" s="930"/>
      <c r="AB77" s="930"/>
      <c r="AC77" s="930"/>
      <c r="AD77" s="930"/>
      <c r="AE77" s="930"/>
      <c r="AF77" s="930"/>
      <c r="AG77" s="930"/>
      <c r="AH77" s="930"/>
      <c r="AI77" s="930"/>
      <c r="AJ77" s="930"/>
      <c r="AK77" s="930"/>
      <c r="AL77" s="930"/>
      <c r="AM77" s="928"/>
      <c r="AN77" s="1043"/>
      <c r="AO77" s="1041"/>
    </row>
    <row r="78" spans="1:41" ht="12" customHeight="1" x14ac:dyDescent="0.2">
      <c r="T78" s="928"/>
      <c r="U78" s="930"/>
      <c r="V78" s="1443"/>
      <c r="W78" s="930"/>
      <c r="X78" s="1048"/>
      <c r="Y78" s="1048"/>
      <c r="Z78" s="1049"/>
      <c r="AA78" s="1049"/>
      <c r="AB78" s="1049"/>
      <c r="AC78" s="1049"/>
      <c r="AD78" s="1050"/>
      <c r="AE78" s="930"/>
      <c r="AF78" s="1048"/>
      <c r="AG78" s="1048"/>
      <c r="AH78" s="1049"/>
      <c r="AI78" s="1049"/>
      <c r="AJ78" s="1049"/>
      <c r="AK78" s="1049"/>
      <c r="AL78" s="1050"/>
      <c r="AM78" s="928"/>
      <c r="AN78" s="1043"/>
      <c r="AO78" s="1041"/>
    </row>
    <row r="79" spans="1:41" ht="12" customHeight="1" x14ac:dyDescent="0.2">
      <c r="T79" s="928"/>
      <c r="U79" s="930"/>
      <c r="V79" s="1443"/>
      <c r="W79" s="930"/>
      <c r="X79" s="1051"/>
      <c r="Y79" s="1051"/>
      <c r="Z79" s="1049"/>
      <c r="AA79" s="1049"/>
      <c r="AB79" s="1049"/>
      <c r="AC79" s="1049"/>
      <c r="AD79" s="1052"/>
      <c r="AE79" s="1053"/>
      <c r="AF79" s="1051"/>
      <c r="AG79" s="1051"/>
      <c r="AH79" s="1049"/>
      <c r="AI79" s="1049"/>
      <c r="AJ79" s="1049"/>
      <c r="AK79" s="1049"/>
      <c r="AL79" s="1052"/>
      <c r="AM79" s="928"/>
      <c r="AN79" s="1043"/>
      <c r="AO79" s="1041"/>
    </row>
    <row r="80" spans="1:41" ht="12" customHeight="1" x14ac:dyDescent="0.2">
      <c r="A80" s="928"/>
      <c r="B80" s="1443"/>
      <c r="C80" s="928"/>
      <c r="D80" s="1054"/>
      <c r="E80" s="1054"/>
      <c r="F80" s="1055"/>
      <c r="G80" s="1055"/>
      <c r="H80" s="1055"/>
      <c r="I80" s="1056"/>
      <c r="J80" s="1057"/>
      <c r="K80" s="1058"/>
      <c r="L80" s="1054"/>
      <c r="M80" s="1054"/>
      <c r="N80" s="1055"/>
      <c r="O80" s="1055"/>
      <c r="P80" s="1055"/>
      <c r="Q80" s="1056"/>
      <c r="R80" s="1057"/>
      <c r="S80" s="928"/>
      <c r="T80" s="928"/>
      <c r="U80" s="930"/>
      <c r="V80" s="1443"/>
      <c r="W80" s="930"/>
      <c r="X80" s="1059"/>
      <c r="Y80" s="1059"/>
      <c r="Z80" s="1060"/>
      <c r="AA80" s="1060"/>
      <c r="AB80" s="1060"/>
      <c r="AC80" s="1061"/>
      <c r="AD80" s="1052"/>
      <c r="AE80" s="1053"/>
      <c r="AF80" s="1059"/>
      <c r="AG80" s="1059"/>
      <c r="AH80" s="1060"/>
      <c r="AI80" s="1060"/>
      <c r="AJ80" s="1060"/>
      <c r="AK80" s="1061"/>
      <c r="AL80" s="1052"/>
      <c r="AM80" s="928"/>
      <c r="AN80" s="1043"/>
      <c r="AO80" s="1041"/>
    </row>
    <row r="81" spans="1:41" ht="12" customHeight="1" x14ac:dyDescent="0.2">
      <c r="T81" s="928"/>
      <c r="U81" s="930"/>
      <c r="V81" s="1443"/>
      <c r="W81" s="930"/>
      <c r="X81" s="930"/>
      <c r="Y81" s="1062"/>
      <c r="Z81" s="1062"/>
      <c r="AA81" s="1062"/>
      <c r="AB81" s="1062"/>
      <c r="AC81" s="1062"/>
      <c r="AD81" s="1062"/>
      <c r="AE81" s="1053"/>
      <c r="AF81" s="930"/>
      <c r="AG81" s="1062"/>
      <c r="AH81" s="1062"/>
      <c r="AI81" s="1062"/>
      <c r="AJ81" s="1062"/>
      <c r="AK81" s="1062"/>
      <c r="AL81" s="1062"/>
      <c r="AM81" s="928"/>
      <c r="AN81" s="1043"/>
      <c r="AO81" s="1041"/>
    </row>
    <row r="82" spans="1:41" ht="12" customHeight="1" x14ac:dyDescent="0.2">
      <c r="T82" s="928"/>
      <c r="U82" s="930"/>
      <c r="V82" s="1443"/>
      <c r="W82" s="930"/>
      <c r="X82" s="1059"/>
      <c r="Y82" s="1063"/>
      <c r="Z82" s="1063"/>
      <c r="AA82" s="1063"/>
      <c r="AB82" s="1063"/>
      <c r="AC82" s="1063"/>
      <c r="AD82" s="1063"/>
      <c r="AE82" s="1064"/>
      <c r="AF82" s="1059"/>
      <c r="AG82" s="1063"/>
      <c r="AH82" s="1063"/>
      <c r="AI82" s="1063"/>
      <c r="AJ82" s="1063"/>
      <c r="AK82" s="1063"/>
      <c r="AL82" s="1063"/>
      <c r="AM82" s="928"/>
      <c r="AN82" s="1043"/>
      <c r="AO82" s="1041"/>
    </row>
    <row r="83" spans="1:41" ht="12" customHeight="1" x14ac:dyDescent="0.2">
      <c r="T83" s="928"/>
      <c r="U83" s="930"/>
      <c r="V83" s="1443"/>
      <c r="W83" s="930"/>
      <c r="X83" s="1059"/>
      <c r="Y83" s="1063"/>
      <c r="Z83" s="1063"/>
      <c r="AA83" s="1063"/>
      <c r="AB83" s="1063"/>
      <c r="AC83" s="1063"/>
      <c r="AD83" s="1063"/>
      <c r="AE83" s="977"/>
      <c r="AF83" s="1059"/>
      <c r="AG83" s="1063"/>
      <c r="AH83" s="1063"/>
      <c r="AI83" s="1063"/>
      <c r="AJ83" s="1063"/>
      <c r="AK83" s="1063"/>
      <c r="AL83" s="1063"/>
      <c r="AM83" s="928"/>
      <c r="AN83" s="1043"/>
      <c r="AO83" s="1041"/>
    </row>
    <row r="84" spans="1:41" ht="12" customHeight="1" x14ac:dyDescent="0.2">
      <c r="T84" s="928"/>
      <c r="U84" s="930"/>
      <c r="V84" s="1443"/>
      <c r="W84" s="930"/>
      <c r="X84" s="977"/>
      <c r="Y84" s="1065"/>
      <c r="Z84" s="1065"/>
      <c r="AA84" s="1065"/>
      <c r="AB84" s="1065"/>
      <c r="AC84" s="1065"/>
      <c r="AD84" s="1065"/>
      <c r="AE84" s="1066"/>
      <c r="AF84" s="977"/>
      <c r="AG84" s="1065"/>
      <c r="AH84" s="1065"/>
      <c r="AI84" s="1065"/>
      <c r="AJ84" s="1065"/>
      <c r="AK84" s="1065"/>
      <c r="AL84" s="1065"/>
      <c r="AM84" s="928"/>
      <c r="AN84" s="1043"/>
      <c r="AO84" s="1041"/>
    </row>
    <row r="85" spans="1:41" ht="12" customHeight="1" x14ac:dyDescent="0.2">
      <c r="T85" s="928"/>
      <c r="U85" s="930"/>
      <c r="V85" s="1443"/>
      <c r="W85" s="930"/>
      <c r="X85" s="1067"/>
      <c r="Y85" s="1068"/>
      <c r="Z85" s="1068"/>
      <c r="AA85" s="1068"/>
      <c r="AB85" s="1068"/>
      <c r="AC85" s="1068"/>
      <c r="AD85" s="1068"/>
      <c r="AE85" s="1066"/>
      <c r="AF85" s="1067"/>
      <c r="AG85" s="1068"/>
      <c r="AH85" s="1068"/>
      <c r="AI85" s="1068"/>
      <c r="AJ85" s="1068"/>
      <c r="AK85" s="1068"/>
      <c r="AL85" s="1068"/>
      <c r="AM85" s="928"/>
      <c r="AN85" s="1043"/>
      <c r="AO85" s="1041"/>
    </row>
    <row r="86" spans="1:41" ht="12" customHeight="1" x14ac:dyDescent="0.2">
      <c r="T86" s="928"/>
      <c r="U86" s="930"/>
      <c r="V86" s="1443"/>
      <c r="W86" s="930"/>
      <c r="X86" s="1044"/>
      <c r="Y86" s="1068"/>
      <c r="Z86" s="1068"/>
      <c r="AA86" s="1068"/>
      <c r="AB86" s="1068"/>
      <c r="AC86" s="1068"/>
      <c r="AD86" s="1068"/>
      <c r="AE86" s="1066"/>
      <c r="AF86" s="1044"/>
      <c r="AG86" s="1068"/>
      <c r="AH86" s="1068"/>
      <c r="AI86" s="1068"/>
      <c r="AJ86" s="1068"/>
      <c r="AK86" s="1068"/>
      <c r="AL86" s="1068"/>
      <c r="AM86" s="928"/>
      <c r="AN86" s="1043"/>
      <c r="AO86" s="1041"/>
    </row>
    <row r="87" spans="1:41" ht="12" customHeight="1" x14ac:dyDescent="0.2">
      <c r="T87" s="928"/>
      <c r="U87" s="930"/>
      <c r="V87" s="1443"/>
      <c r="W87" s="930"/>
      <c r="X87" s="1044"/>
      <c r="Y87" s="1068"/>
      <c r="Z87" s="1068"/>
      <c r="AA87" s="1068"/>
      <c r="AB87" s="1068"/>
      <c r="AC87" s="1068"/>
      <c r="AD87" s="1068"/>
      <c r="AE87" s="1066"/>
      <c r="AF87" s="1044"/>
      <c r="AG87" s="1068"/>
      <c r="AH87" s="1068"/>
      <c r="AI87" s="1068"/>
      <c r="AJ87" s="1068"/>
      <c r="AK87" s="1068"/>
      <c r="AL87" s="1068"/>
      <c r="AM87" s="928"/>
      <c r="AN87" s="1043"/>
      <c r="AO87" s="1041"/>
    </row>
    <row r="88" spans="1:41" ht="12" customHeight="1" x14ac:dyDescent="0.2">
      <c r="T88" s="928"/>
      <c r="U88" s="930"/>
      <c r="V88" s="1443"/>
      <c r="W88" s="930"/>
      <c r="X88" s="1044"/>
      <c r="Y88" s="1044"/>
      <c r="Z88" s="1044"/>
      <c r="AA88" s="1044"/>
      <c r="AB88" s="1044"/>
      <c r="AC88" s="1044"/>
      <c r="AD88" s="1044"/>
      <c r="AE88" s="1066"/>
      <c r="AF88" s="1066"/>
      <c r="AG88" s="1064"/>
      <c r="AH88" s="1069"/>
      <c r="AI88" s="1066"/>
      <c r="AJ88" s="1066"/>
      <c r="AK88" s="1066"/>
      <c r="AL88" s="1066"/>
      <c r="AM88" s="928"/>
      <c r="AN88" s="1043"/>
      <c r="AO88" s="1041"/>
    </row>
    <row r="89" spans="1:41" ht="12" customHeight="1" x14ac:dyDescent="0.2">
      <c r="T89" s="928"/>
      <c r="U89" s="930"/>
      <c r="V89" s="1443"/>
      <c r="W89" s="930"/>
      <c r="X89" s="1048"/>
      <c r="Y89" s="1048"/>
      <c r="Z89" s="1049"/>
      <c r="AA89" s="1049"/>
      <c r="AB89" s="1049"/>
      <c r="AC89" s="1049"/>
      <c r="AD89" s="1050"/>
      <c r="AE89" s="1066"/>
      <c r="AF89" s="1048"/>
      <c r="AG89" s="1048"/>
      <c r="AH89" s="1049"/>
      <c r="AI89" s="1049"/>
      <c r="AJ89" s="1049"/>
      <c r="AK89" s="1049"/>
      <c r="AL89" s="1050"/>
      <c r="AM89" s="928"/>
      <c r="AN89" s="1043"/>
      <c r="AO89" s="1041"/>
    </row>
    <row r="90" spans="1:41" ht="12" customHeight="1" x14ac:dyDescent="0.2">
      <c r="T90" s="928"/>
      <c r="U90" s="930"/>
      <c r="V90" s="1443"/>
      <c r="W90" s="930"/>
      <c r="X90" s="1051"/>
      <c r="Y90" s="1051"/>
      <c r="Z90" s="1049"/>
      <c r="AA90" s="1049"/>
      <c r="AB90" s="1049"/>
      <c r="AC90" s="1049"/>
      <c r="AD90" s="1052"/>
      <c r="AE90" s="1066"/>
      <c r="AF90" s="1051"/>
      <c r="AG90" s="1051"/>
      <c r="AH90" s="1049"/>
      <c r="AI90" s="1049"/>
      <c r="AJ90" s="1049"/>
      <c r="AK90" s="1049"/>
      <c r="AL90" s="1052"/>
      <c r="AM90" s="928"/>
      <c r="AN90" s="1043"/>
      <c r="AO90" s="1041"/>
    </row>
    <row r="91" spans="1:41" ht="12" customHeight="1" x14ac:dyDescent="0.2">
      <c r="A91" s="928"/>
      <c r="B91" s="1443"/>
      <c r="C91" s="928"/>
      <c r="D91" s="1054"/>
      <c r="E91" s="1054"/>
      <c r="F91" s="1055"/>
      <c r="G91" s="1055"/>
      <c r="H91" s="1055"/>
      <c r="I91" s="1056"/>
      <c r="J91" s="1057"/>
      <c r="K91" s="1070"/>
      <c r="L91" s="1054"/>
      <c r="M91" s="1054"/>
      <c r="N91" s="1055"/>
      <c r="O91" s="1055"/>
      <c r="P91" s="1055"/>
      <c r="Q91" s="1056"/>
      <c r="R91" s="1057"/>
      <c r="S91" s="928"/>
      <c r="T91" s="928"/>
      <c r="U91" s="930"/>
      <c r="V91" s="1443"/>
      <c r="W91" s="930"/>
      <c r="X91" s="1059"/>
      <c r="Y91" s="1059"/>
      <c r="Z91" s="1060"/>
      <c r="AA91" s="1060"/>
      <c r="AB91" s="1060"/>
      <c r="AC91" s="1061"/>
      <c r="AD91" s="1052"/>
      <c r="AE91" s="1066"/>
      <c r="AF91" s="1059"/>
      <c r="AG91" s="1059"/>
      <c r="AH91" s="1060"/>
      <c r="AI91" s="1060"/>
      <c r="AJ91" s="1060"/>
      <c r="AK91" s="1061"/>
      <c r="AL91" s="1052"/>
      <c r="AM91" s="928"/>
      <c r="AN91" s="1043"/>
      <c r="AO91" s="1041"/>
    </row>
    <row r="92" spans="1:41" ht="12" customHeight="1" x14ac:dyDescent="0.2">
      <c r="T92" s="928"/>
      <c r="U92" s="930"/>
      <c r="V92" s="1443"/>
      <c r="W92" s="930"/>
      <c r="X92" s="930"/>
      <c r="Y92" s="1062"/>
      <c r="Z92" s="1062"/>
      <c r="AA92" s="1062"/>
      <c r="AB92" s="1062"/>
      <c r="AC92" s="1062"/>
      <c r="AD92" s="1062"/>
      <c r="AE92" s="1066"/>
      <c r="AF92" s="930"/>
      <c r="AG92" s="1062"/>
      <c r="AH92" s="1062"/>
      <c r="AI92" s="1062"/>
      <c r="AJ92" s="1062"/>
      <c r="AK92" s="1062"/>
      <c r="AL92" s="1062"/>
      <c r="AM92" s="928"/>
      <c r="AN92" s="1043"/>
      <c r="AO92" s="1041"/>
    </row>
    <row r="93" spans="1:41" ht="12" customHeight="1" x14ac:dyDescent="0.2">
      <c r="T93" s="928"/>
      <c r="U93" s="930"/>
      <c r="V93" s="1443"/>
      <c r="W93" s="930"/>
      <c r="X93" s="1059"/>
      <c r="Y93" s="1063"/>
      <c r="Z93" s="1063"/>
      <c r="AA93" s="1063"/>
      <c r="AB93" s="1063"/>
      <c r="AC93" s="1063"/>
      <c r="AD93" s="1063"/>
      <c r="AE93" s="1071"/>
      <c r="AF93" s="1059"/>
      <c r="AG93" s="1063"/>
      <c r="AH93" s="1063"/>
      <c r="AI93" s="1063"/>
      <c r="AJ93" s="1063"/>
      <c r="AK93" s="1063"/>
      <c r="AL93" s="1063"/>
      <c r="AM93" s="928"/>
      <c r="AN93" s="1043"/>
      <c r="AO93" s="1041"/>
    </row>
    <row r="94" spans="1:41" ht="12" customHeight="1" x14ac:dyDescent="0.2">
      <c r="T94" s="928"/>
      <c r="U94" s="930"/>
      <c r="V94" s="1443"/>
      <c r="W94" s="930"/>
      <c r="X94" s="1059"/>
      <c r="Y94" s="1063"/>
      <c r="Z94" s="1063"/>
      <c r="AA94" s="1063"/>
      <c r="AB94" s="1063"/>
      <c r="AC94" s="1063"/>
      <c r="AD94" s="1063"/>
      <c r="AE94" s="1071"/>
      <c r="AF94" s="1059"/>
      <c r="AG94" s="1063"/>
      <c r="AH94" s="1063"/>
      <c r="AI94" s="1063"/>
      <c r="AJ94" s="1063"/>
      <c r="AK94" s="1063"/>
      <c r="AL94" s="1063"/>
      <c r="AM94" s="928"/>
      <c r="AN94" s="1043"/>
      <c r="AO94" s="1041"/>
    </row>
    <row r="95" spans="1:41" ht="12" customHeight="1" x14ac:dyDescent="0.2">
      <c r="T95" s="928"/>
      <c r="U95" s="930"/>
      <c r="V95" s="1443"/>
      <c r="W95" s="930"/>
      <c r="X95" s="977"/>
      <c r="Y95" s="1065"/>
      <c r="Z95" s="1065"/>
      <c r="AA95" s="1065"/>
      <c r="AB95" s="1065"/>
      <c r="AC95" s="1065"/>
      <c r="AD95" s="1065"/>
      <c r="AE95" s="977"/>
      <c r="AF95" s="977"/>
      <c r="AG95" s="1065"/>
      <c r="AH95" s="1065"/>
      <c r="AI95" s="1065"/>
      <c r="AJ95" s="1065"/>
      <c r="AK95" s="1065"/>
      <c r="AL95" s="1065"/>
      <c r="AM95" s="928"/>
      <c r="AN95" s="1043"/>
      <c r="AO95" s="1041"/>
    </row>
    <row r="96" spans="1:41" ht="12" customHeight="1" x14ac:dyDescent="0.2">
      <c r="T96" s="928"/>
      <c r="U96" s="930"/>
      <c r="V96" s="1443"/>
      <c r="W96" s="930"/>
      <c r="X96" s="1067"/>
      <c r="Y96" s="1068"/>
      <c r="Z96" s="1068"/>
      <c r="AA96" s="1068"/>
      <c r="AB96" s="1068"/>
      <c r="AC96" s="1068"/>
      <c r="AD96" s="1068"/>
      <c r="AE96" s="1072"/>
      <c r="AF96" s="1067"/>
      <c r="AG96" s="1068"/>
      <c r="AH96" s="1068"/>
      <c r="AI96" s="1068"/>
      <c r="AJ96" s="1068"/>
      <c r="AK96" s="1068"/>
      <c r="AL96" s="1068"/>
      <c r="AM96" s="928"/>
      <c r="AN96" s="1043"/>
      <c r="AO96" s="1041"/>
    </row>
    <row r="97" spans="1:41" ht="12" customHeight="1" x14ac:dyDescent="0.2">
      <c r="T97" s="928"/>
      <c r="U97" s="930"/>
      <c r="V97" s="1443"/>
      <c r="W97" s="930"/>
      <c r="X97" s="1044"/>
      <c r="Y97" s="1068"/>
      <c r="Z97" s="1068"/>
      <c r="AA97" s="1068"/>
      <c r="AB97" s="1068"/>
      <c r="AC97" s="1068"/>
      <c r="AD97" s="1068"/>
      <c r="AE97" s="1071"/>
      <c r="AF97" s="1044"/>
      <c r="AG97" s="1068"/>
      <c r="AH97" s="1068"/>
      <c r="AI97" s="1068"/>
      <c r="AJ97" s="1068"/>
      <c r="AK97" s="1068"/>
      <c r="AL97" s="1068"/>
      <c r="AM97" s="928"/>
      <c r="AN97" s="1043"/>
      <c r="AO97" s="1041"/>
    </row>
    <row r="98" spans="1:41" ht="12" customHeight="1" x14ac:dyDescent="0.2">
      <c r="T98" s="928"/>
      <c r="U98" s="930"/>
      <c r="V98" s="1443"/>
      <c r="W98" s="930"/>
      <c r="X98" s="1044"/>
      <c r="Y98" s="1068"/>
      <c r="Z98" s="1068"/>
      <c r="AA98" s="1068"/>
      <c r="AB98" s="1068"/>
      <c r="AC98" s="1068"/>
      <c r="AD98" s="1068"/>
      <c r="AE98" s="1071"/>
      <c r="AF98" s="1044"/>
      <c r="AG98" s="1068"/>
      <c r="AH98" s="1068"/>
      <c r="AI98" s="1068"/>
      <c r="AJ98" s="1068"/>
      <c r="AK98" s="1068"/>
      <c r="AL98" s="1068"/>
      <c r="AM98" s="928"/>
      <c r="AN98" s="1043"/>
      <c r="AO98" s="1041"/>
    </row>
    <row r="99" spans="1:41" ht="12" customHeight="1" x14ac:dyDescent="0.2">
      <c r="T99" s="928"/>
      <c r="U99" s="930"/>
      <c r="V99" s="1443"/>
      <c r="W99" s="930"/>
      <c r="X99" s="930"/>
      <c r="Y99" s="930"/>
      <c r="Z99" s="930"/>
      <c r="AA99" s="930"/>
      <c r="AB99" s="930"/>
      <c r="AC99" s="977"/>
      <c r="AD99" s="977"/>
      <c r="AE99" s="1073"/>
      <c r="AF99" s="1074"/>
      <c r="AG99" s="1064"/>
      <c r="AH99" s="1066"/>
      <c r="AI99" s="1066"/>
      <c r="AJ99" s="1066"/>
      <c r="AK99" s="1066"/>
      <c r="AL99" s="1066"/>
      <c r="AM99" s="928"/>
      <c r="AN99" s="1043"/>
      <c r="AO99" s="1041"/>
    </row>
    <row r="100" spans="1:41" ht="12" customHeight="1" x14ac:dyDescent="0.2">
      <c r="T100" s="928"/>
      <c r="U100" s="930"/>
      <c r="V100" s="1443"/>
      <c r="W100" s="930"/>
      <c r="X100" s="1048"/>
      <c r="Y100" s="1048"/>
      <c r="Z100" s="1049"/>
      <c r="AA100" s="1049"/>
      <c r="AB100" s="1049"/>
      <c r="AC100" s="1049"/>
      <c r="AD100" s="1050"/>
      <c r="AE100" s="1073"/>
      <c r="AF100" s="1048"/>
      <c r="AG100" s="1048"/>
      <c r="AH100" s="1049"/>
      <c r="AI100" s="1049"/>
      <c r="AJ100" s="1049"/>
      <c r="AK100" s="1049"/>
      <c r="AL100" s="1050"/>
      <c r="AM100" s="928"/>
      <c r="AN100" s="1043"/>
      <c r="AO100" s="1041"/>
    </row>
    <row r="101" spans="1:41" ht="12" customHeight="1" x14ac:dyDescent="0.2">
      <c r="T101" s="928"/>
      <c r="U101" s="930"/>
      <c r="V101" s="1443"/>
      <c r="W101" s="930"/>
      <c r="X101" s="1051"/>
      <c r="Y101" s="1051"/>
      <c r="Z101" s="1049"/>
      <c r="AA101" s="1049"/>
      <c r="AB101" s="1049"/>
      <c r="AC101" s="1049"/>
      <c r="AD101" s="1052"/>
      <c r="AE101" s="1066"/>
      <c r="AF101" s="1051"/>
      <c r="AG101" s="1051"/>
      <c r="AH101" s="1049"/>
      <c r="AI101" s="1049"/>
      <c r="AJ101" s="1049"/>
      <c r="AK101" s="1049"/>
      <c r="AL101" s="1052"/>
      <c r="AM101" s="928"/>
      <c r="AN101" s="1043"/>
      <c r="AO101" s="1041"/>
    </row>
    <row r="102" spans="1:41" ht="12" customHeight="1" x14ac:dyDescent="0.2">
      <c r="A102" s="928"/>
      <c r="B102" s="1443"/>
      <c r="C102" s="928"/>
      <c r="D102" s="1054"/>
      <c r="E102" s="1054"/>
      <c r="F102" s="1055"/>
      <c r="G102" s="1055"/>
      <c r="H102" s="1055"/>
      <c r="I102" s="1056"/>
      <c r="J102" s="1057"/>
      <c r="K102" s="1075"/>
      <c r="L102" s="1054"/>
      <c r="M102" s="1054"/>
      <c r="N102" s="1055"/>
      <c r="O102" s="1055"/>
      <c r="P102" s="1055"/>
      <c r="Q102" s="1056"/>
      <c r="R102" s="1057"/>
      <c r="S102" s="928"/>
      <c r="T102" s="928"/>
      <c r="U102" s="930"/>
      <c r="V102" s="1443"/>
      <c r="W102" s="930"/>
      <c r="X102" s="1059"/>
      <c r="Y102" s="1059"/>
      <c r="Z102" s="1060"/>
      <c r="AA102" s="1060"/>
      <c r="AB102" s="1060"/>
      <c r="AC102" s="1061"/>
      <c r="AD102" s="1052"/>
      <c r="AE102" s="1071"/>
      <c r="AF102" s="1059"/>
      <c r="AG102" s="1059"/>
      <c r="AH102" s="1060"/>
      <c r="AI102" s="1060"/>
      <c r="AJ102" s="1060"/>
      <c r="AK102" s="1061"/>
      <c r="AL102" s="1052"/>
      <c r="AM102" s="928"/>
      <c r="AN102" s="1043"/>
      <c r="AO102" s="1041"/>
    </row>
    <row r="103" spans="1:41" ht="12" customHeight="1" x14ac:dyDescent="0.2">
      <c r="A103" s="928"/>
      <c r="B103" s="1443"/>
      <c r="C103" s="928"/>
      <c r="D103" s="928"/>
      <c r="E103" s="1076"/>
      <c r="F103" s="1076"/>
      <c r="G103" s="1076"/>
      <c r="H103" s="1076"/>
      <c r="I103" s="1076"/>
      <c r="J103" s="1076"/>
      <c r="K103" s="1075"/>
      <c r="L103" s="928"/>
      <c r="M103" s="1076"/>
      <c r="N103" s="1076"/>
      <c r="O103" s="1076"/>
      <c r="P103" s="1076"/>
      <c r="Q103" s="1076"/>
      <c r="R103" s="1076"/>
      <c r="S103" s="928"/>
      <c r="T103" s="928"/>
      <c r="U103" s="930"/>
      <c r="V103" s="1443"/>
      <c r="W103" s="930"/>
      <c r="X103" s="930"/>
      <c r="Y103" s="1062"/>
      <c r="Z103" s="1062"/>
      <c r="AA103" s="1062"/>
      <c r="AB103" s="1062"/>
      <c r="AC103" s="1062"/>
      <c r="AD103" s="1062"/>
      <c r="AE103" s="1071"/>
      <c r="AF103" s="930"/>
      <c r="AG103" s="1062"/>
      <c r="AH103" s="1062"/>
      <c r="AI103" s="1062"/>
      <c r="AJ103" s="1062"/>
      <c r="AK103" s="1062"/>
      <c r="AL103" s="1062"/>
      <c r="AM103" s="928"/>
      <c r="AN103" s="1043"/>
      <c r="AO103" s="1041"/>
    </row>
    <row r="104" spans="1:41" ht="12" customHeight="1" x14ac:dyDescent="0.2">
      <c r="A104" s="928"/>
      <c r="B104" s="1443"/>
      <c r="C104" s="928"/>
      <c r="D104" s="1054"/>
      <c r="E104" s="1077"/>
      <c r="F104" s="1077"/>
      <c r="G104" s="1077"/>
      <c r="H104" s="1077"/>
      <c r="I104" s="1077"/>
      <c r="J104" s="1077"/>
      <c r="K104" s="1075"/>
      <c r="L104" s="1054"/>
      <c r="M104" s="1077"/>
      <c r="N104" s="1077"/>
      <c r="O104" s="1077"/>
      <c r="P104" s="1077"/>
      <c r="Q104" s="1077"/>
      <c r="R104" s="1077"/>
      <c r="S104" s="928"/>
      <c r="T104" s="928"/>
      <c r="U104" s="930"/>
      <c r="V104" s="1443"/>
      <c r="W104" s="930"/>
      <c r="X104" s="1059"/>
      <c r="Y104" s="1063"/>
      <c r="Z104" s="1063"/>
      <c r="AA104" s="1063"/>
      <c r="AB104" s="1063"/>
      <c r="AC104" s="1063"/>
      <c r="AD104" s="1063"/>
      <c r="AE104" s="977"/>
      <c r="AF104" s="1059"/>
      <c r="AG104" s="1063"/>
      <c r="AH104" s="1063"/>
      <c r="AI104" s="1063"/>
      <c r="AJ104" s="1063"/>
      <c r="AK104" s="1063"/>
      <c r="AL104" s="1063"/>
      <c r="AM104" s="928"/>
      <c r="AN104" s="1043"/>
      <c r="AO104" s="1041"/>
    </row>
    <row r="105" spans="1:41" ht="12" customHeight="1" x14ac:dyDescent="0.2">
      <c r="A105" s="928"/>
      <c r="B105" s="1443"/>
      <c r="C105" s="928"/>
      <c r="D105" s="1054"/>
      <c r="E105" s="1077"/>
      <c r="F105" s="1077"/>
      <c r="G105" s="1077"/>
      <c r="H105" s="1077"/>
      <c r="I105" s="1077"/>
      <c r="J105" s="1077"/>
      <c r="K105" s="933"/>
      <c r="L105" s="1054"/>
      <c r="M105" s="1077"/>
      <c r="N105" s="1077"/>
      <c r="O105" s="1077"/>
      <c r="P105" s="1077"/>
      <c r="Q105" s="1077"/>
      <c r="R105" s="1077"/>
      <c r="S105" s="928"/>
      <c r="T105" s="928"/>
      <c r="U105" s="930"/>
      <c r="V105" s="1443"/>
      <c r="W105" s="930"/>
      <c r="X105" s="1059"/>
      <c r="Y105" s="1063"/>
      <c r="Z105" s="1063"/>
      <c r="AA105" s="1063"/>
      <c r="AB105" s="1063"/>
      <c r="AC105" s="1063"/>
      <c r="AD105" s="1063"/>
      <c r="AE105" s="1072"/>
      <c r="AF105" s="1059"/>
      <c r="AG105" s="1063"/>
      <c r="AH105" s="1063"/>
      <c r="AI105" s="1063"/>
      <c r="AJ105" s="1063"/>
      <c r="AK105" s="1063"/>
      <c r="AL105" s="1063"/>
      <c r="AM105" s="928"/>
      <c r="AN105" s="1043"/>
      <c r="AO105" s="1041"/>
    </row>
    <row r="106" spans="1:41" ht="12" customHeight="1" x14ac:dyDescent="0.2">
      <c r="A106" s="928"/>
      <c r="B106" s="1443"/>
      <c r="C106" s="928"/>
      <c r="D106" s="1075"/>
      <c r="E106" s="1078"/>
      <c r="F106" s="1078"/>
      <c r="G106" s="1078"/>
      <c r="H106" s="1078"/>
      <c r="I106" s="1078"/>
      <c r="J106" s="1078"/>
      <c r="K106" s="1075"/>
      <c r="L106" s="1075"/>
      <c r="M106" s="1078"/>
      <c r="N106" s="1078"/>
      <c r="O106" s="1078"/>
      <c r="P106" s="1078"/>
      <c r="Q106" s="1078"/>
      <c r="R106" s="1078"/>
      <c r="S106" s="928"/>
      <c r="T106" s="928"/>
      <c r="U106" s="930"/>
      <c r="V106" s="1443"/>
      <c r="W106" s="930"/>
      <c r="X106" s="977"/>
      <c r="Y106" s="1065"/>
      <c r="Z106" s="1065"/>
      <c r="AA106" s="1065"/>
      <c r="AB106" s="1065"/>
      <c r="AC106" s="1065"/>
      <c r="AD106" s="1065"/>
      <c r="AE106" s="1071"/>
      <c r="AF106" s="977"/>
      <c r="AG106" s="1065"/>
      <c r="AH106" s="1065"/>
      <c r="AI106" s="1065"/>
      <c r="AJ106" s="1065"/>
      <c r="AK106" s="1065"/>
      <c r="AL106" s="1065"/>
      <c r="AM106" s="928"/>
      <c r="AN106" s="1043"/>
      <c r="AO106" s="1041"/>
    </row>
    <row r="107" spans="1:41" ht="12" customHeight="1" x14ac:dyDescent="0.2">
      <c r="R107" s="1079"/>
      <c r="S107" s="928"/>
      <c r="T107" s="928"/>
      <c r="U107" s="930"/>
      <c r="V107" s="1443"/>
      <c r="W107" s="930"/>
      <c r="X107" s="1067"/>
      <c r="Y107" s="1068"/>
      <c r="Z107" s="1068"/>
      <c r="AA107" s="1068"/>
      <c r="AB107" s="1068"/>
      <c r="AC107" s="1068"/>
      <c r="AD107" s="1068"/>
      <c r="AE107" s="1071"/>
      <c r="AF107" s="1067"/>
      <c r="AG107" s="1068"/>
      <c r="AH107" s="1068"/>
      <c r="AI107" s="1068"/>
      <c r="AJ107" s="1068"/>
      <c r="AK107" s="1068"/>
      <c r="AL107" s="1068"/>
      <c r="AM107" s="928"/>
      <c r="AN107" s="1043"/>
      <c r="AO107" s="1041"/>
    </row>
    <row r="108" spans="1:41" ht="12" customHeight="1" x14ac:dyDescent="0.2">
      <c r="R108" s="1079"/>
      <c r="S108" s="928"/>
      <c r="T108" s="928"/>
      <c r="U108" s="930"/>
      <c r="V108" s="1443"/>
      <c r="W108" s="930"/>
      <c r="X108" s="1044"/>
      <c r="Y108" s="1068"/>
      <c r="Z108" s="1068"/>
      <c r="AA108" s="1068"/>
      <c r="AB108" s="1068"/>
      <c r="AC108" s="1068"/>
      <c r="AD108" s="1068"/>
      <c r="AE108" s="1073"/>
      <c r="AF108" s="1044"/>
      <c r="AG108" s="1068"/>
      <c r="AH108" s="1068"/>
      <c r="AI108" s="1068"/>
      <c r="AJ108" s="1068"/>
      <c r="AK108" s="1068"/>
      <c r="AL108" s="1068"/>
      <c r="AM108" s="928"/>
      <c r="AN108" s="1043"/>
      <c r="AO108" s="1041"/>
    </row>
    <row r="109" spans="1:41" ht="12" customHeight="1" x14ac:dyDescent="0.2">
      <c r="R109" s="1079"/>
      <c r="S109" s="928"/>
      <c r="T109" s="928"/>
      <c r="U109" s="930"/>
      <c r="V109" s="1443"/>
      <c r="W109" s="930"/>
      <c r="X109" s="1044"/>
      <c r="Y109" s="1068"/>
      <c r="Z109" s="1068"/>
      <c r="AA109" s="1068"/>
      <c r="AB109" s="1068"/>
      <c r="AC109" s="1068"/>
      <c r="AD109" s="1068"/>
      <c r="AE109" s="1073"/>
      <c r="AF109" s="1044"/>
      <c r="AG109" s="1068"/>
      <c r="AH109" s="1068"/>
      <c r="AI109" s="1068"/>
      <c r="AJ109" s="1068"/>
      <c r="AK109" s="1068"/>
      <c r="AL109" s="1068"/>
      <c r="AM109" s="928"/>
      <c r="AN109" s="1043"/>
      <c r="AO109" s="1041"/>
    </row>
    <row r="110" spans="1:41" ht="12" customHeight="1" x14ac:dyDescent="0.2">
      <c r="R110" s="1070"/>
      <c r="S110" s="928"/>
      <c r="T110" s="928"/>
      <c r="U110" s="930"/>
      <c r="V110" s="1443"/>
      <c r="W110" s="930"/>
      <c r="X110" s="1064"/>
      <c r="Y110" s="1064"/>
      <c r="Z110" s="1064"/>
      <c r="AA110" s="1064"/>
      <c r="AB110" s="1064"/>
      <c r="AC110" s="1066"/>
      <c r="AD110" s="1066"/>
      <c r="AE110" s="1066"/>
      <c r="AF110" s="1066"/>
      <c r="AG110" s="1064"/>
      <c r="AH110" s="1066"/>
      <c r="AI110" s="1066"/>
      <c r="AJ110" s="1066"/>
      <c r="AK110" s="1066"/>
      <c r="AL110" s="1066"/>
      <c r="AM110" s="928"/>
      <c r="AN110" s="1043"/>
      <c r="AO110" s="1041"/>
    </row>
    <row r="111" spans="1:41" ht="12" customHeight="1" x14ac:dyDescent="0.2">
      <c r="R111" s="1080"/>
      <c r="S111" s="928"/>
      <c r="T111" s="928"/>
      <c r="U111" s="930"/>
      <c r="V111" s="1443"/>
      <c r="W111" s="930"/>
      <c r="X111" s="1048"/>
      <c r="Y111" s="1048"/>
      <c r="Z111" s="1049"/>
      <c r="AA111" s="1049"/>
      <c r="AB111" s="1049"/>
      <c r="AC111" s="1049"/>
      <c r="AD111" s="1050"/>
      <c r="AE111" s="930"/>
      <c r="AF111" s="1048"/>
      <c r="AG111" s="1048"/>
      <c r="AH111" s="1049"/>
      <c r="AI111" s="1049"/>
      <c r="AJ111" s="1049"/>
      <c r="AK111" s="1049"/>
      <c r="AL111" s="1050"/>
      <c r="AM111" s="928"/>
      <c r="AN111" s="1043"/>
      <c r="AO111" s="1041"/>
    </row>
    <row r="112" spans="1:41" ht="12" customHeight="1" x14ac:dyDescent="0.2">
      <c r="R112" s="1057"/>
      <c r="S112" s="928"/>
      <c r="T112" s="928"/>
      <c r="U112" s="930"/>
      <c r="V112" s="1443"/>
      <c r="W112" s="930"/>
      <c r="X112" s="1051"/>
      <c r="Y112" s="1051"/>
      <c r="Z112" s="1049"/>
      <c r="AA112" s="1049"/>
      <c r="AB112" s="1049"/>
      <c r="AC112" s="1049"/>
      <c r="AD112" s="1052"/>
      <c r="AE112" s="930"/>
      <c r="AF112" s="1051"/>
      <c r="AG112" s="1051"/>
      <c r="AH112" s="1049"/>
      <c r="AI112" s="1049"/>
      <c r="AJ112" s="1049"/>
      <c r="AK112" s="1049"/>
      <c r="AL112" s="1052"/>
      <c r="AM112" s="928"/>
      <c r="AN112" s="1043"/>
      <c r="AO112" s="1041"/>
    </row>
    <row r="113" spans="1:41" ht="12" customHeight="1" x14ac:dyDescent="0.2">
      <c r="A113" s="928"/>
      <c r="B113" s="1443"/>
      <c r="C113" s="928"/>
      <c r="D113" s="1054"/>
      <c r="E113" s="1054"/>
      <c r="F113" s="1055"/>
      <c r="G113" s="1055"/>
      <c r="H113" s="1055"/>
      <c r="I113" s="1056"/>
      <c r="J113" s="1057"/>
      <c r="K113" s="928"/>
      <c r="L113" s="1054"/>
      <c r="M113" s="1054"/>
      <c r="N113" s="1055"/>
      <c r="O113" s="1055"/>
      <c r="P113" s="1055"/>
      <c r="Q113" s="1056"/>
      <c r="R113" s="1057"/>
      <c r="S113" s="928"/>
      <c r="T113" s="928"/>
      <c r="U113" s="930"/>
      <c r="V113" s="1443"/>
      <c r="W113" s="930"/>
      <c r="X113" s="1059"/>
      <c r="Y113" s="1059"/>
      <c r="Z113" s="1060"/>
      <c r="AA113" s="1060"/>
      <c r="AB113" s="1060"/>
      <c r="AC113" s="1061"/>
      <c r="AD113" s="1052"/>
      <c r="AE113" s="930"/>
      <c r="AF113" s="1059"/>
      <c r="AG113" s="1059"/>
      <c r="AH113" s="1060"/>
      <c r="AI113" s="1060"/>
      <c r="AJ113" s="1060"/>
      <c r="AK113" s="1061"/>
      <c r="AL113" s="1052"/>
      <c r="AM113" s="928"/>
      <c r="AN113" s="1043"/>
      <c r="AO113" s="1041"/>
    </row>
    <row r="114" spans="1:41" ht="12" customHeight="1" x14ac:dyDescent="0.2">
      <c r="A114" s="928"/>
      <c r="B114" s="1443"/>
      <c r="C114" s="928"/>
      <c r="D114" s="928"/>
      <c r="E114" s="1076"/>
      <c r="F114" s="1076"/>
      <c r="G114" s="1076"/>
      <c r="H114" s="1076"/>
      <c r="I114" s="1076"/>
      <c r="J114" s="1076"/>
      <c r="K114" s="928"/>
      <c r="L114" s="928"/>
      <c r="M114" s="1076"/>
      <c r="N114" s="1076"/>
      <c r="O114" s="1076"/>
      <c r="P114" s="1076"/>
      <c r="Q114" s="1076"/>
      <c r="R114" s="1076"/>
      <c r="S114" s="928"/>
      <c r="T114" s="928"/>
      <c r="U114" s="930"/>
      <c r="V114" s="1443"/>
      <c r="W114" s="930"/>
      <c r="X114" s="930"/>
      <c r="Y114" s="1062"/>
      <c r="Z114" s="1062"/>
      <c r="AA114" s="1062"/>
      <c r="AB114" s="1062"/>
      <c r="AC114" s="1062"/>
      <c r="AD114" s="1062"/>
      <c r="AE114" s="930"/>
      <c r="AF114" s="930"/>
      <c r="AG114" s="1062"/>
      <c r="AH114" s="1062"/>
      <c r="AI114" s="1062"/>
      <c r="AJ114" s="1062"/>
      <c r="AK114" s="1062"/>
      <c r="AL114" s="1062"/>
      <c r="AM114" s="928"/>
      <c r="AN114" s="1043"/>
      <c r="AO114" s="1041"/>
    </row>
    <row r="115" spans="1:41" ht="12" customHeight="1" x14ac:dyDescent="0.2">
      <c r="A115" s="928"/>
      <c r="B115" s="1443"/>
      <c r="C115" s="928"/>
      <c r="D115" s="1054"/>
      <c r="E115" s="1077"/>
      <c r="F115" s="1077"/>
      <c r="G115" s="1077"/>
      <c r="H115" s="1077"/>
      <c r="I115" s="1077"/>
      <c r="J115" s="1077"/>
      <c r="K115" s="928"/>
      <c r="L115" s="1054"/>
      <c r="M115" s="1077"/>
      <c r="N115" s="1077"/>
      <c r="O115" s="1077"/>
      <c r="P115" s="1077"/>
      <c r="Q115" s="1077"/>
      <c r="R115" s="1077"/>
      <c r="S115" s="928"/>
      <c r="T115" s="928"/>
      <c r="U115" s="930"/>
      <c r="V115" s="1443"/>
      <c r="W115" s="930"/>
      <c r="X115" s="1059"/>
      <c r="Y115" s="1063"/>
      <c r="Z115" s="1063"/>
      <c r="AA115" s="1063"/>
      <c r="AB115" s="1063"/>
      <c r="AC115" s="1063"/>
      <c r="AD115" s="1063"/>
      <c r="AE115" s="930"/>
      <c r="AF115" s="1059"/>
      <c r="AG115" s="1063"/>
      <c r="AH115" s="1063"/>
      <c r="AI115" s="1063"/>
      <c r="AJ115" s="1063"/>
      <c r="AK115" s="1063"/>
      <c r="AL115" s="1063"/>
      <c r="AM115" s="928"/>
      <c r="AN115" s="1043"/>
      <c r="AO115" s="1041"/>
    </row>
    <row r="116" spans="1:41" ht="12" customHeight="1" x14ac:dyDescent="0.2">
      <c r="A116" s="928"/>
      <c r="B116" s="1443"/>
      <c r="C116" s="928"/>
      <c r="D116" s="1054"/>
      <c r="E116" s="1077"/>
      <c r="F116" s="1077"/>
      <c r="G116" s="1077"/>
      <c r="H116" s="1077"/>
      <c r="I116" s="1077"/>
      <c r="J116" s="1077"/>
      <c r="K116" s="928"/>
      <c r="L116" s="1054"/>
      <c r="M116" s="1077"/>
      <c r="N116" s="1077"/>
      <c r="O116" s="1077"/>
      <c r="P116" s="1077"/>
      <c r="Q116" s="1077"/>
      <c r="R116" s="1077"/>
      <c r="S116" s="928"/>
      <c r="T116" s="928"/>
      <c r="U116" s="930"/>
      <c r="V116" s="1443"/>
      <c r="W116" s="930"/>
      <c r="X116" s="1059"/>
      <c r="Y116" s="1063"/>
      <c r="Z116" s="1063"/>
      <c r="AA116" s="1063"/>
      <c r="AB116" s="1063"/>
      <c r="AC116" s="1063"/>
      <c r="AD116" s="1063"/>
      <c r="AE116" s="930"/>
      <c r="AF116" s="1059"/>
      <c r="AG116" s="1063"/>
      <c r="AH116" s="1063"/>
      <c r="AI116" s="1063"/>
      <c r="AJ116" s="1063"/>
      <c r="AK116" s="1063"/>
      <c r="AL116" s="1063"/>
      <c r="AM116" s="928"/>
      <c r="AN116" s="1043"/>
      <c r="AO116" s="1041"/>
    </row>
    <row r="117" spans="1:41" ht="12" customHeight="1" x14ac:dyDescent="0.2">
      <c r="A117" s="928"/>
      <c r="B117" s="1443"/>
      <c r="C117" s="928"/>
      <c r="D117" s="1075"/>
      <c r="E117" s="1078"/>
      <c r="F117" s="1078"/>
      <c r="G117" s="1078"/>
      <c r="H117" s="1078"/>
      <c r="I117" s="1078"/>
      <c r="J117" s="1078"/>
      <c r="K117" s="928"/>
      <c r="L117" s="1075"/>
      <c r="M117" s="1078"/>
      <c r="N117" s="1078"/>
      <c r="O117" s="1078"/>
      <c r="P117" s="1078"/>
      <c r="Q117" s="1078"/>
      <c r="R117" s="1078"/>
      <c r="S117" s="928"/>
      <c r="T117" s="928"/>
      <c r="U117" s="930"/>
      <c r="V117" s="1443"/>
      <c r="W117" s="930"/>
      <c r="X117" s="977"/>
      <c r="Y117" s="1065"/>
      <c r="Z117" s="1065"/>
      <c r="AA117" s="1065"/>
      <c r="AB117" s="1065"/>
      <c r="AC117" s="1065"/>
      <c r="AD117" s="1065"/>
      <c r="AE117" s="930"/>
      <c r="AF117" s="977"/>
      <c r="AG117" s="1065"/>
      <c r="AH117" s="1065"/>
      <c r="AI117" s="1065"/>
      <c r="AJ117" s="1065"/>
      <c r="AK117" s="1065"/>
      <c r="AL117" s="1065"/>
      <c r="AM117" s="928"/>
      <c r="AN117" s="1043"/>
      <c r="AO117" s="1041"/>
    </row>
    <row r="118" spans="1:41" ht="12" customHeight="1" x14ac:dyDescent="0.2">
      <c r="S118" s="928"/>
      <c r="T118" s="928"/>
      <c r="U118" s="930"/>
      <c r="V118" s="1443"/>
      <c r="W118" s="930"/>
      <c r="X118" s="1067"/>
      <c r="Y118" s="1068"/>
      <c r="Z118" s="1068"/>
      <c r="AA118" s="1068"/>
      <c r="AB118" s="1068"/>
      <c r="AC118" s="1068"/>
      <c r="AD118" s="1068"/>
      <c r="AE118" s="930"/>
      <c r="AF118" s="1067"/>
      <c r="AG118" s="1068"/>
      <c r="AH118" s="1068"/>
      <c r="AI118" s="1068"/>
      <c r="AJ118" s="1068"/>
      <c r="AK118" s="1068"/>
      <c r="AL118" s="1068"/>
      <c r="AM118" s="928"/>
      <c r="AN118" s="1043"/>
      <c r="AO118" s="1041"/>
    </row>
    <row r="119" spans="1:41" ht="12" customHeight="1" x14ac:dyDescent="0.2">
      <c r="S119" s="928"/>
      <c r="T119" s="928"/>
      <c r="U119" s="930"/>
      <c r="V119" s="1443"/>
      <c r="W119" s="930"/>
      <c r="X119" s="1044"/>
      <c r="Y119" s="1068"/>
      <c r="Z119" s="1068"/>
      <c r="AA119" s="1068"/>
      <c r="AB119" s="1068"/>
      <c r="AC119" s="1068"/>
      <c r="AD119" s="1068"/>
      <c r="AE119" s="930"/>
      <c r="AF119" s="1044"/>
      <c r="AG119" s="1068"/>
      <c r="AH119" s="1068"/>
      <c r="AI119" s="1068"/>
      <c r="AJ119" s="1068"/>
      <c r="AK119" s="1068"/>
      <c r="AL119" s="1068"/>
      <c r="AM119" s="928"/>
      <c r="AN119" s="1043"/>
      <c r="AO119" s="1041"/>
    </row>
    <row r="120" spans="1:41" ht="12" customHeight="1" x14ac:dyDescent="0.2">
      <c r="S120" s="928"/>
      <c r="T120" s="928"/>
      <c r="U120" s="930"/>
      <c r="V120" s="1443"/>
      <c r="W120" s="930"/>
      <c r="X120" s="1044"/>
      <c r="Y120" s="1068"/>
      <c r="Z120" s="1068"/>
      <c r="AA120" s="1068"/>
      <c r="AB120" s="1068"/>
      <c r="AC120" s="1068"/>
      <c r="AD120" s="1068"/>
      <c r="AE120" s="930"/>
      <c r="AF120" s="1044"/>
      <c r="AG120" s="1068"/>
      <c r="AH120" s="1068"/>
      <c r="AI120" s="1068"/>
      <c r="AJ120" s="1068"/>
      <c r="AK120" s="1068"/>
      <c r="AL120" s="1068"/>
      <c r="AM120" s="928"/>
      <c r="AN120" s="1043"/>
      <c r="AO120" s="1041"/>
    </row>
    <row r="121" spans="1:41" ht="12" customHeight="1" x14ac:dyDescent="0.2">
      <c r="S121" s="928"/>
      <c r="T121" s="928"/>
      <c r="U121" s="930"/>
      <c r="V121" s="1443"/>
      <c r="W121" s="930"/>
      <c r="X121" s="930"/>
      <c r="Y121" s="930"/>
      <c r="Z121" s="930"/>
      <c r="AA121" s="930"/>
      <c r="AB121" s="930"/>
      <c r="AC121" s="930"/>
      <c r="AD121" s="930"/>
      <c r="AE121" s="930"/>
      <c r="AF121" s="930"/>
      <c r="AG121" s="930"/>
      <c r="AH121" s="930"/>
      <c r="AI121" s="930"/>
      <c r="AJ121" s="930"/>
      <c r="AK121" s="930"/>
      <c r="AL121" s="930"/>
      <c r="AM121" s="928"/>
      <c r="AN121" s="1043"/>
      <c r="AO121" s="1041"/>
    </row>
    <row r="122" spans="1:41" ht="12" customHeight="1" x14ac:dyDescent="0.2">
      <c r="S122" s="928"/>
      <c r="T122" s="928"/>
      <c r="U122" s="930"/>
      <c r="V122" s="1443"/>
      <c r="W122" s="930"/>
      <c r="X122" s="1048"/>
      <c r="Y122" s="1048"/>
      <c r="Z122" s="1049"/>
      <c r="AA122" s="1049"/>
      <c r="AB122" s="1049"/>
      <c r="AC122" s="1049"/>
      <c r="AD122" s="1050"/>
      <c r="AE122" s="1081"/>
      <c r="AF122" s="1048"/>
      <c r="AG122" s="1048"/>
      <c r="AH122" s="1049"/>
      <c r="AI122" s="1049"/>
      <c r="AJ122" s="1049"/>
      <c r="AK122" s="1049"/>
      <c r="AL122" s="1050"/>
      <c r="AM122" s="928"/>
      <c r="AN122" s="1043"/>
      <c r="AO122" s="1041"/>
    </row>
    <row r="123" spans="1:41" ht="12" customHeight="1" x14ac:dyDescent="0.2">
      <c r="S123" s="928"/>
      <c r="T123" s="928"/>
      <c r="U123" s="930"/>
      <c r="V123" s="1443"/>
      <c r="W123" s="930"/>
      <c r="X123" s="1051"/>
      <c r="Y123" s="1051"/>
      <c r="Z123" s="1049"/>
      <c r="AA123" s="1049"/>
      <c r="AB123" s="1049"/>
      <c r="AC123" s="1049"/>
      <c r="AD123" s="1052"/>
      <c r="AE123" s="1082"/>
      <c r="AF123" s="1051"/>
      <c r="AG123" s="1051"/>
      <c r="AH123" s="1049"/>
      <c r="AI123" s="1049"/>
      <c r="AJ123" s="1049"/>
      <c r="AK123" s="1049"/>
      <c r="AL123" s="1052"/>
      <c r="AM123" s="928"/>
      <c r="AN123" s="1043"/>
      <c r="AO123" s="1041"/>
    </row>
    <row r="124" spans="1:41" ht="12" customHeight="1" x14ac:dyDescent="0.2">
      <c r="S124" s="928"/>
      <c r="T124" s="928"/>
      <c r="U124" s="930"/>
      <c r="V124" s="1443"/>
      <c r="W124" s="930"/>
      <c r="X124" s="1059"/>
      <c r="Y124" s="1059"/>
      <c r="Z124" s="1060"/>
      <c r="AA124" s="1060"/>
      <c r="AB124" s="1060"/>
      <c r="AC124" s="1061"/>
      <c r="AD124" s="1052"/>
      <c r="AE124" s="1060"/>
      <c r="AF124" s="1059"/>
      <c r="AG124" s="1059"/>
      <c r="AH124" s="1060"/>
      <c r="AI124" s="1060"/>
      <c r="AJ124" s="1060"/>
      <c r="AK124" s="1061"/>
      <c r="AL124" s="1052"/>
      <c r="AM124" s="928"/>
      <c r="AN124" s="1043"/>
      <c r="AO124" s="1041"/>
    </row>
    <row r="125" spans="1:41" ht="12" customHeight="1" x14ac:dyDescent="0.2">
      <c r="S125" s="928"/>
      <c r="T125" s="928"/>
      <c r="U125" s="930"/>
      <c r="V125" s="1443"/>
      <c r="W125" s="930"/>
      <c r="X125" s="930"/>
      <c r="Y125" s="1062"/>
      <c r="Z125" s="1062"/>
      <c r="AA125" s="1062"/>
      <c r="AB125" s="1062"/>
      <c r="AC125" s="1062"/>
      <c r="AD125" s="1062"/>
      <c r="AE125" s="1060"/>
      <c r="AF125" s="930"/>
      <c r="AG125" s="1062"/>
      <c r="AH125" s="1062"/>
      <c r="AI125" s="1062"/>
      <c r="AJ125" s="1062"/>
      <c r="AK125" s="1062"/>
      <c r="AL125" s="1062"/>
      <c r="AM125" s="928"/>
      <c r="AN125" s="1043"/>
      <c r="AO125" s="1041"/>
    </row>
    <row r="126" spans="1:41" ht="12" customHeight="1" x14ac:dyDescent="0.2">
      <c r="S126" s="928"/>
      <c r="T126" s="928"/>
      <c r="U126" s="930"/>
      <c r="V126" s="1443"/>
      <c r="W126" s="930"/>
      <c r="X126" s="1059"/>
      <c r="Y126" s="1063"/>
      <c r="Z126" s="1063"/>
      <c r="AA126" s="1063"/>
      <c r="AB126" s="1063"/>
      <c r="AC126" s="1063"/>
      <c r="AD126" s="1063"/>
      <c r="AE126" s="1060"/>
      <c r="AF126" s="1059"/>
      <c r="AG126" s="1063"/>
      <c r="AH126" s="1063"/>
      <c r="AI126" s="1063"/>
      <c r="AJ126" s="1063"/>
      <c r="AK126" s="1063"/>
      <c r="AL126" s="1063"/>
      <c r="AM126" s="928"/>
      <c r="AN126" s="1043"/>
      <c r="AO126" s="1041"/>
    </row>
    <row r="127" spans="1:41" ht="12" customHeight="1" x14ac:dyDescent="0.2">
      <c r="S127" s="928"/>
      <c r="T127" s="928"/>
      <c r="U127" s="930"/>
      <c r="V127" s="1443"/>
      <c r="W127" s="930"/>
      <c r="X127" s="1059"/>
      <c r="Y127" s="1063"/>
      <c r="Z127" s="1063"/>
      <c r="AA127" s="1063"/>
      <c r="AB127" s="1063"/>
      <c r="AC127" s="1063"/>
      <c r="AD127" s="1063"/>
      <c r="AE127" s="1060"/>
      <c r="AF127" s="1059"/>
      <c r="AG127" s="1063"/>
      <c r="AH127" s="1063"/>
      <c r="AI127" s="1063"/>
      <c r="AJ127" s="1063"/>
      <c r="AK127" s="1063"/>
      <c r="AL127" s="1063"/>
      <c r="AM127" s="928"/>
      <c r="AN127" s="1043"/>
      <c r="AO127" s="1041"/>
    </row>
    <row r="128" spans="1:41" ht="12" customHeight="1" x14ac:dyDescent="0.2">
      <c r="A128" s="928"/>
      <c r="B128" s="1443"/>
      <c r="C128" s="928"/>
      <c r="D128" s="1075"/>
      <c r="E128" s="1078"/>
      <c r="F128" s="1078"/>
      <c r="G128" s="1078"/>
      <c r="H128" s="1078"/>
      <c r="I128" s="1078"/>
      <c r="J128" s="1078"/>
      <c r="K128" s="1055"/>
      <c r="L128" s="1075"/>
      <c r="M128" s="1078"/>
      <c r="N128" s="1078"/>
      <c r="O128" s="1078"/>
      <c r="P128" s="1078"/>
      <c r="Q128" s="1078"/>
      <c r="R128" s="1078"/>
      <c r="S128" s="928"/>
      <c r="T128" s="928"/>
      <c r="U128" s="930"/>
      <c r="V128" s="1443"/>
      <c r="W128" s="930"/>
      <c r="X128" s="977"/>
      <c r="Y128" s="1065"/>
      <c r="Z128" s="1065"/>
      <c r="AA128" s="1065"/>
      <c r="AB128" s="1065"/>
      <c r="AC128" s="1065"/>
      <c r="AD128" s="1065"/>
      <c r="AE128" s="1060"/>
      <c r="AF128" s="977"/>
      <c r="AG128" s="1065"/>
      <c r="AH128" s="1065"/>
      <c r="AI128" s="1065"/>
      <c r="AJ128" s="1065"/>
      <c r="AK128" s="1065"/>
      <c r="AL128" s="1065"/>
      <c r="AM128" s="928"/>
      <c r="AN128" s="1043"/>
      <c r="AO128" s="1041"/>
    </row>
    <row r="129" spans="1:41" ht="12" customHeight="1" x14ac:dyDescent="0.2">
      <c r="T129" s="928"/>
      <c r="U129" s="930"/>
      <c r="V129" s="1443"/>
      <c r="W129" s="930"/>
      <c r="X129" s="1067"/>
      <c r="Y129" s="1068"/>
      <c r="Z129" s="1068"/>
      <c r="AA129" s="1068"/>
      <c r="AB129" s="1068"/>
      <c r="AC129" s="1068"/>
      <c r="AD129" s="1068"/>
      <c r="AE129" s="1060"/>
      <c r="AF129" s="1067"/>
      <c r="AG129" s="1068"/>
      <c r="AH129" s="1068"/>
      <c r="AI129" s="1068"/>
      <c r="AJ129" s="1068"/>
      <c r="AK129" s="1068"/>
      <c r="AL129" s="1068"/>
      <c r="AM129" s="928"/>
      <c r="AN129" s="1043"/>
      <c r="AO129" s="1041"/>
    </row>
    <row r="130" spans="1:41" ht="12" customHeight="1" x14ac:dyDescent="0.2">
      <c r="T130" s="928"/>
      <c r="U130" s="930"/>
      <c r="V130" s="1443"/>
      <c r="W130" s="930"/>
      <c r="X130" s="1044"/>
      <c r="Y130" s="1068"/>
      <c r="Z130" s="1068"/>
      <c r="AA130" s="1068"/>
      <c r="AB130" s="1068"/>
      <c r="AC130" s="1068"/>
      <c r="AD130" s="1068"/>
      <c r="AE130" s="1060"/>
      <c r="AF130" s="1044"/>
      <c r="AG130" s="1068"/>
      <c r="AH130" s="1068"/>
      <c r="AI130" s="1068"/>
      <c r="AJ130" s="1068"/>
      <c r="AK130" s="1068"/>
      <c r="AL130" s="1068"/>
      <c r="AM130" s="928"/>
      <c r="AN130" s="1043"/>
      <c r="AO130" s="1041"/>
    </row>
    <row r="131" spans="1:41" ht="12" customHeight="1" x14ac:dyDescent="0.2">
      <c r="T131" s="928"/>
      <c r="U131" s="930"/>
      <c r="V131" s="1443"/>
      <c r="W131" s="930"/>
      <c r="X131" s="1044"/>
      <c r="Y131" s="1068"/>
      <c r="Z131" s="1068"/>
      <c r="AA131" s="1068"/>
      <c r="AB131" s="1068"/>
      <c r="AC131" s="1068"/>
      <c r="AD131" s="1068"/>
      <c r="AE131" s="1060"/>
      <c r="AF131" s="1044"/>
      <c r="AG131" s="1068"/>
      <c r="AH131" s="1068"/>
      <c r="AI131" s="1068"/>
      <c r="AJ131" s="1068"/>
      <c r="AK131" s="1068"/>
      <c r="AL131" s="1068"/>
      <c r="AM131" s="928"/>
      <c r="AN131" s="1043"/>
      <c r="AO131" s="1041"/>
    </row>
    <row r="132" spans="1:41" ht="12" customHeight="1" x14ac:dyDescent="0.2">
      <c r="T132" s="928"/>
      <c r="U132" s="930"/>
      <c r="V132" s="1443"/>
      <c r="W132" s="930"/>
      <c r="X132" s="1083"/>
      <c r="Y132" s="1064"/>
      <c r="Z132" s="1066"/>
      <c r="AA132" s="1066"/>
      <c r="AB132" s="1066"/>
      <c r="AC132" s="977"/>
      <c r="AD132" s="1065"/>
      <c r="AE132" s="1060"/>
      <c r="AF132" s="1083"/>
      <c r="AG132" s="1064"/>
      <c r="AH132" s="1064"/>
      <c r="AI132" s="1064"/>
      <c r="AJ132" s="1064"/>
      <c r="AK132" s="977"/>
      <c r="AL132" s="1065"/>
      <c r="AM132" s="928"/>
      <c r="AN132" s="1043"/>
      <c r="AO132" s="1041"/>
    </row>
    <row r="133" spans="1:41" ht="12" customHeight="1" x14ac:dyDescent="0.2">
      <c r="T133" s="928"/>
      <c r="U133" s="930"/>
      <c r="V133" s="1443"/>
      <c r="W133" s="930"/>
      <c r="X133" s="930"/>
      <c r="Y133" s="930"/>
      <c r="Z133" s="930"/>
      <c r="AA133" s="930"/>
      <c r="AB133" s="930"/>
      <c r="AC133" s="930"/>
      <c r="AD133" s="930"/>
      <c r="AE133" s="930"/>
      <c r="AF133" s="930"/>
      <c r="AG133" s="930"/>
      <c r="AH133" s="930"/>
      <c r="AI133" s="930"/>
      <c r="AJ133" s="930"/>
      <c r="AK133" s="930"/>
      <c r="AL133" s="930"/>
      <c r="AM133" s="1070"/>
      <c r="AN133" s="1043"/>
      <c r="AO133" s="1041"/>
    </row>
    <row r="134" spans="1:41" ht="12" customHeight="1" x14ac:dyDescent="0.2">
      <c r="T134" s="928"/>
      <c r="U134" s="930"/>
      <c r="V134" s="1443"/>
      <c r="W134" s="930"/>
      <c r="X134" s="930"/>
      <c r="Y134" s="930"/>
      <c r="Z134" s="930"/>
      <c r="AA134" s="930"/>
      <c r="AB134" s="930"/>
      <c r="AC134" s="930"/>
      <c r="AD134" s="930"/>
      <c r="AE134" s="930"/>
      <c r="AF134" s="930"/>
      <c r="AG134" s="930"/>
      <c r="AH134" s="930"/>
      <c r="AI134" s="930"/>
      <c r="AJ134" s="930"/>
      <c r="AK134" s="930"/>
      <c r="AL134" s="930"/>
      <c r="AM134" s="1070"/>
      <c r="AN134" s="1043"/>
      <c r="AO134" s="1041"/>
    </row>
    <row r="135" spans="1:41" ht="12" customHeight="1" x14ac:dyDescent="0.2">
      <c r="T135" s="928"/>
      <c r="U135" s="930"/>
      <c r="V135" s="1443"/>
      <c r="W135" s="930"/>
      <c r="X135" s="930"/>
      <c r="Y135" s="930"/>
      <c r="Z135" s="930"/>
      <c r="AA135" s="930"/>
      <c r="AB135" s="930"/>
      <c r="AC135" s="930"/>
      <c r="AD135" s="930"/>
      <c r="AE135" s="930"/>
      <c r="AF135" s="930"/>
      <c r="AG135" s="930"/>
      <c r="AH135" s="930"/>
      <c r="AI135" s="930"/>
      <c r="AJ135" s="930"/>
      <c r="AK135" s="930"/>
      <c r="AL135" s="930"/>
      <c r="AM135" s="928"/>
      <c r="AN135" s="1043"/>
      <c r="AO135" s="1041"/>
    </row>
    <row r="136" spans="1:41" ht="12" customHeight="1" x14ac:dyDescent="0.2">
      <c r="T136" s="928"/>
      <c r="U136" s="930"/>
      <c r="V136" s="1443"/>
      <c r="W136" s="930"/>
      <c r="X136" s="930"/>
      <c r="Y136" s="930"/>
      <c r="Z136" s="930"/>
      <c r="AA136" s="930"/>
      <c r="AB136" s="930"/>
      <c r="AC136" s="930"/>
      <c r="AD136" s="930"/>
      <c r="AE136" s="930"/>
      <c r="AF136" s="930"/>
      <c r="AG136" s="930"/>
      <c r="AH136" s="930"/>
      <c r="AI136" s="930"/>
      <c r="AJ136" s="930"/>
      <c r="AK136" s="930"/>
      <c r="AL136" s="930"/>
      <c r="AM136" s="928"/>
      <c r="AN136" s="1043"/>
      <c r="AO136" s="1041"/>
    </row>
    <row r="137" spans="1:41" ht="12" customHeight="1" x14ac:dyDescent="0.2">
      <c r="T137" s="928"/>
      <c r="U137" s="930"/>
      <c r="V137" s="1443"/>
      <c r="W137" s="930"/>
      <c r="X137" s="1044"/>
      <c r="Y137" s="1044"/>
      <c r="Z137" s="1044"/>
      <c r="AA137" s="1044"/>
      <c r="AB137" s="1044"/>
      <c r="AC137" s="1044"/>
      <c r="AD137" s="1044"/>
      <c r="AE137" s="1044"/>
      <c r="AF137" s="1044"/>
      <c r="AG137" s="1044"/>
      <c r="AH137" s="1044"/>
      <c r="AI137" s="1044"/>
      <c r="AJ137" s="1044"/>
      <c r="AK137" s="1044"/>
      <c r="AL137" s="1044"/>
      <c r="AM137" s="928"/>
      <c r="AN137" s="1043"/>
      <c r="AO137" s="1041"/>
    </row>
    <row r="138" spans="1:41" ht="12" customHeight="1" x14ac:dyDescent="0.2">
      <c r="T138" s="928"/>
      <c r="U138" s="930"/>
      <c r="V138" s="1443"/>
      <c r="W138" s="930"/>
      <c r="X138" s="1044"/>
      <c r="Y138" s="1044"/>
      <c r="Z138" s="1044"/>
      <c r="AA138" s="1044"/>
      <c r="AB138" s="1044"/>
      <c r="AC138" s="1044"/>
      <c r="AD138" s="1044"/>
      <c r="AE138" s="1045"/>
      <c r="AF138" s="1046"/>
      <c r="AG138" s="1046"/>
      <c r="AH138" s="1046"/>
      <c r="AI138" s="1046"/>
      <c r="AJ138" s="1046"/>
      <c r="AK138" s="1046"/>
      <c r="AL138" s="1047"/>
      <c r="AM138" s="928"/>
      <c r="AN138" s="1043"/>
      <c r="AO138" s="1041"/>
    </row>
    <row r="139" spans="1:41" ht="12" customHeight="1" x14ac:dyDescent="0.2">
      <c r="A139" s="928"/>
      <c r="B139" s="1443"/>
      <c r="C139" s="928"/>
      <c r="D139" s="1084"/>
      <c r="E139" s="1084"/>
      <c r="F139" s="1084"/>
      <c r="G139" s="1084"/>
      <c r="H139" s="1084"/>
      <c r="I139" s="1084"/>
      <c r="J139" s="1084"/>
      <c r="K139" s="1054"/>
      <c r="L139" s="1054"/>
      <c r="M139" s="1054"/>
      <c r="N139" s="1054"/>
      <c r="O139" s="1054"/>
      <c r="P139" s="1054"/>
      <c r="Q139" s="1054"/>
      <c r="R139" s="1084"/>
      <c r="S139" s="928"/>
      <c r="T139" s="928"/>
      <c r="U139" s="930"/>
      <c r="V139" s="1443"/>
      <c r="W139" s="930"/>
      <c r="X139" s="1044"/>
      <c r="Y139" s="1044"/>
      <c r="Z139" s="1044"/>
      <c r="AA139" s="1044"/>
      <c r="AB139" s="1044"/>
      <c r="AC139" s="1044"/>
      <c r="AD139" s="1044"/>
      <c r="AE139" s="1046"/>
      <c r="AF139" s="1046"/>
      <c r="AG139" s="1046"/>
      <c r="AH139" s="1046"/>
      <c r="AI139" s="1046"/>
      <c r="AJ139" s="1046"/>
      <c r="AK139" s="1046"/>
      <c r="AL139" s="1044"/>
      <c r="AM139" s="928"/>
      <c r="AN139" s="1043"/>
      <c r="AO139" s="1041"/>
    </row>
    <row r="140" spans="1:41" ht="12" customHeight="1" x14ac:dyDescent="0.2">
      <c r="A140" s="928"/>
      <c r="B140" s="1443"/>
      <c r="C140" s="928"/>
      <c r="D140" s="1084"/>
      <c r="E140" s="1084"/>
      <c r="F140" s="1084"/>
      <c r="G140" s="1084"/>
      <c r="H140" s="1084"/>
      <c r="I140" s="1084"/>
      <c r="J140" s="1084"/>
      <c r="K140" s="1085"/>
      <c r="L140" s="1054"/>
      <c r="M140" s="1054"/>
      <c r="N140" s="1054"/>
      <c r="O140" s="1054"/>
      <c r="P140" s="1054"/>
      <c r="Q140" s="1054"/>
      <c r="R140" s="1084"/>
      <c r="S140" s="928"/>
      <c r="T140" s="928"/>
      <c r="U140" s="930"/>
      <c r="V140" s="1443"/>
      <c r="W140" s="930"/>
      <c r="X140" s="1044"/>
      <c r="Y140" s="1044"/>
      <c r="Z140" s="1044"/>
      <c r="AA140" s="1044"/>
      <c r="AB140" s="1044"/>
      <c r="AC140" s="1044"/>
      <c r="AD140" s="1044"/>
      <c r="AE140" s="1045"/>
      <c r="AF140" s="1046"/>
      <c r="AG140" s="1046"/>
      <c r="AH140" s="1046"/>
      <c r="AI140" s="1046"/>
      <c r="AJ140" s="1046"/>
      <c r="AK140" s="1046"/>
      <c r="AL140" s="1044"/>
      <c r="AM140" s="928"/>
      <c r="AN140" s="1043"/>
      <c r="AO140" s="1041"/>
    </row>
    <row r="141" spans="1:41" ht="12" customHeight="1" x14ac:dyDescent="0.2">
      <c r="A141" s="928"/>
      <c r="B141" s="1443"/>
      <c r="C141" s="928"/>
      <c r="D141" s="1084"/>
      <c r="E141" s="1084"/>
      <c r="F141" s="1084"/>
      <c r="G141" s="1084"/>
      <c r="H141" s="1084"/>
      <c r="I141" s="1084"/>
      <c r="J141" s="1084"/>
      <c r="K141" s="1054"/>
      <c r="L141" s="1054"/>
      <c r="M141" s="1054"/>
      <c r="N141" s="1054"/>
      <c r="O141" s="1054"/>
      <c r="P141" s="1054"/>
      <c r="Q141" s="1054"/>
      <c r="R141" s="1084"/>
      <c r="S141" s="928"/>
      <c r="T141" s="928"/>
      <c r="U141" s="930"/>
      <c r="V141" s="1443"/>
      <c r="W141" s="930"/>
      <c r="X141" s="1044"/>
      <c r="Y141" s="1044"/>
      <c r="Z141" s="1044"/>
      <c r="AA141" s="1044"/>
      <c r="AB141" s="1044"/>
      <c r="AC141" s="1044"/>
      <c r="AD141" s="1044"/>
      <c r="AE141" s="1046"/>
      <c r="AF141" s="1046"/>
      <c r="AG141" s="1046"/>
      <c r="AH141" s="1046"/>
      <c r="AI141" s="1046"/>
      <c r="AJ141" s="1046"/>
      <c r="AK141" s="1046"/>
      <c r="AL141" s="1044"/>
      <c r="AM141" s="928"/>
      <c r="AN141" s="1043"/>
      <c r="AO141" s="1041"/>
    </row>
    <row r="142" spans="1:41" ht="12" customHeight="1" x14ac:dyDescent="0.2">
      <c r="A142" s="928"/>
      <c r="B142" s="1443"/>
      <c r="C142" s="928"/>
      <c r="D142" s="1084"/>
      <c r="E142" s="1084"/>
      <c r="F142" s="1084"/>
      <c r="G142" s="1084"/>
      <c r="H142" s="1084"/>
      <c r="I142" s="1084"/>
      <c r="J142" s="1084"/>
      <c r="K142" s="1084"/>
      <c r="L142" s="1084"/>
      <c r="M142" s="1084"/>
      <c r="N142" s="1084"/>
      <c r="O142" s="1084"/>
      <c r="P142" s="1084"/>
      <c r="Q142" s="1084"/>
      <c r="R142" s="1084"/>
      <c r="S142" s="928"/>
      <c r="T142" s="928"/>
      <c r="U142" s="930"/>
      <c r="V142" s="1443"/>
      <c r="W142" s="930"/>
      <c r="X142" s="1044"/>
      <c r="Y142" s="1044"/>
      <c r="Z142" s="1044"/>
      <c r="AA142" s="1044"/>
      <c r="AB142" s="1044"/>
      <c r="AC142" s="1044"/>
      <c r="AD142" s="1044"/>
      <c r="AE142" s="1044"/>
      <c r="AF142" s="1044"/>
      <c r="AG142" s="1044"/>
      <c r="AH142" s="1044"/>
      <c r="AI142" s="1044"/>
      <c r="AJ142" s="1044"/>
      <c r="AK142" s="1044"/>
      <c r="AL142" s="1044"/>
      <c r="AM142" s="928"/>
      <c r="AN142" s="1043"/>
      <c r="AO142" s="1041"/>
    </row>
    <row r="143" spans="1:41" ht="12" customHeight="1" x14ac:dyDescent="0.2">
      <c r="A143" s="928"/>
      <c r="B143" s="1443"/>
      <c r="C143" s="928"/>
      <c r="D143" s="928"/>
      <c r="E143" s="928"/>
      <c r="F143" s="928"/>
      <c r="G143" s="928"/>
      <c r="H143" s="928"/>
      <c r="I143" s="928"/>
      <c r="J143" s="928"/>
      <c r="K143" s="928"/>
      <c r="L143" s="928"/>
      <c r="M143" s="928"/>
      <c r="N143" s="928"/>
      <c r="O143" s="928"/>
      <c r="P143" s="928"/>
      <c r="Q143" s="928"/>
      <c r="R143" s="928"/>
      <c r="S143" s="928"/>
      <c r="T143" s="928"/>
      <c r="U143" s="930"/>
      <c r="V143" s="1443"/>
      <c r="W143" s="930"/>
      <c r="X143" s="930"/>
      <c r="Y143" s="930"/>
      <c r="Z143" s="930"/>
      <c r="AA143" s="930"/>
      <c r="AB143" s="930"/>
      <c r="AC143" s="930"/>
      <c r="AD143" s="930"/>
      <c r="AE143" s="930"/>
      <c r="AF143" s="930"/>
      <c r="AG143" s="930"/>
      <c r="AH143" s="930"/>
      <c r="AI143" s="930"/>
      <c r="AJ143" s="930"/>
      <c r="AK143" s="930"/>
      <c r="AL143" s="930"/>
      <c r="AM143" s="928"/>
      <c r="AN143" s="1043"/>
      <c r="AO143" s="1041"/>
    </row>
    <row r="144" spans="1:41" ht="12" customHeight="1" x14ac:dyDescent="0.2">
      <c r="R144" s="1080"/>
      <c r="S144" s="928"/>
      <c r="T144" s="928"/>
      <c r="U144" s="930"/>
      <c r="V144" s="1443"/>
      <c r="W144" s="930"/>
      <c r="X144" s="1048"/>
      <c r="Y144" s="1048"/>
      <c r="Z144" s="1049"/>
      <c r="AA144" s="1049"/>
      <c r="AB144" s="1049"/>
      <c r="AC144" s="1049"/>
      <c r="AD144" s="1050"/>
      <c r="AE144" s="930"/>
      <c r="AF144" s="1048"/>
      <c r="AG144" s="1048"/>
      <c r="AH144" s="1049"/>
      <c r="AI144" s="1049"/>
      <c r="AJ144" s="1049"/>
      <c r="AK144" s="1049"/>
      <c r="AL144" s="1050"/>
      <c r="AM144" s="928"/>
      <c r="AN144" s="1043"/>
      <c r="AO144" s="1041"/>
    </row>
    <row r="145" spans="1:41" ht="12" customHeight="1" x14ac:dyDescent="0.2">
      <c r="R145" s="1057"/>
      <c r="S145" s="928"/>
      <c r="T145" s="928"/>
      <c r="U145" s="930"/>
      <c r="V145" s="1443"/>
      <c r="W145" s="930"/>
      <c r="X145" s="1051"/>
      <c r="Y145" s="1051"/>
      <c r="Z145" s="1049"/>
      <c r="AA145" s="1049"/>
      <c r="AB145" s="1049"/>
      <c r="AC145" s="1049"/>
      <c r="AD145" s="1052"/>
      <c r="AE145" s="1053"/>
      <c r="AF145" s="1051"/>
      <c r="AG145" s="1051"/>
      <c r="AH145" s="1049"/>
      <c r="AI145" s="1049"/>
      <c r="AJ145" s="1049"/>
      <c r="AK145" s="1049"/>
      <c r="AL145" s="1052"/>
      <c r="AM145" s="928"/>
      <c r="AN145" s="1043"/>
      <c r="AO145" s="1041"/>
    </row>
    <row r="146" spans="1:41" ht="12" customHeight="1" x14ac:dyDescent="0.2">
      <c r="R146" s="1057"/>
      <c r="S146" s="928"/>
      <c r="T146" s="928"/>
      <c r="U146" s="930"/>
      <c r="V146" s="1443"/>
      <c r="W146" s="930"/>
      <c r="X146" s="1059"/>
      <c r="Y146" s="1059"/>
      <c r="Z146" s="1060"/>
      <c r="AA146" s="1060"/>
      <c r="AB146" s="1060"/>
      <c r="AC146" s="1061"/>
      <c r="AD146" s="1052"/>
      <c r="AE146" s="1053"/>
      <c r="AF146" s="1059"/>
      <c r="AG146" s="1059"/>
      <c r="AH146" s="1060"/>
      <c r="AI146" s="1060"/>
      <c r="AJ146" s="1060"/>
      <c r="AK146" s="1061"/>
      <c r="AL146" s="1052"/>
      <c r="AM146" s="928"/>
      <c r="AN146" s="1043"/>
      <c r="AO146" s="1041"/>
    </row>
    <row r="147" spans="1:41" ht="12" customHeight="1" x14ac:dyDescent="0.2">
      <c r="R147" s="1076"/>
      <c r="S147" s="928"/>
      <c r="T147" s="928"/>
      <c r="U147" s="930"/>
      <c r="V147" s="1443"/>
      <c r="W147" s="930"/>
      <c r="X147" s="930"/>
      <c r="Y147" s="1062"/>
      <c r="Z147" s="1062"/>
      <c r="AA147" s="1062"/>
      <c r="AB147" s="1062"/>
      <c r="AC147" s="1062"/>
      <c r="AD147" s="1062"/>
      <c r="AE147" s="1053"/>
      <c r="AF147" s="930"/>
      <c r="AG147" s="1062"/>
      <c r="AH147" s="1062"/>
      <c r="AI147" s="1062"/>
      <c r="AJ147" s="1062"/>
      <c r="AK147" s="1062"/>
      <c r="AL147" s="1062"/>
      <c r="AM147" s="928"/>
      <c r="AN147" s="1043"/>
      <c r="AO147" s="1041"/>
    </row>
    <row r="148" spans="1:41" ht="12" customHeight="1" x14ac:dyDescent="0.2">
      <c r="A148" s="928"/>
      <c r="B148" s="1443"/>
      <c r="C148" s="928"/>
      <c r="D148" s="1054"/>
      <c r="E148" s="1077"/>
      <c r="F148" s="1077"/>
      <c r="G148" s="1077"/>
      <c r="H148" s="1077"/>
      <c r="I148" s="1077"/>
      <c r="J148" s="1077"/>
      <c r="K148" s="1070"/>
      <c r="L148" s="1054"/>
      <c r="M148" s="1077"/>
      <c r="N148" s="1077"/>
      <c r="O148" s="1077"/>
      <c r="P148" s="1077"/>
      <c r="Q148" s="1077"/>
      <c r="R148" s="1077"/>
      <c r="S148" s="928"/>
      <c r="T148" s="928"/>
      <c r="U148" s="930"/>
      <c r="V148" s="1443"/>
      <c r="W148" s="930"/>
      <c r="X148" s="1059"/>
      <c r="Y148" s="1063"/>
      <c r="Z148" s="1063"/>
      <c r="AA148" s="1063"/>
      <c r="AB148" s="1063"/>
      <c r="AC148" s="1063"/>
      <c r="AD148" s="1063"/>
      <c r="AE148" s="1064"/>
      <c r="AF148" s="1059"/>
      <c r="AG148" s="1063"/>
      <c r="AH148" s="1063"/>
      <c r="AI148" s="1063"/>
      <c r="AJ148" s="1063"/>
      <c r="AK148" s="1063"/>
      <c r="AL148" s="1063"/>
      <c r="AM148" s="928"/>
      <c r="AN148" s="1043"/>
      <c r="AO148" s="1041"/>
    </row>
    <row r="149" spans="1:41" ht="12" customHeight="1" x14ac:dyDescent="0.2">
      <c r="A149" s="928"/>
      <c r="B149" s="1443"/>
      <c r="C149" s="928"/>
      <c r="D149" s="1054"/>
      <c r="E149" s="1077"/>
      <c r="F149" s="1077"/>
      <c r="G149" s="1077"/>
      <c r="H149" s="1077"/>
      <c r="I149" s="1077"/>
      <c r="J149" s="1077"/>
      <c r="K149" s="1075"/>
      <c r="L149" s="1054"/>
      <c r="M149" s="1077"/>
      <c r="N149" s="1077"/>
      <c r="O149" s="1077"/>
      <c r="P149" s="1077"/>
      <c r="Q149" s="1077"/>
      <c r="R149" s="1077"/>
      <c r="S149" s="928"/>
      <c r="T149" s="928"/>
      <c r="U149" s="930"/>
      <c r="V149" s="1443"/>
      <c r="W149" s="930"/>
      <c r="X149" s="1059"/>
      <c r="Y149" s="1063"/>
      <c r="Z149" s="1063"/>
      <c r="AA149" s="1063"/>
      <c r="AB149" s="1063"/>
      <c r="AC149" s="1063"/>
      <c r="AD149" s="1063"/>
      <c r="AE149" s="977"/>
      <c r="AF149" s="1059"/>
      <c r="AG149" s="1063"/>
      <c r="AH149" s="1063"/>
      <c r="AI149" s="1063"/>
      <c r="AJ149" s="1063"/>
      <c r="AK149" s="1063"/>
      <c r="AL149" s="1063"/>
      <c r="AM149" s="928"/>
      <c r="AN149" s="1043"/>
      <c r="AO149" s="1041"/>
    </row>
    <row r="150" spans="1:41" ht="12" customHeight="1" x14ac:dyDescent="0.2">
      <c r="A150" s="928"/>
      <c r="B150" s="1443"/>
      <c r="C150" s="928"/>
      <c r="D150" s="1075"/>
      <c r="E150" s="1078"/>
      <c r="F150" s="1078"/>
      <c r="G150" s="1078"/>
      <c r="H150" s="1078"/>
      <c r="I150" s="1078"/>
      <c r="J150" s="1078"/>
      <c r="K150" s="1070"/>
      <c r="L150" s="1075"/>
      <c r="M150" s="1078"/>
      <c r="N150" s="1078"/>
      <c r="O150" s="1078"/>
      <c r="P150" s="1078"/>
      <c r="Q150" s="1078"/>
      <c r="R150" s="1078"/>
      <c r="S150" s="928"/>
      <c r="T150" s="928"/>
      <c r="U150" s="930"/>
      <c r="V150" s="1443"/>
      <c r="W150" s="930"/>
      <c r="X150" s="977"/>
      <c r="Y150" s="1065"/>
      <c r="Z150" s="1065"/>
      <c r="AA150" s="1065"/>
      <c r="AB150" s="1065"/>
      <c r="AC150" s="1065"/>
      <c r="AD150" s="1065"/>
      <c r="AE150" s="1066"/>
      <c r="AF150" s="977"/>
      <c r="AG150" s="1065"/>
      <c r="AH150" s="1065"/>
      <c r="AI150" s="1065"/>
      <c r="AJ150" s="1065"/>
      <c r="AK150" s="1065"/>
      <c r="AL150" s="1065"/>
      <c r="AM150" s="928"/>
      <c r="AN150" s="1043"/>
      <c r="AO150" s="1041"/>
    </row>
    <row r="151" spans="1:41" ht="12" customHeight="1" x14ac:dyDescent="0.2">
      <c r="A151" s="928"/>
      <c r="B151" s="1443"/>
      <c r="C151" s="928"/>
      <c r="D151" s="1086"/>
      <c r="E151" s="1079"/>
      <c r="F151" s="1079"/>
      <c r="G151" s="1079"/>
      <c r="H151" s="1079"/>
      <c r="I151" s="1079"/>
      <c r="J151" s="1079"/>
      <c r="K151" s="1070"/>
      <c r="L151" s="1086"/>
      <c r="M151" s="1079"/>
      <c r="N151" s="1079"/>
      <c r="O151" s="1079"/>
      <c r="P151" s="1079"/>
      <c r="Q151" s="1079"/>
      <c r="R151" s="1079"/>
      <c r="S151" s="928"/>
      <c r="T151" s="928"/>
      <c r="U151" s="930"/>
      <c r="V151" s="1443"/>
      <c r="W151" s="930"/>
      <c r="X151" s="1067"/>
      <c r="Y151" s="1068"/>
      <c r="Z151" s="1068"/>
      <c r="AA151" s="1068"/>
      <c r="AB151" s="1068"/>
      <c r="AC151" s="1068"/>
      <c r="AD151" s="1068"/>
      <c r="AE151" s="1066"/>
      <c r="AF151" s="1067"/>
      <c r="AG151" s="1068"/>
      <c r="AH151" s="1068"/>
      <c r="AI151" s="1068"/>
      <c r="AJ151" s="1068"/>
      <c r="AK151" s="1068"/>
      <c r="AL151" s="1068"/>
      <c r="AM151" s="928"/>
      <c r="AN151" s="1043"/>
      <c r="AO151" s="1041"/>
    </row>
    <row r="152" spans="1:41" ht="12" customHeight="1" x14ac:dyDescent="0.2">
      <c r="A152" s="928"/>
      <c r="B152" s="1443"/>
      <c r="C152" s="928"/>
      <c r="D152" s="1084"/>
      <c r="E152" s="1079"/>
      <c r="F152" s="1079"/>
      <c r="G152" s="1079"/>
      <c r="H152" s="1079"/>
      <c r="I152" s="1079"/>
      <c r="J152" s="1079"/>
      <c r="K152" s="1070"/>
      <c r="L152" s="1084"/>
      <c r="M152" s="1079"/>
      <c r="N152" s="1079"/>
      <c r="O152" s="1079"/>
      <c r="P152" s="1079"/>
      <c r="Q152" s="1079"/>
      <c r="R152" s="1079"/>
      <c r="S152" s="928"/>
      <c r="T152" s="928"/>
      <c r="U152" s="930"/>
      <c r="V152" s="1443"/>
      <c r="W152" s="930"/>
      <c r="X152" s="1044"/>
      <c r="Y152" s="1068"/>
      <c r="Z152" s="1068"/>
      <c r="AA152" s="1068"/>
      <c r="AB152" s="1068"/>
      <c r="AC152" s="1068"/>
      <c r="AD152" s="1068"/>
      <c r="AE152" s="1066"/>
      <c r="AF152" s="1044"/>
      <c r="AG152" s="1068"/>
      <c r="AH152" s="1068"/>
      <c r="AI152" s="1068"/>
      <c r="AJ152" s="1068"/>
      <c r="AK152" s="1068"/>
      <c r="AL152" s="1068"/>
      <c r="AM152" s="928"/>
      <c r="AN152" s="1043"/>
      <c r="AO152" s="1041"/>
    </row>
    <row r="153" spans="1:41" ht="12" customHeight="1" x14ac:dyDescent="0.2">
      <c r="A153" s="928"/>
      <c r="B153" s="1443"/>
      <c r="C153" s="928"/>
      <c r="D153" s="1084"/>
      <c r="E153" s="1079"/>
      <c r="F153" s="1079"/>
      <c r="G153" s="1079"/>
      <c r="H153" s="1079"/>
      <c r="I153" s="1079"/>
      <c r="J153" s="1079"/>
      <c r="K153" s="1070"/>
      <c r="L153" s="1084"/>
      <c r="M153" s="1079"/>
      <c r="N153" s="1079"/>
      <c r="O153" s="1079"/>
      <c r="P153" s="1079"/>
      <c r="Q153" s="1079"/>
      <c r="R153" s="1079"/>
      <c r="S153" s="928"/>
      <c r="T153" s="928"/>
      <c r="U153" s="930"/>
      <c r="V153" s="1443"/>
      <c r="W153" s="930"/>
      <c r="X153" s="1044"/>
      <c r="Y153" s="1068"/>
      <c r="Z153" s="1068"/>
      <c r="AA153" s="1068"/>
      <c r="AB153" s="1068"/>
      <c r="AC153" s="1068"/>
      <c r="AD153" s="1068"/>
      <c r="AE153" s="1066"/>
      <c r="AF153" s="1044"/>
      <c r="AG153" s="1068"/>
      <c r="AH153" s="1068"/>
      <c r="AI153" s="1068"/>
      <c r="AJ153" s="1068"/>
      <c r="AK153" s="1068"/>
      <c r="AL153" s="1068"/>
      <c r="AM153" s="928"/>
      <c r="AN153" s="1043"/>
      <c r="AO153" s="1041"/>
    </row>
    <row r="154" spans="1:41" ht="12" customHeight="1" x14ac:dyDescent="0.2">
      <c r="A154" s="928"/>
      <c r="B154" s="1443"/>
      <c r="C154" s="928"/>
      <c r="D154" s="1084"/>
      <c r="E154" s="1084"/>
      <c r="F154" s="1084"/>
      <c r="G154" s="1084"/>
      <c r="H154" s="1084"/>
      <c r="I154" s="1084"/>
      <c r="J154" s="1084"/>
      <c r="K154" s="1070"/>
      <c r="L154" s="1070"/>
      <c r="M154" s="1070"/>
      <c r="N154" s="1087"/>
      <c r="O154" s="1070"/>
      <c r="P154" s="1070"/>
      <c r="Q154" s="1070"/>
      <c r="R154" s="1070"/>
      <c r="S154" s="928"/>
      <c r="T154" s="928"/>
      <c r="U154" s="930"/>
      <c r="V154" s="1443"/>
      <c r="W154" s="930"/>
      <c r="X154" s="1044"/>
      <c r="Y154" s="1044"/>
      <c r="Z154" s="1044"/>
      <c r="AA154" s="1044"/>
      <c r="AB154" s="1044"/>
      <c r="AC154" s="1044"/>
      <c r="AD154" s="1044"/>
      <c r="AE154" s="1066"/>
      <c r="AF154" s="1066"/>
      <c r="AG154" s="1064"/>
      <c r="AH154" s="1069"/>
      <c r="AI154" s="1066"/>
      <c r="AJ154" s="1066"/>
      <c r="AK154" s="1066"/>
      <c r="AL154" s="1066"/>
      <c r="AM154" s="928"/>
      <c r="AN154" s="1043"/>
      <c r="AO154" s="1041"/>
    </row>
    <row r="155" spans="1:41" ht="12" customHeight="1" x14ac:dyDescent="0.2">
      <c r="S155" s="928"/>
      <c r="T155" s="928"/>
      <c r="U155" s="930"/>
      <c r="V155" s="1443"/>
      <c r="W155" s="930"/>
      <c r="X155" s="1048"/>
      <c r="Y155" s="1048"/>
      <c r="Z155" s="1049"/>
      <c r="AA155" s="1049"/>
      <c r="AB155" s="1049"/>
      <c r="AC155" s="1049"/>
      <c r="AD155" s="1050"/>
      <c r="AE155" s="1066"/>
      <c r="AF155" s="1048"/>
      <c r="AG155" s="1048"/>
      <c r="AH155" s="1049"/>
      <c r="AI155" s="1049"/>
      <c r="AJ155" s="1049"/>
      <c r="AK155" s="1049"/>
      <c r="AL155" s="1050"/>
      <c r="AM155" s="928"/>
      <c r="AN155" s="1043"/>
      <c r="AO155" s="1041"/>
    </row>
    <row r="156" spans="1:41" ht="12" customHeight="1" x14ac:dyDescent="0.2">
      <c r="S156" s="928"/>
      <c r="T156" s="928"/>
      <c r="U156" s="930"/>
      <c r="V156" s="1443"/>
      <c r="W156" s="930"/>
      <c r="X156" s="1051"/>
      <c r="Y156" s="1051"/>
      <c r="Z156" s="1049"/>
      <c r="AA156" s="1049"/>
      <c r="AB156" s="1049"/>
      <c r="AC156" s="1049"/>
      <c r="AD156" s="1052"/>
      <c r="AE156" s="1066"/>
      <c r="AF156" s="1051"/>
      <c r="AG156" s="1051"/>
      <c r="AH156" s="1049"/>
      <c r="AI156" s="1049"/>
      <c r="AJ156" s="1049"/>
      <c r="AK156" s="1049"/>
      <c r="AL156" s="1052"/>
      <c r="AM156" s="928"/>
      <c r="AN156" s="1043"/>
      <c r="AO156" s="1041"/>
    </row>
    <row r="157" spans="1:41" ht="12" customHeight="1" x14ac:dyDescent="0.2">
      <c r="S157" s="928"/>
      <c r="T157" s="928"/>
      <c r="U157" s="930"/>
      <c r="V157" s="1443"/>
      <c r="W157" s="930"/>
      <c r="X157" s="1059"/>
      <c r="Y157" s="1059"/>
      <c r="Z157" s="1060"/>
      <c r="AA157" s="1060"/>
      <c r="AB157" s="1060"/>
      <c r="AC157" s="1061"/>
      <c r="AD157" s="1052"/>
      <c r="AE157" s="1066"/>
      <c r="AF157" s="1059"/>
      <c r="AG157" s="1059"/>
      <c r="AH157" s="1060"/>
      <c r="AI157" s="1060"/>
      <c r="AJ157" s="1060"/>
      <c r="AK157" s="1061"/>
      <c r="AL157" s="1052"/>
      <c r="AM157" s="928"/>
      <c r="AN157" s="1043"/>
      <c r="AO157" s="1041"/>
    </row>
    <row r="158" spans="1:41" ht="12" customHeight="1" x14ac:dyDescent="0.2">
      <c r="S158" s="928"/>
      <c r="T158" s="928"/>
      <c r="U158" s="930"/>
      <c r="V158" s="1443"/>
      <c r="W158" s="930"/>
      <c r="X158" s="930"/>
      <c r="Y158" s="1062"/>
      <c r="Z158" s="1062"/>
      <c r="AA158" s="1062"/>
      <c r="AB158" s="1062"/>
      <c r="AC158" s="1062"/>
      <c r="AD158" s="1062"/>
      <c r="AE158" s="1066"/>
      <c r="AF158" s="930"/>
      <c r="AG158" s="1062"/>
      <c r="AH158" s="1062"/>
      <c r="AI158" s="1062"/>
      <c r="AJ158" s="1062"/>
      <c r="AK158" s="1062"/>
      <c r="AL158" s="1062"/>
      <c r="AM158" s="928"/>
      <c r="AN158" s="1043"/>
      <c r="AO158" s="1041"/>
    </row>
    <row r="159" spans="1:41" ht="12" customHeight="1" x14ac:dyDescent="0.2">
      <c r="S159" s="928"/>
      <c r="T159" s="928"/>
      <c r="U159" s="930"/>
      <c r="V159" s="1443"/>
      <c r="W159" s="930"/>
      <c r="X159" s="1059"/>
      <c r="Y159" s="1063"/>
      <c r="Z159" s="1063"/>
      <c r="AA159" s="1063"/>
      <c r="AB159" s="1063"/>
      <c r="AC159" s="1063"/>
      <c r="AD159" s="1063"/>
      <c r="AE159" s="1071"/>
      <c r="AF159" s="1059"/>
      <c r="AG159" s="1063"/>
      <c r="AH159" s="1063"/>
      <c r="AI159" s="1063"/>
      <c r="AJ159" s="1063"/>
      <c r="AK159" s="1063"/>
      <c r="AL159" s="1063"/>
      <c r="AM159" s="928"/>
      <c r="AN159" s="1043"/>
      <c r="AO159" s="1041"/>
    </row>
    <row r="160" spans="1:41" ht="12" customHeight="1" x14ac:dyDescent="0.2">
      <c r="S160" s="928"/>
      <c r="T160" s="928"/>
      <c r="U160" s="930"/>
      <c r="V160" s="1443"/>
      <c r="W160" s="930"/>
      <c r="X160" s="1059"/>
      <c r="Y160" s="1063"/>
      <c r="Z160" s="1063"/>
      <c r="AA160" s="1063"/>
      <c r="AB160" s="1063"/>
      <c r="AC160" s="1063"/>
      <c r="AD160" s="1063"/>
      <c r="AE160" s="1071"/>
      <c r="AF160" s="1059"/>
      <c r="AG160" s="1063"/>
      <c r="AH160" s="1063"/>
      <c r="AI160" s="1063"/>
      <c r="AJ160" s="1063"/>
      <c r="AK160" s="1063"/>
      <c r="AL160" s="1063"/>
      <c r="AM160" s="928"/>
      <c r="AN160" s="1043"/>
      <c r="AO160" s="1041"/>
    </row>
    <row r="161" spans="1:41" ht="12" customHeight="1" x14ac:dyDescent="0.2">
      <c r="S161" s="928"/>
      <c r="T161" s="928"/>
      <c r="U161" s="930"/>
      <c r="V161" s="1443"/>
      <c r="W161" s="930"/>
      <c r="X161" s="977"/>
      <c r="Y161" s="1065"/>
      <c r="Z161" s="1065"/>
      <c r="AA161" s="1065"/>
      <c r="AB161" s="1065"/>
      <c r="AC161" s="1065"/>
      <c r="AD161" s="1065"/>
      <c r="AE161" s="977"/>
      <c r="AF161" s="977"/>
      <c r="AG161" s="1065"/>
      <c r="AH161" s="1065"/>
      <c r="AI161" s="1065"/>
      <c r="AJ161" s="1065"/>
      <c r="AK161" s="1065"/>
      <c r="AL161" s="1065"/>
      <c r="AM161" s="928"/>
      <c r="AN161" s="1043"/>
      <c r="AO161" s="1041"/>
    </row>
    <row r="162" spans="1:41" ht="12" customHeight="1" x14ac:dyDescent="0.2">
      <c r="S162" s="928"/>
      <c r="T162" s="928"/>
      <c r="U162" s="930"/>
      <c r="V162" s="1443"/>
      <c r="W162" s="930"/>
      <c r="X162" s="1067"/>
      <c r="Y162" s="1068"/>
      <c r="Z162" s="1068"/>
      <c r="AA162" s="1068"/>
      <c r="AB162" s="1068"/>
      <c r="AC162" s="1068"/>
      <c r="AD162" s="1068"/>
      <c r="AE162" s="1072"/>
      <c r="AF162" s="1067"/>
      <c r="AG162" s="1068"/>
      <c r="AH162" s="1068"/>
      <c r="AI162" s="1068"/>
      <c r="AJ162" s="1068"/>
      <c r="AK162" s="1068"/>
      <c r="AL162" s="1068"/>
      <c r="AM162" s="928"/>
      <c r="AN162" s="1043"/>
      <c r="AO162" s="1041"/>
    </row>
    <row r="163" spans="1:41" ht="12" customHeight="1" x14ac:dyDescent="0.2">
      <c r="S163" s="928"/>
      <c r="T163" s="928"/>
      <c r="U163" s="930"/>
      <c r="V163" s="1443"/>
      <c r="W163" s="930"/>
      <c r="X163" s="1044"/>
      <c r="Y163" s="1068"/>
      <c r="Z163" s="1068"/>
      <c r="AA163" s="1068"/>
      <c r="AB163" s="1068"/>
      <c r="AC163" s="1068"/>
      <c r="AD163" s="1068"/>
      <c r="AE163" s="1071"/>
      <c r="AF163" s="1044"/>
      <c r="AG163" s="1068"/>
      <c r="AH163" s="1068"/>
      <c r="AI163" s="1068"/>
      <c r="AJ163" s="1068"/>
      <c r="AK163" s="1068"/>
      <c r="AL163" s="1068"/>
      <c r="AM163" s="928"/>
      <c r="AN163" s="1043"/>
      <c r="AO163" s="1041"/>
    </row>
    <row r="164" spans="1:41" ht="12" customHeight="1" x14ac:dyDescent="0.2">
      <c r="S164" s="928"/>
      <c r="T164" s="928"/>
      <c r="U164" s="930"/>
      <c r="V164" s="1443"/>
      <c r="W164" s="930"/>
      <c r="X164" s="1044"/>
      <c r="Y164" s="1068"/>
      <c r="Z164" s="1068"/>
      <c r="AA164" s="1068"/>
      <c r="AB164" s="1068"/>
      <c r="AC164" s="1068"/>
      <c r="AD164" s="1068"/>
      <c r="AE164" s="1071"/>
      <c r="AF164" s="1044"/>
      <c r="AG164" s="1068"/>
      <c r="AH164" s="1068"/>
      <c r="AI164" s="1068"/>
      <c r="AJ164" s="1068"/>
      <c r="AK164" s="1068"/>
      <c r="AL164" s="1068"/>
      <c r="AM164" s="928"/>
      <c r="AN164" s="1043"/>
      <c r="AO164" s="1041"/>
    </row>
    <row r="165" spans="1:41" ht="12" customHeight="1" x14ac:dyDescent="0.2">
      <c r="A165" s="928"/>
      <c r="B165" s="1443"/>
      <c r="C165" s="928"/>
      <c r="D165" s="928"/>
      <c r="E165" s="928"/>
      <c r="F165" s="928"/>
      <c r="G165" s="928"/>
      <c r="H165" s="928"/>
      <c r="I165" s="1075"/>
      <c r="J165" s="1075"/>
      <c r="K165" s="1088"/>
      <c r="L165" s="1078"/>
      <c r="M165" s="1070"/>
      <c r="N165" s="1070"/>
      <c r="O165" s="1070"/>
      <c r="P165" s="1070"/>
      <c r="Q165" s="1070"/>
      <c r="R165" s="1070"/>
      <c r="S165" s="928"/>
      <c r="T165" s="928"/>
      <c r="U165" s="930"/>
      <c r="V165" s="1443"/>
      <c r="W165" s="930"/>
      <c r="X165" s="930"/>
      <c r="Y165" s="930"/>
      <c r="Z165" s="930"/>
      <c r="AA165" s="930"/>
      <c r="AB165" s="930"/>
      <c r="AC165" s="977"/>
      <c r="AD165" s="977"/>
      <c r="AE165" s="1073"/>
      <c r="AF165" s="1074"/>
      <c r="AG165" s="1064"/>
      <c r="AH165" s="1066"/>
      <c r="AI165" s="1066"/>
      <c r="AJ165" s="1066"/>
      <c r="AK165" s="1066"/>
      <c r="AL165" s="1066"/>
      <c r="AM165" s="928"/>
      <c r="AN165" s="1043"/>
      <c r="AO165" s="1041"/>
    </row>
    <row r="166" spans="1:41" ht="12" customHeight="1" x14ac:dyDescent="0.2">
      <c r="T166" s="928"/>
      <c r="U166" s="930"/>
      <c r="V166" s="1443"/>
      <c r="W166" s="930"/>
      <c r="X166" s="1048"/>
      <c r="Y166" s="1048"/>
      <c r="Z166" s="1049"/>
      <c r="AA166" s="1049"/>
      <c r="AB166" s="1049"/>
      <c r="AC166" s="1049"/>
      <c r="AD166" s="1050"/>
      <c r="AE166" s="1073"/>
      <c r="AF166" s="1048"/>
      <c r="AG166" s="1048"/>
      <c r="AH166" s="1049"/>
      <c r="AI166" s="1049"/>
      <c r="AJ166" s="1049"/>
      <c r="AK166" s="1049"/>
      <c r="AL166" s="1050"/>
      <c r="AM166" s="928"/>
      <c r="AN166" s="1043"/>
      <c r="AO166" s="1041"/>
    </row>
    <row r="167" spans="1:41" ht="12" customHeight="1" x14ac:dyDescent="0.2">
      <c r="T167" s="928"/>
      <c r="U167" s="930"/>
      <c r="V167" s="1443"/>
      <c r="W167" s="930"/>
      <c r="X167" s="1051"/>
      <c r="Y167" s="1051"/>
      <c r="Z167" s="1049"/>
      <c r="AA167" s="1049"/>
      <c r="AB167" s="1049"/>
      <c r="AC167" s="1049"/>
      <c r="AD167" s="1052"/>
      <c r="AE167" s="1066"/>
      <c r="AF167" s="1051"/>
      <c r="AG167" s="1051"/>
      <c r="AH167" s="1049"/>
      <c r="AI167" s="1049"/>
      <c r="AJ167" s="1049"/>
      <c r="AK167" s="1049"/>
      <c r="AL167" s="1052"/>
      <c r="AM167" s="928"/>
      <c r="AN167" s="1043"/>
      <c r="AO167" s="1041"/>
    </row>
    <row r="168" spans="1:41" ht="12" customHeight="1" x14ac:dyDescent="0.2">
      <c r="T168" s="928"/>
      <c r="U168" s="930"/>
      <c r="V168" s="1443"/>
      <c r="W168" s="930"/>
      <c r="X168" s="1059"/>
      <c r="Y168" s="1059"/>
      <c r="Z168" s="1060"/>
      <c r="AA168" s="1060"/>
      <c r="AB168" s="1060"/>
      <c r="AC168" s="1061"/>
      <c r="AD168" s="1052"/>
      <c r="AE168" s="1071"/>
      <c r="AF168" s="1059"/>
      <c r="AG168" s="1059"/>
      <c r="AH168" s="1060"/>
      <c r="AI168" s="1060"/>
      <c r="AJ168" s="1060"/>
      <c r="AK168" s="1061"/>
      <c r="AL168" s="1052"/>
      <c r="AM168" s="928"/>
      <c r="AN168" s="1043"/>
      <c r="AO168" s="1041"/>
    </row>
    <row r="169" spans="1:41" ht="12" customHeight="1" x14ac:dyDescent="0.2">
      <c r="T169" s="928"/>
      <c r="U169" s="930"/>
      <c r="V169" s="1443"/>
      <c r="W169" s="930"/>
      <c r="X169" s="930"/>
      <c r="Y169" s="1062"/>
      <c r="Z169" s="1062"/>
      <c r="AA169" s="1062"/>
      <c r="AB169" s="1062"/>
      <c r="AC169" s="1062"/>
      <c r="AD169" s="1062"/>
      <c r="AE169" s="1071"/>
      <c r="AF169" s="930"/>
      <c r="AG169" s="1062"/>
      <c r="AH169" s="1062"/>
      <c r="AI169" s="1062"/>
      <c r="AJ169" s="1062"/>
      <c r="AK169" s="1062"/>
      <c r="AL169" s="1062"/>
      <c r="AM169" s="928"/>
      <c r="AN169" s="1043"/>
      <c r="AO169" s="1041"/>
    </row>
    <row r="170" spans="1:41" ht="12" customHeight="1" x14ac:dyDescent="0.2">
      <c r="T170" s="928"/>
      <c r="U170" s="930"/>
      <c r="V170" s="1443"/>
      <c r="W170" s="930"/>
      <c r="X170" s="1059"/>
      <c r="Y170" s="1063"/>
      <c r="Z170" s="1063"/>
      <c r="AA170" s="1063"/>
      <c r="AB170" s="1063"/>
      <c r="AC170" s="1063"/>
      <c r="AD170" s="1063"/>
      <c r="AE170" s="977"/>
      <c r="AF170" s="1059"/>
      <c r="AG170" s="1063"/>
      <c r="AH170" s="1063"/>
      <c r="AI170" s="1063"/>
      <c r="AJ170" s="1063"/>
      <c r="AK170" s="1063"/>
      <c r="AL170" s="1063"/>
      <c r="AM170" s="928"/>
      <c r="AN170" s="1043"/>
      <c r="AO170" s="1041"/>
    </row>
    <row r="171" spans="1:41" ht="12" customHeight="1" x14ac:dyDescent="0.2">
      <c r="T171" s="928"/>
      <c r="U171" s="930"/>
      <c r="V171" s="1443"/>
      <c r="W171" s="930"/>
      <c r="X171" s="1059"/>
      <c r="Y171" s="1063"/>
      <c r="Z171" s="1063"/>
      <c r="AA171" s="1063"/>
      <c r="AB171" s="1063"/>
      <c r="AC171" s="1063"/>
      <c r="AD171" s="1063"/>
      <c r="AE171" s="1072"/>
      <c r="AF171" s="1059"/>
      <c r="AG171" s="1063"/>
      <c r="AH171" s="1063"/>
      <c r="AI171" s="1063"/>
      <c r="AJ171" s="1063"/>
      <c r="AK171" s="1063"/>
      <c r="AL171" s="1063"/>
      <c r="AM171" s="928"/>
      <c r="AN171" s="1043"/>
      <c r="AO171" s="1041"/>
    </row>
    <row r="172" spans="1:41" ht="12" customHeight="1" x14ac:dyDescent="0.2">
      <c r="T172" s="928"/>
      <c r="U172" s="930"/>
      <c r="V172" s="1443"/>
      <c r="W172" s="930"/>
      <c r="X172" s="977"/>
      <c r="Y172" s="1065"/>
      <c r="Z172" s="1065"/>
      <c r="AA172" s="1065"/>
      <c r="AB172" s="1065"/>
      <c r="AC172" s="1065"/>
      <c r="AD172" s="1065"/>
      <c r="AE172" s="1071"/>
      <c r="AF172" s="977"/>
      <c r="AG172" s="1065"/>
      <c r="AH172" s="1065"/>
      <c r="AI172" s="1065"/>
      <c r="AJ172" s="1065"/>
      <c r="AK172" s="1065"/>
      <c r="AL172" s="1065"/>
      <c r="AM172" s="928"/>
      <c r="AN172" s="1043"/>
      <c r="AO172" s="1041"/>
    </row>
    <row r="173" spans="1:41" ht="12" customHeight="1" x14ac:dyDescent="0.2">
      <c r="T173" s="928"/>
      <c r="U173" s="930"/>
      <c r="V173" s="1443"/>
      <c r="W173" s="930"/>
      <c r="X173" s="1067"/>
      <c r="Y173" s="1068"/>
      <c r="Z173" s="1068"/>
      <c r="AA173" s="1068"/>
      <c r="AB173" s="1068"/>
      <c r="AC173" s="1068"/>
      <c r="AD173" s="1068"/>
      <c r="AE173" s="1071"/>
      <c r="AF173" s="1067"/>
      <c r="AG173" s="1068"/>
      <c r="AH173" s="1068"/>
      <c r="AI173" s="1068"/>
      <c r="AJ173" s="1068"/>
      <c r="AK173" s="1068"/>
      <c r="AL173" s="1068"/>
      <c r="AM173" s="928"/>
      <c r="AN173" s="1043"/>
      <c r="AO173" s="1041"/>
    </row>
    <row r="174" spans="1:41" ht="12" customHeight="1" x14ac:dyDescent="0.2">
      <c r="T174" s="928"/>
      <c r="U174" s="930"/>
      <c r="V174" s="1443"/>
      <c r="W174" s="930"/>
      <c r="X174" s="1044"/>
      <c r="Y174" s="1068"/>
      <c r="Z174" s="1068"/>
      <c r="AA174" s="1068"/>
      <c r="AB174" s="1068"/>
      <c r="AC174" s="1068"/>
      <c r="AD174" s="1068"/>
      <c r="AE174" s="1073"/>
      <c r="AF174" s="1044"/>
      <c r="AG174" s="1068"/>
      <c r="AH174" s="1068"/>
      <c r="AI174" s="1068"/>
      <c r="AJ174" s="1068"/>
      <c r="AK174" s="1068"/>
      <c r="AL174" s="1068"/>
      <c r="AM174" s="928"/>
      <c r="AN174" s="1043"/>
      <c r="AO174" s="1041"/>
    </row>
    <row r="175" spans="1:41" ht="12" customHeight="1" x14ac:dyDescent="0.2">
      <c r="T175" s="928"/>
      <c r="U175" s="930"/>
      <c r="V175" s="1443"/>
      <c r="W175" s="930"/>
      <c r="X175" s="1044"/>
      <c r="Y175" s="1068"/>
      <c r="Z175" s="1068"/>
      <c r="AA175" s="1068"/>
      <c r="AB175" s="1068"/>
      <c r="AC175" s="1068"/>
      <c r="AD175" s="1068"/>
      <c r="AE175" s="1073"/>
      <c r="AF175" s="1044"/>
      <c r="AG175" s="1068"/>
      <c r="AH175" s="1068"/>
      <c r="AI175" s="1068"/>
      <c r="AJ175" s="1068"/>
      <c r="AK175" s="1068"/>
      <c r="AL175" s="1068"/>
      <c r="AM175" s="928"/>
      <c r="AN175" s="1043"/>
      <c r="AO175" s="1041"/>
    </row>
    <row r="176" spans="1:41" ht="12" customHeight="1" x14ac:dyDescent="0.2">
      <c r="A176" s="928"/>
      <c r="B176" s="1443"/>
      <c r="C176" s="928"/>
      <c r="D176" s="1070"/>
      <c r="E176" s="1070"/>
      <c r="F176" s="1070"/>
      <c r="G176" s="1070"/>
      <c r="H176" s="1070"/>
      <c r="I176" s="1070"/>
      <c r="J176" s="1070"/>
      <c r="K176" s="1070"/>
      <c r="L176" s="1070"/>
      <c r="M176" s="1070"/>
      <c r="N176" s="1070"/>
      <c r="O176" s="1070"/>
      <c r="P176" s="1070"/>
      <c r="Q176" s="1070"/>
      <c r="R176" s="1070"/>
      <c r="S176" s="928"/>
      <c r="T176" s="928"/>
      <c r="U176" s="930"/>
      <c r="V176" s="1443"/>
      <c r="W176" s="930"/>
      <c r="X176" s="1064"/>
      <c r="Y176" s="1064"/>
      <c r="Z176" s="1064"/>
      <c r="AA176" s="1064"/>
      <c r="AB176" s="1064"/>
      <c r="AC176" s="1066"/>
      <c r="AD176" s="1066"/>
      <c r="AE176" s="1066"/>
      <c r="AF176" s="1066"/>
      <c r="AG176" s="1064"/>
      <c r="AH176" s="1066"/>
      <c r="AI176" s="1066"/>
      <c r="AJ176" s="1066"/>
      <c r="AK176" s="1066"/>
      <c r="AL176" s="1066"/>
      <c r="AM176" s="928"/>
      <c r="AN176" s="1043"/>
      <c r="AO176" s="1041"/>
    </row>
    <row r="177" spans="1:41" ht="12" customHeight="1" x14ac:dyDescent="0.2">
      <c r="A177" s="928"/>
      <c r="B177" s="1443"/>
      <c r="C177" s="928"/>
      <c r="D177" s="1089"/>
      <c r="E177" s="1089"/>
      <c r="F177" s="1055"/>
      <c r="G177" s="1055"/>
      <c r="H177" s="1055"/>
      <c r="I177" s="1055"/>
      <c r="J177" s="1080"/>
      <c r="K177" s="928"/>
      <c r="L177" s="1089"/>
      <c r="M177" s="1089"/>
      <c r="N177" s="1055"/>
      <c r="O177" s="1055"/>
      <c r="P177" s="1055"/>
      <c r="Q177" s="1055"/>
      <c r="R177" s="1080"/>
      <c r="S177" s="928"/>
      <c r="T177" s="928"/>
      <c r="U177" s="930"/>
      <c r="V177" s="1443"/>
      <c r="W177" s="930"/>
      <c r="X177" s="1048"/>
      <c r="Y177" s="1048"/>
      <c r="Z177" s="1049"/>
      <c r="AA177" s="1049"/>
      <c r="AB177" s="1049"/>
      <c r="AC177" s="1049"/>
      <c r="AD177" s="1050"/>
      <c r="AE177" s="930"/>
      <c r="AF177" s="1048"/>
      <c r="AG177" s="1048"/>
      <c r="AH177" s="1049"/>
      <c r="AI177" s="1049"/>
      <c r="AJ177" s="1049"/>
      <c r="AK177" s="1049"/>
      <c r="AL177" s="1050"/>
      <c r="AM177" s="928"/>
      <c r="AN177" s="1043"/>
      <c r="AO177" s="1041"/>
    </row>
    <row r="178" spans="1:41" ht="12" customHeight="1" x14ac:dyDescent="0.2">
      <c r="A178" s="928"/>
      <c r="B178" s="1443"/>
      <c r="C178" s="928"/>
      <c r="D178" s="1090"/>
      <c r="E178" s="1090"/>
      <c r="F178" s="1055"/>
      <c r="G178" s="1055"/>
      <c r="H178" s="1055"/>
      <c r="I178" s="1055"/>
      <c r="J178" s="1057"/>
      <c r="K178" s="928"/>
      <c r="L178" s="1090"/>
      <c r="M178" s="1090"/>
      <c r="N178" s="1055"/>
      <c r="O178" s="1055"/>
      <c r="P178" s="1055"/>
      <c r="Q178" s="1055"/>
      <c r="R178" s="1057"/>
      <c r="S178" s="928"/>
      <c r="T178" s="928"/>
      <c r="U178" s="930"/>
      <c r="V178" s="1443"/>
      <c r="W178" s="930"/>
      <c r="X178" s="1051"/>
      <c r="Y178" s="1051"/>
      <c r="Z178" s="1049"/>
      <c r="AA178" s="1049"/>
      <c r="AB178" s="1049"/>
      <c r="AC178" s="1049"/>
      <c r="AD178" s="1052"/>
      <c r="AE178" s="930"/>
      <c r="AF178" s="1051"/>
      <c r="AG178" s="1051"/>
      <c r="AH178" s="1049"/>
      <c r="AI178" s="1049"/>
      <c r="AJ178" s="1049"/>
      <c r="AK178" s="1049"/>
      <c r="AL178" s="1052"/>
      <c r="AM178" s="928"/>
      <c r="AN178" s="1043"/>
      <c r="AO178" s="1041"/>
    </row>
    <row r="179" spans="1:41" ht="12" customHeight="1" x14ac:dyDescent="0.2">
      <c r="A179" s="928"/>
      <c r="B179" s="1443"/>
      <c r="C179" s="928"/>
      <c r="D179" s="1054"/>
      <c r="E179" s="1054"/>
      <c r="F179" s="1055"/>
      <c r="G179" s="1055"/>
      <c r="H179" s="1055"/>
      <c r="I179" s="1056"/>
      <c r="J179" s="1057"/>
      <c r="K179" s="928"/>
      <c r="L179" s="1054"/>
      <c r="M179" s="1054"/>
      <c r="N179" s="1055"/>
      <c r="O179" s="1055"/>
      <c r="P179" s="1055"/>
      <c r="Q179" s="1056"/>
      <c r="R179" s="1057"/>
      <c r="S179" s="928"/>
      <c r="T179" s="928"/>
      <c r="U179" s="930"/>
      <c r="V179" s="1443"/>
      <c r="W179" s="930"/>
      <c r="X179" s="1059"/>
      <c r="Y179" s="1059"/>
      <c r="Z179" s="1060"/>
      <c r="AA179" s="1060"/>
      <c r="AB179" s="1060"/>
      <c r="AC179" s="1061"/>
      <c r="AD179" s="1052"/>
      <c r="AE179" s="930"/>
      <c r="AF179" s="1059"/>
      <c r="AG179" s="1059"/>
      <c r="AH179" s="1060"/>
      <c r="AI179" s="1060"/>
      <c r="AJ179" s="1060"/>
      <c r="AK179" s="1061"/>
      <c r="AL179" s="1052"/>
      <c r="AM179" s="928"/>
      <c r="AN179" s="1043"/>
      <c r="AO179" s="1041"/>
    </row>
    <row r="180" spans="1:41" ht="12" customHeight="1" x14ac:dyDescent="0.2">
      <c r="A180" s="928"/>
      <c r="B180" s="1443"/>
      <c r="C180" s="928"/>
      <c r="D180" s="928"/>
      <c r="E180" s="1076"/>
      <c r="F180" s="1076"/>
      <c r="G180" s="1076"/>
      <c r="H180" s="1076"/>
      <c r="I180" s="1076"/>
      <c r="J180" s="1076"/>
      <c r="K180" s="928"/>
      <c r="L180" s="928"/>
      <c r="M180" s="1076"/>
      <c r="N180" s="1076"/>
      <c r="O180" s="1076"/>
      <c r="P180" s="1076"/>
      <c r="Q180" s="1076"/>
      <c r="R180" s="1076"/>
      <c r="S180" s="928"/>
      <c r="T180" s="928"/>
      <c r="U180" s="930"/>
      <c r="V180" s="1443"/>
      <c r="W180" s="930"/>
      <c r="X180" s="930"/>
      <c r="Y180" s="1062"/>
      <c r="Z180" s="1062"/>
      <c r="AA180" s="1062"/>
      <c r="AB180" s="1062"/>
      <c r="AC180" s="1062"/>
      <c r="AD180" s="1062"/>
      <c r="AE180" s="930"/>
      <c r="AF180" s="930"/>
      <c r="AG180" s="1062"/>
      <c r="AH180" s="1062"/>
      <c r="AI180" s="1062"/>
      <c r="AJ180" s="1062"/>
      <c r="AK180" s="1062"/>
      <c r="AL180" s="1062"/>
      <c r="AM180" s="928"/>
      <c r="AN180" s="1043"/>
      <c r="AO180" s="1041"/>
    </row>
    <row r="181" spans="1:41" ht="12" customHeight="1" x14ac:dyDescent="0.2">
      <c r="R181" s="1077"/>
      <c r="S181" s="928"/>
      <c r="T181" s="928"/>
      <c r="U181" s="930"/>
      <c r="V181" s="1443"/>
      <c r="W181" s="930"/>
      <c r="X181" s="1059"/>
      <c r="Y181" s="1063"/>
      <c r="Z181" s="1063"/>
      <c r="AA181" s="1063"/>
      <c r="AB181" s="1063"/>
      <c r="AC181" s="1063"/>
      <c r="AD181" s="1063"/>
      <c r="AE181" s="930"/>
      <c r="AF181" s="1059"/>
      <c r="AG181" s="1063"/>
      <c r="AH181" s="1063"/>
      <c r="AI181" s="1063"/>
      <c r="AJ181" s="1063"/>
      <c r="AK181" s="1063"/>
      <c r="AL181" s="1063"/>
      <c r="AM181" s="928"/>
      <c r="AN181" s="1043"/>
      <c r="AO181" s="1041"/>
    </row>
    <row r="182" spans="1:41" ht="12" customHeight="1" x14ac:dyDescent="0.2">
      <c r="R182" s="1077"/>
      <c r="S182" s="928"/>
      <c r="T182" s="928"/>
      <c r="U182" s="930"/>
      <c r="V182" s="1443"/>
      <c r="W182" s="930"/>
      <c r="X182" s="1059"/>
      <c r="Y182" s="1063"/>
      <c r="Z182" s="1063"/>
      <c r="AA182" s="1063"/>
      <c r="AB182" s="1063"/>
      <c r="AC182" s="1063"/>
      <c r="AD182" s="1063"/>
      <c r="AE182" s="930"/>
      <c r="AF182" s="1059"/>
      <c r="AG182" s="1063"/>
      <c r="AH182" s="1063"/>
      <c r="AI182" s="1063"/>
      <c r="AJ182" s="1063"/>
      <c r="AK182" s="1063"/>
      <c r="AL182" s="1063"/>
      <c r="AM182" s="928"/>
      <c r="AN182" s="1043"/>
      <c r="AO182" s="1041"/>
    </row>
    <row r="183" spans="1:41" ht="12" customHeight="1" x14ac:dyDescent="0.2">
      <c r="R183" s="1078"/>
      <c r="S183" s="928"/>
      <c r="T183" s="928"/>
      <c r="U183" s="930"/>
      <c r="V183" s="1443"/>
      <c r="W183" s="930"/>
      <c r="X183" s="977"/>
      <c r="Y183" s="1065"/>
      <c r="Z183" s="1065"/>
      <c r="AA183" s="1065"/>
      <c r="AB183" s="1065"/>
      <c r="AC183" s="1065"/>
      <c r="AD183" s="1065"/>
      <c r="AE183" s="930"/>
      <c r="AF183" s="977"/>
      <c r="AG183" s="1065"/>
      <c r="AH183" s="1065"/>
      <c r="AI183" s="1065"/>
      <c r="AJ183" s="1065"/>
      <c r="AK183" s="1065"/>
      <c r="AL183" s="1065"/>
      <c r="AM183" s="928"/>
      <c r="AN183" s="1043"/>
      <c r="AO183" s="1041"/>
    </row>
    <row r="184" spans="1:41" ht="12" customHeight="1" x14ac:dyDescent="0.2">
      <c r="R184" s="1079"/>
      <c r="S184" s="928"/>
      <c r="T184" s="928"/>
      <c r="U184" s="930"/>
      <c r="V184" s="1443"/>
      <c r="W184" s="930"/>
      <c r="X184" s="1067"/>
      <c r="Y184" s="1068"/>
      <c r="Z184" s="1068"/>
      <c r="AA184" s="1068"/>
      <c r="AB184" s="1068"/>
      <c r="AC184" s="1068"/>
      <c r="AD184" s="1068"/>
      <c r="AE184" s="930"/>
      <c r="AF184" s="1067"/>
      <c r="AG184" s="1068"/>
      <c r="AH184" s="1068"/>
      <c r="AI184" s="1068"/>
      <c r="AJ184" s="1068"/>
      <c r="AK184" s="1068"/>
      <c r="AL184" s="1068"/>
      <c r="AM184" s="928"/>
      <c r="AN184" s="1043"/>
      <c r="AO184" s="1041"/>
    </row>
    <row r="185" spans="1:41" ht="12" customHeight="1" x14ac:dyDescent="0.2">
      <c r="A185" s="928"/>
      <c r="B185" s="1443"/>
      <c r="C185" s="928"/>
      <c r="D185" s="1084"/>
      <c r="E185" s="1079"/>
      <c r="F185" s="1079"/>
      <c r="G185" s="1079"/>
      <c r="H185" s="1079"/>
      <c r="I185" s="1079"/>
      <c r="J185" s="1079"/>
      <c r="K185" s="928"/>
      <c r="L185" s="1084"/>
      <c r="M185" s="1079"/>
      <c r="N185" s="1079"/>
      <c r="O185" s="1079"/>
      <c r="P185" s="1079"/>
      <c r="Q185" s="1079"/>
      <c r="R185" s="1079"/>
      <c r="S185" s="928"/>
      <c r="T185" s="928"/>
      <c r="U185" s="930"/>
      <c r="V185" s="1443"/>
      <c r="W185" s="930"/>
      <c r="X185" s="1044"/>
      <c r="Y185" s="1068"/>
      <c r="Z185" s="1068"/>
      <c r="AA185" s="1068"/>
      <c r="AB185" s="1068"/>
      <c r="AC185" s="1068"/>
      <c r="AD185" s="1068"/>
      <c r="AE185" s="930"/>
      <c r="AF185" s="1044"/>
      <c r="AG185" s="1068"/>
      <c r="AH185" s="1068"/>
      <c r="AI185" s="1068"/>
      <c r="AJ185" s="1068"/>
      <c r="AK185" s="1068"/>
      <c r="AL185" s="1068"/>
      <c r="AM185" s="928"/>
      <c r="AN185" s="1043"/>
      <c r="AO185" s="1041"/>
    </row>
    <row r="186" spans="1:41" ht="12" customHeight="1" x14ac:dyDescent="0.2">
      <c r="A186" s="928"/>
      <c r="B186" s="1443"/>
      <c r="C186" s="928"/>
      <c r="D186" s="1084"/>
      <c r="E186" s="1079"/>
      <c r="F186" s="1079"/>
      <c r="G186" s="1079"/>
      <c r="H186" s="1079"/>
      <c r="I186" s="1079"/>
      <c r="J186" s="1079"/>
      <c r="K186" s="928"/>
      <c r="L186" s="1084"/>
      <c r="M186" s="1079"/>
      <c r="N186" s="1079"/>
      <c r="O186" s="1079"/>
      <c r="P186" s="1079"/>
      <c r="Q186" s="1079"/>
      <c r="R186" s="1079"/>
      <c r="S186" s="928"/>
      <c r="T186" s="928"/>
      <c r="U186" s="930"/>
      <c r="V186" s="1443"/>
      <c r="W186" s="930"/>
      <c r="X186" s="1044"/>
      <c r="Y186" s="1068"/>
      <c r="Z186" s="1068"/>
      <c r="AA186" s="1068"/>
      <c r="AB186" s="1068"/>
      <c r="AC186" s="1068"/>
      <c r="AD186" s="1068"/>
      <c r="AE186" s="930"/>
      <c r="AF186" s="1044"/>
      <c r="AG186" s="1068"/>
      <c r="AH186" s="1068"/>
      <c r="AI186" s="1068"/>
      <c r="AJ186" s="1068"/>
      <c r="AK186" s="1068"/>
      <c r="AL186" s="1068"/>
      <c r="AM186" s="928"/>
      <c r="AN186" s="1043"/>
      <c r="AO186" s="1041"/>
    </row>
    <row r="187" spans="1:41" ht="12" customHeight="1" x14ac:dyDescent="0.2">
      <c r="A187" s="928"/>
      <c r="B187" s="1443"/>
      <c r="C187" s="928"/>
      <c r="D187" s="928"/>
      <c r="E187" s="928"/>
      <c r="F187" s="928"/>
      <c r="G187" s="928"/>
      <c r="H187" s="928"/>
      <c r="I187" s="928"/>
      <c r="J187" s="928"/>
      <c r="K187" s="928"/>
      <c r="L187" s="928"/>
      <c r="M187" s="928"/>
      <c r="N187" s="928"/>
      <c r="O187" s="928"/>
      <c r="P187" s="928"/>
      <c r="Q187" s="928"/>
      <c r="R187" s="928"/>
      <c r="S187" s="928"/>
      <c r="T187" s="928"/>
      <c r="U187" s="930"/>
      <c r="V187" s="1443"/>
      <c r="W187" s="930"/>
      <c r="X187" s="930"/>
      <c r="Y187" s="930"/>
      <c r="Z187" s="930"/>
      <c r="AA187" s="930"/>
      <c r="AB187" s="930"/>
      <c r="AC187" s="930"/>
      <c r="AD187" s="930"/>
      <c r="AE187" s="930"/>
      <c r="AF187" s="930"/>
      <c r="AG187" s="930"/>
      <c r="AH187" s="930"/>
      <c r="AI187" s="930"/>
      <c r="AJ187" s="930"/>
      <c r="AK187" s="930"/>
      <c r="AL187" s="930"/>
      <c r="AM187" s="928"/>
      <c r="AN187" s="1043"/>
      <c r="AO187" s="1041"/>
    </row>
    <row r="188" spans="1:41" ht="12" customHeight="1" x14ac:dyDescent="0.2">
      <c r="A188" s="928"/>
      <c r="B188" s="1443"/>
      <c r="C188" s="928"/>
      <c r="D188" s="1089"/>
      <c r="E188" s="1089"/>
      <c r="F188" s="1055"/>
      <c r="G188" s="1055"/>
      <c r="H188" s="1055"/>
      <c r="I188" s="1055"/>
      <c r="J188" s="1080"/>
      <c r="K188" s="1091"/>
      <c r="L188" s="1089"/>
      <c r="M188" s="1089"/>
      <c r="N188" s="1055"/>
      <c r="O188" s="1055"/>
      <c r="P188" s="1055"/>
      <c r="Q188" s="1055"/>
      <c r="R188" s="1080"/>
      <c r="S188" s="928"/>
      <c r="T188" s="928"/>
      <c r="U188" s="930"/>
      <c r="V188" s="1443"/>
      <c r="W188" s="930"/>
      <c r="X188" s="1048"/>
      <c r="Y188" s="1048"/>
      <c r="Z188" s="1049"/>
      <c r="AA188" s="1049"/>
      <c r="AB188" s="1049"/>
      <c r="AC188" s="1049"/>
      <c r="AD188" s="1050"/>
      <c r="AE188" s="1081"/>
      <c r="AF188" s="1048"/>
      <c r="AG188" s="1048"/>
      <c r="AH188" s="1049"/>
      <c r="AI188" s="1049"/>
      <c r="AJ188" s="1049"/>
      <c r="AK188" s="1049"/>
      <c r="AL188" s="1050"/>
      <c r="AM188" s="928"/>
      <c r="AN188" s="1043"/>
      <c r="AO188" s="1041"/>
    </row>
    <row r="189" spans="1:41" ht="12" customHeight="1" x14ac:dyDescent="0.2">
      <c r="A189" s="928"/>
      <c r="B189" s="1443"/>
      <c r="C189" s="928"/>
      <c r="D189" s="1090"/>
      <c r="E189" s="1090"/>
      <c r="F189" s="1055"/>
      <c r="G189" s="1055"/>
      <c r="H189" s="1055"/>
      <c r="I189" s="1055"/>
      <c r="J189" s="1057"/>
      <c r="K189" s="1092"/>
      <c r="L189" s="1090"/>
      <c r="M189" s="1090"/>
      <c r="N189" s="1055"/>
      <c r="O189" s="1055"/>
      <c r="P189" s="1055"/>
      <c r="Q189" s="1055"/>
      <c r="R189" s="1057"/>
      <c r="S189" s="928"/>
      <c r="T189" s="928"/>
      <c r="U189" s="930"/>
      <c r="V189" s="1443"/>
      <c r="W189" s="930"/>
      <c r="X189" s="1051"/>
      <c r="Y189" s="1051"/>
      <c r="Z189" s="1049"/>
      <c r="AA189" s="1049"/>
      <c r="AB189" s="1049"/>
      <c r="AC189" s="1049"/>
      <c r="AD189" s="1052"/>
      <c r="AE189" s="1082"/>
      <c r="AF189" s="1051"/>
      <c r="AG189" s="1051"/>
      <c r="AH189" s="1049"/>
      <c r="AI189" s="1049"/>
      <c r="AJ189" s="1049"/>
      <c r="AK189" s="1049"/>
      <c r="AL189" s="1052"/>
      <c r="AM189" s="928"/>
      <c r="AN189" s="1043"/>
      <c r="AO189" s="1041"/>
    </row>
    <row r="190" spans="1:41" ht="12" customHeight="1" x14ac:dyDescent="0.2">
      <c r="A190" s="928"/>
      <c r="B190" s="1443"/>
      <c r="C190" s="928"/>
      <c r="D190" s="1054"/>
      <c r="E190" s="1054"/>
      <c r="F190" s="1055"/>
      <c r="G190" s="1055"/>
      <c r="H190" s="1055"/>
      <c r="I190" s="1056"/>
      <c r="J190" s="1057"/>
      <c r="K190" s="1055"/>
      <c r="L190" s="1054"/>
      <c r="M190" s="1054"/>
      <c r="N190" s="1055"/>
      <c r="O190" s="1055"/>
      <c r="P190" s="1055"/>
      <c r="Q190" s="1056"/>
      <c r="R190" s="1057"/>
      <c r="S190" s="928"/>
      <c r="T190" s="928"/>
      <c r="U190" s="930"/>
      <c r="V190" s="1443"/>
      <c r="W190" s="930"/>
      <c r="X190" s="1059"/>
      <c r="Y190" s="1059"/>
      <c r="Z190" s="1060"/>
      <c r="AA190" s="1060"/>
      <c r="AB190" s="1060"/>
      <c r="AC190" s="1061"/>
      <c r="AD190" s="1052"/>
      <c r="AE190" s="1060"/>
      <c r="AF190" s="1059"/>
      <c r="AG190" s="1059"/>
      <c r="AH190" s="1060"/>
      <c r="AI190" s="1060"/>
      <c r="AJ190" s="1060"/>
      <c r="AK190" s="1061"/>
      <c r="AL190" s="1052"/>
      <c r="AM190" s="928"/>
      <c r="AN190" s="1043"/>
      <c r="AO190" s="1041"/>
    </row>
    <row r="191" spans="1:41" ht="12" customHeight="1" x14ac:dyDescent="0.2">
      <c r="A191" s="928"/>
      <c r="B191" s="1443"/>
      <c r="C191" s="928"/>
      <c r="D191" s="928"/>
      <c r="E191" s="1076"/>
      <c r="F191" s="1076"/>
      <c r="G191" s="1076"/>
      <c r="H191" s="1076"/>
      <c r="I191" s="1076"/>
      <c r="J191" s="1076"/>
      <c r="K191" s="1055"/>
      <c r="L191" s="928"/>
      <c r="M191" s="1076"/>
      <c r="N191" s="1076"/>
      <c r="O191" s="1076"/>
      <c r="P191" s="1076"/>
      <c r="Q191" s="1076"/>
      <c r="R191" s="1076"/>
      <c r="S191" s="928"/>
      <c r="T191" s="928"/>
      <c r="U191" s="930"/>
      <c r="V191" s="1443"/>
      <c r="W191" s="930"/>
      <c r="X191" s="930"/>
      <c r="Y191" s="1062"/>
      <c r="Z191" s="1062"/>
      <c r="AA191" s="1062"/>
      <c r="AB191" s="1062"/>
      <c r="AC191" s="1062"/>
      <c r="AD191" s="1062"/>
      <c r="AE191" s="1060"/>
      <c r="AF191" s="930"/>
      <c r="AG191" s="1062"/>
      <c r="AH191" s="1062"/>
      <c r="AI191" s="1062"/>
      <c r="AJ191" s="1062"/>
      <c r="AK191" s="1062"/>
      <c r="AL191" s="1062"/>
      <c r="AM191" s="928"/>
      <c r="AN191" s="1043"/>
      <c r="AO191" s="1041"/>
    </row>
    <row r="192" spans="1:41" ht="12" customHeight="1" x14ac:dyDescent="0.2">
      <c r="S192" s="928"/>
      <c r="T192" s="928"/>
      <c r="U192" s="930"/>
      <c r="V192" s="1443"/>
      <c r="W192" s="930"/>
      <c r="X192" s="1059"/>
      <c r="Y192" s="1063"/>
      <c r="Z192" s="1063"/>
      <c r="AA192" s="1063"/>
      <c r="AB192" s="1063"/>
      <c r="AC192" s="1063"/>
      <c r="AD192" s="1063"/>
      <c r="AE192" s="1060"/>
      <c r="AF192" s="1059"/>
      <c r="AG192" s="1063"/>
      <c r="AH192" s="1063"/>
      <c r="AI192" s="1063"/>
      <c r="AJ192" s="1063"/>
      <c r="AK192" s="1063"/>
      <c r="AL192" s="1063"/>
      <c r="AM192" s="928"/>
      <c r="AN192" s="1043"/>
      <c r="AO192" s="1041"/>
    </row>
    <row r="193" spans="1:41" ht="12" customHeight="1" x14ac:dyDescent="0.2">
      <c r="S193" s="928"/>
      <c r="T193" s="928"/>
      <c r="U193" s="930"/>
      <c r="V193" s="1443"/>
      <c r="W193" s="930"/>
      <c r="X193" s="1059"/>
      <c r="Y193" s="1063"/>
      <c r="Z193" s="1063"/>
      <c r="AA193" s="1063"/>
      <c r="AB193" s="1063"/>
      <c r="AC193" s="1063"/>
      <c r="AD193" s="1063"/>
      <c r="AE193" s="1060"/>
      <c r="AF193" s="1059"/>
      <c r="AG193" s="1063"/>
      <c r="AH193" s="1063"/>
      <c r="AI193" s="1063"/>
      <c r="AJ193" s="1063"/>
      <c r="AK193" s="1063"/>
      <c r="AL193" s="1063"/>
      <c r="AM193" s="928"/>
      <c r="AN193" s="1043"/>
      <c r="AO193" s="1041"/>
    </row>
    <row r="194" spans="1:41" ht="12" customHeight="1" x14ac:dyDescent="0.2">
      <c r="S194" s="928"/>
      <c r="T194" s="928"/>
      <c r="U194" s="930"/>
      <c r="V194" s="1443"/>
      <c r="W194" s="930"/>
      <c r="X194" s="977"/>
      <c r="Y194" s="1065"/>
      <c r="Z194" s="1065"/>
      <c r="AA194" s="1065"/>
      <c r="AB194" s="1065"/>
      <c r="AC194" s="1065"/>
      <c r="AD194" s="1065"/>
      <c r="AE194" s="1060"/>
      <c r="AF194" s="977"/>
      <c r="AG194" s="1065"/>
      <c r="AH194" s="1065"/>
      <c r="AI194" s="1065"/>
      <c r="AJ194" s="1065"/>
      <c r="AK194" s="1065"/>
      <c r="AL194" s="1065"/>
      <c r="AM194" s="928"/>
      <c r="AN194" s="1043"/>
      <c r="AO194" s="1041"/>
    </row>
    <row r="195" spans="1:41" ht="12" customHeight="1" x14ac:dyDescent="0.2">
      <c r="S195" s="928"/>
      <c r="T195" s="928"/>
      <c r="U195" s="930"/>
      <c r="V195" s="1443"/>
      <c r="W195" s="930"/>
      <c r="X195" s="1067"/>
      <c r="Y195" s="1068"/>
      <c r="Z195" s="1068"/>
      <c r="AA195" s="1068"/>
      <c r="AB195" s="1068"/>
      <c r="AC195" s="1068"/>
      <c r="AD195" s="1068"/>
      <c r="AE195" s="1060"/>
      <c r="AF195" s="1067"/>
      <c r="AG195" s="1068"/>
      <c r="AH195" s="1068"/>
      <c r="AI195" s="1068"/>
      <c r="AJ195" s="1068"/>
      <c r="AK195" s="1068"/>
      <c r="AL195" s="1068"/>
      <c r="AM195" s="928"/>
      <c r="AN195" s="1043"/>
      <c r="AO195" s="1041"/>
    </row>
    <row r="196" spans="1:41" ht="12" customHeight="1" x14ac:dyDescent="0.2">
      <c r="S196" s="928"/>
      <c r="T196" s="928"/>
      <c r="U196" s="930"/>
      <c r="V196" s="1443"/>
      <c r="W196" s="930"/>
      <c r="X196" s="1044"/>
      <c r="Y196" s="1068"/>
      <c r="Z196" s="1068"/>
      <c r="AA196" s="1068"/>
      <c r="AB196" s="1068"/>
      <c r="AC196" s="1068"/>
      <c r="AD196" s="1068"/>
      <c r="AE196" s="1060"/>
      <c r="AF196" s="1044"/>
      <c r="AG196" s="1068"/>
      <c r="AH196" s="1068"/>
      <c r="AI196" s="1068"/>
      <c r="AJ196" s="1068"/>
      <c r="AK196" s="1068"/>
      <c r="AL196" s="1068"/>
      <c r="AM196" s="928"/>
      <c r="AN196" s="1043"/>
      <c r="AO196" s="1041"/>
    </row>
    <row r="197" spans="1:41" ht="12" customHeight="1" x14ac:dyDescent="0.2">
      <c r="S197" s="928"/>
      <c r="T197" s="928"/>
      <c r="U197" s="930"/>
      <c r="V197" s="1443"/>
      <c r="W197" s="930"/>
      <c r="X197" s="1044"/>
      <c r="Y197" s="1068"/>
      <c r="Z197" s="1068"/>
      <c r="AA197" s="1068"/>
      <c r="AB197" s="1068"/>
      <c r="AC197" s="1068"/>
      <c r="AD197" s="1068"/>
      <c r="AE197" s="1060"/>
      <c r="AF197" s="1044"/>
      <c r="AG197" s="1068"/>
      <c r="AH197" s="1068"/>
      <c r="AI197" s="1068"/>
      <c r="AJ197" s="1068"/>
      <c r="AK197" s="1068"/>
      <c r="AL197" s="1068"/>
      <c r="AM197" s="928"/>
      <c r="AN197" s="1043"/>
      <c r="AO197" s="1041"/>
    </row>
    <row r="198" spans="1:41" ht="12" customHeight="1" x14ac:dyDescent="0.2">
      <c r="S198" s="928"/>
      <c r="T198" s="928"/>
      <c r="U198" s="930"/>
      <c r="V198" s="1443"/>
      <c r="W198" s="930"/>
      <c r="X198" s="1083"/>
      <c r="Y198" s="1064"/>
      <c r="Z198" s="1066"/>
      <c r="AA198" s="1066"/>
      <c r="AB198" s="1066"/>
      <c r="AC198" s="977"/>
      <c r="AD198" s="1065"/>
      <c r="AE198" s="1060"/>
      <c r="AF198" s="1083"/>
      <c r="AG198" s="1064"/>
      <c r="AH198" s="1064"/>
      <c r="AI198" s="1064"/>
      <c r="AJ198" s="1064"/>
      <c r="AK198" s="977"/>
      <c r="AL198" s="1065"/>
      <c r="AM198" s="928"/>
      <c r="AN198" s="1043"/>
      <c r="AO198" s="1041"/>
    </row>
    <row r="199" spans="1:41" ht="12" customHeight="1" x14ac:dyDescent="0.2">
      <c r="S199" s="1070"/>
      <c r="T199" s="928"/>
      <c r="U199" s="930"/>
      <c r="V199" s="1443"/>
      <c r="W199" s="930"/>
      <c r="X199" s="930"/>
      <c r="Y199" s="930"/>
      <c r="Z199" s="930"/>
      <c r="AA199" s="930"/>
      <c r="AB199" s="930"/>
      <c r="AC199" s="930"/>
      <c r="AD199" s="930"/>
      <c r="AE199" s="930"/>
      <c r="AF199" s="930"/>
      <c r="AG199" s="930"/>
      <c r="AH199" s="930"/>
      <c r="AI199" s="930"/>
      <c r="AJ199" s="930"/>
      <c r="AK199" s="930"/>
      <c r="AL199" s="930"/>
      <c r="AM199" s="1070"/>
      <c r="AN199" s="1043"/>
      <c r="AO199" s="1041"/>
    </row>
    <row r="200" spans="1:41" ht="12" customHeight="1" x14ac:dyDescent="0.2">
      <c r="S200" s="1070"/>
      <c r="T200" s="928"/>
      <c r="U200" s="930"/>
      <c r="V200" s="1443"/>
      <c r="W200" s="930"/>
      <c r="X200" s="930"/>
      <c r="Y200" s="930"/>
      <c r="Z200" s="930"/>
      <c r="AA200" s="930"/>
      <c r="AB200" s="930"/>
      <c r="AC200" s="930"/>
      <c r="AD200" s="930"/>
      <c r="AE200" s="930"/>
      <c r="AF200" s="930"/>
      <c r="AG200" s="930"/>
      <c r="AH200" s="930"/>
      <c r="AI200" s="930"/>
      <c r="AJ200" s="930"/>
      <c r="AK200" s="930"/>
      <c r="AL200" s="930"/>
      <c r="AM200" s="1070"/>
      <c r="AN200" s="1043"/>
      <c r="AO200" s="1041"/>
    </row>
    <row r="201" spans="1:41" ht="12" customHeight="1" x14ac:dyDescent="0.2">
      <c r="S201" s="928"/>
      <c r="T201" s="928"/>
      <c r="U201" s="930"/>
      <c r="V201" s="1443"/>
      <c r="W201" s="930"/>
      <c r="X201" s="930"/>
      <c r="Y201" s="930"/>
      <c r="Z201" s="930"/>
      <c r="AA201" s="930"/>
      <c r="AB201" s="930"/>
      <c r="AC201" s="930"/>
      <c r="AD201" s="930"/>
      <c r="AE201" s="930"/>
      <c r="AF201" s="930"/>
      <c r="AG201" s="930"/>
      <c r="AH201" s="930"/>
      <c r="AI201" s="930"/>
      <c r="AJ201" s="930"/>
      <c r="AK201" s="930"/>
      <c r="AL201" s="930"/>
      <c r="AM201" s="928"/>
      <c r="AN201" s="1043"/>
      <c r="AO201" s="1041"/>
    </row>
    <row r="202" spans="1:41" ht="12" customHeight="1" x14ac:dyDescent="0.2">
      <c r="A202" s="928"/>
      <c r="B202" s="1443"/>
      <c r="C202" s="928"/>
      <c r="D202" s="928"/>
      <c r="E202" s="928"/>
      <c r="F202" s="928"/>
      <c r="G202" s="928"/>
      <c r="H202" s="928"/>
      <c r="I202" s="928"/>
      <c r="J202" s="928"/>
      <c r="K202" s="928"/>
      <c r="L202" s="928"/>
      <c r="M202" s="928"/>
      <c r="N202" s="928"/>
      <c r="O202" s="928"/>
      <c r="P202" s="928"/>
      <c r="Q202" s="928"/>
      <c r="R202" s="928"/>
      <c r="S202" s="928"/>
      <c r="T202" s="928"/>
      <c r="U202" s="930"/>
      <c r="V202" s="1443"/>
      <c r="W202" s="930"/>
      <c r="X202" s="930"/>
      <c r="Y202" s="930"/>
      <c r="Z202" s="930"/>
      <c r="AA202" s="930"/>
      <c r="AB202" s="930"/>
      <c r="AC202" s="930"/>
      <c r="AD202" s="930"/>
      <c r="AE202" s="930"/>
      <c r="AF202" s="930"/>
      <c r="AG202" s="930"/>
      <c r="AH202" s="930"/>
      <c r="AI202" s="930"/>
      <c r="AJ202" s="930"/>
      <c r="AK202" s="930"/>
      <c r="AL202" s="930"/>
      <c r="AM202" s="928"/>
      <c r="AN202" s="1043"/>
      <c r="AO202" s="1041"/>
    </row>
    <row r="203" spans="1:41" ht="12" customHeight="1" x14ac:dyDescent="0.2">
      <c r="T203" s="928"/>
      <c r="U203" s="930"/>
      <c r="V203" s="1443"/>
      <c r="W203" s="930"/>
      <c r="X203" s="1044"/>
      <c r="Y203" s="1044"/>
      <c r="Z203" s="1044"/>
      <c r="AA203" s="1044"/>
      <c r="AB203" s="1044"/>
      <c r="AC203" s="1044"/>
      <c r="AD203" s="1044"/>
      <c r="AE203" s="1044"/>
      <c r="AF203" s="1044"/>
      <c r="AG203" s="1044"/>
      <c r="AH203" s="1044"/>
      <c r="AI203" s="1044"/>
      <c r="AJ203" s="1044"/>
      <c r="AK203" s="1044"/>
      <c r="AL203" s="1044"/>
      <c r="AM203" s="928"/>
      <c r="AN203" s="1043"/>
      <c r="AO203" s="1041"/>
    </row>
    <row r="204" spans="1:41" ht="12" customHeight="1" x14ac:dyDescent="0.2">
      <c r="T204" s="928"/>
      <c r="U204" s="930"/>
      <c r="V204" s="1443"/>
      <c r="W204" s="930"/>
      <c r="X204" s="1044"/>
      <c r="Y204" s="1044"/>
      <c r="Z204" s="1044"/>
      <c r="AA204" s="1044"/>
      <c r="AB204" s="1044"/>
      <c r="AC204" s="1044"/>
      <c r="AD204" s="1044"/>
      <c r="AE204" s="1045"/>
      <c r="AF204" s="1046"/>
      <c r="AG204" s="1046"/>
      <c r="AH204" s="1046"/>
      <c r="AI204" s="1046"/>
      <c r="AJ204" s="1046"/>
      <c r="AK204" s="1046"/>
      <c r="AL204" s="1047"/>
      <c r="AM204" s="928"/>
      <c r="AN204" s="1043"/>
      <c r="AO204" s="1041"/>
    </row>
    <row r="205" spans="1:41" ht="12" customHeight="1" x14ac:dyDescent="0.2">
      <c r="T205" s="928"/>
      <c r="U205" s="930"/>
      <c r="V205" s="1443"/>
      <c r="W205" s="930"/>
      <c r="X205" s="1044"/>
      <c r="Y205" s="1044"/>
      <c r="Z205" s="1044"/>
      <c r="AA205" s="1044"/>
      <c r="AB205" s="1044"/>
      <c r="AC205" s="1044"/>
      <c r="AD205" s="1044"/>
      <c r="AE205" s="1046"/>
      <c r="AF205" s="1046"/>
      <c r="AG205" s="1046"/>
      <c r="AH205" s="1046"/>
      <c r="AI205" s="1046"/>
      <c r="AJ205" s="1046"/>
      <c r="AK205" s="1046"/>
      <c r="AL205" s="1044"/>
      <c r="AM205" s="928"/>
      <c r="AN205" s="1043"/>
      <c r="AO205" s="1041"/>
    </row>
    <row r="206" spans="1:41" ht="12" customHeight="1" x14ac:dyDescent="0.2">
      <c r="T206" s="928"/>
      <c r="U206" s="930"/>
      <c r="V206" s="1443"/>
      <c r="W206" s="930"/>
      <c r="X206" s="1044"/>
      <c r="Y206" s="1044"/>
      <c r="Z206" s="1044"/>
      <c r="AA206" s="1044"/>
      <c r="AB206" s="1044"/>
      <c r="AC206" s="1044"/>
      <c r="AD206" s="1044"/>
      <c r="AE206" s="1045"/>
      <c r="AF206" s="1046"/>
      <c r="AG206" s="1046"/>
      <c r="AH206" s="1046"/>
      <c r="AI206" s="1046"/>
      <c r="AJ206" s="1046"/>
      <c r="AK206" s="1046"/>
      <c r="AL206" s="1044"/>
      <c r="AM206" s="928"/>
      <c r="AN206" s="1043"/>
      <c r="AO206" s="1041"/>
    </row>
    <row r="207" spans="1:41" ht="12" customHeight="1" x14ac:dyDescent="0.2">
      <c r="T207" s="928"/>
      <c r="U207" s="930"/>
      <c r="V207" s="1443"/>
      <c r="W207" s="930"/>
      <c r="X207" s="1044"/>
      <c r="Y207" s="1044"/>
      <c r="Z207" s="1044"/>
      <c r="AA207" s="1044"/>
      <c r="AB207" s="1044"/>
      <c r="AC207" s="1044"/>
      <c r="AD207" s="1044"/>
      <c r="AE207" s="1046"/>
      <c r="AF207" s="1046"/>
      <c r="AG207" s="1046"/>
      <c r="AH207" s="1046"/>
      <c r="AI207" s="1046"/>
      <c r="AJ207" s="1046"/>
      <c r="AK207" s="1046"/>
      <c r="AL207" s="1044"/>
      <c r="AM207" s="928"/>
      <c r="AN207" s="1043"/>
      <c r="AO207" s="1041"/>
    </row>
    <row r="208" spans="1:41" ht="12" customHeight="1" x14ac:dyDescent="0.2">
      <c r="T208" s="928"/>
      <c r="U208" s="930"/>
      <c r="V208" s="1443"/>
      <c r="W208" s="930"/>
      <c r="X208" s="1044"/>
      <c r="Y208" s="1044"/>
      <c r="Z208" s="1044"/>
      <c r="AA208" s="1044"/>
      <c r="AB208" s="1044"/>
      <c r="AC208" s="1044"/>
      <c r="AD208" s="1044"/>
      <c r="AE208" s="1044"/>
      <c r="AF208" s="1044"/>
      <c r="AG208" s="1044"/>
      <c r="AH208" s="1044"/>
      <c r="AI208" s="1044"/>
      <c r="AJ208" s="1044"/>
      <c r="AK208" s="1044"/>
      <c r="AL208" s="1044"/>
      <c r="AM208" s="928"/>
      <c r="AN208" s="1043"/>
      <c r="AO208" s="1041"/>
    </row>
    <row r="209" spans="1:41" ht="12" customHeight="1" x14ac:dyDescent="0.2">
      <c r="T209" s="928"/>
      <c r="U209" s="930"/>
      <c r="V209" s="1443"/>
      <c r="W209" s="930"/>
      <c r="X209" s="930"/>
      <c r="Y209" s="930"/>
      <c r="Z209" s="930"/>
      <c r="AA209" s="930"/>
      <c r="AB209" s="930"/>
      <c r="AC209" s="930"/>
      <c r="AD209" s="930"/>
      <c r="AE209" s="930"/>
      <c r="AF209" s="930"/>
      <c r="AG209" s="930"/>
      <c r="AH209" s="930"/>
      <c r="AI209" s="930"/>
      <c r="AJ209" s="930"/>
      <c r="AK209" s="930"/>
      <c r="AL209" s="930"/>
      <c r="AM209" s="928"/>
      <c r="AN209" s="1043"/>
      <c r="AO209" s="1041"/>
    </row>
    <row r="210" spans="1:41" ht="12" customHeight="1" x14ac:dyDescent="0.2">
      <c r="T210" s="928"/>
      <c r="U210" s="930"/>
      <c r="V210" s="1443"/>
      <c r="W210" s="930"/>
      <c r="X210" s="1048"/>
      <c r="Y210" s="1048"/>
      <c r="Z210" s="1049"/>
      <c r="AA210" s="1049"/>
      <c r="AB210" s="1049"/>
      <c r="AC210" s="1049"/>
      <c r="AD210" s="1050"/>
      <c r="AE210" s="930"/>
      <c r="AF210" s="1048"/>
      <c r="AG210" s="1048"/>
      <c r="AH210" s="1049"/>
      <c r="AI210" s="1049"/>
      <c r="AJ210" s="1049"/>
      <c r="AK210" s="1049"/>
      <c r="AL210" s="1050"/>
      <c r="AM210" s="928"/>
      <c r="AN210" s="1043"/>
      <c r="AO210" s="1041"/>
    </row>
    <row r="211" spans="1:41" ht="12" customHeight="1" x14ac:dyDescent="0.2">
      <c r="T211" s="928"/>
      <c r="U211" s="930"/>
      <c r="V211" s="1443"/>
      <c r="W211" s="930"/>
      <c r="X211" s="1051"/>
      <c r="Y211" s="1051"/>
      <c r="Z211" s="1049"/>
      <c r="AA211" s="1049"/>
      <c r="AB211" s="1049"/>
      <c r="AC211" s="1049"/>
      <c r="AD211" s="1052"/>
      <c r="AE211" s="1053"/>
      <c r="AF211" s="1051"/>
      <c r="AG211" s="1051"/>
      <c r="AH211" s="1049"/>
      <c r="AI211" s="1049"/>
      <c r="AJ211" s="1049"/>
      <c r="AK211" s="1049"/>
      <c r="AL211" s="1052"/>
      <c r="AM211" s="928"/>
      <c r="AN211" s="1043"/>
      <c r="AO211" s="1041"/>
    </row>
    <row r="212" spans="1:41" ht="12" customHeight="1" x14ac:dyDescent="0.2">
      <c r="T212" s="928"/>
      <c r="U212" s="930"/>
      <c r="V212" s="1443"/>
      <c r="W212" s="930"/>
      <c r="X212" s="1059"/>
      <c r="Y212" s="1059"/>
      <c r="Z212" s="1060"/>
      <c r="AA212" s="1060"/>
      <c r="AB212" s="1060"/>
      <c r="AC212" s="1061"/>
      <c r="AD212" s="1052"/>
      <c r="AE212" s="1053"/>
      <c r="AF212" s="1059"/>
      <c r="AG212" s="1059"/>
      <c r="AH212" s="1060"/>
      <c r="AI212" s="1060"/>
      <c r="AJ212" s="1060"/>
      <c r="AK212" s="1061"/>
      <c r="AL212" s="1052"/>
      <c r="AM212" s="928"/>
      <c r="AN212" s="1043"/>
      <c r="AO212" s="1041"/>
    </row>
    <row r="213" spans="1:41" ht="12" customHeight="1" x14ac:dyDescent="0.2">
      <c r="A213" s="928"/>
      <c r="B213" s="1443"/>
      <c r="C213" s="928"/>
      <c r="D213" s="928"/>
      <c r="E213" s="1076"/>
      <c r="F213" s="1076"/>
      <c r="G213" s="1076"/>
      <c r="H213" s="1076"/>
      <c r="I213" s="1076"/>
      <c r="J213" s="1076"/>
      <c r="K213" s="1058"/>
      <c r="L213" s="928"/>
      <c r="M213" s="1076"/>
      <c r="N213" s="1076"/>
      <c r="O213" s="1076"/>
      <c r="P213" s="1076"/>
      <c r="Q213" s="1076"/>
      <c r="R213" s="1076"/>
      <c r="S213" s="928"/>
      <c r="T213" s="928"/>
      <c r="U213" s="930"/>
      <c r="V213" s="1443"/>
      <c r="W213" s="930"/>
      <c r="X213" s="930"/>
      <c r="Y213" s="1062"/>
      <c r="Z213" s="1062"/>
      <c r="AA213" s="1062"/>
      <c r="AB213" s="1062"/>
      <c r="AC213" s="1062"/>
      <c r="AD213" s="1062"/>
      <c r="AE213" s="1053"/>
      <c r="AF213" s="930"/>
      <c r="AG213" s="1062"/>
      <c r="AH213" s="1062"/>
      <c r="AI213" s="1062"/>
      <c r="AJ213" s="1062"/>
      <c r="AK213" s="1062"/>
      <c r="AL213" s="1062"/>
      <c r="AM213" s="928"/>
      <c r="AN213" s="1043"/>
      <c r="AO213" s="1041"/>
    </row>
    <row r="214" spans="1:41" ht="12" customHeight="1" x14ac:dyDescent="0.2">
      <c r="A214" s="928"/>
      <c r="B214" s="1443"/>
      <c r="C214" s="928"/>
      <c r="D214" s="1054"/>
      <c r="E214" s="1077"/>
      <c r="F214" s="1077"/>
      <c r="G214" s="1077"/>
      <c r="H214" s="1077"/>
      <c r="I214" s="1077"/>
      <c r="J214" s="1077"/>
      <c r="K214" s="1070"/>
      <c r="L214" s="1054"/>
      <c r="M214" s="1077"/>
      <c r="N214" s="1077"/>
      <c r="O214" s="1077"/>
      <c r="P214" s="1077"/>
      <c r="Q214" s="1077"/>
      <c r="R214" s="1077"/>
      <c r="S214" s="928"/>
      <c r="T214" s="928"/>
      <c r="U214" s="930"/>
      <c r="V214" s="1443"/>
      <c r="W214" s="930"/>
      <c r="X214" s="1059"/>
      <c r="Y214" s="1063"/>
      <c r="Z214" s="1063"/>
      <c r="AA214" s="1063"/>
      <c r="AB214" s="1063"/>
      <c r="AC214" s="1063"/>
      <c r="AD214" s="1063"/>
      <c r="AE214" s="1064"/>
      <c r="AF214" s="1059"/>
      <c r="AG214" s="1063"/>
      <c r="AH214" s="1063"/>
      <c r="AI214" s="1063"/>
      <c r="AJ214" s="1063"/>
      <c r="AK214" s="1063"/>
      <c r="AL214" s="1063"/>
      <c r="AM214" s="928"/>
      <c r="AN214" s="1043"/>
      <c r="AO214" s="1041"/>
    </row>
    <row r="215" spans="1:41" ht="12" customHeight="1" x14ac:dyDescent="0.2">
      <c r="A215" s="928"/>
      <c r="B215" s="1443"/>
      <c r="C215" s="928"/>
      <c r="D215" s="1054"/>
      <c r="E215" s="1077"/>
      <c r="F215" s="1077"/>
      <c r="G215" s="1077"/>
      <c r="H215" s="1077"/>
      <c r="I215" s="1077"/>
      <c r="J215" s="1077"/>
      <c r="K215" s="1075"/>
      <c r="L215" s="1054"/>
      <c r="M215" s="1077"/>
      <c r="N215" s="1077"/>
      <c r="O215" s="1077"/>
      <c r="P215" s="1077"/>
      <c r="Q215" s="1077"/>
      <c r="R215" s="1077"/>
      <c r="S215" s="928"/>
      <c r="T215" s="928"/>
      <c r="U215" s="930"/>
      <c r="V215" s="1443"/>
      <c r="W215" s="930"/>
      <c r="X215" s="1059"/>
      <c r="Y215" s="1063"/>
      <c r="Z215" s="1063"/>
      <c r="AA215" s="1063"/>
      <c r="AB215" s="1063"/>
      <c r="AC215" s="1063"/>
      <c r="AD215" s="1063"/>
      <c r="AE215" s="977"/>
      <c r="AF215" s="1059"/>
      <c r="AG215" s="1063"/>
      <c r="AH215" s="1063"/>
      <c r="AI215" s="1063"/>
      <c r="AJ215" s="1063"/>
      <c r="AK215" s="1063"/>
      <c r="AL215" s="1063"/>
      <c r="AM215" s="928"/>
      <c r="AN215" s="1043"/>
      <c r="AO215" s="1041"/>
    </row>
    <row r="216" spans="1:41" ht="12" customHeight="1" x14ac:dyDescent="0.2">
      <c r="A216" s="928"/>
      <c r="B216" s="1443"/>
      <c r="C216" s="928"/>
      <c r="D216" s="1075"/>
      <c r="E216" s="1078"/>
      <c r="F216" s="1078"/>
      <c r="G216" s="1078"/>
      <c r="H216" s="1078"/>
      <c r="I216" s="1078"/>
      <c r="J216" s="1078"/>
      <c r="K216" s="1070"/>
      <c r="L216" s="1075"/>
      <c r="M216" s="1078"/>
      <c r="N216" s="1078"/>
      <c r="O216" s="1078"/>
      <c r="P216" s="1078"/>
      <c r="Q216" s="1078"/>
      <c r="R216" s="1078"/>
      <c r="S216" s="928"/>
      <c r="T216" s="928"/>
      <c r="U216" s="930"/>
      <c r="V216" s="1443"/>
      <c r="W216" s="930"/>
      <c r="X216" s="977"/>
      <c r="Y216" s="1065"/>
      <c r="Z216" s="1065"/>
      <c r="AA216" s="1065"/>
      <c r="AB216" s="1065"/>
      <c r="AC216" s="1065"/>
      <c r="AD216" s="1065"/>
      <c r="AE216" s="1066"/>
      <c r="AF216" s="977"/>
      <c r="AG216" s="1065"/>
      <c r="AH216" s="1065"/>
      <c r="AI216" s="1065"/>
      <c r="AJ216" s="1065"/>
      <c r="AK216" s="1065"/>
      <c r="AL216" s="1065"/>
      <c r="AM216" s="928"/>
      <c r="AN216" s="1043"/>
      <c r="AO216" s="1041"/>
    </row>
    <row r="217" spans="1:41" ht="12" customHeight="1" x14ac:dyDescent="0.2">
      <c r="A217" s="928"/>
      <c r="B217" s="1443"/>
      <c r="C217" s="928"/>
      <c r="D217" s="1086"/>
      <c r="E217" s="1079"/>
      <c r="F217" s="1079"/>
      <c r="G217" s="1079"/>
      <c r="H217" s="1079"/>
      <c r="I217" s="1079"/>
      <c r="J217" s="1079"/>
      <c r="K217" s="1070"/>
      <c r="L217" s="1086"/>
      <c r="M217" s="1079"/>
      <c r="N217" s="1079"/>
      <c r="O217" s="1079"/>
      <c r="P217" s="1079"/>
      <c r="Q217" s="1079"/>
      <c r="R217" s="1079"/>
      <c r="S217" s="928"/>
      <c r="T217" s="928"/>
      <c r="U217" s="930"/>
      <c r="V217" s="1443"/>
      <c r="W217" s="930"/>
      <c r="X217" s="1067"/>
      <c r="Y217" s="1068"/>
      <c r="Z217" s="1068"/>
      <c r="AA217" s="1068"/>
      <c r="AB217" s="1068"/>
      <c r="AC217" s="1068"/>
      <c r="AD217" s="1068"/>
      <c r="AE217" s="1066"/>
      <c r="AF217" s="1067"/>
      <c r="AG217" s="1068"/>
      <c r="AH217" s="1068"/>
      <c r="AI217" s="1068"/>
      <c r="AJ217" s="1068"/>
      <c r="AK217" s="1068"/>
      <c r="AL217" s="1068"/>
      <c r="AM217" s="928"/>
      <c r="AN217" s="1043"/>
      <c r="AO217" s="1041"/>
    </row>
    <row r="218" spans="1:41" ht="12" customHeight="1" x14ac:dyDescent="0.2">
      <c r="R218" s="1079"/>
      <c r="S218" s="928"/>
      <c r="T218" s="928"/>
      <c r="U218" s="930"/>
      <c r="V218" s="1443"/>
      <c r="W218" s="930"/>
      <c r="X218" s="1044"/>
      <c r="Y218" s="1068"/>
      <c r="Z218" s="1068"/>
      <c r="AA218" s="1068"/>
      <c r="AB218" s="1068"/>
      <c r="AC218" s="1068"/>
      <c r="AD218" s="1068"/>
      <c r="AE218" s="1066"/>
      <c r="AF218" s="1044"/>
      <c r="AG218" s="1068"/>
      <c r="AH218" s="1068"/>
      <c r="AI218" s="1068"/>
      <c r="AJ218" s="1068"/>
      <c r="AK218" s="1068"/>
      <c r="AL218" s="1068"/>
      <c r="AM218" s="928"/>
      <c r="AN218" s="1043"/>
      <c r="AO218" s="1041"/>
    </row>
    <row r="219" spans="1:41" ht="12" customHeight="1" x14ac:dyDescent="0.2">
      <c r="R219" s="1079"/>
      <c r="S219" s="928"/>
      <c r="T219" s="928"/>
      <c r="U219" s="930"/>
      <c r="V219" s="1443"/>
      <c r="W219" s="930"/>
      <c r="X219" s="1044"/>
      <c r="Y219" s="1068"/>
      <c r="Z219" s="1068"/>
      <c r="AA219" s="1068"/>
      <c r="AB219" s="1068"/>
      <c r="AC219" s="1068"/>
      <c r="AD219" s="1068"/>
      <c r="AE219" s="1066"/>
      <c r="AF219" s="1044"/>
      <c r="AG219" s="1068"/>
      <c r="AH219" s="1068"/>
      <c r="AI219" s="1068"/>
      <c r="AJ219" s="1068"/>
      <c r="AK219" s="1068"/>
      <c r="AL219" s="1068"/>
      <c r="AM219" s="928"/>
      <c r="AN219" s="1043"/>
      <c r="AO219" s="1041"/>
    </row>
    <row r="220" spans="1:41" ht="12" customHeight="1" x14ac:dyDescent="0.2">
      <c r="R220" s="1070"/>
      <c r="S220" s="928"/>
      <c r="T220" s="928"/>
      <c r="U220" s="930"/>
      <c r="V220" s="1443"/>
      <c r="W220" s="930"/>
      <c r="X220" s="1044"/>
      <c r="Y220" s="1044"/>
      <c r="Z220" s="1044"/>
      <c r="AA220" s="1044"/>
      <c r="AB220" s="1044"/>
      <c r="AC220" s="1044"/>
      <c r="AD220" s="1044"/>
      <c r="AE220" s="1066"/>
      <c r="AF220" s="1066"/>
      <c r="AG220" s="1064"/>
      <c r="AH220" s="1069"/>
      <c r="AI220" s="1066"/>
      <c r="AJ220" s="1066"/>
      <c r="AK220" s="1066"/>
      <c r="AL220" s="1066"/>
      <c r="AM220" s="928"/>
      <c r="AN220" s="1043"/>
      <c r="AO220" s="1041"/>
    </row>
    <row r="221" spans="1:41" ht="12" customHeight="1" x14ac:dyDescent="0.2">
      <c r="R221" s="1080"/>
      <c r="S221" s="928"/>
      <c r="T221" s="928"/>
      <c r="U221" s="930"/>
      <c r="V221" s="1443"/>
      <c r="W221" s="930"/>
      <c r="X221" s="1048"/>
      <c r="Y221" s="1048"/>
      <c r="Z221" s="1049"/>
      <c r="AA221" s="1049"/>
      <c r="AB221" s="1049"/>
      <c r="AC221" s="1049"/>
      <c r="AD221" s="1050"/>
      <c r="AE221" s="1066"/>
      <c r="AF221" s="1048"/>
      <c r="AG221" s="1048"/>
      <c r="AH221" s="1049"/>
      <c r="AI221" s="1049"/>
      <c r="AJ221" s="1049"/>
      <c r="AK221" s="1049"/>
      <c r="AL221" s="1050"/>
      <c r="AM221" s="928"/>
      <c r="AN221" s="1043"/>
      <c r="AO221" s="1041"/>
    </row>
    <row r="222" spans="1:41" ht="12" customHeight="1" x14ac:dyDescent="0.2">
      <c r="A222" s="928"/>
      <c r="B222" s="1443"/>
      <c r="C222" s="928"/>
      <c r="D222" s="1090"/>
      <c r="E222" s="1090"/>
      <c r="F222" s="1055"/>
      <c r="G222" s="1055"/>
      <c r="H222" s="1055"/>
      <c r="I222" s="1055"/>
      <c r="J222" s="1057"/>
      <c r="K222" s="1070"/>
      <c r="L222" s="1090"/>
      <c r="M222" s="1090"/>
      <c r="N222" s="1055"/>
      <c r="O222" s="1055"/>
      <c r="P222" s="1055"/>
      <c r="Q222" s="1055"/>
      <c r="R222" s="1057"/>
      <c r="S222" s="928"/>
      <c r="T222" s="928"/>
      <c r="U222" s="930"/>
      <c r="V222" s="1443"/>
      <c r="W222" s="930"/>
      <c r="X222" s="1051"/>
      <c r="Y222" s="1051"/>
      <c r="Z222" s="1049"/>
      <c r="AA222" s="1049"/>
      <c r="AB222" s="1049"/>
      <c r="AC222" s="1049"/>
      <c r="AD222" s="1052"/>
      <c r="AE222" s="1066"/>
      <c r="AF222" s="1051"/>
      <c r="AG222" s="1051"/>
      <c r="AH222" s="1049"/>
      <c r="AI222" s="1049"/>
      <c r="AJ222" s="1049"/>
      <c r="AK222" s="1049"/>
      <c r="AL222" s="1052"/>
      <c r="AM222" s="928"/>
      <c r="AN222" s="1043"/>
      <c r="AO222" s="1041"/>
    </row>
    <row r="223" spans="1:41" ht="12" customHeight="1" x14ac:dyDescent="0.2">
      <c r="A223" s="928"/>
      <c r="B223" s="1443"/>
      <c r="C223" s="928"/>
      <c r="D223" s="1054"/>
      <c r="E223" s="1054"/>
      <c r="F223" s="1055"/>
      <c r="G223" s="1055"/>
      <c r="H223" s="1055"/>
      <c r="I223" s="1056"/>
      <c r="J223" s="1057"/>
      <c r="K223" s="1070"/>
      <c r="L223" s="1054"/>
      <c r="M223" s="1054"/>
      <c r="N223" s="1055"/>
      <c r="O223" s="1055"/>
      <c r="P223" s="1055"/>
      <c r="Q223" s="1056"/>
      <c r="R223" s="1057"/>
      <c r="S223" s="928"/>
      <c r="T223" s="928"/>
      <c r="U223" s="930"/>
      <c r="V223" s="1443"/>
      <c r="W223" s="930"/>
      <c r="X223" s="1059"/>
      <c r="Y223" s="1059"/>
      <c r="Z223" s="1060"/>
      <c r="AA223" s="1060"/>
      <c r="AB223" s="1060"/>
      <c r="AC223" s="1061"/>
      <c r="AD223" s="1052"/>
      <c r="AE223" s="1066"/>
      <c r="AF223" s="1059"/>
      <c r="AG223" s="1059"/>
      <c r="AH223" s="1060"/>
      <c r="AI223" s="1060"/>
      <c r="AJ223" s="1060"/>
      <c r="AK223" s="1061"/>
      <c r="AL223" s="1052"/>
      <c r="AM223" s="928"/>
      <c r="AN223" s="1043"/>
      <c r="AO223" s="1041"/>
    </row>
    <row r="224" spans="1:41" ht="12" customHeight="1" x14ac:dyDescent="0.2">
      <c r="A224" s="928"/>
      <c r="B224" s="1443"/>
      <c r="C224" s="928"/>
      <c r="D224" s="928"/>
      <c r="E224" s="1076"/>
      <c r="F224" s="1076"/>
      <c r="G224" s="1076"/>
      <c r="H224" s="1076"/>
      <c r="I224" s="1076"/>
      <c r="J224" s="1076"/>
      <c r="K224" s="1070"/>
      <c r="L224" s="928"/>
      <c r="M224" s="1076"/>
      <c r="N224" s="1076"/>
      <c r="O224" s="1076"/>
      <c r="P224" s="1076"/>
      <c r="Q224" s="1076"/>
      <c r="R224" s="1076"/>
      <c r="S224" s="928"/>
      <c r="T224" s="928"/>
      <c r="U224" s="930"/>
      <c r="V224" s="1443"/>
      <c r="W224" s="930"/>
      <c r="X224" s="930"/>
      <c r="Y224" s="1062"/>
      <c r="Z224" s="1062"/>
      <c r="AA224" s="1062"/>
      <c r="AB224" s="1062"/>
      <c r="AC224" s="1062"/>
      <c r="AD224" s="1062"/>
      <c r="AE224" s="1066"/>
      <c r="AF224" s="930"/>
      <c r="AG224" s="1062"/>
      <c r="AH224" s="1062"/>
      <c r="AI224" s="1062"/>
      <c r="AJ224" s="1062"/>
      <c r="AK224" s="1062"/>
      <c r="AL224" s="1062"/>
      <c r="AM224" s="928"/>
      <c r="AN224" s="1043"/>
      <c r="AO224" s="1041"/>
    </row>
    <row r="225" spans="1:41" ht="12" customHeight="1" x14ac:dyDescent="0.2">
      <c r="A225" s="928"/>
      <c r="B225" s="1443"/>
      <c r="C225" s="928"/>
      <c r="D225" s="1054"/>
      <c r="E225" s="1077"/>
      <c r="F225" s="1077"/>
      <c r="G225" s="1077"/>
      <c r="H225" s="1077"/>
      <c r="I225" s="1077"/>
      <c r="J225" s="1077"/>
      <c r="K225" s="1075"/>
      <c r="L225" s="1054"/>
      <c r="M225" s="1077"/>
      <c r="N225" s="1077"/>
      <c r="O225" s="1077"/>
      <c r="P225" s="1077"/>
      <c r="Q225" s="1077"/>
      <c r="R225" s="1077"/>
      <c r="S225" s="928"/>
      <c r="T225" s="928"/>
      <c r="U225" s="930"/>
      <c r="V225" s="1443"/>
      <c r="W225" s="930"/>
      <c r="X225" s="1059"/>
      <c r="Y225" s="1063"/>
      <c r="Z225" s="1063"/>
      <c r="AA225" s="1063"/>
      <c r="AB225" s="1063"/>
      <c r="AC225" s="1063"/>
      <c r="AD225" s="1063"/>
      <c r="AE225" s="1071"/>
      <c r="AF225" s="1059"/>
      <c r="AG225" s="1063"/>
      <c r="AH225" s="1063"/>
      <c r="AI225" s="1063"/>
      <c r="AJ225" s="1063"/>
      <c r="AK225" s="1063"/>
      <c r="AL225" s="1063"/>
      <c r="AM225" s="928"/>
      <c r="AN225" s="1043"/>
      <c r="AO225" s="1041"/>
    </row>
    <row r="226" spans="1:41" ht="12" customHeight="1" x14ac:dyDescent="0.2">
      <c r="A226" s="928"/>
      <c r="B226" s="1443"/>
      <c r="C226" s="928"/>
      <c r="D226" s="1054"/>
      <c r="E226" s="1077"/>
      <c r="F226" s="1077"/>
      <c r="G226" s="1077"/>
      <c r="H226" s="1077"/>
      <c r="I226" s="1077"/>
      <c r="J226" s="1077"/>
      <c r="K226" s="1075"/>
      <c r="L226" s="1054"/>
      <c r="M226" s="1077"/>
      <c r="N226" s="1077"/>
      <c r="O226" s="1077"/>
      <c r="P226" s="1077"/>
      <c r="Q226" s="1077"/>
      <c r="R226" s="1077"/>
      <c r="S226" s="928"/>
      <c r="T226" s="928"/>
      <c r="U226" s="930"/>
      <c r="V226" s="1443"/>
      <c r="W226" s="930"/>
      <c r="X226" s="1059"/>
      <c r="Y226" s="1063"/>
      <c r="Z226" s="1063"/>
      <c r="AA226" s="1063"/>
      <c r="AB226" s="1063"/>
      <c r="AC226" s="1063"/>
      <c r="AD226" s="1063"/>
      <c r="AE226" s="1071"/>
      <c r="AF226" s="1059"/>
      <c r="AG226" s="1063"/>
      <c r="AH226" s="1063"/>
      <c r="AI226" s="1063"/>
      <c r="AJ226" s="1063"/>
      <c r="AK226" s="1063"/>
      <c r="AL226" s="1063"/>
      <c r="AM226" s="928"/>
      <c r="AN226" s="1043"/>
      <c r="AO226" s="1041"/>
    </row>
    <row r="227" spans="1:41" ht="12" customHeight="1" x14ac:dyDescent="0.2">
      <c r="A227" s="928"/>
      <c r="B227" s="1443"/>
      <c r="C227" s="928"/>
      <c r="D227" s="1075"/>
      <c r="E227" s="1078"/>
      <c r="F227" s="1078"/>
      <c r="G227" s="1078"/>
      <c r="H227" s="1078"/>
      <c r="I227" s="1078"/>
      <c r="J227" s="1078"/>
      <c r="K227" s="1075"/>
      <c r="L227" s="1075"/>
      <c r="M227" s="1078"/>
      <c r="N227" s="1078"/>
      <c r="O227" s="1078"/>
      <c r="P227" s="1078"/>
      <c r="Q227" s="1078"/>
      <c r="R227" s="1078"/>
      <c r="S227" s="928"/>
      <c r="T227" s="928"/>
      <c r="U227" s="930"/>
      <c r="V227" s="1443"/>
      <c r="W227" s="930"/>
      <c r="X227" s="977"/>
      <c r="Y227" s="1065"/>
      <c r="Z227" s="1065"/>
      <c r="AA227" s="1065"/>
      <c r="AB227" s="1065"/>
      <c r="AC227" s="1065"/>
      <c r="AD227" s="1065"/>
      <c r="AE227" s="977"/>
      <c r="AF227" s="977"/>
      <c r="AG227" s="1065"/>
      <c r="AH227" s="1065"/>
      <c r="AI227" s="1065"/>
      <c r="AJ227" s="1065"/>
      <c r="AK227" s="1065"/>
      <c r="AL227" s="1065"/>
      <c r="AM227" s="928"/>
      <c r="AN227" s="1043"/>
      <c r="AO227" s="1041"/>
    </row>
    <row r="228" spans="1:41" ht="12" customHeight="1" x14ac:dyDescent="0.2">
      <c r="A228" s="928"/>
      <c r="B228" s="1443"/>
      <c r="C228" s="928"/>
      <c r="D228" s="1086"/>
      <c r="E228" s="1079"/>
      <c r="F228" s="1079"/>
      <c r="G228" s="1079"/>
      <c r="H228" s="1079"/>
      <c r="I228" s="1079"/>
      <c r="J228" s="1079"/>
      <c r="K228" s="933"/>
      <c r="L228" s="1086"/>
      <c r="M228" s="1079"/>
      <c r="N228" s="1079"/>
      <c r="O228" s="1079"/>
      <c r="P228" s="1079"/>
      <c r="Q228" s="1079"/>
      <c r="R228" s="1079"/>
      <c r="S228" s="928"/>
      <c r="T228" s="928"/>
      <c r="U228" s="930"/>
      <c r="V228" s="1443"/>
      <c r="W228" s="930"/>
      <c r="X228" s="1067"/>
      <c r="Y228" s="1068"/>
      <c r="Z228" s="1068"/>
      <c r="AA228" s="1068"/>
      <c r="AB228" s="1068"/>
      <c r="AC228" s="1068"/>
      <c r="AD228" s="1068"/>
      <c r="AE228" s="1072"/>
      <c r="AF228" s="1067"/>
      <c r="AG228" s="1068"/>
      <c r="AH228" s="1068"/>
      <c r="AI228" s="1068"/>
      <c r="AJ228" s="1068"/>
      <c r="AK228" s="1068"/>
      <c r="AL228" s="1068"/>
      <c r="AM228" s="928"/>
      <c r="AN228" s="1043"/>
      <c r="AO228" s="1041"/>
    </row>
    <row r="229" spans="1:41" ht="12" customHeight="1" x14ac:dyDescent="0.2">
      <c r="S229" s="928"/>
      <c r="T229" s="928"/>
      <c r="U229" s="930"/>
      <c r="V229" s="1443"/>
      <c r="W229" s="930"/>
      <c r="X229" s="1044"/>
      <c r="Y229" s="1068"/>
      <c r="Z229" s="1068"/>
      <c r="AA229" s="1068"/>
      <c r="AB229" s="1068"/>
      <c r="AC229" s="1068"/>
      <c r="AD229" s="1068"/>
      <c r="AE229" s="1071"/>
      <c r="AF229" s="1044"/>
      <c r="AG229" s="1068"/>
      <c r="AH229" s="1068"/>
      <c r="AI229" s="1068"/>
      <c r="AJ229" s="1068"/>
      <c r="AK229" s="1068"/>
      <c r="AL229" s="1068"/>
      <c r="AM229" s="928"/>
      <c r="AN229" s="1043"/>
      <c r="AO229" s="1041"/>
    </row>
    <row r="230" spans="1:41" ht="12" customHeight="1" x14ac:dyDescent="0.2">
      <c r="S230" s="928"/>
      <c r="T230" s="928"/>
      <c r="U230" s="930"/>
      <c r="V230" s="1443"/>
      <c r="W230" s="930"/>
      <c r="X230" s="1044"/>
      <c r="Y230" s="1068"/>
      <c r="Z230" s="1068"/>
      <c r="AA230" s="1068"/>
      <c r="AB230" s="1068"/>
      <c r="AC230" s="1068"/>
      <c r="AD230" s="1068"/>
      <c r="AE230" s="1071"/>
      <c r="AF230" s="1044"/>
      <c r="AG230" s="1068"/>
      <c r="AH230" s="1068"/>
      <c r="AI230" s="1068"/>
      <c r="AJ230" s="1068"/>
      <c r="AK230" s="1068"/>
      <c r="AL230" s="1068"/>
      <c r="AM230" s="928"/>
      <c r="AN230" s="1043"/>
      <c r="AO230" s="1041"/>
    </row>
    <row r="231" spans="1:41" ht="12" customHeight="1" x14ac:dyDescent="0.2">
      <c r="S231" s="928"/>
      <c r="T231" s="928"/>
      <c r="U231" s="930"/>
      <c r="V231" s="1443"/>
      <c r="W231" s="930"/>
      <c r="X231" s="930"/>
      <c r="Y231" s="930"/>
      <c r="Z231" s="930"/>
      <c r="AA231" s="930"/>
      <c r="AB231" s="930"/>
      <c r="AC231" s="977"/>
      <c r="AD231" s="977"/>
      <c r="AE231" s="1073"/>
      <c r="AF231" s="1074"/>
      <c r="AG231" s="1064"/>
      <c r="AH231" s="1066"/>
      <c r="AI231" s="1066"/>
      <c r="AJ231" s="1066"/>
      <c r="AK231" s="1066"/>
      <c r="AL231" s="1066"/>
      <c r="AM231" s="928"/>
      <c r="AN231" s="1043"/>
      <c r="AO231" s="1041"/>
    </row>
    <row r="232" spans="1:41" ht="12" customHeight="1" x14ac:dyDescent="0.2">
      <c r="S232" s="928"/>
      <c r="T232" s="928"/>
      <c r="U232" s="930"/>
      <c r="V232" s="1443"/>
      <c r="W232" s="930"/>
      <c r="X232" s="1048"/>
      <c r="Y232" s="1048"/>
      <c r="Z232" s="1049"/>
      <c r="AA232" s="1049"/>
      <c r="AB232" s="1049"/>
      <c r="AC232" s="1049"/>
      <c r="AD232" s="1050"/>
      <c r="AE232" s="1073"/>
      <c r="AF232" s="1048"/>
      <c r="AG232" s="1048"/>
      <c r="AH232" s="1049"/>
      <c r="AI232" s="1049"/>
      <c r="AJ232" s="1049"/>
      <c r="AK232" s="1049"/>
      <c r="AL232" s="1050"/>
      <c r="AM232" s="928"/>
      <c r="AN232" s="1043"/>
      <c r="AO232" s="1041"/>
    </row>
    <row r="233" spans="1:41" ht="12" customHeight="1" x14ac:dyDescent="0.2">
      <c r="S233" s="928"/>
      <c r="T233" s="928"/>
      <c r="U233" s="930"/>
      <c r="V233" s="1443"/>
      <c r="W233" s="930"/>
      <c r="X233" s="1051"/>
      <c r="Y233" s="1051"/>
      <c r="Z233" s="1049"/>
      <c r="AA233" s="1049"/>
      <c r="AB233" s="1049"/>
      <c r="AC233" s="1049"/>
      <c r="AD233" s="1052"/>
      <c r="AE233" s="1066"/>
      <c r="AF233" s="1051"/>
      <c r="AG233" s="1051"/>
      <c r="AH233" s="1049"/>
      <c r="AI233" s="1049"/>
      <c r="AJ233" s="1049"/>
      <c r="AK233" s="1049"/>
      <c r="AL233" s="1052"/>
      <c r="AM233" s="928"/>
      <c r="AN233" s="1043"/>
      <c r="AO233" s="1041"/>
    </row>
    <row r="234" spans="1:41" ht="12" customHeight="1" x14ac:dyDescent="0.2">
      <c r="S234" s="928"/>
      <c r="T234" s="928"/>
      <c r="U234" s="930"/>
      <c r="V234" s="1443"/>
      <c r="W234" s="930"/>
      <c r="X234" s="1059"/>
      <c r="Y234" s="1059"/>
      <c r="Z234" s="1060"/>
      <c r="AA234" s="1060"/>
      <c r="AB234" s="1060"/>
      <c r="AC234" s="1061"/>
      <c r="AD234" s="1052"/>
      <c r="AE234" s="1071"/>
      <c r="AF234" s="1059"/>
      <c r="AG234" s="1059"/>
      <c r="AH234" s="1060"/>
      <c r="AI234" s="1060"/>
      <c r="AJ234" s="1060"/>
      <c r="AK234" s="1061"/>
      <c r="AL234" s="1052"/>
      <c r="AM234" s="928"/>
      <c r="AN234" s="1043"/>
      <c r="AO234" s="1041"/>
    </row>
    <row r="235" spans="1:41" ht="12" customHeight="1" x14ac:dyDescent="0.2">
      <c r="S235" s="928"/>
      <c r="T235" s="928"/>
      <c r="U235" s="930"/>
      <c r="V235" s="1443"/>
      <c r="W235" s="930"/>
      <c r="X235" s="930"/>
      <c r="Y235" s="1062"/>
      <c r="Z235" s="1062"/>
      <c r="AA235" s="1062"/>
      <c r="AB235" s="1062"/>
      <c r="AC235" s="1062"/>
      <c r="AD235" s="1062"/>
      <c r="AE235" s="1071"/>
      <c r="AF235" s="930"/>
      <c r="AG235" s="1062"/>
      <c r="AH235" s="1062"/>
      <c r="AI235" s="1062"/>
      <c r="AJ235" s="1062"/>
      <c r="AK235" s="1062"/>
      <c r="AL235" s="1062"/>
      <c r="AM235" s="928"/>
      <c r="AN235" s="1043"/>
      <c r="AO235" s="1041"/>
    </row>
    <row r="236" spans="1:41" ht="12" customHeight="1" x14ac:dyDescent="0.2">
      <c r="S236" s="928"/>
      <c r="T236" s="928"/>
      <c r="U236" s="930"/>
      <c r="V236" s="1443"/>
      <c r="W236" s="930"/>
      <c r="X236" s="1059"/>
      <c r="Y236" s="1063"/>
      <c r="Z236" s="1063"/>
      <c r="AA236" s="1063"/>
      <c r="AB236" s="1063"/>
      <c r="AC236" s="1063"/>
      <c r="AD236" s="1063"/>
      <c r="AE236" s="977"/>
      <c r="AF236" s="1059"/>
      <c r="AG236" s="1063"/>
      <c r="AH236" s="1063"/>
      <c r="AI236" s="1063"/>
      <c r="AJ236" s="1063"/>
      <c r="AK236" s="1063"/>
      <c r="AL236" s="1063"/>
      <c r="AM236" s="928"/>
      <c r="AN236" s="1043"/>
      <c r="AO236" s="1041"/>
    </row>
    <row r="237" spans="1:41" ht="12" customHeight="1" x14ac:dyDescent="0.2">
      <c r="S237" s="928"/>
      <c r="T237" s="928"/>
      <c r="U237" s="930"/>
      <c r="V237" s="1443"/>
      <c r="W237" s="930"/>
      <c r="X237" s="1059"/>
      <c r="Y237" s="1063"/>
      <c r="Z237" s="1063"/>
      <c r="AA237" s="1063"/>
      <c r="AB237" s="1063"/>
      <c r="AC237" s="1063"/>
      <c r="AD237" s="1063"/>
      <c r="AE237" s="1072"/>
      <c r="AF237" s="1059"/>
      <c r="AG237" s="1063"/>
      <c r="AH237" s="1063"/>
      <c r="AI237" s="1063"/>
      <c r="AJ237" s="1063"/>
      <c r="AK237" s="1063"/>
      <c r="AL237" s="1063"/>
      <c r="AM237" s="928"/>
      <c r="AN237" s="1043"/>
      <c r="AO237" s="1041"/>
    </row>
    <row r="238" spans="1:41" ht="12" customHeight="1" x14ac:dyDescent="0.2">
      <c r="S238" s="928"/>
      <c r="T238" s="928"/>
      <c r="U238" s="930"/>
      <c r="V238" s="1443"/>
      <c r="W238" s="930"/>
      <c r="X238" s="977"/>
      <c r="Y238" s="1065"/>
      <c r="Z238" s="1065"/>
      <c r="AA238" s="1065"/>
      <c r="AB238" s="1065"/>
      <c r="AC238" s="1065"/>
      <c r="AD238" s="1065"/>
      <c r="AE238" s="1071"/>
      <c r="AF238" s="977"/>
      <c r="AG238" s="1065"/>
      <c r="AH238" s="1065"/>
      <c r="AI238" s="1065"/>
      <c r="AJ238" s="1065"/>
      <c r="AK238" s="1065"/>
      <c r="AL238" s="1065"/>
      <c r="AM238" s="928"/>
      <c r="AN238" s="1043"/>
      <c r="AO238" s="1041"/>
    </row>
    <row r="239" spans="1:41" ht="12" customHeight="1" x14ac:dyDescent="0.2">
      <c r="A239" s="928"/>
      <c r="B239" s="1443"/>
      <c r="C239" s="928"/>
      <c r="D239" s="1086"/>
      <c r="E239" s="1079"/>
      <c r="F239" s="1079"/>
      <c r="G239" s="1079"/>
      <c r="H239" s="1079"/>
      <c r="I239" s="1079"/>
      <c r="J239" s="1079"/>
      <c r="K239" s="1075"/>
      <c r="L239" s="1086"/>
      <c r="M239" s="1079"/>
      <c r="N239" s="1079"/>
      <c r="O239" s="1079"/>
      <c r="P239" s="1079"/>
      <c r="Q239" s="1079"/>
      <c r="R239" s="1079"/>
      <c r="S239" s="928"/>
      <c r="T239" s="928"/>
      <c r="U239" s="930"/>
      <c r="V239" s="1443"/>
      <c r="W239" s="930"/>
      <c r="X239" s="1067"/>
      <c r="Y239" s="1068"/>
      <c r="Z239" s="1068"/>
      <c r="AA239" s="1068"/>
      <c r="AB239" s="1068"/>
      <c r="AC239" s="1068"/>
      <c r="AD239" s="1068"/>
      <c r="AE239" s="1071"/>
      <c r="AF239" s="1067"/>
      <c r="AG239" s="1068"/>
      <c r="AH239" s="1068"/>
      <c r="AI239" s="1068"/>
      <c r="AJ239" s="1068"/>
      <c r="AK239" s="1068"/>
      <c r="AL239" s="1068"/>
      <c r="AM239" s="928"/>
      <c r="AN239" s="1043"/>
      <c r="AO239" s="1041"/>
    </row>
    <row r="240" spans="1:41" ht="12" customHeight="1" x14ac:dyDescent="0.2">
      <c r="T240" s="928"/>
      <c r="U240" s="930"/>
      <c r="V240" s="1443"/>
      <c r="W240" s="930"/>
      <c r="X240" s="1044"/>
      <c r="Y240" s="1068"/>
      <c r="Z240" s="1068"/>
      <c r="AA240" s="1068"/>
      <c r="AB240" s="1068"/>
      <c r="AC240" s="1068"/>
      <c r="AD240" s="1068"/>
      <c r="AE240" s="1073"/>
      <c r="AF240" s="1044"/>
      <c r="AG240" s="1068"/>
      <c r="AH240" s="1068"/>
      <c r="AI240" s="1068"/>
      <c r="AJ240" s="1068"/>
      <c r="AK240" s="1068"/>
      <c r="AL240" s="1068"/>
      <c r="AM240" s="928"/>
      <c r="AN240" s="1043"/>
      <c r="AO240" s="1041"/>
    </row>
    <row r="241" spans="1:41" ht="12" customHeight="1" x14ac:dyDescent="0.2">
      <c r="T241" s="928"/>
      <c r="U241" s="930"/>
      <c r="V241" s="1443"/>
      <c r="W241" s="930"/>
      <c r="X241" s="1044"/>
      <c r="Y241" s="1068"/>
      <c r="Z241" s="1068"/>
      <c r="AA241" s="1068"/>
      <c r="AB241" s="1068"/>
      <c r="AC241" s="1068"/>
      <c r="AD241" s="1068"/>
      <c r="AE241" s="1073"/>
      <c r="AF241" s="1044"/>
      <c r="AG241" s="1068"/>
      <c r="AH241" s="1068"/>
      <c r="AI241" s="1068"/>
      <c r="AJ241" s="1068"/>
      <c r="AK241" s="1068"/>
      <c r="AL241" s="1068"/>
      <c r="AM241" s="928"/>
      <c r="AN241" s="1043"/>
      <c r="AO241" s="1041"/>
    </row>
    <row r="242" spans="1:41" ht="12" customHeight="1" x14ac:dyDescent="0.2">
      <c r="T242" s="928"/>
      <c r="U242" s="930"/>
      <c r="V242" s="1443"/>
      <c r="W242" s="930"/>
      <c r="X242" s="1064"/>
      <c r="Y242" s="1064"/>
      <c r="Z242" s="1064"/>
      <c r="AA242" s="1064"/>
      <c r="AB242" s="1064"/>
      <c r="AC242" s="1066"/>
      <c r="AD242" s="1066"/>
      <c r="AE242" s="1066"/>
      <c r="AF242" s="1066"/>
      <c r="AG242" s="1064"/>
      <c r="AH242" s="1066"/>
      <c r="AI242" s="1066"/>
      <c r="AJ242" s="1066"/>
      <c r="AK242" s="1066"/>
      <c r="AL242" s="1066"/>
      <c r="AM242" s="928"/>
      <c r="AN242" s="1043"/>
      <c r="AO242" s="1041"/>
    </row>
    <row r="243" spans="1:41" ht="12" customHeight="1" x14ac:dyDescent="0.2">
      <c r="T243" s="928"/>
      <c r="U243" s="930"/>
      <c r="V243" s="1443"/>
      <c r="W243" s="930"/>
      <c r="X243" s="1048"/>
      <c r="Y243" s="1048"/>
      <c r="Z243" s="1049"/>
      <c r="AA243" s="1049"/>
      <c r="AB243" s="1049"/>
      <c r="AC243" s="1049"/>
      <c r="AD243" s="1050"/>
      <c r="AE243" s="930"/>
      <c r="AF243" s="1048"/>
      <c r="AG243" s="1048"/>
      <c r="AH243" s="1049"/>
      <c r="AI243" s="1049"/>
      <c r="AJ243" s="1049"/>
      <c r="AK243" s="1049"/>
      <c r="AL243" s="1050"/>
      <c r="AM243" s="928"/>
      <c r="AN243" s="1043"/>
      <c r="AO243" s="1041"/>
    </row>
    <row r="244" spans="1:41" ht="12" customHeight="1" x14ac:dyDescent="0.2">
      <c r="T244" s="928"/>
      <c r="U244" s="930"/>
      <c r="V244" s="1443"/>
      <c r="W244" s="930"/>
      <c r="X244" s="1051"/>
      <c r="Y244" s="1051"/>
      <c r="Z244" s="1049"/>
      <c r="AA244" s="1049"/>
      <c r="AB244" s="1049"/>
      <c r="AC244" s="1049"/>
      <c r="AD244" s="1052"/>
      <c r="AE244" s="930"/>
      <c r="AF244" s="1051"/>
      <c r="AG244" s="1051"/>
      <c r="AH244" s="1049"/>
      <c r="AI244" s="1049"/>
      <c r="AJ244" s="1049"/>
      <c r="AK244" s="1049"/>
      <c r="AL244" s="1052"/>
      <c r="AM244" s="928"/>
      <c r="AN244" s="1043"/>
      <c r="AO244" s="1041"/>
    </row>
    <row r="245" spans="1:41" ht="12" customHeight="1" x14ac:dyDescent="0.2">
      <c r="T245" s="928"/>
      <c r="U245" s="930"/>
      <c r="V245" s="1443"/>
      <c r="W245" s="930"/>
      <c r="X245" s="1059"/>
      <c r="Y245" s="1059"/>
      <c r="Z245" s="1060"/>
      <c r="AA245" s="1060"/>
      <c r="AB245" s="1060"/>
      <c r="AC245" s="1061"/>
      <c r="AD245" s="1052"/>
      <c r="AE245" s="930"/>
      <c r="AF245" s="1059"/>
      <c r="AG245" s="1059"/>
      <c r="AH245" s="1060"/>
      <c r="AI245" s="1060"/>
      <c r="AJ245" s="1060"/>
      <c r="AK245" s="1061"/>
      <c r="AL245" s="1052"/>
      <c r="AM245" s="928"/>
      <c r="AN245" s="1043"/>
      <c r="AO245" s="1041"/>
    </row>
    <row r="246" spans="1:41" ht="12" customHeight="1" x14ac:dyDescent="0.2">
      <c r="T246" s="928"/>
      <c r="U246" s="930"/>
      <c r="V246" s="1443"/>
      <c r="W246" s="930"/>
      <c r="X246" s="930"/>
      <c r="Y246" s="1062"/>
      <c r="Z246" s="1062"/>
      <c r="AA246" s="1062"/>
      <c r="AB246" s="1062"/>
      <c r="AC246" s="1062"/>
      <c r="AD246" s="1062"/>
      <c r="AE246" s="930"/>
      <c r="AF246" s="930"/>
      <c r="AG246" s="1062"/>
      <c r="AH246" s="1062"/>
      <c r="AI246" s="1062"/>
      <c r="AJ246" s="1062"/>
      <c r="AK246" s="1062"/>
      <c r="AL246" s="1062"/>
      <c r="AM246" s="928"/>
      <c r="AN246" s="1043"/>
      <c r="AO246" s="1041"/>
    </row>
    <row r="247" spans="1:41" ht="12" customHeight="1" x14ac:dyDescent="0.2">
      <c r="T247" s="928"/>
      <c r="U247" s="930"/>
      <c r="V247" s="1443"/>
      <c r="W247" s="930"/>
      <c r="X247" s="1059"/>
      <c r="Y247" s="1063"/>
      <c r="Z247" s="1063"/>
      <c r="AA247" s="1063"/>
      <c r="AB247" s="1063"/>
      <c r="AC247" s="1063"/>
      <c r="AD247" s="1063"/>
      <c r="AE247" s="930"/>
      <c r="AF247" s="1059"/>
      <c r="AG247" s="1063"/>
      <c r="AH247" s="1063"/>
      <c r="AI247" s="1063"/>
      <c r="AJ247" s="1063"/>
      <c r="AK247" s="1063"/>
      <c r="AL247" s="1063"/>
      <c r="AM247" s="928"/>
      <c r="AN247" s="1043"/>
      <c r="AO247" s="1041"/>
    </row>
    <row r="248" spans="1:41" ht="12" customHeight="1" x14ac:dyDescent="0.2">
      <c r="T248" s="928"/>
      <c r="U248" s="930"/>
      <c r="V248" s="1443"/>
      <c r="W248" s="930"/>
      <c r="X248" s="1059"/>
      <c r="Y248" s="1063"/>
      <c r="Z248" s="1063"/>
      <c r="AA248" s="1063"/>
      <c r="AB248" s="1063"/>
      <c r="AC248" s="1063"/>
      <c r="AD248" s="1063"/>
      <c r="AE248" s="930"/>
      <c r="AF248" s="1059"/>
      <c r="AG248" s="1063"/>
      <c r="AH248" s="1063"/>
      <c r="AI248" s="1063"/>
      <c r="AJ248" s="1063"/>
      <c r="AK248" s="1063"/>
      <c r="AL248" s="1063"/>
      <c r="AM248" s="928"/>
      <c r="AN248" s="1043"/>
      <c r="AO248" s="1041"/>
    </row>
    <row r="249" spans="1:41" ht="12" customHeight="1" x14ac:dyDescent="0.2">
      <c r="T249" s="928"/>
      <c r="U249" s="930"/>
      <c r="V249" s="1443"/>
      <c r="W249" s="930"/>
      <c r="X249" s="977"/>
      <c r="Y249" s="1065"/>
      <c r="Z249" s="1065"/>
      <c r="AA249" s="1065"/>
      <c r="AB249" s="1065"/>
      <c r="AC249" s="1065"/>
      <c r="AD249" s="1065"/>
      <c r="AE249" s="930"/>
      <c r="AF249" s="977"/>
      <c r="AG249" s="1065"/>
      <c r="AH249" s="1065"/>
      <c r="AI249" s="1065"/>
      <c r="AJ249" s="1065"/>
      <c r="AK249" s="1065"/>
      <c r="AL249" s="1065"/>
      <c r="AM249" s="928"/>
      <c r="AN249" s="1043"/>
      <c r="AO249" s="1041"/>
    </row>
    <row r="250" spans="1:41" ht="12" customHeight="1" x14ac:dyDescent="0.2">
      <c r="A250" s="928"/>
      <c r="B250" s="1443"/>
      <c r="C250" s="928"/>
      <c r="D250" s="1086"/>
      <c r="E250" s="1079"/>
      <c r="F250" s="1079"/>
      <c r="G250" s="1079"/>
      <c r="H250" s="1079"/>
      <c r="I250" s="1079"/>
      <c r="J250" s="1079"/>
      <c r="K250" s="928"/>
      <c r="L250" s="1086"/>
      <c r="M250" s="1079"/>
      <c r="N250" s="1079"/>
      <c r="O250" s="1079"/>
      <c r="P250" s="1079"/>
      <c r="Q250" s="1079"/>
      <c r="R250" s="1079"/>
      <c r="S250" s="928"/>
      <c r="T250" s="928"/>
      <c r="U250" s="930"/>
      <c r="V250" s="1443"/>
      <c r="W250" s="930"/>
      <c r="X250" s="1067"/>
      <c r="Y250" s="1068"/>
      <c r="Z250" s="1068"/>
      <c r="AA250" s="1068"/>
      <c r="AB250" s="1068"/>
      <c r="AC250" s="1068"/>
      <c r="AD250" s="1068"/>
      <c r="AE250" s="930"/>
      <c r="AF250" s="1067"/>
      <c r="AG250" s="1068"/>
      <c r="AH250" s="1068"/>
      <c r="AI250" s="1068"/>
      <c r="AJ250" s="1068"/>
      <c r="AK250" s="1068"/>
      <c r="AL250" s="1068"/>
      <c r="AM250" s="928"/>
      <c r="AN250" s="1043"/>
      <c r="AO250" s="1041"/>
    </row>
    <row r="251" spans="1:41" ht="12" customHeight="1" x14ac:dyDescent="0.2">
      <c r="A251" s="928"/>
      <c r="B251" s="1443"/>
      <c r="C251" s="928"/>
      <c r="D251" s="1084"/>
      <c r="E251" s="1079"/>
      <c r="F251" s="1079"/>
      <c r="G251" s="1079"/>
      <c r="H251" s="1079"/>
      <c r="I251" s="1079"/>
      <c r="J251" s="1079"/>
      <c r="K251" s="928"/>
      <c r="L251" s="1084"/>
      <c r="M251" s="1079"/>
      <c r="N251" s="1079"/>
      <c r="O251" s="1079"/>
      <c r="P251" s="1079"/>
      <c r="Q251" s="1079"/>
      <c r="R251" s="1079"/>
      <c r="S251" s="928"/>
      <c r="T251" s="928"/>
      <c r="U251" s="930"/>
      <c r="V251" s="1443"/>
      <c r="W251" s="930"/>
      <c r="X251" s="1044"/>
      <c r="Y251" s="1068"/>
      <c r="Z251" s="1068"/>
      <c r="AA251" s="1068"/>
      <c r="AB251" s="1068"/>
      <c r="AC251" s="1068"/>
      <c r="AD251" s="1068"/>
      <c r="AE251" s="930"/>
      <c r="AF251" s="1044"/>
      <c r="AG251" s="1068"/>
      <c r="AH251" s="1068"/>
      <c r="AI251" s="1068"/>
      <c r="AJ251" s="1068"/>
      <c r="AK251" s="1068"/>
      <c r="AL251" s="1068"/>
      <c r="AM251" s="928"/>
      <c r="AN251" s="1043"/>
      <c r="AO251" s="1041"/>
    </row>
    <row r="252" spans="1:41" ht="12" customHeight="1" x14ac:dyDescent="0.2">
      <c r="A252" s="928"/>
      <c r="B252" s="1443"/>
      <c r="C252" s="928"/>
      <c r="D252" s="1084"/>
      <c r="E252" s="1079"/>
      <c r="F252" s="1079"/>
      <c r="G252" s="1079"/>
      <c r="H252" s="1079"/>
      <c r="I252" s="1079"/>
      <c r="J252" s="1079"/>
      <c r="K252" s="928"/>
      <c r="L252" s="1084"/>
      <c r="M252" s="1079"/>
      <c r="N252" s="1079"/>
      <c r="O252" s="1079"/>
      <c r="P252" s="1079"/>
      <c r="Q252" s="1079"/>
      <c r="R252" s="1079"/>
      <c r="S252" s="928"/>
      <c r="T252" s="928"/>
      <c r="U252" s="930"/>
      <c r="V252" s="1443"/>
      <c r="W252" s="930"/>
      <c r="X252" s="1044"/>
      <c r="Y252" s="1068"/>
      <c r="Z252" s="1068"/>
      <c r="AA252" s="1068"/>
      <c r="AB252" s="1068"/>
      <c r="AC252" s="1068"/>
      <c r="AD252" s="1068"/>
      <c r="AE252" s="930"/>
      <c r="AF252" s="1044"/>
      <c r="AG252" s="1068"/>
      <c r="AH252" s="1068"/>
      <c r="AI252" s="1068"/>
      <c r="AJ252" s="1068"/>
      <c r="AK252" s="1068"/>
      <c r="AL252" s="1068"/>
      <c r="AM252" s="928"/>
      <c r="AN252" s="1043"/>
      <c r="AO252" s="1041"/>
    </row>
    <row r="253" spans="1:41" ht="12" customHeight="1" x14ac:dyDescent="0.2">
      <c r="A253" s="928"/>
      <c r="B253" s="1443"/>
      <c r="C253" s="928"/>
      <c r="D253" s="928"/>
      <c r="E253" s="928"/>
      <c r="F253" s="928"/>
      <c r="G253" s="928"/>
      <c r="H253" s="928"/>
      <c r="I253" s="928"/>
      <c r="J253" s="928"/>
      <c r="K253" s="928"/>
      <c r="L253" s="928"/>
      <c r="M253" s="928"/>
      <c r="N253" s="928"/>
      <c r="O253" s="928"/>
      <c r="P253" s="928"/>
      <c r="Q253" s="928"/>
      <c r="R253" s="928"/>
      <c r="S253" s="928"/>
      <c r="T253" s="928"/>
      <c r="U253" s="930"/>
      <c r="V253" s="1443"/>
      <c r="W253" s="930"/>
      <c r="X253" s="930"/>
      <c r="Y253" s="930"/>
      <c r="Z253" s="930"/>
      <c r="AA253" s="930"/>
      <c r="AB253" s="930"/>
      <c r="AC253" s="930"/>
      <c r="AD253" s="930"/>
      <c r="AE253" s="930"/>
      <c r="AF253" s="930"/>
      <c r="AG253" s="930"/>
      <c r="AH253" s="930"/>
      <c r="AI253" s="930"/>
      <c r="AJ253" s="930"/>
      <c r="AK253" s="930"/>
      <c r="AL253" s="930"/>
      <c r="AM253" s="928"/>
      <c r="AN253" s="1043"/>
      <c r="AO253" s="1041"/>
    </row>
    <row r="254" spans="1:41" ht="12" customHeight="1" x14ac:dyDescent="0.2">
      <c r="A254" s="928"/>
      <c r="B254" s="1443"/>
      <c r="C254" s="928"/>
      <c r="D254" s="1089"/>
      <c r="E254" s="1089"/>
      <c r="F254" s="1055"/>
      <c r="G254" s="1055"/>
      <c r="H254" s="1055"/>
      <c r="I254" s="1055"/>
      <c r="J254" s="1080"/>
      <c r="K254" s="1091"/>
      <c r="L254" s="1089"/>
      <c r="M254" s="1089"/>
      <c r="N254" s="1055"/>
      <c r="O254" s="1055"/>
      <c r="P254" s="1055"/>
      <c r="Q254" s="1055"/>
      <c r="R254" s="1080"/>
      <c r="S254" s="928"/>
      <c r="T254" s="928"/>
      <c r="U254" s="930"/>
      <c r="V254" s="1443"/>
      <c r="W254" s="930"/>
      <c r="X254" s="1048"/>
      <c r="Y254" s="1048"/>
      <c r="Z254" s="1049"/>
      <c r="AA254" s="1049"/>
      <c r="AB254" s="1049"/>
      <c r="AC254" s="1049"/>
      <c r="AD254" s="1050"/>
      <c r="AE254" s="1081"/>
      <c r="AF254" s="1048"/>
      <c r="AG254" s="1048"/>
      <c r="AH254" s="1049"/>
      <c r="AI254" s="1049"/>
      <c r="AJ254" s="1049"/>
      <c r="AK254" s="1049"/>
      <c r="AL254" s="1050"/>
      <c r="AM254" s="928"/>
      <c r="AN254" s="1043"/>
      <c r="AO254" s="1041"/>
    </row>
    <row r="255" spans="1:41" ht="12" customHeight="1" x14ac:dyDescent="0.2">
      <c r="A255" s="928"/>
      <c r="B255" s="1443"/>
      <c r="C255" s="928"/>
      <c r="D255" s="1090"/>
      <c r="E255" s="1090"/>
      <c r="F255" s="1055"/>
      <c r="G255" s="1055"/>
      <c r="H255" s="1055"/>
      <c r="I255" s="1055"/>
      <c r="J255" s="1057"/>
      <c r="K255" s="1092"/>
      <c r="L255" s="1090"/>
      <c r="M255" s="1090"/>
      <c r="N255" s="1055"/>
      <c r="O255" s="1055"/>
      <c r="P255" s="1055"/>
      <c r="Q255" s="1055"/>
      <c r="R255" s="1057"/>
      <c r="S255" s="928"/>
      <c r="T255" s="928"/>
      <c r="U255" s="930"/>
      <c r="V255" s="1443"/>
      <c r="W255" s="930"/>
      <c r="X255" s="1051"/>
      <c r="Y255" s="1051"/>
      <c r="Z255" s="1049"/>
      <c r="AA255" s="1049"/>
      <c r="AB255" s="1049"/>
      <c r="AC255" s="1049"/>
      <c r="AD255" s="1052"/>
      <c r="AE255" s="1082"/>
      <c r="AF255" s="1051"/>
      <c r="AG255" s="1051"/>
      <c r="AH255" s="1049"/>
      <c r="AI255" s="1049"/>
      <c r="AJ255" s="1049"/>
      <c r="AK255" s="1049"/>
      <c r="AL255" s="1052"/>
      <c r="AM255" s="928"/>
      <c r="AN255" s="1043"/>
      <c r="AO255" s="1041"/>
    </row>
    <row r="256" spans="1:41" ht="12" customHeight="1" x14ac:dyDescent="0.2">
      <c r="A256" s="928"/>
      <c r="B256" s="1443"/>
      <c r="C256" s="928"/>
      <c r="D256" s="1054"/>
      <c r="E256" s="1054"/>
      <c r="F256" s="1055"/>
      <c r="G256" s="1055"/>
      <c r="H256" s="1055"/>
      <c r="I256" s="1056"/>
      <c r="J256" s="1057"/>
      <c r="K256" s="1055"/>
      <c r="L256" s="1054"/>
      <c r="M256" s="1054"/>
      <c r="N256" s="1055"/>
      <c r="O256" s="1055"/>
      <c r="P256" s="1055"/>
      <c r="Q256" s="1056"/>
      <c r="R256" s="1057"/>
      <c r="S256" s="928"/>
      <c r="T256" s="928"/>
      <c r="U256" s="930"/>
      <c r="V256" s="1443"/>
      <c r="W256" s="930"/>
      <c r="X256" s="1059"/>
      <c r="Y256" s="1059"/>
      <c r="Z256" s="1060"/>
      <c r="AA256" s="1060"/>
      <c r="AB256" s="1060"/>
      <c r="AC256" s="1061"/>
      <c r="AD256" s="1052"/>
      <c r="AE256" s="1060"/>
      <c r="AF256" s="1059"/>
      <c r="AG256" s="1059"/>
      <c r="AH256" s="1060"/>
      <c r="AI256" s="1060"/>
      <c r="AJ256" s="1060"/>
      <c r="AK256" s="1061"/>
      <c r="AL256" s="1052"/>
      <c r="AM256" s="928"/>
      <c r="AN256" s="1043"/>
      <c r="AO256" s="1041"/>
    </row>
    <row r="257" spans="1:41" ht="12" customHeight="1" x14ac:dyDescent="0.2">
      <c r="A257" s="928"/>
      <c r="B257" s="1443"/>
      <c r="C257" s="928"/>
      <c r="D257" s="928"/>
      <c r="E257" s="1076"/>
      <c r="F257" s="1076"/>
      <c r="G257" s="1076"/>
      <c r="H257" s="1076"/>
      <c r="I257" s="1076"/>
      <c r="J257" s="1076"/>
      <c r="K257" s="1055"/>
      <c r="L257" s="928"/>
      <c r="M257" s="1076"/>
      <c r="N257" s="1076"/>
      <c r="O257" s="1076"/>
      <c r="P257" s="1076"/>
      <c r="Q257" s="1076"/>
      <c r="R257" s="1076"/>
      <c r="S257" s="928"/>
      <c r="T257" s="928"/>
      <c r="U257" s="930"/>
      <c r="V257" s="1443"/>
      <c r="W257" s="930"/>
      <c r="X257" s="930"/>
      <c r="Y257" s="1062"/>
      <c r="Z257" s="1062"/>
      <c r="AA257" s="1062"/>
      <c r="AB257" s="1062"/>
      <c r="AC257" s="1062"/>
      <c r="AD257" s="1062"/>
      <c r="AE257" s="1060"/>
      <c r="AF257" s="930"/>
      <c r="AG257" s="1062"/>
      <c r="AH257" s="1062"/>
      <c r="AI257" s="1062"/>
      <c r="AJ257" s="1062"/>
      <c r="AK257" s="1062"/>
      <c r="AL257" s="1062"/>
      <c r="AM257" s="928"/>
      <c r="AN257" s="1043"/>
      <c r="AO257" s="1041"/>
    </row>
    <row r="258" spans="1:41" ht="12" customHeight="1" x14ac:dyDescent="0.2">
      <c r="A258" s="928"/>
      <c r="B258" s="1443"/>
      <c r="C258" s="928"/>
      <c r="D258" s="1054"/>
      <c r="E258" s="1077"/>
      <c r="F258" s="1077"/>
      <c r="G258" s="1077"/>
      <c r="H258" s="1077"/>
      <c r="I258" s="1077"/>
      <c r="J258" s="1077"/>
      <c r="K258" s="1055"/>
      <c r="L258" s="1054"/>
      <c r="M258" s="1077"/>
      <c r="N258" s="1077"/>
      <c r="O258" s="1077"/>
      <c r="P258" s="1077"/>
      <c r="Q258" s="1077"/>
      <c r="R258" s="1077"/>
      <c r="S258" s="928"/>
      <c r="T258" s="928"/>
      <c r="U258" s="930"/>
      <c r="V258" s="1443"/>
      <c r="W258" s="930"/>
      <c r="X258" s="1059"/>
      <c r="Y258" s="1063"/>
      <c r="Z258" s="1063"/>
      <c r="AA258" s="1063"/>
      <c r="AB258" s="1063"/>
      <c r="AC258" s="1063"/>
      <c r="AD258" s="1063"/>
      <c r="AE258" s="1060"/>
      <c r="AF258" s="1059"/>
      <c r="AG258" s="1063"/>
      <c r="AH258" s="1063"/>
      <c r="AI258" s="1063"/>
      <c r="AJ258" s="1063"/>
      <c r="AK258" s="1063"/>
      <c r="AL258" s="1063"/>
      <c r="AM258" s="928"/>
      <c r="AN258" s="1043"/>
      <c r="AO258" s="1041"/>
    </row>
    <row r="259" spans="1:41" ht="12" customHeight="1" x14ac:dyDescent="0.2">
      <c r="A259" s="928"/>
      <c r="B259" s="1443"/>
      <c r="C259" s="928"/>
      <c r="D259" s="1054"/>
      <c r="E259" s="1077"/>
      <c r="F259" s="1077"/>
      <c r="G259" s="1077"/>
      <c r="H259" s="1077"/>
      <c r="I259" s="1077"/>
      <c r="J259" s="1077"/>
      <c r="K259" s="1055"/>
      <c r="L259" s="1054"/>
      <c r="M259" s="1077"/>
      <c r="N259" s="1077"/>
      <c r="O259" s="1077"/>
      <c r="P259" s="1077"/>
      <c r="Q259" s="1077"/>
      <c r="R259" s="1077"/>
      <c r="S259" s="928"/>
      <c r="T259" s="928"/>
      <c r="U259" s="930"/>
      <c r="V259" s="1443"/>
      <c r="W259" s="930"/>
      <c r="X259" s="1059"/>
      <c r="Y259" s="1063"/>
      <c r="Z259" s="1063"/>
      <c r="AA259" s="1063"/>
      <c r="AB259" s="1063"/>
      <c r="AC259" s="1063"/>
      <c r="AD259" s="1063"/>
      <c r="AE259" s="1060"/>
      <c r="AF259" s="1059"/>
      <c r="AG259" s="1063"/>
      <c r="AH259" s="1063"/>
      <c r="AI259" s="1063"/>
      <c r="AJ259" s="1063"/>
      <c r="AK259" s="1063"/>
      <c r="AL259" s="1063"/>
      <c r="AM259" s="928"/>
      <c r="AN259" s="1043"/>
      <c r="AO259" s="1041"/>
    </row>
    <row r="260" spans="1:41" ht="12" customHeight="1" x14ac:dyDescent="0.2">
      <c r="A260" s="928"/>
      <c r="B260" s="1443"/>
      <c r="C260" s="928"/>
      <c r="D260" s="1075"/>
      <c r="E260" s="1078"/>
      <c r="F260" s="1078"/>
      <c r="G260" s="1078"/>
      <c r="H260" s="1078"/>
      <c r="I260" s="1078"/>
      <c r="J260" s="1078"/>
      <c r="K260" s="1055"/>
      <c r="L260" s="1075"/>
      <c r="M260" s="1078"/>
      <c r="N260" s="1078"/>
      <c r="O260" s="1078"/>
      <c r="P260" s="1078"/>
      <c r="Q260" s="1078"/>
      <c r="R260" s="1078"/>
      <c r="S260" s="928"/>
      <c r="T260" s="928"/>
      <c r="U260" s="930"/>
      <c r="V260" s="1443"/>
      <c r="W260" s="930"/>
      <c r="X260" s="977"/>
      <c r="Y260" s="1065"/>
      <c r="Z260" s="1065"/>
      <c r="AA260" s="1065"/>
      <c r="AB260" s="1065"/>
      <c r="AC260" s="1065"/>
      <c r="AD260" s="1065"/>
      <c r="AE260" s="1060"/>
      <c r="AF260" s="977"/>
      <c r="AG260" s="1065"/>
      <c r="AH260" s="1065"/>
      <c r="AI260" s="1065"/>
      <c r="AJ260" s="1065"/>
      <c r="AK260" s="1065"/>
      <c r="AL260" s="1065"/>
      <c r="AM260" s="928"/>
      <c r="AN260" s="1043"/>
      <c r="AO260" s="1041"/>
    </row>
    <row r="261" spans="1:41" ht="12" customHeight="1" x14ac:dyDescent="0.2">
      <c r="A261" s="928"/>
      <c r="B261" s="1443"/>
      <c r="C261" s="928"/>
      <c r="D261" s="1086"/>
      <c r="E261" s="1079"/>
      <c r="F261" s="1079"/>
      <c r="G261" s="1079"/>
      <c r="H261" s="1079"/>
      <c r="I261" s="1079"/>
      <c r="J261" s="1079"/>
      <c r="K261" s="1055"/>
      <c r="L261" s="1086"/>
      <c r="M261" s="1079"/>
      <c r="N261" s="1079"/>
      <c r="O261" s="1079"/>
      <c r="P261" s="1079"/>
      <c r="Q261" s="1079"/>
      <c r="R261" s="1079"/>
      <c r="S261" s="928"/>
      <c r="T261" s="928"/>
      <c r="U261" s="930"/>
      <c r="V261" s="1443"/>
      <c r="W261" s="930"/>
      <c r="X261" s="1067"/>
      <c r="Y261" s="1068"/>
      <c r="Z261" s="1068"/>
      <c r="AA261" s="1068"/>
      <c r="AB261" s="1068"/>
      <c r="AC261" s="1068"/>
      <c r="AD261" s="1068"/>
      <c r="AE261" s="1060"/>
      <c r="AF261" s="1067"/>
      <c r="AG261" s="1068"/>
      <c r="AH261" s="1068"/>
      <c r="AI261" s="1068"/>
      <c r="AJ261" s="1068"/>
      <c r="AK261" s="1068"/>
      <c r="AL261" s="1068"/>
      <c r="AM261" s="928"/>
      <c r="AN261" s="1043"/>
      <c r="AO261" s="1041"/>
    </row>
    <row r="262" spans="1:41" ht="12" customHeight="1" x14ac:dyDescent="0.2">
      <c r="A262" s="928"/>
      <c r="B262" s="1443"/>
      <c r="C262" s="928"/>
      <c r="D262" s="1084"/>
      <c r="E262" s="1079"/>
      <c r="F262" s="1079"/>
      <c r="G262" s="1079"/>
      <c r="H262" s="1079"/>
      <c r="I262" s="1079"/>
      <c r="J262" s="1079"/>
      <c r="K262" s="1055"/>
      <c r="L262" s="1084"/>
      <c r="M262" s="1079"/>
      <c r="N262" s="1079"/>
      <c r="O262" s="1079"/>
      <c r="P262" s="1079"/>
      <c r="Q262" s="1079"/>
      <c r="R262" s="1079"/>
      <c r="S262" s="928"/>
      <c r="T262" s="928"/>
      <c r="U262" s="930"/>
      <c r="V262" s="1443"/>
      <c r="W262" s="930"/>
      <c r="X262" s="1044"/>
      <c r="Y262" s="1068"/>
      <c r="Z262" s="1068"/>
      <c r="AA262" s="1068"/>
      <c r="AB262" s="1068"/>
      <c r="AC262" s="1068"/>
      <c r="AD262" s="1068"/>
      <c r="AE262" s="1060"/>
      <c r="AF262" s="1044"/>
      <c r="AG262" s="1068"/>
      <c r="AH262" s="1068"/>
      <c r="AI262" s="1068"/>
      <c r="AJ262" s="1068"/>
      <c r="AK262" s="1068"/>
      <c r="AL262" s="1068"/>
      <c r="AM262" s="928"/>
      <c r="AN262" s="1043"/>
      <c r="AO262" s="1041"/>
    </row>
    <row r="263" spans="1:41" ht="12" customHeight="1" x14ac:dyDescent="0.2">
      <c r="A263" s="928"/>
      <c r="B263" s="1443"/>
      <c r="C263" s="928"/>
      <c r="D263" s="1084"/>
      <c r="E263" s="1079"/>
      <c r="F263" s="1079"/>
      <c r="G263" s="1079"/>
      <c r="H263" s="1079"/>
      <c r="I263" s="1079"/>
      <c r="J263" s="1079"/>
      <c r="K263" s="1055"/>
      <c r="L263" s="1084"/>
      <c r="M263" s="1079"/>
      <c r="N263" s="1079"/>
      <c r="O263" s="1079"/>
      <c r="P263" s="1079"/>
      <c r="Q263" s="1079"/>
      <c r="R263" s="1079"/>
      <c r="S263" s="928"/>
      <c r="T263" s="928"/>
      <c r="U263" s="930"/>
      <c r="V263" s="1443"/>
      <c r="W263" s="930"/>
      <c r="X263" s="1044"/>
      <c r="Y263" s="1068"/>
      <c r="Z263" s="1068"/>
      <c r="AA263" s="1068"/>
      <c r="AB263" s="1068"/>
      <c r="AC263" s="1068"/>
      <c r="AD263" s="1068"/>
      <c r="AE263" s="1060"/>
      <c r="AF263" s="1044"/>
      <c r="AG263" s="1068"/>
      <c r="AH263" s="1068"/>
      <c r="AI263" s="1068"/>
      <c r="AJ263" s="1068"/>
      <c r="AK263" s="1068"/>
      <c r="AL263" s="1068"/>
      <c r="AM263" s="928"/>
      <c r="AN263" s="1043"/>
      <c r="AO263" s="1041"/>
    </row>
    <row r="264" spans="1:41" ht="12" customHeight="1" x14ac:dyDescent="0.2">
      <c r="A264" s="928"/>
      <c r="B264" s="1443"/>
      <c r="C264" s="928"/>
      <c r="D264" s="1093"/>
      <c r="E264" s="1070"/>
      <c r="F264" s="1070"/>
      <c r="G264" s="1070"/>
      <c r="H264" s="1070"/>
      <c r="I264" s="1075"/>
      <c r="J264" s="1078"/>
      <c r="K264" s="1055"/>
      <c r="L264" s="1093"/>
      <c r="M264" s="1070"/>
      <c r="N264" s="1070"/>
      <c r="O264" s="1070"/>
      <c r="P264" s="1070"/>
      <c r="Q264" s="1075"/>
      <c r="R264" s="1078"/>
      <c r="S264" s="928"/>
      <c r="T264" s="928"/>
      <c r="U264" s="930"/>
      <c r="V264" s="1443"/>
      <c r="W264" s="930"/>
      <c r="X264" s="1083"/>
      <c r="Y264" s="1064"/>
      <c r="Z264" s="1066"/>
      <c r="AA264" s="1066"/>
      <c r="AB264" s="1066"/>
      <c r="AC264" s="977"/>
      <c r="AD264" s="1065"/>
      <c r="AE264" s="1060"/>
      <c r="AF264" s="1083"/>
      <c r="AG264" s="1064"/>
      <c r="AH264" s="1064"/>
      <c r="AI264" s="1064"/>
      <c r="AJ264" s="1064"/>
      <c r="AK264" s="977"/>
      <c r="AL264" s="1065"/>
      <c r="AM264" s="928"/>
      <c r="AN264" s="1043"/>
      <c r="AO264" s="1041"/>
    </row>
    <row r="265" spans="1:41" ht="12" customHeight="1" x14ac:dyDescent="0.2">
      <c r="A265" s="928"/>
      <c r="B265" s="1443"/>
      <c r="C265" s="928"/>
      <c r="D265" s="928"/>
      <c r="E265" s="928"/>
      <c r="F265" s="928"/>
      <c r="G265" s="928"/>
      <c r="H265" s="928"/>
      <c r="I265" s="928"/>
      <c r="J265" s="928"/>
      <c r="K265" s="928"/>
      <c r="L265" s="928"/>
      <c r="M265" s="928"/>
      <c r="N265" s="928"/>
      <c r="O265" s="928"/>
      <c r="P265" s="928"/>
      <c r="Q265" s="928"/>
      <c r="R265" s="928"/>
      <c r="S265" s="1070"/>
      <c r="T265" s="928"/>
      <c r="U265" s="930"/>
      <c r="V265" s="1443"/>
      <c r="W265" s="930"/>
      <c r="X265" s="930"/>
      <c r="Y265" s="930"/>
      <c r="Z265" s="930"/>
      <c r="AA265" s="930"/>
      <c r="AB265" s="930"/>
      <c r="AC265" s="930"/>
      <c r="AD265" s="930"/>
      <c r="AE265" s="930"/>
      <c r="AF265" s="930"/>
      <c r="AG265" s="930"/>
      <c r="AH265" s="930"/>
      <c r="AI265" s="930"/>
      <c r="AJ265" s="930"/>
      <c r="AK265" s="930"/>
      <c r="AL265" s="930"/>
      <c r="AM265" s="1070"/>
      <c r="AN265" s="1043"/>
      <c r="AO265" s="1041"/>
    </row>
    <row r="266" spans="1:41" ht="12" customHeight="1" x14ac:dyDescent="0.2">
      <c r="S266" s="1070"/>
      <c r="T266" s="928"/>
      <c r="U266" s="930"/>
      <c r="V266" s="1443"/>
      <c r="W266" s="930"/>
      <c r="X266" s="930"/>
      <c r="Y266" s="930"/>
      <c r="Z266" s="930"/>
      <c r="AA266" s="930"/>
      <c r="AB266" s="930"/>
      <c r="AC266" s="930"/>
      <c r="AD266" s="930"/>
      <c r="AE266" s="930"/>
      <c r="AF266" s="930"/>
      <c r="AG266" s="930"/>
      <c r="AH266" s="930"/>
      <c r="AI266" s="930"/>
      <c r="AJ266" s="930"/>
      <c r="AK266" s="930"/>
      <c r="AL266" s="930"/>
      <c r="AM266" s="1070"/>
      <c r="AN266" s="1043"/>
      <c r="AO266" s="1041"/>
    </row>
    <row r="267" spans="1:41" ht="12" customHeight="1" x14ac:dyDescent="0.2">
      <c r="S267" s="928"/>
      <c r="T267" s="928"/>
      <c r="U267" s="930"/>
      <c r="V267" s="1443"/>
      <c r="W267" s="930"/>
      <c r="X267" s="930"/>
      <c r="Y267" s="930"/>
      <c r="Z267" s="930"/>
      <c r="AA267" s="930"/>
      <c r="AB267" s="930"/>
      <c r="AC267" s="930"/>
      <c r="AD267" s="930"/>
      <c r="AE267" s="930"/>
      <c r="AF267" s="930"/>
      <c r="AG267" s="930"/>
      <c r="AH267" s="930"/>
      <c r="AI267" s="930"/>
      <c r="AJ267" s="930"/>
      <c r="AK267" s="930"/>
      <c r="AL267" s="930"/>
      <c r="AM267" s="928"/>
      <c r="AN267" s="1043"/>
      <c r="AO267" s="1041"/>
    </row>
    <row r="268" spans="1:41" ht="12" customHeight="1" x14ac:dyDescent="0.2">
      <c r="S268" s="928"/>
      <c r="T268" s="928"/>
      <c r="U268" s="930"/>
      <c r="V268" s="1443"/>
      <c r="W268" s="930"/>
      <c r="X268" s="930"/>
      <c r="Y268" s="930"/>
      <c r="Z268" s="930"/>
      <c r="AA268" s="930"/>
      <c r="AB268" s="930"/>
      <c r="AC268" s="930"/>
      <c r="AD268" s="930"/>
      <c r="AE268" s="930"/>
      <c r="AF268" s="930"/>
      <c r="AG268" s="930"/>
      <c r="AH268" s="930"/>
      <c r="AI268" s="930"/>
      <c r="AJ268" s="930"/>
      <c r="AK268" s="930"/>
      <c r="AL268" s="930"/>
      <c r="AM268" s="928"/>
      <c r="AN268" s="1043"/>
      <c r="AO268" s="1041"/>
    </row>
    <row r="269" spans="1:41" ht="12" customHeight="1" x14ac:dyDescent="0.2">
      <c r="S269" s="928"/>
      <c r="T269" s="928"/>
      <c r="U269" s="930"/>
      <c r="V269" s="1443"/>
      <c r="W269" s="930"/>
      <c r="X269" s="1044"/>
      <c r="Y269" s="1044"/>
      <c r="Z269" s="1044"/>
      <c r="AA269" s="1044"/>
      <c r="AB269" s="1044"/>
      <c r="AC269" s="1044"/>
      <c r="AD269" s="1044"/>
      <c r="AE269" s="1044"/>
      <c r="AF269" s="1044"/>
      <c r="AG269" s="1044"/>
      <c r="AH269" s="1044"/>
      <c r="AI269" s="1044"/>
      <c r="AJ269" s="1044"/>
      <c r="AK269" s="1044"/>
      <c r="AL269" s="1044"/>
      <c r="AM269" s="928"/>
      <c r="AN269" s="1043"/>
      <c r="AO269" s="1041"/>
    </row>
    <row r="270" spans="1:41" ht="12" customHeight="1" x14ac:dyDescent="0.2">
      <c r="S270" s="928"/>
      <c r="T270" s="928"/>
      <c r="U270" s="930"/>
      <c r="V270" s="1443"/>
      <c r="W270" s="930"/>
      <c r="X270" s="1044"/>
      <c r="Y270" s="1044"/>
      <c r="Z270" s="1044"/>
      <c r="AA270" s="1044"/>
      <c r="AB270" s="1044"/>
      <c r="AC270" s="1044"/>
      <c r="AD270" s="1044"/>
      <c r="AE270" s="1045"/>
      <c r="AF270" s="1046"/>
      <c r="AG270" s="1046"/>
      <c r="AH270" s="1046"/>
      <c r="AI270" s="1046"/>
      <c r="AJ270" s="1046"/>
      <c r="AK270" s="1046"/>
      <c r="AL270" s="1047"/>
      <c r="AM270" s="928"/>
      <c r="AN270" s="1043"/>
      <c r="AO270" s="1041"/>
    </row>
    <row r="271" spans="1:41" ht="12" customHeight="1" x14ac:dyDescent="0.2">
      <c r="S271" s="928"/>
      <c r="T271" s="928"/>
      <c r="U271" s="930"/>
      <c r="V271" s="1443"/>
      <c r="W271" s="930"/>
      <c r="X271" s="1044"/>
      <c r="Y271" s="1044"/>
      <c r="Z271" s="1044"/>
      <c r="AA271" s="1044"/>
      <c r="AB271" s="1044"/>
      <c r="AC271" s="1044"/>
      <c r="AD271" s="1044"/>
      <c r="AE271" s="1046"/>
      <c r="AF271" s="1046"/>
      <c r="AG271" s="1046"/>
      <c r="AH271" s="1046"/>
      <c r="AI271" s="1046"/>
      <c r="AJ271" s="1046"/>
      <c r="AK271" s="1046"/>
      <c r="AL271" s="1044"/>
      <c r="AM271" s="928"/>
      <c r="AN271" s="1043"/>
      <c r="AO271" s="1041"/>
    </row>
    <row r="272" spans="1:41" ht="12" customHeight="1" x14ac:dyDescent="0.2">
      <c r="S272" s="928"/>
      <c r="T272" s="928"/>
      <c r="U272" s="930"/>
      <c r="V272" s="1443"/>
      <c r="W272" s="930"/>
      <c r="X272" s="1044"/>
      <c r="Y272" s="1044"/>
      <c r="Z272" s="1044"/>
      <c r="AA272" s="1044"/>
      <c r="AB272" s="1044"/>
      <c r="AC272" s="1044"/>
      <c r="AD272" s="1044"/>
      <c r="AE272" s="1045"/>
      <c r="AF272" s="1046"/>
      <c r="AG272" s="1046"/>
      <c r="AH272" s="1046"/>
      <c r="AI272" s="1046"/>
      <c r="AJ272" s="1046"/>
      <c r="AK272" s="1046"/>
      <c r="AL272" s="1044"/>
      <c r="AM272" s="928"/>
      <c r="AN272" s="1043"/>
      <c r="AO272" s="1041"/>
    </row>
    <row r="273" spans="1:41" ht="12" customHeight="1" x14ac:dyDescent="0.2">
      <c r="S273" s="928"/>
      <c r="T273" s="928"/>
      <c r="U273" s="930"/>
      <c r="V273" s="1443"/>
      <c r="W273" s="930"/>
      <c r="X273" s="1044"/>
      <c r="Y273" s="1044"/>
      <c r="Z273" s="1044"/>
      <c r="AA273" s="1044"/>
      <c r="AB273" s="1044"/>
      <c r="AC273" s="1044"/>
      <c r="AD273" s="1044"/>
      <c r="AE273" s="1046"/>
      <c r="AF273" s="1046"/>
      <c r="AG273" s="1046"/>
      <c r="AH273" s="1046"/>
      <c r="AI273" s="1046"/>
      <c r="AJ273" s="1046"/>
      <c r="AK273" s="1046"/>
      <c r="AL273" s="1044"/>
      <c r="AM273" s="928"/>
      <c r="AN273" s="1043"/>
      <c r="AO273" s="1041"/>
    </row>
    <row r="274" spans="1:41" ht="12" customHeight="1" x14ac:dyDescent="0.2">
      <c r="S274" s="928"/>
      <c r="T274" s="928"/>
      <c r="U274" s="930"/>
      <c r="V274" s="1443"/>
      <c r="W274" s="930"/>
      <c r="X274" s="1044"/>
      <c r="Y274" s="1044"/>
      <c r="Z274" s="1044"/>
      <c r="AA274" s="1044"/>
      <c r="AB274" s="1044"/>
      <c r="AC274" s="1044"/>
      <c r="AD274" s="1044"/>
      <c r="AE274" s="1044"/>
      <c r="AF274" s="1044"/>
      <c r="AG274" s="1044"/>
      <c r="AH274" s="1044"/>
      <c r="AI274" s="1044"/>
      <c r="AJ274" s="1044"/>
      <c r="AK274" s="1044"/>
      <c r="AL274" s="1044"/>
      <c r="AM274" s="928"/>
      <c r="AN274" s="1043"/>
      <c r="AO274" s="1041"/>
    </row>
    <row r="275" spans="1:41" ht="12" customHeight="1" x14ac:dyDescent="0.2">
      <c r="S275" s="928"/>
      <c r="T275" s="928"/>
      <c r="U275" s="930"/>
      <c r="V275" s="1443"/>
      <c r="W275" s="930"/>
      <c r="X275" s="930"/>
      <c r="Y275" s="930"/>
      <c r="Z275" s="930"/>
      <c r="AA275" s="930"/>
      <c r="AB275" s="930"/>
      <c r="AC275" s="930"/>
      <c r="AD275" s="930"/>
      <c r="AE275" s="930"/>
      <c r="AF275" s="930"/>
      <c r="AG275" s="930"/>
      <c r="AH275" s="930"/>
      <c r="AI275" s="930"/>
      <c r="AJ275" s="930"/>
      <c r="AK275" s="930"/>
      <c r="AL275" s="930"/>
      <c r="AM275" s="928"/>
      <c r="AN275" s="1043"/>
      <c r="AO275" s="1041"/>
    </row>
    <row r="276" spans="1:41" ht="12" customHeight="1" x14ac:dyDescent="0.2">
      <c r="A276" s="928"/>
      <c r="B276" s="1443"/>
      <c r="C276" s="928"/>
      <c r="D276" s="1089"/>
      <c r="E276" s="1089"/>
      <c r="F276" s="1055"/>
      <c r="G276" s="1055"/>
      <c r="H276" s="1055"/>
      <c r="I276" s="1055"/>
      <c r="J276" s="1080"/>
      <c r="K276" s="928"/>
      <c r="L276" s="1089"/>
      <c r="M276" s="1089"/>
      <c r="N276" s="1055"/>
      <c r="O276" s="1055"/>
      <c r="P276" s="1055"/>
      <c r="Q276" s="1055"/>
      <c r="R276" s="1080"/>
      <c r="S276" s="928"/>
      <c r="T276" s="928"/>
      <c r="U276" s="930"/>
      <c r="V276" s="1443"/>
      <c r="W276" s="930"/>
      <c r="X276" s="1048"/>
      <c r="Y276" s="1048"/>
      <c r="Z276" s="1049"/>
      <c r="AA276" s="1049"/>
      <c r="AB276" s="1049"/>
      <c r="AC276" s="1049"/>
      <c r="AD276" s="1050"/>
      <c r="AE276" s="930"/>
      <c r="AF276" s="1048"/>
      <c r="AG276" s="1048"/>
      <c r="AH276" s="1049"/>
      <c r="AI276" s="1049"/>
      <c r="AJ276" s="1049"/>
      <c r="AK276" s="1049"/>
      <c r="AL276" s="1050"/>
      <c r="AM276" s="928"/>
      <c r="AN276" s="1043"/>
      <c r="AO276" s="1041"/>
    </row>
    <row r="277" spans="1:41" ht="12" customHeight="1" x14ac:dyDescent="0.2">
      <c r="A277" s="928"/>
      <c r="B277" s="1443"/>
      <c r="C277" s="928"/>
      <c r="D277" s="1090"/>
      <c r="E277" s="1090"/>
      <c r="F277" s="1055"/>
      <c r="G277" s="1055"/>
      <c r="H277" s="1055"/>
      <c r="I277" s="1055"/>
      <c r="J277" s="1057"/>
      <c r="K277" s="1058"/>
      <c r="L277" s="1090"/>
      <c r="M277" s="1090"/>
      <c r="N277" s="1055"/>
      <c r="O277" s="1055"/>
      <c r="P277" s="1055"/>
      <c r="Q277" s="1055"/>
      <c r="R277" s="1057"/>
      <c r="S277" s="928"/>
      <c r="T277" s="928"/>
      <c r="U277" s="930"/>
      <c r="V277" s="1443"/>
      <c r="W277" s="930"/>
      <c r="X277" s="1051"/>
      <c r="Y277" s="1051"/>
      <c r="Z277" s="1049"/>
      <c r="AA277" s="1049"/>
      <c r="AB277" s="1049"/>
      <c r="AC277" s="1049"/>
      <c r="AD277" s="1052"/>
      <c r="AE277" s="1053"/>
      <c r="AF277" s="1051"/>
      <c r="AG277" s="1051"/>
      <c r="AH277" s="1049"/>
      <c r="AI277" s="1049"/>
      <c r="AJ277" s="1049"/>
      <c r="AK277" s="1049"/>
      <c r="AL277" s="1052"/>
      <c r="AM277" s="928"/>
      <c r="AN277" s="1043"/>
      <c r="AO277" s="1041"/>
    </row>
    <row r="278" spans="1:41" ht="12" customHeight="1" x14ac:dyDescent="0.2">
      <c r="A278" s="928"/>
      <c r="B278" s="1443"/>
      <c r="C278" s="928"/>
      <c r="D278" s="1054"/>
      <c r="E278" s="1054"/>
      <c r="F278" s="1055"/>
      <c r="G278" s="1055"/>
      <c r="H278" s="1055"/>
      <c r="I278" s="1056"/>
      <c r="J278" s="1057"/>
      <c r="K278" s="1058"/>
      <c r="L278" s="1054"/>
      <c r="M278" s="1054"/>
      <c r="N278" s="1055"/>
      <c r="O278" s="1055"/>
      <c r="P278" s="1055"/>
      <c r="Q278" s="1056"/>
      <c r="R278" s="1057"/>
      <c r="S278" s="928"/>
      <c r="T278" s="928"/>
      <c r="U278" s="930"/>
      <c r="V278" s="1443"/>
      <c r="W278" s="930"/>
      <c r="X278" s="1059"/>
      <c r="Y278" s="1059"/>
      <c r="Z278" s="1060"/>
      <c r="AA278" s="1060"/>
      <c r="AB278" s="1060"/>
      <c r="AC278" s="1061"/>
      <c r="AD278" s="1052"/>
      <c r="AE278" s="1053"/>
      <c r="AF278" s="1059"/>
      <c r="AG278" s="1059"/>
      <c r="AH278" s="1060"/>
      <c r="AI278" s="1060"/>
      <c r="AJ278" s="1060"/>
      <c r="AK278" s="1061"/>
      <c r="AL278" s="1052"/>
      <c r="AM278" s="928"/>
      <c r="AN278" s="1043"/>
      <c r="AO278" s="1041"/>
    </row>
    <row r="279" spans="1:41" ht="12" customHeight="1" x14ac:dyDescent="0.2">
      <c r="A279" s="928"/>
      <c r="B279" s="1443"/>
      <c r="C279" s="928"/>
      <c r="D279" s="928"/>
      <c r="E279" s="1076"/>
      <c r="F279" s="1076"/>
      <c r="G279" s="1076"/>
      <c r="H279" s="1076"/>
      <c r="I279" s="1076"/>
      <c r="J279" s="1076"/>
      <c r="K279" s="1058"/>
      <c r="L279" s="928"/>
      <c r="M279" s="1076"/>
      <c r="N279" s="1076"/>
      <c r="O279" s="1076"/>
      <c r="P279" s="1076"/>
      <c r="Q279" s="1076"/>
      <c r="R279" s="1076"/>
      <c r="S279" s="928"/>
      <c r="T279" s="928"/>
      <c r="U279" s="930"/>
      <c r="V279" s="1443"/>
      <c r="W279" s="930"/>
      <c r="X279" s="930"/>
      <c r="Y279" s="1062"/>
      <c r="Z279" s="1062"/>
      <c r="AA279" s="1062"/>
      <c r="AB279" s="1062"/>
      <c r="AC279" s="1062"/>
      <c r="AD279" s="1062"/>
      <c r="AE279" s="1053"/>
      <c r="AF279" s="930"/>
      <c r="AG279" s="1062"/>
      <c r="AH279" s="1062"/>
      <c r="AI279" s="1062"/>
      <c r="AJ279" s="1062"/>
      <c r="AK279" s="1062"/>
      <c r="AL279" s="1062"/>
      <c r="AM279" s="928"/>
      <c r="AN279" s="1043"/>
      <c r="AO279" s="1041"/>
    </row>
    <row r="280" spans="1:41" ht="12" customHeight="1" x14ac:dyDescent="0.2">
      <c r="A280" s="928"/>
      <c r="B280" s="1443"/>
      <c r="C280" s="928"/>
      <c r="D280" s="1054"/>
      <c r="E280" s="1077"/>
      <c r="F280" s="1077"/>
      <c r="G280" s="1077"/>
      <c r="H280" s="1077"/>
      <c r="I280" s="1077"/>
      <c r="J280" s="1077"/>
      <c r="K280" s="1070"/>
      <c r="L280" s="1054"/>
      <c r="M280" s="1077"/>
      <c r="N280" s="1077"/>
      <c r="O280" s="1077"/>
      <c r="P280" s="1077"/>
      <c r="Q280" s="1077"/>
      <c r="R280" s="1077"/>
      <c r="S280" s="928"/>
      <c r="T280" s="928"/>
      <c r="U280" s="930"/>
      <c r="V280" s="1443"/>
      <c r="W280" s="930"/>
      <c r="X280" s="1059"/>
      <c r="Y280" s="1063"/>
      <c r="Z280" s="1063"/>
      <c r="AA280" s="1063"/>
      <c r="AB280" s="1063"/>
      <c r="AC280" s="1063"/>
      <c r="AD280" s="1063"/>
      <c r="AE280" s="1064"/>
      <c r="AF280" s="1059"/>
      <c r="AG280" s="1063"/>
      <c r="AH280" s="1063"/>
      <c r="AI280" s="1063"/>
      <c r="AJ280" s="1063"/>
      <c r="AK280" s="1063"/>
      <c r="AL280" s="1063"/>
      <c r="AM280" s="928"/>
      <c r="AN280" s="1043"/>
      <c r="AO280" s="1041"/>
    </row>
    <row r="281" spans="1:41" ht="12" customHeight="1" x14ac:dyDescent="0.2">
      <c r="A281" s="928"/>
      <c r="B281" s="1443"/>
      <c r="C281" s="928"/>
      <c r="D281" s="1054"/>
      <c r="E281" s="1077"/>
      <c r="F281" s="1077"/>
      <c r="G281" s="1077"/>
      <c r="H281" s="1077"/>
      <c r="I281" s="1077"/>
      <c r="J281" s="1077"/>
      <c r="K281" s="1075"/>
      <c r="L281" s="1054"/>
      <c r="M281" s="1077"/>
      <c r="N281" s="1077"/>
      <c r="O281" s="1077"/>
      <c r="P281" s="1077"/>
      <c r="Q281" s="1077"/>
      <c r="R281" s="1077"/>
      <c r="S281" s="928"/>
      <c r="T281" s="928"/>
      <c r="U281" s="930"/>
      <c r="V281" s="1443"/>
      <c r="W281" s="930"/>
      <c r="X281" s="1059"/>
      <c r="Y281" s="1063"/>
      <c r="Z281" s="1063"/>
      <c r="AA281" s="1063"/>
      <c r="AB281" s="1063"/>
      <c r="AC281" s="1063"/>
      <c r="AD281" s="1063"/>
      <c r="AE281" s="977"/>
      <c r="AF281" s="1059"/>
      <c r="AG281" s="1063"/>
      <c r="AH281" s="1063"/>
      <c r="AI281" s="1063"/>
      <c r="AJ281" s="1063"/>
      <c r="AK281" s="1063"/>
      <c r="AL281" s="1063"/>
      <c r="AM281" s="928"/>
      <c r="AN281" s="1043"/>
      <c r="AO281" s="1041"/>
    </row>
    <row r="282" spans="1:41" ht="12" customHeight="1" x14ac:dyDescent="0.2">
      <c r="A282" s="928"/>
      <c r="B282" s="1443"/>
      <c r="C282" s="928"/>
      <c r="D282" s="1075"/>
      <c r="E282" s="1078"/>
      <c r="F282" s="1078"/>
      <c r="G282" s="1078"/>
      <c r="H282" s="1078"/>
      <c r="I282" s="1078"/>
      <c r="J282" s="1078"/>
      <c r="K282" s="1070"/>
      <c r="L282" s="1075"/>
      <c r="M282" s="1078"/>
      <c r="N282" s="1078"/>
      <c r="O282" s="1078"/>
      <c r="P282" s="1078"/>
      <c r="Q282" s="1078"/>
      <c r="R282" s="1078"/>
      <c r="S282" s="928"/>
      <c r="T282" s="928"/>
      <c r="U282" s="930"/>
      <c r="V282" s="1443"/>
      <c r="W282" s="930"/>
      <c r="X282" s="977"/>
      <c r="Y282" s="1065"/>
      <c r="Z282" s="1065"/>
      <c r="AA282" s="1065"/>
      <c r="AB282" s="1065"/>
      <c r="AC282" s="1065"/>
      <c r="AD282" s="1065"/>
      <c r="AE282" s="1066"/>
      <c r="AF282" s="977"/>
      <c r="AG282" s="1065"/>
      <c r="AH282" s="1065"/>
      <c r="AI282" s="1065"/>
      <c r="AJ282" s="1065"/>
      <c r="AK282" s="1065"/>
      <c r="AL282" s="1065"/>
      <c r="AM282" s="928"/>
      <c r="AN282" s="1043"/>
      <c r="AO282" s="1041"/>
    </row>
    <row r="283" spans="1:41" ht="12" customHeight="1" x14ac:dyDescent="0.2">
      <c r="A283" s="928"/>
      <c r="B283" s="1443"/>
      <c r="C283" s="928"/>
      <c r="D283" s="1086"/>
      <c r="E283" s="1079"/>
      <c r="F283" s="1079"/>
      <c r="G283" s="1079"/>
      <c r="H283" s="1079"/>
      <c r="I283" s="1079"/>
      <c r="J283" s="1079"/>
      <c r="K283" s="1070"/>
      <c r="L283" s="1086"/>
      <c r="M283" s="1079"/>
      <c r="N283" s="1079"/>
      <c r="O283" s="1079"/>
      <c r="P283" s="1079"/>
      <c r="Q283" s="1079"/>
      <c r="R283" s="1079"/>
      <c r="S283" s="928"/>
      <c r="T283" s="928"/>
      <c r="U283" s="930"/>
      <c r="V283" s="1443"/>
      <c r="W283" s="930"/>
      <c r="X283" s="1067"/>
      <c r="Y283" s="1068"/>
      <c r="Z283" s="1068"/>
      <c r="AA283" s="1068"/>
      <c r="AB283" s="1068"/>
      <c r="AC283" s="1068"/>
      <c r="AD283" s="1068"/>
      <c r="AE283" s="1066"/>
      <c r="AF283" s="1067"/>
      <c r="AG283" s="1068"/>
      <c r="AH283" s="1068"/>
      <c r="AI283" s="1068"/>
      <c r="AJ283" s="1068"/>
      <c r="AK283" s="1068"/>
      <c r="AL283" s="1068"/>
      <c r="AM283" s="928"/>
      <c r="AN283" s="1043"/>
      <c r="AO283" s="1041"/>
    </row>
    <row r="284" spans="1:41" ht="12" customHeight="1" x14ac:dyDescent="0.2">
      <c r="A284" s="928"/>
      <c r="B284" s="1443"/>
      <c r="C284" s="928"/>
      <c r="D284" s="1084"/>
      <c r="E284" s="1079"/>
      <c r="F284" s="1079"/>
      <c r="G284" s="1079"/>
      <c r="H284" s="1079"/>
      <c r="I284" s="1079"/>
      <c r="J284" s="1079"/>
      <c r="K284" s="1070"/>
      <c r="L284" s="1084"/>
      <c r="M284" s="1079"/>
      <c r="N284" s="1079"/>
      <c r="O284" s="1079"/>
      <c r="P284" s="1079"/>
      <c r="Q284" s="1079"/>
      <c r="R284" s="1079"/>
      <c r="S284" s="928"/>
      <c r="T284" s="928"/>
      <c r="U284" s="930"/>
      <c r="V284" s="1443"/>
      <c r="W284" s="930"/>
      <c r="X284" s="1044"/>
      <c r="Y284" s="1068"/>
      <c r="Z284" s="1068"/>
      <c r="AA284" s="1068"/>
      <c r="AB284" s="1068"/>
      <c r="AC284" s="1068"/>
      <c r="AD284" s="1068"/>
      <c r="AE284" s="1066"/>
      <c r="AF284" s="1044"/>
      <c r="AG284" s="1068"/>
      <c r="AH284" s="1068"/>
      <c r="AI284" s="1068"/>
      <c r="AJ284" s="1068"/>
      <c r="AK284" s="1068"/>
      <c r="AL284" s="1068"/>
      <c r="AM284" s="928"/>
      <c r="AN284" s="1043"/>
      <c r="AO284" s="1041"/>
    </row>
    <row r="285" spans="1:41" ht="12" customHeight="1" x14ac:dyDescent="0.2">
      <c r="A285" s="928"/>
      <c r="B285" s="1443"/>
      <c r="C285" s="928"/>
      <c r="D285" s="1084"/>
      <c r="E285" s="1079"/>
      <c r="F285" s="1079"/>
      <c r="G285" s="1079"/>
      <c r="H285" s="1079"/>
      <c r="I285" s="1079"/>
      <c r="J285" s="1079"/>
      <c r="K285" s="1070"/>
      <c r="L285" s="1084"/>
      <c r="M285" s="1079"/>
      <c r="N285" s="1079"/>
      <c r="O285" s="1079"/>
      <c r="P285" s="1079"/>
      <c r="Q285" s="1079"/>
      <c r="R285" s="1079"/>
      <c r="S285" s="928"/>
      <c r="T285" s="928"/>
      <c r="U285" s="930"/>
      <c r="V285" s="1443"/>
      <c r="W285" s="930"/>
      <c r="X285" s="1044"/>
      <c r="Y285" s="1068"/>
      <c r="Z285" s="1068"/>
      <c r="AA285" s="1068"/>
      <c r="AB285" s="1068"/>
      <c r="AC285" s="1068"/>
      <c r="AD285" s="1068"/>
      <c r="AE285" s="1066"/>
      <c r="AF285" s="1044"/>
      <c r="AG285" s="1068"/>
      <c r="AH285" s="1068"/>
      <c r="AI285" s="1068"/>
      <c r="AJ285" s="1068"/>
      <c r="AK285" s="1068"/>
      <c r="AL285" s="1068"/>
      <c r="AM285" s="928"/>
      <c r="AN285" s="1043"/>
      <c r="AO285" s="1041"/>
    </row>
    <row r="286" spans="1:41" ht="12" customHeight="1" x14ac:dyDescent="0.2">
      <c r="A286" s="928"/>
      <c r="B286" s="1443"/>
      <c r="C286" s="928"/>
      <c r="D286" s="1084"/>
      <c r="E286" s="1084"/>
      <c r="F286" s="1084"/>
      <c r="G286" s="1084"/>
      <c r="H286" s="1084"/>
      <c r="I286" s="1084"/>
      <c r="J286" s="1084"/>
      <c r="K286" s="1070"/>
      <c r="L286" s="1070"/>
      <c r="M286" s="1070"/>
      <c r="N286" s="1087"/>
      <c r="O286" s="1070"/>
      <c r="P286" s="1070"/>
      <c r="Q286" s="1070"/>
      <c r="R286" s="1070"/>
      <c r="S286" s="928"/>
      <c r="T286" s="928"/>
      <c r="U286" s="930"/>
      <c r="V286" s="1443"/>
      <c r="W286" s="930"/>
      <c r="X286" s="1044"/>
      <c r="Y286" s="1044"/>
      <c r="Z286" s="1044"/>
      <c r="AA286" s="1044"/>
      <c r="AB286" s="1044"/>
      <c r="AC286" s="1044"/>
      <c r="AD286" s="1044"/>
      <c r="AE286" s="1066"/>
      <c r="AF286" s="1066"/>
      <c r="AG286" s="1064"/>
      <c r="AH286" s="1069"/>
      <c r="AI286" s="1066"/>
      <c r="AJ286" s="1066"/>
      <c r="AK286" s="1066"/>
      <c r="AL286" s="1066"/>
      <c r="AM286" s="928"/>
      <c r="AN286" s="1043"/>
      <c r="AO286" s="1041"/>
    </row>
    <row r="287" spans="1:41" ht="12" customHeight="1" x14ac:dyDescent="0.2">
      <c r="A287" s="928"/>
      <c r="B287" s="1443"/>
      <c r="C287" s="928"/>
      <c r="D287" s="1089"/>
      <c r="E287" s="1089"/>
      <c r="F287" s="1055"/>
      <c r="G287" s="1055"/>
      <c r="H287" s="1055"/>
      <c r="I287" s="1055"/>
      <c r="J287" s="1080"/>
      <c r="K287" s="1070"/>
      <c r="L287" s="1089"/>
      <c r="M287" s="1089"/>
      <c r="N287" s="1055"/>
      <c r="O287" s="1055"/>
      <c r="P287" s="1055"/>
      <c r="Q287" s="1055"/>
      <c r="R287" s="1080"/>
      <c r="S287" s="928"/>
      <c r="T287" s="928"/>
      <c r="U287" s="930"/>
      <c r="V287" s="1443"/>
      <c r="W287" s="930"/>
      <c r="X287" s="1048"/>
      <c r="Y287" s="1048"/>
      <c r="Z287" s="1049"/>
      <c r="AA287" s="1049"/>
      <c r="AB287" s="1049"/>
      <c r="AC287" s="1049"/>
      <c r="AD287" s="1050"/>
      <c r="AE287" s="1066"/>
      <c r="AF287" s="1048"/>
      <c r="AG287" s="1048"/>
      <c r="AH287" s="1049"/>
      <c r="AI287" s="1049"/>
      <c r="AJ287" s="1049"/>
      <c r="AK287" s="1049"/>
      <c r="AL287" s="1050"/>
      <c r="AM287" s="928"/>
      <c r="AN287" s="1043"/>
      <c r="AO287" s="1041"/>
    </row>
    <row r="288" spans="1:41" ht="12" customHeight="1" x14ac:dyDescent="0.2">
      <c r="A288" s="928"/>
      <c r="B288" s="1443"/>
      <c r="C288" s="928"/>
      <c r="D288" s="1090"/>
      <c r="E288" s="1090"/>
      <c r="F288" s="1055"/>
      <c r="G288" s="1055"/>
      <c r="H288" s="1055"/>
      <c r="I288" s="1055"/>
      <c r="J288" s="1057"/>
      <c r="K288" s="1070"/>
      <c r="L288" s="1090"/>
      <c r="M288" s="1090"/>
      <c r="N288" s="1055"/>
      <c r="O288" s="1055"/>
      <c r="P288" s="1055"/>
      <c r="Q288" s="1055"/>
      <c r="R288" s="1057"/>
      <c r="S288" s="928"/>
      <c r="T288" s="928"/>
      <c r="U288" s="930"/>
      <c r="V288" s="1443"/>
      <c r="W288" s="930"/>
      <c r="X288" s="1051"/>
      <c r="Y288" s="1051"/>
      <c r="Z288" s="1049"/>
      <c r="AA288" s="1049"/>
      <c r="AB288" s="1049"/>
      <c r="AC288" s="1049"/>
      <c r="AD288" s="1052"/>
      <c r="AE288" s="1066"/>
      <c r="AF288" s="1051"/>
      <c r="AG288" s="1051"/>
      <c r="AH288" s="1049"/>
      <c r="AI288" s="1049"/>
      <c r="AJ288" s="1049"/>
      <c r="AK288" s="1049"/>
      <c r="AL288" s="1052"/>
      <c r="AM288" s="928"/>
      <c r="AN288" s="1043"/>
      <c r="AO288" s="1041"/>
    </row>
    <row r="289" spans="1:41" ht="12" customHeight="1" x14ac:dyDescent="0.2">
      <c r="A289" s="928"/>
      <c r="B289" s="1443"/>
      <c r="C289" s="928"/>
      <c r="D289" s="1054"/>
      <c r="E289" s="1054"/>
      <c r="F289" s="1055"/>
      <c r="G289" s="1055"/>
      <c r="H289" s="1055"/>
      <c r="I289" s="1056"/>
      <c r="J289" s="1057"/>
      <c r="K289" s="1070"/>
      <c r="L289" s="1054"/>
      <c r="M289" s="1054"/>
      <c r="N289" s="1055"/>
      <c r="O289" s="1055"/>
      <c r="P289" s="1055"/>
      <c r="Q289" s="1056"/>
      <c r="R289" s="1057"/>
      <c r="S289" s="928"/>
      <c r="T289" s="928"/>
      <c r="U289" s="930"/>
      <c r="V289" s="1443"/>
      <c r="W289" s="930"/>
      <c r="X289" s="1059"/>
      <c r="Y289" s="1059"/>
      <c r="Z289" s="1060"/>
      <c r="AA289" s="1060"/>
      <c r="AB289" s="1060"/>
      <c r="AC289" s="1061"/>
      <c r="AD289" s="1052"/>
      <c r="AE289" s="1066"/>
      <c r="AF289" s="1059"/>
      <c r="AG289" s="1059"/>
      <c r="AH289" s="1060"/>
      <c r="AI289" s="1060"/>
      <c r="AJ289" s="1060"/>
      <c r="AK289" s="1061"/>
      <c r="AL289" s="1052"/>
      <c r="AM289" s="928"/>
      <c r="AN289" s="1043"/>
      <c r="AO289" s="1041"/>
    </row>
    <row r="290" spans="1:41" ht="12" customHeight="1" x14ac:dyDescent="0.2">
      <c r="A290" s="928"/>
      <c r="B290" s="1443"/>
      <c r="C290" s="928"/>
      <c r="D290" s="928"/>
      <c r="E290" s="1076"/>
      <c r="F290" s="1076"/>
      <c r="G290" s="1076"/>
      <c r="H290" s="1076"/>
      <c r="I290" s="1076"/>
      <c r="J290" s="1076"/>
      <c r="K290" s="1070"/>
      <c r="L290" s="928"/>
      <c r="M290" s="1076"/>
      <c r="N290" s="1076"/>
      <c r="O290" s="1076"/>
      <c r="P290" s="1076"/>
      <c r="Q290" s="1076"/>
      <c r="R290" s="1076"/>
      <c r="S290" s="928"/>
      <c r="T290" s="928"/>
      <c r="U290" s="930"/>
      <c r="V290" s="1443"/>
      <c r="W290" s="930"/>
      <c r="X290" s="930"/>
      <c r="Y290" s="1062"/>
      <c r="Z290" s="1062"/>
      <c r="AA290" s="1062"/>
      <c r="AB290" s="1062"/>
      <c r="AC290" s="1062"/>
      <c r="AD290" s="1062"/>
      <c r="AE290" s="1066"/>
      <c r="AF290" s="930"/>
      <c r="AG290" s="1062"/>
      <c r="AH290" s="1062"/>
      <c r="AI290" s="1062"/>
      <c r="AJ290" s="1062"/>
      <c r="AK290" s="1062"/>
      <c r="AL290" s="1062"/>
      <c r="AM290" s="928"/>
      <c r="AN290" s="1043"/>
      <c r="AO290" s="1041"/>
    </row>
    <row r="291" spans="1:41" ht="12" customHeight="1" x14ac:dyDescent="0.2">
      <c r="A291" s="928"/>
      <c r="B291" s="1443"/>
      <c r="C291" s="928"/>
      <c r="D291" s="1054"/>
      <c r="E291" s="1077"/>
      <c r="F291" s="1077"/>
      <c r="G291" s="1077"/>
      <c r="H291" s="1077"/>
      <c r="I291" s="1077"/>
      <c r="J291" s="1077"/>
      <c r="K291" s="1075"/>
      <c r="L291" s="1054"/>
      <c r="M291" s="1077"/>
      <c r="N291" s="1077"/>
      <c r="O291" s="1077"/>
      <c r="P291" s="1077"/>
      <c r="Q291" s="1077"/>
      <c r="R291" s="1077"/>
      <c r="S291" s="928"/>
      <c r="T291" s="928"/>
      <c r="U291" s="930"/>
      <c r="V291" s="1443"/>
      <c r="W291" s="930"/>
      <c r="X291" s="1059"/>
      <c r="Y291" s="1063"/>
      <c r="Z291" s="1063"/>
      <c r="AA291" s="1063"/>
      <c r="AB291" s="1063"/>
      <c r="AC291" s="1063"/>
      <c r="AD291" s="1063"/>
      <c r="AE291" s="1071"/>
      <c r="AF291" s="1059"/>
      <c r="AG291" s="1063"/>
      <c r="AH291" s="1063"/>
      <c r="AI291" s="1063"/>
      <c r="AJ291" s="1063"/>
      <c r="AK291" s="1063"/>
      <c r="AL291" s="1063"/>
      <c r="AM291" s="928"/>
      <c r="AN291" s="1043"/>
      <c r="AO291" s="1041"/>
    </row>
    <row r="292" spans="1:41" ht="12" customHeight="1" x14ac:dyDescent="0.2">
      <c r="A292" s="928"/>
      <c r="B292" s="1443"/>
      <c r="C292" s="928"/>
      <c r="D292" s="1054"/>
      <c r="E292" s="1077"/>
      <c r="F292" s="1077"/>
      <c r="G292" s="1077"/>
      <c r="H292" s="1077"/>
      <c r="I292" s="1077"/>
      <c r="J292" s="1077"/>
      <c r="K292" s="1075"/>
      <c r="L292" s="1054"/>
      <c r="M292" s="1077"/>
      <c r="N292" s="1077"/>
      <c r="O292" s="1077"/>
      <c r="P292" s="1077"/>
      <c r="Q292" s="1077"/>
      <c r="R292" s="1077"/>
      <c r="S292" s="928"/>
      <c r="T292" s="928"/>
      <c r="U292" s="930"/>
      <c r="V292" s="1443"/>
      <c r="W292" s="930"/>
      <c r="X292" s="1059"/>
      <c r="Y292" s="1063"/>
      <c r="Z292" s="1063"/>
      <c r="AA292" s="1063"/>
      <c r="AB292" s="1063"/>
      <c r="AC292" s="1063"/>
      <c r="AD292" s="1063"/>
      <c r="AE292" s="1071"/>
      <c r="AF292" s="1059"/>
      <c r="AG292" s="1063"/>
      <c r="AH292" s="1063"/>
      <c r="AI292" s="1063"/>
      <c r="AJ292" s="1063"/>
      <c r="AK292" s="1063"/>
      <c r="AL292" s="1063"/>
      <c r="AM292" s="928"/>
      <c r="AN292" s="1043"/>
      <c r="AO292" s="1041"/>
    </row>
    <row r="293" spans="1:41" ht="12" customHeight="1" x14ac:dyDescent="0.2">
      <c r="A293" s="928"/>
      <c r="B293" s="1443"/>
      <c r="C293" s="928"/>
      <c r="D293" s="1075"/>
      <c r="E293" s="1078"/>
      <c r="F293" s="1078"/>
      <c r="G293" s="1078"/>
      <c r="H293" s="1078"/>
      <c r="I293" s="1078"/>
      <c r="J293" s="1078"/>
      <c r="K293" s="1075"/>
      <c r="L293" s="1075"/>
      <c r="M293" s="1078"/>
      <c r="N293" s="1078"/>
      <c r="O293" s="1078"/>
      <c r="P293" s="1078"/>
      <c r="Q293" s="1078"/>
      <c r="R293" s="1078"/>
      <c r="S293" s="928"/>
      <c r="T293" s="928"/>
      <c r="U293" s="930"/>
      <c r="V293" s="1443"/>
      <c r="W293" s="930"/>
      <c r="X293" s="977"/>
      <c r="Y293" s="1065"/>
      <c r="Z293" s="1065"/>
      <c r="AA293" s="1065"/>
      <c r="AB293" s="1065"/>
      <c r="AC293" s="1065"/>
      <c r="AD293" s="1065"/>
      <c r="AE293" s="977"/>
      <c r="AF293" s="977"/>
      <c r="AG293" s="1065"/>
      <c r="AH293" s="1065"/>
      <c r="AI293" s="1065"/>
      <c r="AJ293" s="1065"/>
      <c r="AK293" s="1065"/>
      <c r="AL293" s="1065"/>
      <c r="AM293" s="928"/>
      <c r="AN293" s="1043"/>
      <c r="AO293" s="1041"/>
    </row>
    <row r="294" spans="1:41" ht="12" customHeight="1" x14ac:dyDescent="0.2">
      <c r="A294" s="928"/>
      <c r="B294" s="1443"/>
      <c r="C294" s="928"/>
      <c r="D294" s="1086"/>
      <c r="E294" s="1079"/>
      <c r="F294" s="1079"/>
      <c r="G294" s="1079"/>
      <c r="H294" s="1079"/>
      <c r="I294" s="1079"/>
      <c r="J294" s="1079"/>
      <c r="K294" s="933"/>
      <c r="L294" s="1086"/>
      <c r="M294" s="1079"/>
      <c r="N294" s="1079"/>
      <c r="O294" s="1079"/>
      <c r="P294" s="1079"/>
      <c r="Q294" s="1079"/>
      <c r="R294" s="1079"/>
      <c r="S294" s="928"/>
      <c r="T294" s="928"/>
      <c r="U294" s="930"/>
      <c r="V294" s="1443"/>
      <c r="W294" s="930"/>
      <c r="X294" s="1067"/>
      <c r="Y294" s="1068"/>
      <c r="Z294" s="1068"/>
      <c r="AA294" s="1068"/>
      <c r="AB294" s="1068"/>
      <c r="AC294" s="1068"/>
      <c r="AD294" s="1068"/>
      <c r="AE294" s="1072"/>
      <c r="AF294" s="1067"/>
      <c r="AG294" s="1068"/>
      <c r="AH294" s="1068"/>
      <c r="AI294" s="1068"/>
      <c r="AJ294" s="1068"/>
      <c r="AK294" s="1068"/>
      <c r="AL294" s="1068"/>
      <c r="AM294" s="928"/>
      <c r="AN294" s="1043"/>
      <c r="AO294" s="1041"/>
    </row>
    <row r="295" spans="1:41" ht="12" customHeight="1" x14ac:dyDescent="0.2">
      <c r="A295" s="928"/>
      <c r="B295" s="1443"/>
      <c r="C295" s="928"/>
      <c r="D295" s="1084"/>
      <c r="E295" s="1079"/>
      <c r="F295" s="1079"/>
      <c r="G295" s="1079"/>
      <c r="H295" s="1079"/>
      <c r="I295" s="1079"/>
      <c r="J295" s="1079"/>
      <c r="K295" s="1075"/>
      <c r="L295" s="1084"/>
      <c r="M295" s="1079"/>
      <c r="N295" s="1079"/>
      <c r="O295" s="1079"/>
      <c r="P295" s="1079"/>
      <c r="Q295" s="1079"/>
      <c r="R295" s="1079"/>
      <c r="S295" s="928"/>
      <c r="T295" s="928"/>
      <c r="U295" s="930"/>
      <c r="V295" s="1443"/>
      <c r="W295" s="930"/>
      <c r="X295" s="1044"/>
      <c r="Y295" s="1068"/>
      <c r="Z295" s="1068"/>
      <c r="AA295" s="1068"/>
      <c r="AB295" s="1068"/>
      <c r="AC295" s="1068"/>
      <c r="AD295" s="1068"/>
      <c r="AE295" s="1071"/>
      <c r="AF295" s="1044"/>
      <c r="AG295" s="1068"/>
      <c r="AH295" s="1068"/>
      <c r="AI295" s="1068"/>
      <c r="AJ295" s="1068"/>
      <c r="AK295" s="1068"/>
      <c r="AL295" s="1068"/>
      <c r="AM295" s="928"/>
      <c r="AN295" s="1043"/>
      <c r="AO295" s="1041"/>
    </row>
    <row r="296" spans="1:41" ht="12" customHeight="1" x14ac:dyDescent="0.2">
      <c r="A296" s="928"/>
      <c r="B296" s="1443"/>
      <c r="C296" s="928"/>
      <c r="D296" s="1084"/>
      <c r="E296" s="1079"/>
      <c r="F296" s="1079"/>
      <c r="G296" s="1079"/>
      <c r="H296" s="1079"/>
      <c r="I296" s="1079"/>
      <c r="J296" s="1079"/>
      <c r="K296" s="1075"/>
      <c r="L296" s="1084"/>
      <c r="M296" s="1079"/>
      <c r="N296" s="1079"/>
      <c r="O296" s="1079"/>
      <c r="P296" s="1079"/>
      <c r="Q296" s="1079"/>
      <c r="R296" s="1079"/>
      <c r="S296" s="928"/>
      <c r="T296" s="928"/>
      <c r="U296" s="930"/>
      <c r="V296" s="1443"/>
      <c r="W296" s="930"/>
      <c r="X296" s="1044"/>
      <c r="Y296" s="1068"/>
      <c r="Z296" s="1068"/>
      <c r="AA296" s="1068"/>
      <c r="AB296" s="1068"/>
      <c r="AC296" s="1068"/>
      <c r="AD296" s="1068"/>
      <c r="AE296" s="1071"/>
      <c r="AF296" s="1044"/>
      <c r="AG296" s="1068"/>
      <c r="AH296" s="1068"/>
      <c r="AI296" s="1068"/>
      <c r="AJ296" s="1068"/>
      <c r="AK296" s="1068"/>
      <c r="AL296" s="1068"/>
      <c r="AM296" s="928"/>
      <c r="AN296" s="1043"/>
      <c r="AO296" s="1041"/>
    </row>
    <row r="297" spans="1:41" ht="12" customHeight="1" x14ac:dyDescent="0.2">
      <c r="A297" s="928"/>
      <c r="B297" s="1443"/>
      <c r="C297" s="928"/>
      <c r="D297" s="928"/>
      <c r="E297" s="928"/>
      <c r="F297" s="928"/>
      <c r="G297" s="928"/>
      <c r="H297" s="928"/>
      <c r="I297" s="1075"/>
      <c r="J297" s="1075"/>
      <c r="K297" s="1088"/>
      <c r="L297" s="1078"/>
      <c r="M297" s="1070"/>
      <c r="N297" s="1070"/>
      <c r="O297" s="1070"/>
      <c r="P297" s="1070"/>
      <c r="Q297" s="1070"/>
      <c r="R297" s="1070"/>
      <c r="S297" s="928"/>
      <c r="T297" s="928"/>
      <c r="U297" s="930"/>
      <c r="V297" s="1443"/>
      <c r="W297" s="930"/>
      <c r="X297" s="930"/>
      <c r="Y297" s="930"/>
      <c r="Z297" s="930"/>
      <c r="AA297" s="930"/>
      <c r="AB297" s="930"/>
      <c r="AC297" s="977"/>
      <c r="AD297" s="977"/>
      <c r="AE297" s="1073"/>
      <c r="AF297" s="1074"/>
      <c r="AG297" s="1064"/>
      <c r="AH297" s="1066"/>
      <c r="AI297" s="1066"/>
      <c r="AJ297" s="1066"/>
      <c r="AK297" s="1066"/>
      <c r="AL297" s="1066"/>
      <c r="AM297" s="928"/>
      <c r="AN297" s="1043"/>
      <c r="AO297" s="1041"/>
    </row>
    <row r="298" spans="1:41" ht="12" customHeight="1" x14ac:dyDescent="0.2">
      <c r="A298" s="928"/>
      <c r="B298" s="1443"/>
      <c r="C298" s="928"/>
      <c r="D298" s="1089"/>
      <c r="E298" s="1089"/>
      <c r="F298" s="1055"/>
      <c r="G298" s="1055"/>
      <c r="H298" s="1055"/>
      <c r="I298" s="1055"/>
      <c r="J298" s="1080"/>
      <c r="K298" s="1088"/>
      <c r="L298" s="1089"/>
      <c r="M298" s="1089"/>
      <c r="N298" s="1055"/>
      <c r="O298" s="1055"/>
      <c r="P298" s="1055"/>
      <c r="Q298" s="1055"/>
      <c r="R298" s="1080"/>
      <c r="S298" s="928"/>
      <c r="T298" s="928"/>
      <c r="U298" s="930"/>
      <c r="V298" s="1443"/>
      <c r="W298" s="930"/>
      <c r="X298" s="1048"/>
      <c r="Y298" s="1048"/>
      <c r="Z298" s="1049"/>
      <c r="AA298" s="1049"/>
      <c r="AB298" s="1049"/>
      <c r="AC298" s="1049"/>
      <c r="AD298" s="1050"/>
      <c r="AE298" s="1073"/>
      <c r="AF298" s="1048"/>
      <c r="AG298" s="1048"/>
      <c r="AH298" s="1049"/>
      <c r="AI298" s="1049"/>
      <c r="AJ298" s="1049"/>
      <c r="AK298" s="1049"/>
      <c r="AL298" s="1050"/>
      <c r="AM298" s="928"/>
      <c r="AN298" s="1043"/>
      <c r="AO298" s="1041"/>
    </row>
    <row r="299" spans="1:41" ht="12" customHeight="1" x14ac:dyDescent="0.2">
      <c r="A299" s="928"/>
      <c r="B299" s="1443"/>
      <c r="C299" s="928"/>
      <c r="D299" s="1090"/>
      <c r="E299" s="1090"/>
      <c r="F299" s="1055"/>
      <c r="G299" s="1055"/>
      <c r="H299" s="1055"/>
      <c r="I299" s="1055"/>
      <c r="J299" s="1057"/>
      <c r="K299" s="1070"/>
      <c r="L299" s="1090"/>
      <c r="M299" s="1090"/>
      <c r="N299" s="1055"/>
      <c r="O299" s="1055"/>
      <c r="P299" s="1055"/>
      <c r="Q299" s="1055"/>
      <c r="R299" s="1057"/>
      <c r="S299" s="928"/>
      <c r="T299" s="928"/>
      <c r="U299" s="930"/>
      <c r="V299" s="1443"/>
      <c r="W299" s="930"/>
      <c r="X299" s="1051"/>
      <c r="Y299" s="1051"/>
      <c r="Z299" s="1049"/>
      <c r="AA299" s="1049"/>
      <c r="AB299" s="1049"/>
      <c r="AC299" s="1049"/>
      <c r="AD299" s="1052"/>
      <c r="AE299" s="1066"/>
      <c r="AF299" s="1051"/>
      <c r="AG299" s="1051"/>
      <c r="AH299" s="1049"/>
      <c r="AI299" s="1049"/>
      <c r="AJ299" s="1049"/>
      <c r="AK299" s="1049"/>
      <c r="AL299" s="1052"/>
      <c r="AM299" s="928"/>
      <c r="AN299" s="1043"/>
      <c r="AO299" s="1041"/>
    </row>
    <row r="300" spans="1:41" ht="12" customHeight="1" x14ac:dyDescent="0.2">
      <c r="A300" s="928"/>
      <c r="B300" s="1443"/>
      <c r="C300" s="928"/>
      <c r="D300" s="1054"/>
      <c r="E300" s="1054"/>
      <c r="F300" s="1055"/>
      <c r="G300" s="1055"/>
      <c r="H300" s="1055"/>
      <c r="I300" s="1056"/>
      <c r="J300" s="1057"/>
      <c r="K300" s="1075"/>
      <c r="L300" s="1054"/>
      <c r="M300" s="1054"/>
      <c r="N300" s="1055"/>
      <c r="O300" s="1055"/>
      <c r="P300" s="1055"/>
      <c r="Q300" s="1056"/>
      <c r="R300" s="1057"/>
      <c r="S300" s="928"/>
      <c r="T300" s="928"/>
      <c r="U300" s="930"/>
      <c r="V300" s="1443"/>
      <c r="W300" s="930"/>
      <c r="X300" s="1059"/>
      <c r="Y300" s="1059"/>
      <c r="Z300" s="1060"/>
      <c r="AA300" s="1060"/>
      <c r="AB300" s="1060"/>
      <c r="AC300" s="1061"/>
      <c r="AD300" s="1052"/>
      <c r="AE300" s="1071"/>
      <c r="AF300" s="1059"/>
      <c r="AG300" s="1059"/>
      <c r="AH300" s="1060"/>
      <c r="AI300" s="1060"/>
      <c r="AJ300" s="1060"/>
      <c r="AK300" s="1061"/>
      <c r="AL300" s="1052"/>
      <c r="AM300" s="928"/>
      <c r="AN300" s="1043"/>
      <c r="AO300" s="1041"/>
    </row>
    <row r="301" spans="1:41" ht="12" customHeight="1" x14ac:dyDescent="0.2">
      <c r="A301" s="928"/>
      <c r="B301" s="1443"/>
      <c r="C301" s="928"/>
      <c r="D301" s="928"/>
      <c r="E301" s="1076"/>
      <c r="F301" s="1076"/>
      <c r="G301" s="1076"/>
      <c r="H301" s="1076"/>
      <c r="I301" s="1076"/>
      <c r="J301" s="1076"/>
      <c r="K301" s="1075"/>
      <c r="L301" s="928"/>
      <c r="M301" s="1076"/>
      <c r="N301" s="1076"/>
      <c r="O301" s="1076"/>
      <c r="P301" s="1076"/>
      <c r="Q301" s="1076"/>
      <c r="R301" s="1076"/>
      <c r="S301" s="928"/>
      <c r="T301" s="928"/>
      <c r="U301" s="930"/>
      <c r="V301" s="1443"/>
      <c r="W301" s="930"/>
      <c r="X301" s="930"/>
      <c r="Y301" s="1062"/>
      <c r="Z301" s="1062"/>
      <c r="AA301" s="1062"/>
      <c r="AB301" s="1062"/>
      <c r="AC301" s="1062"/>
      <c r="AD301" s="1062"/>
      <c r="AE301" s="1071"/>
      <c r="AF301" s="930"/>
      <c r="AG301" s="1062"/>
      <c r="AH301" s="1062"/>
      <c r="AI301" s="1062"/>
      <c r="AJ301" s="1062"/>
      <c r="AK301" s="1062"/>
      <c r="AL301" s="1062"/>
      <c r="AM301" s="928"/>
      <c r="AN301" s="1043"/>
      <c r="AO301" s="1041"/>
    </row>
    <row r="302" spans="1:41" ht="12" customHeight="1" x14ac:dyDescent="0.2">
      <c r="A302" s="928"/>
      <c r="B302" s="1443"/>
      <c r="C302" s="928"/>
      <c r="D302" s="1054"/>
      <c r="E302" s="1077"/>
      <c r="F302" s="1077"/>
      <c r="G302" s="1077"/>
      <c r="H302" s="1077"/>
      <c r="I302" s="1077"/>
      <c r="J302" s="1077"/>
      <c r="K302" s="1075"/>
      <c r="L302" s="1054"/>
      <c r="M302" s="1077"/>
      <c r="N302" s="1077"/>
      <c r="O302" s="1077"/>
      <c r="P302" s="1077"/>
      <c r="Q302" s="1077"/>
      <c r="R302" s="1077"/>
      <c r="S302" s="928"/>
      <c r="T302" s="928"/>
      <c r="U302" s="930"/>
      <c r="V302" s="1443"/>
      <c r="W302" s="930"/>
      <c r="X302" s="1059"/>
      <c r="Y302" s="1063"/>
      <c r="Z302" s="1063"/>
      <c r="AA302" s="1063"/>
      <c r="AB302" s="1063"/>
      <c r="AC302" s="1063"/>
      <c r="AD302" s="1063"/>
      <c r="AE302" s="977"/>
      <c r="AF302" s="1059"/>
      <c r="AG302" s="1063"/>
      <c r="AH302" s="1063"/>
      <c r="AI302" s="1063"/>
      <c r="AJ302" s="1063"/>
      <c r="AK302" s="1063"/>
      <c r="AL302" s="1063"/>
      <c r="AM302" s="928"/>
      <c r="AN302" s="1043"/>
      <c r="AO302" s="1041"/>
    </row>
    <row r="303" spans="1:41" ht="12" customHeight="1" x14ac:dyDescent="0.2">
      <c r="A303" s="928"/>
      <c r="B303" s="1443"/>
      <c r="C303" s="928"/>
      <c r="D303" s="1054"/>
      <c r="E303" s="1077"/>
      <c r="F303" s="1077"/>
      <c r="G303" s="1077"/>
      <c r="H303" s="1077"/>
      <c r="I303" s="1077"/>
      <c r="J303" s="1077"/>
      <c r="K303" s="933"/>
      <c r="L303" s="1054"/>
      <c r="M303" s="1077"/>
      <c r="N303" s="1077"/>
      <c r="O303" s="1077"/>
      <c r="P303" s="1077"/>
      <c r="Q303" s="1077"/>
      <c r="R303" s="1077"/>
      <c r="S303" s="928"/>
      <c r="T303" s="928"/>
      <c r="U303" s="930"/>
      <c r="V303" s="1443"/>
      <c r="W303" s="930"/>
      <c r="X303" s="1059"/>
      <c r="Y303" s="1063"/>
      <c r="Z303" s="1063"/>
      <c r="AA303" s="1063"/>
      <c r="AB303" s="1063"/>
      <c r="AC303" s="1063"/>
      <c r="AD303" s="1063"/>
      <c r="AE303" s="1072"/>
      <c r="AF303" s="1059"/>
      <c r="AG303" s="1063"/>
      <c r="AH303" s="1063"/>
      <c r="AI303" s="1063"/>
      <c r="AJ303" s="1063"/>
      <c r="AK303" s="1063"/>
      <c r="AL303" s="1063"/>
      <c r="AM303" s="928"/>
      <c r="AN303" s="1043"/>
      <c r="AO303" s="1041"/>
    </row>
    <row r="304" spans="1:41" ht="12" customHeight="1" x14ac:dyDescent="0.2">
      <c r="A304" s="928"/>
      <c r="B304" s="1443"/>
      <c r="C304" s="928"/>
      <c r="D304" s="1075"/>
      <c r="E304" s="1078"/>
      <c r="F304" s="1078"/>
      <c r="G304" s="1078"/>
      <c r="H304" s="1078"/>
      <c r="I304" s="1078"/>
      <c r="J304" s="1078"/>
      <c r="K304" s="1075"/>
      <c r="L304" s="1075"/>
      <c r="M304" s="1078"/>
      <c r="N304" s="1078"/>
      <c r="O304" s="1078"/>
      <c r="P304" s="1078"/>
      <c r="Q304" s="1078"/>
      <c r="R304" s="1078"/>
      <c r="S304" s="928"/>
      <c r="T304" s="928"/>
      <c r="U304" s="930"/>
      <c r="V304" s="1443"/>
      <c r="W304" s="930"/>
      <c r="X304" s="977"/>
      <c r="Y304" s="1065"/>
      <c r="Z304" s="1065"/>
      <c r="AA304" s="1065"/>
      <c r="AB304" s="1065"/>
      <c r="AC304" s="1065"/>
      <c r="AD304" s="1065"/>
      <c r="AE304" s="1071"/>
      <c r="AF304" s="977"/>
      <c r="AG304" s="1065"/>
      <c r="AH304" s="1065"/>
      <c r="AI304" s="1065"/>
      <c r="AJ304" s="1065"/>
      <c r="AK304" s="1065"/>
      <c r="AL304" s="1065"/>
      <c r="AM304" s="928"/>
      <c r="AN304" s="1043"/>
      <c r="AO304" s="1041"/>
    </row>
    <row r="305" spans="1:41" ht="12" customHeight="1" x14ac:dyDescent="0.2">
      <c r="A305" s="928"/>
      <c r="B305" s="1443"/>
      <c r="C305" s="928"/>
      <c r="D305" s="1086"/>
      <c r="E305" s="1079"/>
      <c r="F305" s="1079"/>
      <c r="G305" s="1079"/>
      <c r="H305" s="1079"/>
      <c r="I305" s="1079"/>
      <c r="J305" s="1079"/>
      <c r="K305" s="1075"/>
      <c r="L305" s="1086"/>
      <c r="M305" s="1079"/>
      <c r="N305" s="1079"/>
      <c r="O305" s="1079"/>
      <c r="P305" s="1079"/>
      <c r="Q305" s="1079"/>
      <c r="R305" s="1079"/>
      <c r="S305" s="928"/>
      <c r="T305" s="928"/>
      <c r="U305" s="930"/>
      <c r="V305" s="1443"/>
      <c r="W305" s="930"/>
      <c r="X305" s="1067"/>
      <c r="Y305" s="1068"/>
      <c r="Z305" s="1068"/>
      <c r="AA305" s="1068"/>
      <c r="AB305" s="1068"/>
      <c r="AC305" s="1068"/>
      <c r="AD305" s="1068"/>
      <c r="AE305" s="1071"/>
      <c r="AF305" s="1067"/>
      <c r="AG305" s="1068"/>
      <c r="AH305" s="1068"/>
      <c r="AI305" s="1068"/>
      <c r="AJ305" s="1068"/>
      <c r="AK305" s="1068"/>
      <c r="AL305" s="1068"/>
      <c r="AM305" s="928"/>
      <c r="AN305" s="1043"/>
      <c r="AO305" s="1041"/>
    </row>
    <row r="306" spans="1:41" ht="12" customHeight="1" x14ac:dyDescent="0.2">
      <c r="A306" s="928"/>
      <c r="B306" s="1443"/>
      <c r="C306" s="928"/>
      <c r="D306" s="1084"/>
      <c r="E306" s="1079"/>
      <c r="F306" s="1079"/>
      <c r="G306" s="1079"/>
      <c r="H306" s="1079"/>
      <c r="I306" s="1079"/>
      <c r="J306" s="1079"/>
      <c r="K306" s="1088"/>
      <c r="L306" s="1084"/>
      <c r="M306" s="1079"/>
      <c r="N306" s="1079"/>
      <c r="O306" s="1079"/>
      <c r="P306" s="1079"/>
      <c r="Q306" s="1079"/>
      <c r="R306" s="1079"/>
      <c r="S306" s="928"/>
      <c r="T306" s="928"/>
      <c r="U306" s="930"/>
      <c r="V306" s="1443"/>
      <c r="W306" s="930"/>
      <c r="X306" s="1044"/>
      <c r="Y306" s="1068"/>
      <c r="Z306" s="1068"/>
      <c r="AA306" s="1068"/>
      <c r="AB306" s="1068"/>
      <c r="AC306" s="1068"/>
      <c r="AD306" s="1068"/>
      <c r="AE306" s="1073"/>
      <c r="AF306" s="1044"/>
      <c r="AG306" s="1068"/>
      <c r="AH306" s="1068"/>
      <c r="AI306" s="1068"/>
      <c r="AJ306" s="1068"/>
      <c r="AK306" s="1068"/>
      <c r="AL306" s="1068"/>
      <c r="AM306" s="928"/>
      <c r="AN306" s="1043"/>
      <c r="AO306" s="1041"/>
    </row>
    <row r="307" spans="1:41" ht="12" customHeight="1" x14ac:dyDescent="0.2">
      <c r="A307" s="928"/>
      <c r="B307" s="1443"/>
      <c r="C307" s="928"/>
      <c r="D307" s="1084"/>
      <c r="E307" s="1079"/>
      <c r="F307" s="1079"/>
      <c r="G307" s="1079"/>
      <c r="H307" s="1079"/>
      <c r="I307" s="1079"/>
      <c r="J307" s="1079"/>
      <c r="K307" s="1088"/>
      <c r="L307" s="1084"/>
      <c r="M307" s="1079"/>
      <c r="N307" s="1079"/>
      <c r="O307" s="1079"/>
      <c r="P307" s="1079"/>
      <c r="Q307" s="1079"/>
      <c r="R307" s="1079"/>
      <c r="S307" s="928"/>
      <c r="T307" s="928"/>
      <c r="U307" s="930"/>
      <c r="V307" s="1443"/>
      <c r="W307" s="930"/>
      <c r="X307" s="1044"/>
      <c r="Y307" s="1068"/>
      <c r="Z307" s="1068"/>
      <c r="AA307" s="1068"/>
      <c r="AB307" s="1068"/>
      <c r="AC307" s="1068"/>
      <c r="AD307" s="1068"/>
      <c r="AE307" s="1073"/>
      <c r="AF307" s="1044"/>
      <c r="AG307" s="1068"/>
      <c r="AH307" s="1068"/>
      <c r="AI307" s="1068"/>
      <c r="AJ307" s="1068"/>
      <c r="AK307" s="1068"/>
      <c r="AL307" s="1068"/>
      <c r="AM307" s="928"/>
      <c r="AN307" s="1043"/>
      <c r="AO307" s="1041"/>
    </row>
    <row r="308" spans="1:41" ht="12" customHeight="1" x14ac:dyDescent="0.2">
      <c r="A308" s="928"/>
      <c r="B308" s="1443"/>
      <c r="C308" s="928"/>
      <c r="D308" s="1070"/>
      <c r="E308" s="1070"/>
      <c r="F308" s="1070"/>
      <c r="G308" s="1070"/>
      <c r="H308" s="1070"/>
      <c r="I308" s="1070"/>
      <c r="J308" s="1070"/>
      <c r="K308" s="1070"/>
      <c r="L308" s="1070"/>
      <c r="M308" s="1070"/>
      <c r="N308" s="1070"/>
      <c r="O308" s="1070"/>
      <c r="P308" s="1070"/>
      <c r="Q308" s="1070"/>
      <c r="R308" s="1070"/>
      <c r="S308" s="928"/>
      <c r="T308" s="928"/>
      <c r="U308" s="930"/>
      <c r="V308" s="1443"/>
      <c r="W308" s="930"/>
      <c r="X308" s="1064"/>
      <c r="Y308" s="1064"/>
      <c r="Z308" s="1064"/>
      <c r="AA308" s="1064"/>
      <c r="AB308" s="1064"/>
      <c r="AC308" s="1066"/>
      <c r="AD308" s="1066"/>
      <c r="AE308" s="1066"/>
      <c r="AF308" s="1066"/>
      <c r="AG308" s="1064"/>
      <c r="AH308" s="1066"/>
      <c r="AI308" s="1066"/>
      <c r="AJ308" s="1066"/>
      <c r="AK308" s="1066"/>
      <c r="AL308" s="1066"/>
      <c r="AM308" s="928"/>
      <c r="AN308" s="1043"/>
      <c r="AO308" s="1041"/>
    </row>
    <row r="309" spans="1:41" ht="12" customHeight="1" x14ac:dyDescent="0.2">
      <c r="A309" s="928"/>
      <c r="B309" s="1443"/>
      <c r="C309" s="928"/>
      <c r="D309" s="1089"/>
      <c r="E309" s="1089"/>
      <c r="F309" s="1055"/>
      <c r="G309" s="1055"/>
      <c r="H309" s="1055"/>
      <c r="I309" s="1055"/>
      <c r="J309" s="1080"/>
      <c r="K309" s="928"/>
      <c r="L309" s="1089"/>
      <c r="M309" s="1089"/>
      <c r="N309" s="1055"/>
      <c r="O309" s="1055"/>
      <c r="P309" s="1055"/>
      <c r="Q309" s="1055"/>
      <c r="R309" s="1080"/>
      <c r="S309" s="928"/>
      <c r="T309" s="928"/>
      <c r="U309" s="930"/>
      <c r="V309" s="1443"/>
      <c r="W309" s="930"/>
      <c r="X309" s="1048"/>
      <c r="Y309" s="1048"/>
      <c r="Z309" s="1049"/>
      <c r="AA309" s="1049"/>
      <c r="AB309" s="1049"/>
      <c r="AC309" s="1049"/>
      <c r="AD309" s="1050"/>
      <c r="AE309" s="930"/>
      <c r="AF309" s="1048"/>
      <c r="AG309" s="1048"/>
      <c r="AH309" s="1049"/>
      <c r="AI309" s="1049"/>
      <c r="AJ309" s="1049"/>
      <c r="AK309" s="1049"/>
      <c r="AL309" s="1050"/>
      <c r="AM309" s="928"/>
      <c r="AN309" s="1043"/>
      <c r="AO309" s="1041"/>
    </row>
    <row r="310" spans="1:41" ht="12" customHeight="1" x14ac:dyDescent="0.2">
      <c r="A310" s="928"/>
      <c r="B310" s="1443"/>
      <c r="C310" s="928"/>
      <c r="D310" s="1090"/>
      <c r="E310" s="1090"/>
      <c r="F310" s="1055"/>
      <c r="G310" s="1055"/>
      <c r="H310" s="1055"/>
      <c r="I310" s="1055"/>
      <c r="J310" s="1057"/>
      <c r="K310" s="928"/>
      <c r="L310" s="1090"/>
      <c r="M310" s="1090"/>
      <c r="N310" s="1055"/>
      <c r="O310" s="1055"/>
      <c r="P310" s="1055"/>
      <c r="Q310" s="1055"/>
      <c r="R310" s="1057"/>
      <c r="S310" s="928"/>
      <c r="T310" s="928"/>
      <c r="U310" s="930"/>
      <c r="V310" s="1443"/>
      <c r="W310" s="930"/>
      <c r="X310" s="1051"/>
      <c r="Y310" s="1051"/>
      <c r="Z310" s="1049"/>
      <c r="AA310" s="1049"/>
      <c r="AB310" s="1049"/>
      <c r="AC310" s="1049"/>
      <c r="AD310" s="1052"/>
      <c r="AE310" s="930"/>
      <c r="AF310" s="1051"/>
      <c r="AG310" s="1051"/>
      <c r="AH310" s="1049"/>
      <c r="AI310" s="1049"/>
      <c r="AJ310" s="1049"/>
      <c r="AK310" s="1049"/>
      <c r="AL310" s="1052"/>
      <c r="AM310" s="928"/>
      <c r="AN310" s="1043"/>
      <c r="AO310" s="1041"/>
    </row>
    <row r="311" spans="1:41" ht="12" customHeight="1" x14ac:dyDescent="0.2">
      <c r="A311" s="928"/>
      <c r="B311" s="1443"/>
      <c r="C311" s="928"/>
      <c r="D311" s="1054"/>
      <c r="E311" s="1054"/>
      <c r="F311" s="1055"/>
      <c r="G311" s="1055"/>
      <c r="H311" s="1055"/>
      <c r="I311" s="1056"/>
      <c r="J311" s="1057"/>
      <c r="K311" s="928"/>
      <c r="L311" s="1054"/>
      <c r="M311" s="1054"/>
      <c r="N311" s="1055"/>
      <c r="O311" s="1055"/>
      <c r="P311" s="1055"/>
      <c r="Q311" s="1056"/>
      <c r="R311" s="1057"/>
      <c r="S311" s="928"/>
      <c r="T311" s="928"/>
      <c r="U311" s="930"/>
      <c r="V311" s="1443"/>
      <c r="W311" s="930"/>
      <c r="X311" s="1059"/>
      <c r="Y311" s="1059"/>
      <c r="Z311" s="1060"/>
      <c r="AA311" s="1060"/>
      <c r="AB311" s="1060"/>
      <c r="AC311" s="1061"/>
      <c r="AD311" s="1052"/>
      <c r="AE311" s="930"/>
      <c r="AF311" s="1059"/>
      <c r="AG311" s="1059"/>
      <c r="AH311" s="1060"/>
      <c r="AI311" s="1060"/>
      <c r="AJ311" s="1060"/>
      <c r="AK311" s="1061"/>
      <c r="AL311" s="1052"/>
      <c r="AM311" s="928"/>
      <c r="AN311" s="1043"/>
      <c r="AO311" s="1041"/>
    </row>
    <row r="312" spans="1:41" ht="12" customHeight="1" x14ac:dyDescent="0.2">
      <c r="A312" s="928"/>
      <c r="B312" s="1443"/>
      <c r="C312" s="928"/>
      <c r="D312" s="928"/>
      <c r="E312" s="1076"/>
      <c r="F312" s="1076"/>
      <c r="G312" s="1076"/>
      <c r="H312" s="1076"/>
      <c r="I312" s="1076"/>
      <c r="J312" s="1076"/>
      <c r="K312" s="928"/>
      <c r="L312" s="928"/>
      <c r="M312" s="1076"/>
      <c r="N312" s="1076"/>
      <c r="O312" s="1076"/>
      <c r="P312" s="1076"/>
      <c r="Q312" s="1076"/>
      <c r="R312" s="1076"/>
      <c r="S312" s="928"/>
      <c r="T312" s="928"/>
      <c r="U312" s="930"/>
      <c r="V312" s="1443"/>
      <c r="W312" s="930"/>
      <c r="X312" s="930"/>
      <c r="Y312" s="1062"/>
      <c r="Z312" s="1062"/>
      <c r="AA312" s="1062"/>
      <c r="AB312" s="1062"/>
      <c r="AC312" s="1062"/>
      <c r="AD312" s="1062"/>
      <c r="AE312" s="930"/>
      <c r="AF312" s="930"/>
      <c r="AG312" s="1062"/>
      <c r="AH312" s="1062"/>
      <c r="AI312" s="1062"/>
      <c r="AJ312" s="1062"/>
      <c r="AK312" s="1062"/>
      <c r="AL312" s="1062"/>
      <c r="AM312" s="928"/>
      <c r="AN312" s="1043"/>
      <c r="AO312" s="1041"/>
    </row>
    <row r="313" spans="1:41" ht="12" customHeight="1" x14ac:dyDescent="0.2">
      <c r="A313" s="928"/>
      <c r="B313" s="1443"/>
      <c r="C313" s="928"/>
      <c r="D313" s="1054"/>
      <c r="E313" s="1077"/>
      <c r="F313" s="1077"/>
      <c r="G313" s="1077"/>
      <c r="H313" s="1077"/>
      <c r="I313" s="1077"/>
      <c r="J313" s="1077"/>
      <c r="K313" s="928"/>
      <c r="L313" s="1054"/>
      <c r="M313" s="1077"/>
      <c r="N313" s="1077"/>
      <c r="O313" s="1077"/>
      <c r="P313" s="1077"/>
      <c r="Q313" s="1077"/>
      <c r="R313" s="1077"/>
      <c r="S313" s="928"/>
      <c r="T313" s="928"/>
      <c r="U313" s="930"/>
      <c r="V313" s="1443"/>
      <c r="W313" s="930"/>
      <c r="X313" s="1059"/>
      <c r="Y313" s="1063"/>
      <c r="Z313" s="1063"/>
      <c r="AA313" s="1063"/>
      <c r="AB313" s="1063"/>
      <c r="AC313" s="1063"/>
      <c r="AD313" s="1063"/>
      <c r="AE313" s="930"/>
      <c r="AF313" s="1059"/>
      <c r="AG313" s="1063"/>
      <c r="AH313" s="1063"/>
      <c r="AI313" s="1063"/>
      <c r="AJ313" s="1063"/>
      <c r="AK313" s="1063"/>
      <c r="AL313" s="1063"/>
      <c r="AM313" s="928"/>
      <c r="AN313" s="1043"/>
      <c r="AO313" s="1041"/>
    </row>
    <row r="314" spans="1:41" ht="12" customHeight="1" x14ac:dyDescent="0.2">
      <c r="A314" s="928"/>
      <c r="B314" s="1443"/>
      <c r="C314" s="928"/>
      <c r="D314" s="1054"/>
      <c r="E314" s="1077"/>
      <c r="F314" s="1077"/>
      <c r="G314" s="1077"/>
      <c r="H314" s="1077"/>
      <c r="I314" s="1077"/>
      <c r="J314" s="1077"/>
      <c r="K314" s="928"/>
      <c r="L314" s="1054"/>
      <c r="M314" s="1077"/>
      <c r="N314" s="1077"/>
      <c r="O314" s="1077"/>
      <c r="P314" s="1077"/>
      <c r="Q314" s="1077"/>
      <c r="R314" s="1077"/>
      <c r="S314" s="928"/>
      <c r="T314" s="928"/>
      <c r="U314" s="930"/>
      <c r="V314" s="1443"/>
      <c r="W314" s="930"/>
      <c r="X314" s="1059"/>
      <c r="Y314" s="1063"/>
      <c r="Z314" s="1063"/>
      <c r="AA314" s="1063"/>
      <c r="AB314" s="1063"/>
      <c r="AC314" s="1063"/>
      <c r="AD314" s="1063"/>
      <c r="AE314" s="930"/>
      <c r="AF314" s="1059"/>
      <c r="AG314" s="1063"/>
      <c r="AH314" s="1063"/>
      <c r="AI314" s="1063"/>
      <c r="AJ314" s="1063"/>
      <c r="AK314" s="1063"/>
      <c r="AL314" s="1063"/>
      <c r="AM314" s="928"/>
      <c r="AN314" s="1043"/>
      <c r="AO314" s="1041"/>
    </row>
    <row r="315" spans="1:41" ht="12" customHeight="1" x14ac:dyDescent="0.2">
      <c r="A315" s="928"/>
      <c r="B315" s="1443"/>
      <c r="C315" s="928"/>
      <c r="D315" s="1075"/>
      <c r="E315" s="1078"/>
      <c r="F315" s="1078"/>
      <c r="G315" s="1078"/>
      <c r="H315" s="1078"/>
      <c r="I315" s="1078"/>
      <c r="J315" s="1078"/>
      <c r="K315" s="928"/>
      <c r="L315" s="1075"/>
      <c r="M315" s="1078"/>
      <c r="N315" s="1078"/>
      <c r="O315" s="1078"/>
      <c r="P315" s="1078"/>
      <c r="Q315" s="1078"/>
      <c r="R315" s="1078"/>
      <c r="S315" s="928"/>
      <c r="T315" s="928"/>
      <c r="U315" s="930"/>
      <c r="V315" s="1443"/>
      <c r="W315" s="930"/>
      <c r="X315" s="977"/>
      <c r="Y315" s="1065"/>
      <c r="Z315" s="1065"/>
      <c r="AA315" s="1065"/>
      <c r="AB315" s="1065"/>
      <c r="AC315" s="1065"/>
      <c r="AD315" s="1065"/>
      <c r="AE315" s="930"/>
      <c r="AF315" s="977"/>
      <c r="AG315" s="1065"/>
      <c r="AH315" s="1065"/>
      <c r="AI315" s="1065"/>
      <c r="AJ315" s="1065"/>
      <c r="AK315" s="1065"/>
      <c r="AL315" s="1065"/>
      <c r="AM315" s="928"/>
      <c r="AN315" s="1043"/>
      <c r="AO315" s="1041"/>
    </row>
    <row r="316" spans="1:41" ht="12" customHeight="1" x14ac:dyDescent="0.2">
      <c r="A316" s="928"/>
      <c r="B316" s="1443"/>
      <c r="C316" s="928"/>
      <c r="D316" s="1086"/>
      <c r="E316" s="1079"/>
      <c r="F316" s="1079"/>
      <c r="G316" s="1079"/>
      <c r="H316" s="1079"/>
      <c r="I316" s="1079"/>
      <c r="J316" s="1079"/>
      <c r="K316" s="928"/>
      <c r="L316" s="1086"/>
      <c r="M316" s="1079"/>
      <c r="N316" s="1079"/>
      <c r="O316" s="1079"/>
      <c r="P316" s="1079"/>
      <c r="Q316" s="1079"/>
      <c r="R316" s="1079"/>
      <c r="S316" s="928"/>
      <c r="T316" s="928"/>
      <c r="U316" s="930"/>
      <c r="V316" s="1443"/>
      <c r="W316" s="930"/>
      <c r="X316" s="1067"/>
      <c r="Y316" s="1068"/>
      <c r="Z316" s="1068"/>
      <c r="AA316" s="1068"/>
      <c r="AB316" s="1068"/>
      <c r="AC316" s="1068"/>
      <c r="AD316" s="1068"/>
      <c r="AE316" s="930"/>
      <c r="AF316" s="1067"/>
      <c r="AG316" s="1068"/>
      <c r="AH316" s="1068"/>
      <c r="AI316" s="1068"/>
      <c r="AJ316" s="1068"/>
      <c r="AK316" s="1068"/>
      <c r="AL316" s="1068"/>
      <c r="AM316" s="928"/>
      <c r="AN316" s="1043"/>
      <c r="AO316" s="1041"/>
    </row>
    <row r="317" spans="1:41" ht="12" customHeight="1" x14ac:dyDescent="0.2">
      <c r="A317" s="928"/>
      <c r="B317" s="1443"/>
      <c r="C317" s="928"/>
      <c r="D317" s="1084"/>
      <c r="E317" s="1079"/>
      <c r="F317" s="1079"/>
      <c r="G317" s="1079"/>
      <c r="H317" s="1079"/>
      <c r="I317" s="1079"/>
      <c r="J317" s="1079"/>
      <c r="K317" s="928"/>
      <c r="L317" s="1084"/>
      <c r="M317" s="1079"/>
      <c r="N317" s="1079"/>
      <c r="O317" s="1079"/>
      <c r="P317" s="1079"/>
      <c r="Q317" s="1079"/>
      <c r="R317" s="1079"/>
      <c r="S317" s="928"/>
      <c r="T317" s="928"/>
      <c r="U317" s="930"/>
      <c r="V317" s="1443"/>
      <c r="W317" s="930"/>
      <c r="X317" s="1044"/>
      <c r="Y317" s="1068"/>
      <c r="Z317" s="1068"/>
      <c r="AA317" s="1068"/>
      <c r="AB317" s="1068"/>
      <c r="AC317" s="1068"/>
      <c r="AD317" s="1068"/>
      <c r="AE317" s="930"/>
      <c r="AF317" s="1044"/>
      <c r="AG317" s="1068"/>
      <c r="AH317" s="1068"/>
      <c r="AI317" s="1068"/>
      <c r="AJ317" s="1068"/>
      <c r="AK317" s="1068"/>
      <c r="AL317" s="1068"/>
      <c r="AM317" s="928"/>
      <c r="AN317" s="1043"/>
      <c r="AO317" s="1041"/>
    </row>
    <row r="318" spans="1:41" ht="12" customHeight="1" x14ac:dyDescent="0.2">
      <c r="A318" s="928"/>
      <c r="B318" s="1443"/>
      <c r="C318" s="928"/>
      <c r="D318" s="1084"/>
      <c r="E318" s="1079"/>
      <c r="F318" s="1079"/>
      <c r="G318" s="1079"/>
      <c r="H318" s="1079"/>
      <c r="I318" s="1079"/>
      <c r="J318" s="1079"/>
      <c r="K318" s="928"/>
      <c r="L318" s="1084"/>
      <c r="M318" s="1079"/>
      <c r="N318" s="1079"/>
      <c r="O318" s="1079"/>
      <c r="P318" s="1079"/>
      <c r="Q318" s="1079"/>
      <c r="R318" s="1079"/>
      <c r="S318" s="928"/>
      <c r="T318" s="928"/>
      <c r="U318" s="930"/>
      <c r="V318" s="1443"/>
      <c r="W318" s="930"/>
      <c r="X318" s="1044"/>
      <c r="Y318" s="1068"/>
      <c r="Z318" s="1068"/>
      <c r="AA318" s="1068"/>
      <c r="AB318" s="1068"/>
      <c r="AC318" s="1068"/>
      <c r="AD318" s="1068"/>
      <c r="AE318" s="930"/>
      <c r="AF318" s="1044"/>
      <c r="AG318" s="1068"/>
      <c r="AH318" s="1068"/>
      <c r="AI318" s="1068"/>
      <c r="AJ318" s="1068"/>
      <c r="AK318" s="1068"/>
      <c r="AL318" s="1068"/>
      <c r="AM318" s="928"/>
      <c r="AN318" s="1043"/>
      <c r="AO318" s="1041"/>
    </row>
    <row r="319" spans="1:41" ht="12" customHeight="1" x14ac:dyDescent="0.2">
      <c r="A319" s="928"/>
      <c r="B319" s="1443"/>
      <c r="C319" s="928"/>
      <c r="D319" s="928"/>
      <c r="E319" s="928"/>
      <c r="F319" s="928"/>
      <c r="G319" s="928"/>
      <c r="H319" s="928"/>
      <c r="I319" s="928"/>
      <c r="J319" s="928"/>
      <c r="K319" s="928"/>
      <c r="L319" s="928"/>
      <c r="M319" s="928"/>
      <c r="N319" s="928"/>
      <c r="O319" s="928"/>
      <c r="P319" s="928"/>
      <c r="Q319" s="928"/>
      <c r="R319" s="928"/>
      <c r="S319" s="928"/>
      <c r="T319" s="928"/>
      <c r="U319" s="930"/>
      <c r="V319" s="1443"/>
      <c r="W319" s="930"/>
      <c r="X319" s="930"/>
      <c r="Y319" s="930"/>
      <c r="Z319" s="930"/>
      <c r="AA319" s="930"/>
      <c r="AB319" s="930"/>
      <c r="AC319" s="930"/>
      <c r="AD319" s="930"/>
      <c r="AE319" s="930"/>
      <c r="AF319" s="930"/>
      <c r="AG319" s="930"/>
      <c r="AH319" s="930"/>
      <c r="AI319" s="930"/>
      <c r="AJ319" s="930"/>
      <c r="AK319" s="930"/>
      <c r="AL319" s="930"/>
      <c r="AM319" s="928"/>
      <c r="AN319" s="1043"/>
      <c r="AO319" s="1041"/>
    </row>
    <row r="320" spans="1:41" ht="12" customHeight="1" x14ac:dyDescent="0.2">
      <c r="A320" s="928"/>
      <c r="B320" s="1443"/>
      <c r="C320" s="928"/>
      <c r="D320" s="1089"/>
      <c r="E320" s="1089"/>
      <c r="F320" s="1055"/>
      <c r="G320" s="1055"/>
      <c r="H320" s="1055"/>
      <c r="I320" s="1055"/>
      <c r="J320" s="1080"/>
      <c r="K320" s="1091"/>
      <c r="L320" s="1089"/>
      <c r="M320" s="1089"/>
      <c r="N320" s="1055"/>
      <c r="O320" s="1055"/>
      <c r="P320" s="1055"/>
      <c r="Q320" s="1055"/>
      <c r="R320" s="1080"/>
      <c r="S320" s="928"/>
      <c r="T320" s="928"/>
      <c r="U320" s="930"/>
      <c r="V320" s="1443"/>
      <c r="W320" s="930"/>
      <c r="X320" s="1048"/>
      <c r="Y320" s="1048"/>
      <c r="Z320" s="1049"/>
      <c r="AA320" s="1049"/>
      <c r="AB320" s="1049"/>
      <c r="AC320" s="1049"/>
      <c r="AD320" s="1050"/>
      <c r="AE320" s="1081"/>
      <c r="AF320" s="1048"/>
      <c r="AG320" s="1048"/>
      <c r="AH320" s="1049"/>
      <c r="AI320" s="1049"/>
      <c r="AJ320" s="1049"/>
      <c r="AK320" s="1049"/>
      <c r="AL320" s="1050"/>
      <c r="AM320" s="928"/>
      <c r="AN320" s="1043"/>
      <c r="AO320" s="1041"/>
    </row>
    <row r="321" spans="1:41" ht="12" customHeight="1" x14ac:dyDescent="0.2">
      <c r="A321" s="928"/>
      <c r="B321" s="1443"/>
      <c r="C321" s="928"/>
      <c r="D321" s="1090"/>
      <c r="E321" s="1090"/>
      <c r="F321" s="1055"/>
      <c r="G321" s="1055"/>
      <c r="H321" s="1055"/>
      <c r="I321" s="1055"/>
      <c r="J321" s="1057"/>
      <c r="K321" s="1092"/>
      <c r="L321" s="1090"/>
      <c r="M321" s="1090"/>
      <c r="N321" s="1055"/>
      <c r="O321" s="1055"/>
      <c r="P321" s="1055"/>
      <c r="Q321" s="1055"/>
      <c r="R321" s="1057"/>
      <c r="S321" s="928"/>
      <c r="T321" s="928"/>
      <c r="U321" s="930"/>
      <c r="V321" s="1443"/>
      <c r="W321" s="930"/>
      <c r="X321" s="1051"/>
      <c r="Y321" s="1051"/>
      <c r="Z321" s="1049"/>
      <c r="AA321" s="1049"/>
      <c r="AB321" s="1049"/>
      <c r="AC321" s="1049"/>
      <c r="AD321" s="1052"/>
      <c r="AE321" s="1082"/>
      <c r="AF321" s="1051"/>
      <c r="AG321" s="1051"/>
      <c r="AH321" s="1049"/>
      <c r="AI321" s="1049"/>
      <c r="AJ321" s="1049"/>
      <c r="AK321" s="1049"/>
      <c r="AL321" s="1052"/>
      <c r="AM321" s="928"/>
      <c r="AN321" s="1043"/>
      <c r="AO321" s="1041"/>
    </row>
    <row r="322" spans="1:41" ht="12" customHeight="1" x14ac:dyDescent="0.2">
      <c r="A322" s="928"/>
      <c r="B322" s="1443"/>
      <c r="C322" s="928"/>
      <c r="D322" s="1054"/>
      <c r="E322" s="1054"/>
      <c r="F322" s="1055"/>
      <c r="G322" s="1055"/>
      <c r="H322" s="1055"/>
      <c r="I322" s="1056"/>
      <c r="J322" s="1057"/>
      <c r="K322" s="1055"/>
      <c r="L322" s="1054"/>
      <c r="M322" s="1054"/>
      <c r="N322" s="1055"/>
      <c r="O322" s="1055"/>
      <c r="P322" s="1055"/>
      <c r="Q322" s="1056"/>
      <c r="R322" s="1057"/>
      <c r="S322" s="928"/>
      <c r="T322" s="928"/>
      <c r="U322" s="930"/>
      <c r="V322" s="1443"/>
      <c r="W322" s="930"/>
      <c r="X322" s="1059"/>
      <c r="Y322" s="1059"/>
      <c r="Z322" s="1060"/>
      <c r="AA322" s="1060"/>
      <c r="AB322" s="1060"/>
      <c r="AC322" s="1061"/>
      <c r="AD322" s="1052"/>
      <c r="AE322" s="1060"/>
      <c r="AF322" s="1059"/>
      <c r="AG322" s="1059"/>
      <c r="AH322" s="1060"/>
      <c r="AI322" s="1060"/>
      <c r="AJ322" s="1060"/>
      <c r="AK322" s="1061"/>
      <c r="AL322" s="1052"/>
      <c r="AM322" s="928"/>
      <c r="AN322" s="1043"/>
      <c r="AO322" s="1041"/>
    </row>
    <row r="323" spans="1:41" ht="12" customHeight="1" x14ac:dyDescent="0.2">
      <c r="A323" s="928"/>
      <c r="B323" s="1443"/>
      <c r="C323" s="928"/>
      <c r="D323" s="928"/>
      <c r="E323" s="1076"/>
      <c r="F323" s="1076"/>
      <c r="G323" s="1076"/>
      <c r="H323" s="1076"/>
      <c r="I323" s="1076"/>
      <c r="J323" s="1076"/>
      <c r="K323" s="1055"/>
      <c r="L323" s="928"/>
      <c r="M323" s="1076"/>
      <c r="N323" s="1076"/>
      <c r="O323" s="1076"/>
      <c r="P323" s="1076"/>
      <c r="Q323" s="1076"/>
      <c r="R323" s="1076"/>
      <c r="S323" s="928"/>
      <c r="T323" s="928"/>
      <c r="U323" s="930"/>
      <c r="V323" s="1443"/>
      <c r="W323" s="930"/>
      <c r="X323" s="930"/>
      <c r="Y323" s="1062"/>
      <c r="Z323" s="1062"/>
      <c r="AA323" s="1062"/>
      <c r="AB323" s="1062"/>
      <c r="AC323" s="1062"/>
      <c r="AD323" s="1062"/>
      <c r="AE323" s="1060"/>
      <c r="AF323" s="930"/>
      <c r="AG323" s="1062"/>
      <c r="AH323" s="1062"/>
      <c r="AI323" s="1062"/>
      <c r="AJ323" s="1062"/>
      <c r="AK323" s="1062"/>
      <c r="AL323" s="1062"/>
      <c r="AM323" s="928"/>
      <c r="AN323" s="1043"/>
      <c r="AO323" s="1041"/>
    </row>
    <row r="324" spans="1:41" ht="12" customHeight="1" x14ac:dyDescent="0.2">
      <c r="A324" s="928"/>
      <c r="B324" s="1443"/>
      <c r="C324" s="928"/>
      <c r="D324" s="1054"/>
      <c r="E324" s="1077"/>
      <c r="F324" s="1077"/>
      <c r="G324" s="1077"/>
      <c r="H324" s="1077"/>
      <c r="I324" s="1077"/>
      <c r="J324" s="1077"/>
      <c r="K324" s="1055"/>
      <c r="L324" s="1054"/>
      <c r="M324" s="1077"/>
      <c r="N324" s="1077"/>
      <c r="O324" s="1077"/>
      <c r="P324" s="1077"/>
      <c r="Q324" s="1077"/>
      <c r="R324" s="1077"/>
      <c r="S324" s="928"/>
      <c r="T324" s="928"/>
      <c r="U324" s="930"/>
      <c r="V324" s="1443"/>
      <c r="W324" s="930"/>
      <c r="X324" s="1059"/>
      <c r="Y324" s="1063"/>
      <c r="Z324" s="1063"/>
      <c r="AA324" s="1063"/>
      <c r="AB324" s="1063"/>
      <c r="AC324" s="1063"/>
      <c r="AD324" s="1063"/>
      <c r="AE324" s="1060"/>
      <c r="AF324" s="1059"/>
      <c r="AG324" s="1063"/>
      <c r="AH324" s="1063"/>
      <c r="AI324" s="1063"/>
      <c r="AJ324" s="1063"/>
      <c r="AK324" s="1063"/>
      <c r="AL324" s="1063"/>
      <c r="AM324" s="928"/>
      <c r="AN324" s="1043"/>
      <c r="AO324" s="1041"/>
    </row>
    <row r="325" spans="1:41" ht="12" customHeight="1" x14ac:dyDescent="0.2">
      <c r="A325" s="928"/>
      <c r="B325" s="1443"/>
      <c r="C325" s="928"/>
      <c r="D325" s="1054"/>
      <c r="E325" s="1077"/>
      <c r="F325" s="1077"/>
      <c r="G325" s="1077"/>
      <c r="H325" s="1077"/>
      <c r="I325" s="1077"/>
      <c r="J325" s="1077"/>
      <c r="K325" s="1055"/>
      <c r="L325" s="1054"/>
      <c r="M325" s="1077"/>
      <c r="N325" s="1077"/>
      <c r="O325" s="1077"/>
      <c r="P325" s="1077"/>
      <c r="Q325" s="1077"/>
      <c r="R325" s="1077"/>
      <c r="S325" s="928"/>
      <c r="T325" s="928"/>
      <c r="U325" s="930"/>
      <c r="V325" s="1443"/>
      <c r="W325" s="930"/>
      <c r="X325" s="1059"/>
      <c r="Y325" s="1063"/>
      <c r="Z325" s="1063"/>
      <c r="AA325" s="1063"/>
      <c r="AB325" s="1063"/>
      <c r="AC325" s="1063"/>
      <c r="AD325" s="1063"/>
      <c r="AE325" s="1060"/>
      <c r="AF325" s="1059"/>
      <c r="AG325" s="1063"/>
      <c r="AH325" s="1063"/>
      <c r="AI325" s="1063"/>
      <c r="AJ325" s="1063"/>
      <c r="AK325" s="1063"/>
      <c r="AL325" s="1063"/>
      <c r="AM325" s="928"/>
      <c r="AN325" s="1043"/>
      <c r="AO325" s="1041"/>
    </row>
    <row r="326" spans="1:41" ht="12" customHeight="1" x14ac:dyDescent="0.2">
      <c r="A326" s="928"/>
      <c r="B326" s="1443"/>
      <c r="C326" s="928"/>
      <c r="D326" s="1075"/>
      <c r="E326" s="1078"/>
      <c r="F326" s="1078"/>
      <c r="G326" s="1078"/>
      <c r="H326" s="1078"/>
      <c r="I326" s="1078"/>
      <c r="J326" s="1078"/>
      <c r="K326" s="1055"/>
      <c r="L326" s="1075"/>
      <c r="M326" s="1078"/>
      <c r="N326" s="1078"/>
      <c r="O326" s="1078"/>
      <c r="P326" s="1078"/>
      <c r="Q326" s="1078"/>
      <c r="R326" s="1078"/>
      <c r="S326" s="928"/>
      <c r="T326" s="928"/>
      <c r="U326" s="930"/>
      <c r="V326" s="1443"/>
      <c r="W326" s="930"/>
      <c r="X326" s="977"/>
      <c r="Y326" s="1065"/>
      <c r="Z326" s="1065"/>
      <c r="AA326" s="1065"/>
      <c r="AB326" s="1065"/>
      <c r="AC326" s="1065"/>
      <c r="AD326" s="1065"/>
      <c r="AE326" s="1060"/>
      <c r="AF326" s="977"/>
      <c r="AG326" s="1065"/>
      <c r="AH326" s="1065"/>
      <c r="AI326" s="1065"/>
      <c r="AJ326" s="1065"/>
      <c r="AK326" s="1065"/>
      <c r="AL326" s="1065"/>
      <c r="AM326" s="928"/>
      <c r="AN326" s="1043"/>
      <c r="AO326" s="1041"/>
    </row>
    <row r="327" spans="1:41" ht="12" customHeight="1" x14ac:dyDescent="0.2">
      <c r="A327" s="928"/>
      <c r="B327" s="1443"/>
      <c r="C327" s="928"/>
      <c r="D327" s="1086"/>
      <c r="E327" s="1079"/>
      <c r="F327" s="1079"/>
      <c r="G327" s="1079"/>
      <c r="H327" s="1079"/>
      <c r="I327" s="1079"/>
      <c r="J327" s="1079"/>
      <c r="K327" s="1055"/>
      <c r="L327" s="1086"/>
      <c r="M327" s="1079"/>
      <c r="N327" s="1079"/>
      <c r="O327" s="1079"/>
      <c r="P327" s="1079"/>
      <c r="Q327" s="1079"/>
      <c r="R327" s="1079"/>
      <c r="S327" s="928"/>
      <c r="T327" s="928"/>
      <c r="U327" s="930"/>
      <c r="V327" s="1443"/>
      <c r="W327" s="930"/>
      <c r="X327" s="1067"/>
      <c r="Y327" s="1068"/>
      <c r="Z327" s="1068"/>
      <c r="AA327" s="1068"/>
      <c r="AB327" s="1068"/>
      <c r="AC327" s="1068"/>
      <c r="AD327" s="1068"/>
      <c r="AE327" s="1060"/>
      <c r="AF327" s="1067"/>
      <c r="AG327" s="1068"/>
      <c r="AH327" s="1068"/>
      <c r="AI327" s="1068"/>
      <c r="AJ327" s="1068"/>
      <c r="AK327" s="1068"/>
      <c r="AL327" s="1068"/>
      <c r="AM327" s="928"/>
      <c r="AN327" s="1043"/>
      <c r="AO327" s="1041"/>
    </row>
    <row r="328" spans="1:41" ht="12" customHeight="1" x14ac:dyDescent="0.2">
      <c r="A328" s="928"/>
      <c r="B328" s="1443"/>
      <c r="C328" s="928"/>
      <c r="D328" s="1084"/>
      <c r="E328" s="1079"/>
      <c r="F328" s="1079"/>
      <c r="G328" s="1079"/>
      <c r="H328" s="1079"/>
      <c r="I328" s="1079"/>
      <c r="J328" s="1079"/>
      <c r="K328" s="1055"/>
      <c r="L328" s="1084"/>
      <c r="M328" s="1079"/>
      <c r="N328" s="1079"/>
      <c r="O328" s="1079"/>
      <c r="P328" s="1079"/>
      <c r="Q328" s="1079"/>
      <c r="R328" s="1079"/>
      <c r="S328" s="928"/>
      <c r="T328" s="928"/>
      <c r="U328" s="930"/>
      <c r="V328" s="1443"/>
      <c r="W328" s="930"/>
      <c r="X328" s="1044"/>
      <c r="Y328" s="1068"/>
      <c r="Z328" s="1068"/>
      <c r="AA328" s="1068"/>
      <c r="AB328" s="1068"/>
      <c r="AC328" s="1068"/>
      <c r="AD328" s="1068"/>
      <c r="AE328" s="1060"/>
      <c r="AF328" s="1044"/>
      <c r="AG328" s="1068"/>
      <c r="AH328" s="1068"/>
      <c r="AI328" s="1068"/>
      <c r="AJ328" s="1068"/>
      <c r="AK328" s="1068"/>
      <c r="AL328" s="1068"/>
      <c r="AM328" s="928"/>
      <c r="AN328" s="1043"/>
      <c r="AO328" s="1041"/>
    </row>
    <row r="329" spans="1:41" ht="12" customHeight="1" x14ac:dyDescent="0.2">
      <c r="A329" s="928"/>
      <c r="B329" s="1443"/>
      <c r="C329" s="928"/>
      <c r="D329" s="1084"/>
      <c r="E329" s="1079"/>
      <c r="F329" s="1079"/>
      <c r="G329" s="1079"/>
      <c r="H329" s="1079"/>
      <c r="I329" s="1079"/>
      <c r="J329" s="1079"/>
      <c r="K329" s="1055"/>
      <c r="L329" s="1084"/>
      <c r="M329" s="1079"/>
      <c r="N329" s="1079"/>
      <c r="O329" s="1079"/>
      <c r="P329" s="1079"/>
      <c r="Q329" s="1079"/>
      <c r="R329" s="1079"/>
      <c r="S329" s="928"/>
      <c r="T329" s="928"/>
      <c r="U329" s="930"/>
      <c r="V329" s="1443"/>
      <c r="W329" s="930"/>
      <c r="X329" s="1044"/>
      <c r="Y329" s="1068"/>
      <c r="Z329" s="1068"/>
      <c r="AA329" s="1068"/>
      <c r="AB329" s="1068"/>
      <c r="AC329" s="1068"/>
      <c r="AD329" s="1068"/>
      <c r="AE329" s="1060"/>
      <c r="AF329" s="1044"/>
      <c r="AG329" s="1068"/>
      <c r="AH329" s="1068"/>
      <c r="AI329" s="1068"/>
      <c r="AJ329" s="1068"/>
      <c r="AK329" s="1068"/>
      <c r="AL329" s="1068"/>
      <c r="AM329" s="928"/>
      <c r="AN329" s="1043"/>
      <c r="AO329" s="1041"/>
    </row>
    <row r="330" spans="1:41" ht="12" customHeight="1" x14ac:dyDescent="0.2">
      <c r="A330" s="928"/>
      <c r="B330" s="1443"/>
      <c r="C330" s="928"/>
      <c r="D330" s="1093"/>
      <c r="E330" s="1070"/>
      <c r="F330" s="1070"/>
      <c r="G330" s="1070"/>
      <c r="H330" s="1070"/>
      <c r="I330" s="1075"/>
      <c r="J330" s="1078"/>
      <c r="K330" s="1055"/>
      <c r="L330" s="1093"/>
      <c r="M330" s="1070"/>
      <c r="N330" s="1070"/>
      <c r="O330" s="1070"/>
      <c r="P330" s="1070"/>
      <c r="Q330" s="1075"/>
      <c r="R330" s="1078"/>
      <c r="S330" s="928"/>
      <c r="T330" s="928"/>
      <c r="U330" s="930"/>
      <c r="V330" s="1443"/>
      <c r="W330" s="930"/>
      <c r="X330" s="1083"/>
      <c r="Y330" s="1064"/>
      <c r="Z330" s="1066"/>
      <c r="AA330" s="1066"/>
      <c r="AB330" s="1066"/>
      <c r="AC330" s="977"/>
      <c r="AD330" s="1065"/>
      <c r="AE330" s="1060"/>
      <c r="AF330" s="1083"/>
      <c r="AG330" s="1064"/>
      <c r="AH330" s="1064"/>
      <c r="AI330" s="1064"/>
      <c r="AJ330" s="1064"/>
      <c r="AK330" s="977"/>
      <c r="AL330" s="1065"/>
      <c r="AM330" s="928"/>
      <c r="AN330" s="1043"/>
      <c r="AO330" s="1041"/>
    </row>
    <row r="331" spans="1:41" ht="12" customHeight="1" x14ac:dyDescent="0.2">
      <c r="A331" s="928"/>
      <c r="B331" s="1443"/>
      <c r="C331" s="928"/>
      <c r="D331" s="928"/>
      <c r="E331" s="928"/>
      <c r="F331" s="928"/>
      <c r="G331" s="928"/>
      <c r="H331" s="928"/>
      <c r="I331" s="928"/>
      <c r="J331" s="928"/>
      <c r="K331" s="928"/>
      <c r="L331" s="928"/>
      <c r="M331" s="928"/>
      <c r="N331" s="928"/>
      <c r="O331" s="928"/>
      <c r="P331" s="928"/>
      <c r="Q331" s="928"/>
      <c r="R331" s="928"/>
      <c r="S331" s="1070"/>
      <c r="T331" s="928"/>
      <c r="U331" s="930"/>
      <c r="V331" s="1443"/>
      <c r="W331" s="930"/>
      <c r="X331" s="930"/>
      <c r="Y331" s="930"/>
      <c r="Z331" s="930"/>
      <c r="AA331" s="930"/>
      <c r="AB331" s="930"/>
      <c r="AC331" s="930"/>
      <c r="AD331" s="930"/>
      <c r="AE331" s="930"/>
      <c r="AF331" s="930"/>
      <c r="AG331" s="930"/>
      <c r="AH331" s="930"/>
      <c r="AI331" s="930"/>
      <c r="AJ331" s="930"/>
      <c r="AK331" s="930"/>
      <c r="AL331" s="930"/>
      <c r="AM331" s="1070"/>
      <c r="AN331" s="1043"/>
      <c r="AO331" s="1041"/>
    </row>
    <row r="332" spans="1:41" ht="12" customHeight="1" x14ac:dyDescent="0.2">
      <c r="A332" s="928"/>
      <c r="B332" s="1443"/>
      <c r="C332" s="928"/>
      <c r="D332" s="928"/>
      <c r="E332" s="928"/>
      <c r="F332" s="928"/>
      <c r="G332" s="928"/>
      <c r="H332" s="928"/>
      <c r="I332" s="928"/>
      <c r="J332" s="928"/>
      <c r="K332" s="928"/>
      <c r="L332" s="928"/>
      <c r="M332" s="928"/>
      <c r="N332" s="928"/>
      <c r="O332" s="928"/>
      <c r="P332" s="928"/>
      <c r="Q332" s="928"/>
      <c r="R332" s="928"/>
      <c r="S332" s="1070"/>
      <c r="T332" s="928"/>
      <c r="U332" s="930"/>
      <c r="V332" s="1443"/>
      <c r="W332" s="930"/>
      <c r="X332" s="930"/>
      <c r="Y332" s="930"/>
      <c r="Z332" s="930"/>
      <c r="AA332" s="930"/>
      <c r="AB332" s="930"/>
      <c r="AC332" s="930"/>
      <c r="AD332" s="930"/>
      <c r="AE332" s="930"/>
      <c r="AF332" s="930"/>
      <c r="AG332" s="930"/>
      <c r="AH332" s="930"/>
      <c r="AI332" s="930"/>
      <c r="AJ332" s="930"/>
      <c r="AK332" s="930"/>
      <c r="AL332" s="930"/>
      <c r="AM332" s="1070"/>
      <c r="AN332" s="1043"/>
      <c r="AO332" s="1041"/>
    </row>
    <row r="333" spans="1:41" ht="12" customHeight="1" x14ac:dyDescent="0.2">
      <c r="A333" s="928"/>
      <c r="B333" s="1443"/>
      <c r="C333" s="928"/>
      <c r="D333" s="928"/>
      <c r="E333" s="928"/>
      <c r="F333" s="928"/>
      <c r="G333" s="928"/>
      <c r="H333" s="928"/>
      <c r="I333" s="928"/>
      <c r="J333" s="928"/>
      <c r="K333" s="928"/>
      <c r="L333" s="928"/>
      <c r="M333" s="928"/>
      <c r="N333" s="928"/>
      <c r="O333" s="928"/>
      <c r="P333" s="928"/>
      <c r="Q333" s="928"/>
      <c r="R333" s="928"/>
      <c r="S333" s="928"/>
      <c r="T333" s="928"/>
      <c r="U333" s="930"/>
      <c r="V333" s="1443"/>
      <c r="W333" s="930"/>
      <c r="X333" s="930"/>
      <c r="Y333" s="930"/>
      <c r="Z333" s="930"/>
      <c r="AA333" s="930"/>
      <c r="AB333" s="930"/>
      <c r="AC333" s="930"/>
      <c r="AD333" s="930"/>
      <c r="AE333" s="930"/>
      <c r="AF333" s="930"/>
      <c r="AG333" s="930"/>
      <c r="AH333" s="930"/>
      <c r="AI333" s="930"/>
      <c r="AJ333" s="930"/>
      <c r="AK333" s="930"/>
      <c r="AL333" s="930"/>
      <c r="AM333" s="928"/>
      <c r="AN333" s="1043"/>
      <c r="AO333" s="1041"/>
    </row>
    <row r="334" spans="1:41" ht="12" customHeight="1" x14ac:dyDescent="0.2">
      <c r="A334" s="928"/>
      <c r="B334" s="1443"/>
      <c r="C334" s="928"/>
      <c r="D334" s="928"/>
      <c r="E334" s="928"/>
      <c r="F334" s="928"/>
      <c r="G334" s="928"/>
      <c r="H334" s="928"/>
      <c r="I334" s="928"/>
      <c r="J334" s="928"/>
      <c r="K334" s="928"/>
      <c r="L334" s="928"/>
      <c r="M334" s="928"/>
      <c r="N334" s="928"/>
      <c r="O334" s="928"/>
      <c r="P334" s="928"/>
      <c r="Q334" s="928"/>
      <c r="R334" s="928"/>
      <c r="S334" s="928"/>
      <c r="T334" s="928"/>
      <c r="U334" s="930"/>
      <c r="V334" s="1443"/>
      <c r="W334" s="930"/>
      <c r="X334" s="930"/>
      <c r="Y334" s="930"/>
      <c r="Z334" s="930"/>
      <c r="AA334" s="930"/>
      <c r="AB334" s="930"/>
      <c r="AC334" s="930"/>
      <c r="AD334" s="930"/>
      <c r="AE334" s="930"/>
      <c r="AF334" s="930"/>
      <c r="AG334" s="930"/>
      <c r="AH334" s="930"/>
      <c r="AI334" s="930"/>
      <c r="AJ334" s="930"/>
      <c r="AK334" s="930"/>
      <c r="AL334" s="930"/>
      <c r="AM334" s="928"/>
      <c r="AN334" s="1043"/>
      <c r="AO334" s="1041"/>
    </row>
    <row r="335" spans="1:41" ht="12" customHeight="1" x14ac:dyDescent="0.2">
      <c r="A335" s="928"/>
      <c r="B335" s="1443"/>
      <c r="C335" s="928"/>
      <c r="D335" s="1084"/>
      <c r="E335" s="1084"/>
      <c r="F335" s="1084"/>
      <c r="G335" s="1084"/>
      <c r="H335" s="1084"/>
      <c r="I335" s="1084"/>
      <c r="J335" s="1084"/>
      <c r="K335" s="1084"/>
      <c r="L335" s="1084"/>
      <c r="M335" s="1084"/>
      <c r="N335" s="1084"/>
      <c r="O335" s="1084"/>
      <c r="P335" s="1084"/>
      <c r="Q335" s="1084"/>
      <c r="R335" s="1084"/>
      <c r="S335" s="928"/>
      <c r="T335" s="928"/>
      <c r="U335" s="930"/>
      <c r="V335" s="1443"/>
      <c r="W335" s="930"/>
      <c r="X335" s="1044"/>
      <c r="Y335" s="1044"/>
      <c r="Z335" s="1044"/>
      <c r="AA335" s="1044"/>
      <c r="AB335" s="1044"/>
      <c r="AC335" s="1044"/>
      <c r="AD335" s="1044"/>
      <c r="AE335" s="1044"/>
      <c r="AF335" s="1044"/>
      <c r="AG335" s="1044"/>
      <c r="AH335" s="1044"/>
      <c r="AI335" s="1044"/>
      <c r="AJ335" s="1044"/>
      <c r="AK335" s="1044"/>
      <c r="AL335" s="1044"/>
      <c r="AM335" s="928"/>
      <c r="AN335" s="1043"/>
      <c r="AO335" s="1041"/>
    </row>
    <row r="336" spans="1:41" ht="12" customHeight="1" x14ac:dyDescent="0.2">
      <c r="A336" s="928"/>
      <c r="B336" s="1443"/>
      <c r="C336" s="928"/>
      <c r="D336" s="1084"/>
      <c r="E336" s="1084"/>
      <c r="F336" s="1084"/>
      <c r="G336" s="1084"/>
      <c r="H336" s="1084"/>
      <c r="I336" s="1084"/>
      <c r="J336" s="1084"/>
      <c r="K336" s="1085"/>
      <c r="L336" s="1054"/>
      <c r="M336" s="1054"/>
      <c r="N336" s="1054"/>
      <c r="O336" s="1054"/>
      <c r="P336" s="1054"/>
      <c r="Q336" s="1054"/>
      <c r="R336" s="1076"/>
      <c r="S336" s="928"/>
      <c r="T336" s="928"/>
      <c r="U336" s="930"/>
      <c r="V336" s="1443"/>
      <c r="W336" s="930"/>
      <c r="X336" s="1044"/>
      <c r="Y336" s="1044"/>
      <c r="Z336" s="1044"/>
      <c r="AA336" s="1044"/>
      <c r="AB336" s="1044"/>
      <c r="AC336" s="1044"/>
      <c r="AD336" s="1044"/>
      <c r="AE336" s="1045"/>
      <c r="AF336" s="1046"/>
      <c r="AG336" s="1046"/>
      <c r="AH336" s="1046"/>
      <c r="AI336" s="1046"/>
      <c r="AJ336" s="1046"/>
      <c r="AK336" s="1046"/>
      <c r="AL336" s="1047"/>
      <c r="AM336" s="928"/>
      <c r="AN336" s="1043"/>
      <c r="AO336" s="1041"/>
    </row>
    <row r="337" spans="1:41" ht="12" customHeight="1" x14ac:dyDescent="0.2">
      <c r="A337" s="928"/>
      <c r="B337" s="1443"/>
      <c r="C337" s="928"/>
      <c r="D337" s="1084"/>
      <c r="E337" s="1084"/>
      <c r="F337" s="1084"/>
      <c r="G337" s="1084"/>
      <c r="H337" s="1084"/>
      <c r="I337" s="1084"/>
      <c r="J337" s="1084"/>
      <c r="K337" s="1054"/>
      <c r="L337" s="1054"/>
      <c r="M337" s="1054"/>
      <c r="N337" s="1054"/>
      <c r="O337" s="1054"/>
      <c r="P337" s="1054"/>
      <c r="Q337" s="1054"/>
      <c r="R337" s="1084"/>
      <c r="S337" s="928"/>
      <c r="T337" s="928"/>
      <c r="U337" s="930"/>
      <c r="V337" s="1443"/>
      <c r="W337" s="930"/>
      <c r="X337" s="1044"/>
      <c r="Y337" s="1044"/>
      <c r="Z337" s="1044"/>
      <c r="AA337" s="1044"/>
      <c r="AB337" s="1044"/>
      <c r="AC337" s="1044"/>
      <c r="AD337" s="1044"/>
      <c r="AE337" s="1046"/>
      <c r="AF337" s="1046"/>
      <c r="AG337" s="1046"/>
      <c r="AH337" s="1046"/>
      <c r="AI337" s="1046"/>
      <c r="AJ337" s="1046"/>
      <c r="AK337" s="1046"/>
      <c r="AL337" s="1044"/>
      <c r="AM337" s="928"/>
      <c r="AN337" s="1043"/>
      <c r="AO337" s="1041"/>
    </row>
    <row r="338" spans="1:41" ht="12" customHeight="1" x14ac:dyDescent="0.2">
      <c r="A338" s="928"/>
      <c r="B338" s="1443"/>
      <c r="C338" s="928"/>
      <c r="D338" s="1084"/>
      <c r="E338" s="1084"/>
      <c r="F338" s="1084"/>
      <c r="G338" s="1084"/>
      <c r="H338" s="1084"/>
      <c r="I338" s="1084"/>
      <c r="J338" s="1084"/>
      <c r="K338" s="1085"/>
      <c r="L338" s="1054"/>
      <c r="M338" s="1054"/>
      <c r="N338" s="1054"/>
      <c r="O338" s="1054"/>
      <c r="P338" s="1054"/>
      <c r="Q338" s="1054"/>
      <c r="R338" s="1084"/>
      <c r="S338" s="928"/>
      <c r="T338" s="928"/>
      <c r="U338" s="930"/>
      <c r="V338" s="1443"/>
      <c r="W338" s="930"/>
      <c r="X338" s="1044"/>
      <c r="Y338" s="1044"/>
      <c r="Z338" s="1044"/>
      <c r="AA338" s="1044"/>
      <c r="AB338" s="1044"/>
      <c r="AC338" s="1044"/>
      <c r="AD338" s="1044"/>
      <c r="AE338" s="1045"/>
      <c r="AF338" s="1046"/>
      <c r="AG338" s="1046"/>
      <c r="AH338" s="1046"/>
      <c r="AI338" s="1046"/>
      <c r="AJ338" s="1046"/>
      <c r="AK338" s="1046"/>
      <c r="AL338" s="1044"/>
      <c r="AM338" s="928"/>
      <c r="AN338" s="1043"/>
      <c r="AO338" s="1041"/>
    </row>
    <row r="339" spans="1:41" ht="12" customHeight="1" x14ac:dyDescent="0.2">
      <c r="A339" s="928"/>
      <c r="B339" s="1443"/>
      <c r="C339" s="928"/>
      <c r="D339" s="1084"/>
      <c r="E339" s="1084"/>
      <c r="F339" s="1084"/>
      <c r="G339" s="1084"/>
      <c r="H339" s="1084"/>
      <c r="I339" s="1084"/>
      <c r="J339" s="1084"/>
      <c r="K339" s="1054"/>
      <c r="L339" s="1054"/>
      <c r="M339" s="1054"/>
      <c r="N339" s="1054"/>
      <c r="O339" s="1054"/>
      <c r="P339" s="1054"/>
      <c r="Q339" s="1054"/>
      <c r="R339" s="1084"/>
      <c r="S339" s="928"/>
      <c r="T339" s="928"/>
      <c r="U339" s="930"/>
      <c r="V339" s="1443"/>
      <c r="W339" s="930"/>
      <c r="X339" s="1044"/>
      <c r="Y339" s="1044"/>
      <c r="Z339" s="1044"/>
      <c r="AA339" s="1044"/>
      <c r="AB339" s="1044"/>
      <c r="AC339" s="1044"/>
      <c r="AD339" s="1044"/>
      <c r="AE339" s="1046"/>
      <c r="AF339" s="1046"/>
      <c r="AG339" s="1046"/>
      <c r="AH339" s="1046"/>
      <c r="AI339" s="1046"/>
      <c r="AJ339" s="1046"/>
      <c r="AK339" s="1046"/>
      <c r="AL339" s="1044"/>
      <c r="AM339" s="928"/>
      <c r="AN339" s="1043"/>
      <c r="AO339" s="1041"/>
    </row>
    <row r="340" spans="1:41" ht="12" customHeight="1" x14ac:dyDescent="0.2">
      <c r="A340" s="928"/>
      <c r="B340" s="1443"/>
      <c r="C340" s="928"/>
      <c r="D340" s="1084"/>
      <c r="E340" s="1084"/>
      <c r="F340" s="1084"/>
      <c r="G340" s="1084"/>
      <c r="H340" s="1084"/>
      <c r="I340" s="1084"/>
      <c r="J340" s="1084"/>
      <c r="K340" s="1084"/>
      <c r="L340" s="1084"/>
      <c r="M340" s="1084"/>
      <c r="N340" s="1084"/>
      <c r="O340" s="1084"/>
      <c r="P340" s="1084"/>
      <c r="Q340" s="1084"/>
      <c r="R340" s="1084"/>
      <c r="S340" s="928"/>
      <c r="T340" s="928"/>
      <c r="U340" s="930"/>
      <c r="V340" s="1443"/>
      <c r="W340" s="930"/>
      <c r="X340" s="1044"/>
      <c r="Y340" s="1044"/>
      <c r="Z340" s="1044"/>
      <c r="AA340" s="1044"/>
      <c r="AB340" s="1044"/>
      <c r="AC340" s="1044"/>
      <c r="AD340" s="1044"/>
      <c r="AE340" s="1044"/>
      <c r="AF340" s="1044"/>
      <c r="AG340" s="1044"/>
      <c r="AH340" s="1044"/>
      <c r="AI340" s="1044"/>
      <c r="AJ340" s="1044"/>
      <c r="AK340" s="1044"/>
      <c r="AL340" s="1044"/>
      <c r="AM340" s="928"/>
      <c r="AN340" s="1043"/>
      <c r="AO340" s="1041"/>
    </row>
    <row r="341" spans="1:41" ht="12" customHeight="1" x14ac:dyDescent="0.2">
      <c r="A341" s="928"/>
      <c r="B341" s="1443"/>
      <c r="C341" s="928"/>
      <c r="D341" s="928"/>
      <c r="E341" s="928"/>
      <c r="F341" s="928"/>
      <c r="G341" s="928"/>
      <c r="H341" s="928"/>
      <c r="I341" s="928"/>
      <c r="J341" s="928"/>
      <c r="K341" s="928"/>
      <c r="L341" s="928"/>
      <c r="M341" s="928"/>
      <c r="N341" s="928"/>
      <c r="O341" s="928"/>
      <c r="P341" s="928"/>
      <c r="Q341" s="928"/>
      <c r="R341" s="928"/>
      <c r="S341" s="928"/>
      <c r="T341" s="928"/>
      <c r="U341" s="930"/>
      <c r="V341" s="1443"/>
      <c r="W341" s="930"/>
      <c r="X341" s="930"/>
      <c r="Y341" s="930"/>
      <c r="Z341" s="930"/>
      <c r="AA341" s="930"/>
      <c r="AB341" s="930"/>
      <c r="AC341" s="930"/>
      <c r="AD341" s="930"/>
      <c r="AE341" s="930"/>
      <c r="AF341" s="930"/>
      <c r="AG341" s="930"/>
      <c r="AH341" s="930"/>
      <c r="AI341" s="930"/>
      <c r="AJ341" s="930"/>
      <c r="AK341" s="930"/>
      <c r="AL341" s="930"/>
      <c r="AM341" s="928"/>
      <c r="AN341" s="1043"/>
      <c r="AO341" s="1041"/>
    </row>
    <row r="342" spans="1:41" ht="12" customHeight="1" x14ac:dyDescent="0.2">
      <c r="A342" s="928"/>
      <c r="B342" s="1443"/>
      <c r="C342" s="928"/>
      <c r="D342" s="1089"/>
      <c r="E342" s="1089"/>
      <c r="F342" s="1055"/>
      <c r="G342" s="1055"/>
      <c r="H342" s="1055"/>
      <c r="I342" s="1055"/>
      <c r="J342" s="1080"/>
      <c r="K342" s="928"/>
      <c r="L342" s="1089"/>
      <c r="M342" s="1089"/>
      <c r="N342" s="1055"/>
      <c r="O342" s="1055"/>
      <c r="P342" s="1055"/>
      <c r="Q342" s="1055"/>
      <c r="R342" s="1080"/>
      <c r="S342" s="928"/>
      <c r="T342" s="928"/>
      <c r="U342" s="930"/>
      <c r="V342" s="1443"/>
      <c r="W342" s="930"/>
      <c r="X342" s="1048"/>
      <c r="Y342" s="1048"/>
      <c r="Z342" s="1049"/>
      <c r="AA342" s="1049"/>
      <c r="AB342" s="1049"/>
      <c r="AC342" s="1049"/>
      <c r="AD342" s="1050"/>
      <c r="AE342" s="930"/>
      <c r="AF342" s="1048"/>
      <c r="AG342" s="1048"/>
      <c r="AH342" s="1049"/>
      <c r="AI342" s="1049"/>
      <c r="AJ342" s="1049"/>
      <c r="AK342" s="1049"/>
      <c r="AL342" s="1050"/>
      <c r="AM342" s="928"/>
      <c r="AN342" s="1043"/>
      <c r="AO342" s="1041"/>
    </row>
    <row r="343" spans="1:41" ht="12" customHeight="1" x14ac:dyDescent="0.2">
      <c r="A343" s="928"/>
      <c r="B343" s="1443"/>
      <c r="C343" s="928"/>
      <c r="D343" s="1090"/>
      <c r="E343" s="1090"/>
      <c r="F343" s="1055"/>
      <c r="G343" s="1055"/>
      <c r="H343" s="1055"/>
      <c r="I343" s="1055"/>
      <c r="J343" s="1057"/>
      <c r="K343" s="1058"/>
      <c r="L343" s="1090"/>
      <c r="M343" s="1090"/>
      <c r="N343" s="1055"/>
      <c r="O343" s="1055"/>
      <c r="P343" s="1055"/>
      <c r="Q343" s="1055"/>
      <c r="R343" s="1057"/>
      <c r="S343" s="928"/>
      <c r="T343" s="928"/>
      <c r="U343" s="930"/>
      <c r="V343" s="1443"/>
      <c r="W343" s="930"/>
      <c r="X343" s="1051"/>
      <c r="Y343" s="1051"/>
      <c r="Z343" s="1049"/>
      <c r="AA343" s="1049"/>
      <c r="AB343" s="1049"/>
      <c r="AC343" s="1049"/>
      <c r="AD343" s="1052"/>
      <c r="AE343" s="1053"/>
      <c r="AF343" s="1051"/>
      <c r="AG343" s="1051"/>
      <c r="AH343" s="1049"/>
      <c r="AI343" s="1049"/>
      <c r="AJ343" s="1049"/>
      <c r="AK343" s="1049"/>
      <c r="AL343" s="1052"/>
      <c r="AM343" s="928"/>
      <c r="AN343" s="1043"/>
      <c r="AO343" s="1041"/>
    </row>
    <row r="344" spans="1:41" ht="12" customHeight="1" x14ac:dyDescent="0.2">
      <c r="A344" s="928"/>
      <c r="B344" s="1443"/>
      <c r="C344" s="928"/>
      <c r="D344" s="1054"/>
      <c r="E344" s="1054"/>
      <c r="F344" s="1055"/>
      <c r="G344" s="1055"/>
      <c r="H344" s="1055"/>
      <c r="I344" s="1056"/>
      <c r="J344" s="1057"/>
      <c r="K344" s="1058"/>
      <c r="L344" s="1054"/>
      <c r="M344" s="1054"/>
      <c r="N344" s="1055"/>
      <c r="O344" s="1055"/>
      <c r="P344" s="1055"/>
      <c r="Q344" s="1056"/>
      <c r="R344" s="1057"/>
      <c r="S344" s="928"/>
      <c r="T344" s="928"/>
      <c r="U344" s="930"/>
      <c r="V344" s="1443"/>
      <c r="W344" s="930"/>
      <c r="X344" s="1059"/>
      <c r="Y344" s="1059"/>
      <c r="Z344" s="1060"/>
      <c r="AA344" s="1060"/>
      <c r="AB344" s="1060"/>
      <c r="AC344" s="1061"/>
      <c r="AD344" s="1052"/>
      <c r="AE344" s="1053"/>
      <c r="AF344" s="1059"/>
      <c r="AG344" s="1059"/>
      <c r="AH344" s="1060"/>
      <c r="AI344" s="1060"/>
      <c r="AJ344" s="1060"/>
      <c r="AK344" s="1061"/>
      <c r="AL344" s="1052"/>
      <c r="AM344" s="928"/>
      <c r="AN344" s="1043"/>
      <c r="AO344" s="1041"/>
    </row>
    <row r="345" spans="1:41" ht="12" customHeight="1" x14ac:dyDescent="0.2">
      <c r="A345" s="928"/>
      <c r="B345" s="1443"/>
      <c r="C345" s="928"/>
      <c r="D345" s="928"/>
      <c r="E345" s="1076"/>
      <c r="F345" s="1076"/>
      <c r="G345" s="1076"/>
      <c r="H345" s="1076"/>
      <c r="I345" s="1076"/>
      <c r="J345" s="1076"/>
      <c r="K345" s="1058"/>
      <c r="L345" s="928"/>
      <c r="M345" s="1076"/>
      <c r="N345" s="1076"/>
      <c r="O345" s="1076"/>
      <c r="P345" s="1076"/>
      <c r="Q345" s="1076"/>
      <c r="R345" s="1076"/>
      <c r="S345" s="928"/>
      <c r="T345" s="928"/>
      <c r="U345" s="930"/>
      <c r="V345" s="1443"/>
      <c r="W345" s="930"/>
      <c r="X345" s="930"/>
      <c r="Y345" s="1062"/>
      <c r="Z345" s="1062"/>
      <c r="AA345" s="1062"/>
      <c r="AB345" s="1062"/>
      <c r="AC345" s="1062"/>
      <c r="AD345" s="1062"/>
      <c r="AE345" s="1053"/>
      <c r="AF345" s="930"/>
      <c r="AG345" s="1062"/>
      <c r="AH345" s="1062"/>
      <c r="AI345" s="1062"/>
      <c r="AJ345" s="1062"/>
      <c r="AK345" s="1062"/>
      <c r="AL345" s="1062"/>
      <c r="AM345" s="928"/>
      <c r="AN345" s="1043"/>
      <c r="AO345" s="1041"/>
    </row>
    <row r="346" spans="1:41" ht="12" customHeight="1" x14ac:dyDescent="0.2">
      <c r="A346" s="928"/>
      <c r="B346" s="1443"/>
      <c r="C346" s="928"/>
      <c r="D346" s="1054"/>
      <c r="E346" s="1077"/>
      <c r="F346" s="1077"/>
      <c r="G346" s="1077"/>
      <c r="H346" s="1077"/>
      <c r="I346" s="1077"/>
      <c r="J346" s="1077"/>
      <c r="K346" s="1070"/>
      <c r="L346" s="1054"/>
      <c r="M346" s="1077"/>
      <c r="N346" s="1077"/>
      <c r="O346" s="1077"/>
      <c r="P346" s="1077"/>
      <c r="Q346" s="1077"/>
      <c r="R346" s="1077"/>
      <c r="S346" s="928"/>
      <c r="T346" s="928"/>
      <c r="U346" s="930"/>
      <c r="V346" s="1443"/>
      <c r="W346" s="930"/>
      <c r="X346" s="1059"/>
      <c r="Y346" s="1063"/>
      <c r="Z346" s="1063"/>
      <c r="AA346" s="1063"/>
      <c r="AB346" s="1063"/>
      <c r="AC346" s="1063"/>
      <c r="AD346" s="1063"/>
      <c r="AE346" s="1064"/>
      <c r="AF346" s="1059"/>
      <c r="AG346" s="1063"/>
      <c r="AH346" s="1063"/>
      <c r="AI346" s="1063"/>
      <c r="AJ346" s="1063"/>
      <c r="AK346" s="1063"/>
      <c r="AL346" s="1063"/>
      <c r="AM346" s="928"/>
      <c r="AN346" s="1043"/>
      <c r="AO346" s="1041"/>
    </row>
    <row r="347" spans="1:41" ht="12" customHeight="1" x14ac:dyDescent="0.2">
      <c r="A347" s="928"/>
      <c r="B347" s="1443"/>
      <c r="C347" s="928"/>
      <c r="D347" s="1054"/>
      <c r="E347" s="1077"/>
      <c r="F347" s="1077"/>
      <c r="G347" s="1077"/>
      <c r="H347" s="1077"/>
      <c r="I347" s="1077"/>
      <c r="J347" s="1077"/>
      <c r="K347" s="1075"/>
      <c r="L347" s="1054"/>
      <c r="M347" s="1077"/>
      <c r="N347" s="1077"/>
      <c r="O347" s="1077"/>
      <c r="P347" s="1077"/>
      <c r="Q347" s="1077"/>
      <c r="R347" s="1077"/>
      <c r="S347" s="928"/>
      <c r="T347" s="928"/>
      <c r="U347" s="930"/>
      <c r="V347" s="1443"/>
      <c r="W347" s="930"/>
      <c r="X347" s="1059"/>
      <c r="Y347" s="1063"/>
      <c r="Z347" s="1063"/>
      <c r="AA347" s="1063"/>
      <c r="AB347" s="1063"/>
      <c r="AC347" s="1063"/>
      <c r="AD347" s="1063"/>
      <c r="AE347" s="977"/>
      <c r="AF347" s="1059"/>
      <c r="AG347" s="1063"/>
      <c r="AH347" s="1063"/>
      <c r="AI347" s="1063"/>
      <c r="AJ347" s="1063"/>
      <c r="AK347" s="1063"/>
      <c r="AL347" s="1063"/>
      <c r="AM347" s="928"/>
      <c r="AN347" s="1043"/>
      <c r="AO347" s="1041"/>
    </row>
    <row r="348" spans="1:41" ht="12" customHeight="1" x14ac:dyDescent="0.2">
      <c r="A348" s="928"/>
      <c r="B348" s="1443"/>
      <c r="C348" s="928"/>
      <c r="D348" s="1075"/>
      <c r="E348" s="1078"/>
      <c r="F348" s="1078"/>
      <c r="G348" s="1078"/>
      <c r="H348" s="1078"/>
      <c r="I348" s="1078"/>
      <c r="J348" s="1078"/>
      <c r="K348" s="1070"/>
      <c r="L348" s="1075"/>
      <c r="M348" s="1078"/>
      <c r="N348" s="1078"/>
      <c r="O348" s="1078"/>
      <c r="P348" s="1078"/>
      <c r="Q348" s="1078"/>
      <c r="R348" s="1078"/>
      <c r="S348" s="928"/>
      <c r="T348" s="928"/>
      <c r="U348" s="930"/>
      <c r="V348" s="1443"/>
      <c r="W348" s="930"/>
      <c r="X348" s="977"/>
      <c r="Y348" s="1065"/>
      <c r="Z348" s="1065"/>
      <c r="AA348" s="1065"/>
      <c r="AB348" s="1065"/>
      <c r="AC348" s="1065"/>
      <c r="AD348" s="1065"/>
      <c r="AE348" s="1066"/>
      <c r="AF348" s="977"/>
      <c r="AG348" s="1065"/>
      <c r="AH348" s="1065"/>
      <c r="AI348" s="1065"/>
      <c r="AJ348" s="1065"/>
      <c r="AK348" s="1065"/>
      <c r="AL348" s="1065"/>
      <c r="AM348" s="928"/>
      <c r="AN348" s="1043"/>
      <c r="AO348" s="1041"/>
    </row>
    <row r="349" spans="1:41" ht="12" customHeight="1" x14ac:dyDescent="0.2">
      <c r="A349" s="928"/>
      <c r="B349" s="1443"/>
      <c r="C349" s="928"/>
      <c r="D349" s="1086"/>
      <c r="E349" s="1079"/>
      <c r="F349" s="1079"/>
      <c r="G349" s="1079"/>
      <c r="H349" s="1079"/>
      <c r="I349" s="1079"/>
      <c r="J349" s="1079"/>
      <c r="K349" s="1070"/>
      <c r="L349" s="1086"/>
      <c r="M349" s="1079"/>
      <c r="N349" s="1079"/>
      <c r="O349" s="1079"/>
      <c r="P349" s="1079"/>
      <c r="Q349" s="1079"/>
      <c r="R349" s="1079"/>
      <c r="S349" s="928"/>
      <c r="T349" s="928"/>
      <c r="U349" s="930"/>
      <c r="V349" s="1443"/>
      <c r="W349" s="930"/>
      <c r="X349" s="1067"/>
      <c r="Y349" s="1068"/>
      <c r="Z349" s="1068"/>
      <c r="AA349" s="1068"/>
      <c r="AB349" s="1068"/>
      <c r="AC349" s="1068"/>
      <c r="AD349" s="1068"/>
      <c r="AE349" s="1066"/>
      <c r="AF349" s="1067"/>
      <c r="AG349" s="1068"/>
      <c r="AH349" s="1068"/>
      <c r="AI349" s="1068"/>
      <c r="AJ349" s="1068"/>
      <c r="AK349" s="1068"/>
      <c r="AL349" s="1068"/>
      <c r="AM349" s="928"/>
      <c r="AN349" s="1043"/>
      <c r="AO349" s="1041"/>
    </row>
    <row r="350" spans="1:41" ht="12" customHeight="1" x14ac:dyDescent="0.2">
      <c r="A350" s="928"/>
      <c r="B350" s="1443"/>
      <c r="C350" s="928"/>
      <c r="D350" s="1084"/>
      <c r="E350" s="1079"/>
      <c r="F350" s="1079"/>
      <c r="G350" s="1079"/>
      <c r="H350" s="1079"/>
      <c r="I350" s="1079"/>
      <c r="J350" s="1079"/>
      <c r="K350" s="1070"/>
      <c r="L350" s="1084"/>
      <c r="M350" s="1079"/>
      <c r="N350" s="1079"/>
      <c r="O350" s="1079"/>
      <c r="P350" s="1079"/>
      <c r="Q350" s="1079"/>
      <c r="R350" s="1079"/>
      <c r="S350" s="928"/>
      <c r="T350" s="928"/>
      <c r="U350" s="930"/>
      <c r="V350" s="1443"/>
      <c r="W350" s="930"/>
      <c r="X350" s="1044"/>
      <c r="Y350" s="1068"/>
      <c r="Z350" s="1068"/>
      <c r="AA350" s="1068"/>
      <c r="AB350" s="1068"/>
      <c r="AC350" s="1068"/>
      <c r="AD350" s="1068"/>
      <c r="AE350" s="1066"/>
      <c r="AF350" s="1044"/>
      <c r="AG350" s="1068"/>
      <c r="AH350" s="1068"/>
      <c r="AI350" s="1068"/>
      <c r="AJ350" s="1068"/>
      <c r="AK350" s="1068"/>
      <c r="AL350" s="1068"/>
      <c r="AM350" s="928"/>
      <c r="AN350" s="1043"/>
      <c r="AO350" s="1041"/>
    </row>
    <row r="351" spans="1:41" ht="12" customHeight="1" x14ac:dyDescent="0.2">
      <c r="A351" s="928"/>
      <c r="B351" s="1443"/>
      <c r="C351" s="928"/>
      <c r="D351" s="1084"/>
      <c r="E351" s="1079"/>
      <c r="F351" s="1079"/>
      <c r="G351" s="1079"/>
      <c r="H351" s="1079"/>
      <c r="I351" s="1079"/>
      <c r="J351" s="1079"/>
      <c r="K351" s="1070"/>
      <c r="L351" s="1084"/>
      <c r="M351" s="1079"/>
      <c r="N351" s="1079"/>
      <c r="O351" s="1079"/>
      <c r="P351" s="1079"/>
      <c r="Q351" s="1079"/>
      <c r="R351" s="1079"/>
      <c r="S351" s="928"/>
      <c r="T351" s="928"/>
      <c r="U351" s="930"/>
      <c r="V351" s="1443"/>
      <c r="W351" s="930"/>
      <c r="X351" s="1044"/>
      <c r="Y351" s="1068"/>
      <c r="Z351" s="1068"/>
      <c r="AA351" s="1068"/>
      <c r="AB351" s="1068"/>
      <c r="AC351" s="1068"/>
      <c r="AD351" s="1068"/>
      <c r="AE351" s="1066"/>
      <c r="AF351" s="1044"/>
      <c r="AG351" s="1068"/>
      <c r="AH351" s="1068"/>
      <c r="AI351" s="1068"/>
      <c r="AJ351" s="1068"/>
      <c r="AK351" s="1068"/>
      <c r="AL351" s="1068"/>
      <c r="AM351" s="928"/>
      <c r="AN351" s="1043"/>
      <c r="AO351" s="1041"/>
    </row>
    <row r="352" spans="1:41" ht="12" customHeight="1" x14ac:dyDescent="0.2">
      <c r="A352" s="928"/>
      <c r="B352" s="1443"/>
      <c r="C352" s="928"/>
      <c r="D352" s="1084"/>
      <c r="E352" s="1084"/>
      <c r="F352" s="1084"/>
      <c r="G352" s="1084"/>
      <c r="H352" s="1084"/>
      <c r="I352" s="1084"/>
      <c r="J352" s="1084"/>
      <c r="K352" s="1070"/>
      <c r="L352" s="1070"/>
      <c r="M352" s="1070"/>
      <c r="N352" s="1087"/>
      <c r="O352" s="1070"/>
      <c r="P352" s="1070"/>
      <c r="Q352" s="1070"/>
      <c r="R352" s="1070"/>
      <c r="S352" s="928"/>
      <c r="T352" s="928"/>
      <c r="U352" s="930"/>
      <c r="V352" s="1443"/>
      <c r="W352" s="930"/>
      <c r="X352" s="1044"/>
      <c r="Y352" s="1044"/>
      <c r="Z352" s="1044"/>
      <c r="AA352" s="1044"/>
      <c r="AB352" s="1044"/>
      <c r="AC352" s="1044"/>
      <c r="AD352" s="1044"/>
      <c r="AE352" s="1066"/>
      <c r="AF352" s="1066"/>
      <c r="AG352" s="1064"/>
      <c r="AH352" s="1069"/>
      <c r="AI352" s="1066"/>
      <c r="AJ352" s="1066"/>
      <c r="AK352" s="1066"/>
      <c r="AL352" s="1066"/>
      <c r="AM352" s="928"/>
      <c r="AN352" s="1043"/>
      <c r="AO352" s="1041"/>
    </row>
    <row r="353" spans="1:41" ht="12" customHeight="1" x14ac:dyDescent="0.2">
      <c r="A353" s="928"/>
      <c r="B353" s="1443"/>
      <c r="C353" s="928"/>
      <c r="D353" s="1089"/>
      <c r="E353" s="1089"/>
      <c r="F353" s="1055"/>
      <c r="G353" s="1055"/>
      <c r="H353" s="1055"/>
      <c r="I353" s="1055"/>
      <c r="J353" s="1080"/>
      <c r="K353" s="1070"/>
      <c r="L353" s="1089"/>
      <c r="M353" s="1089"/>
      <c r="N353" s="1055"/>
      <c r="O353" s="1055"/>
      <c r="P353" s="1055"/>
      <c r="Q353" s="1055"/>
      <c r="R353" s="1080"/>
      <c r="S353" s="928"/>
      <c r="T353" s="928"/>
      <c r="U353" s="930"/>
      <c r="V353" s="1443"/>
      <c r="W353" s="930"/>
      <c r="X353" s="1048"/>
      <c r="Y353" s="1048"/>
      <c r="Z353" s="1049"/>
      <c r="AA353" s="1049"/>
      <c r="AB353" s="1049"/>
      <c r="AC353" s="1049"/>
      <c r="AD353" s="1050"/>
      <c r="AE353" s="1066"/>
      <c r="AF353" s="1048"/>
      <c r="AG353" s="1048"/>
      <c r="AH353" s="1049"/>
      <c r="AI353" s="1049"/>
      <c r="AJ353" s="1049"/>
      <c r="AK353" s="1049"/>
      <c r="AL353" s="1050"/>
      <c r="AM353" s="928"/>
      <c r="AN353" s="1043"/>
      <c r="AO353" s="1041"/>
    </row>
    <row r="354" spans="1:41" ht="12" customHeight="1" x14ac:dyDescent="0.2">
      <c r="A354" s="928"/>
      <c r="B354" s="1443"/>
      <c r="C354" s="928"/>
      <c r="D354" s="1090"/>
      <c r="E354" s="1090"/>
      <c r="F354" s="1055"/>
      <c r="G354" s="1055"/>
      <c r="H354" s="1055"/>
      <c r="I354" s="1055"/>
      <c r="J354" s="1057"/>
      <c r="K354" s="1070"/>
      <c r="L354" s="1090"/>
      <c r="M354" s="1090"/>
      <c r="N354" s="1055"/>
      <c r="O354" s="1055"/>
      <c r="P354" s="1055"/>
      <c r="Q354" s="1055"/>
      <c r="R354" s="1057"/>
      <c r="S354" s="928"/>
      <c r="T354" s="928"/>
      <c r="U354" s="930"/>
      <c r="V354" s="1443"/>
      <c r="W354" s="930"/>
      <c r="X354" s="1051"/>
      <c r="Y354" s="1051"/>
      <c r="Z354" s="1049"/>
      <c r="AA354" s="1049"/>
      <c r="AB354" s="1049"/>
      <c r="AC354" s="1049"/>
      <c r="AD354" s="1052"/>
      <c r="AE354" s="1066"/>
      <c r="AF354" s="1051"/>
      <c r="AG354" s="1051"/>
      <c r="AH354" s="1049"/>
      <c r="AI354" s="1049"/>
      <c r="AJ354" s="1049"/>
      <c r="AK354" s="1049"/>
      <c r="AL354" s="1052"/>
      <c r="AM354" s="928"/>
      <c r="AN354" s="1043"/>
      <c r="AO354" s="1041"/>
    </row>
    <row r="355" spans="1:41" ht="12" customHeight="1" x14ac:dyDescent="0.2">
      <c r="A355" s="928"/>
      <c r="B355" s="1443"/>
      <c r="C355" s="928"/>
      <c r="D355" s="1054"/>
      <c r="E355" s="1054"/>
      <c r="F355" s="1055"/>
      <c r="G355" s="1055"/>
      <c r="H355" s="1055"/>
      <c r="I355" s="1056"/>
      <c r="J355" s="1057"/>
      <c r="K355" s="1070"/>
      <c r="L355" s="1054"/>
      <c r="M355" s="1054"/>
      <c r="N355" s="1055"/>
      <c r="O355" s="1055"/>
      <c r="P355" s="1055"/>
      <c r="Q355" s="1056"/>
      <c r="R355" s="1057"/>
      <c r="S355" s="928"/>
      <c r="T355" s="928"/>
      <c r="U355" s="930"/>
      <c r="V355" s="1443"/>
      <c r="W355" s="930"/>
      <c r="X355" s="1059"/>
      <c r="Y355" s="1059"/>
      <c r="Z355" s="1060"/>
      <c r="AA355" s="1060"/>
      <c r="AB355" s="1060"/>
      <c r="AC355" s="1061"/>
      <c r="AD355" s="1052"/>
      <c r="AE355" s="1066"/>
      <c r="AF355" s="1059"/>
      <c r="AG355" s="1059"/>
      <c r="AH355" s="1060"/>
      <c r="AI355" s="1060"/>
      <c r="AJ355" s="1060"/>
      <c r="AK355" s="1061"/>
      <c r="AL355" s="1052"/>
      <c r="AM355" s="928"/>
      <c r="AN355" s="1043"/>
      <c r="AO355" s="1041"/>
    </row>
    <row r="356" spans="1:41" ht="12" customHeight="1" x14ac:dyDescent="0.2">
      <c r="A356" s="928"/>
      <c r="B356" s="1443"/>
      <c r="C356" s="928"/>
      <c r="D356" s="928"/>
      <c r="E356" s="1076"/>
      <c r="F356" s="1076"/>
      <c r="G356" s="1076"/>
      <c r="H356" s="1076"/>
      <c r="I356" s="1076"/>
      <c r="J356" s="1076"/>
      <c r="K356" s="1070"/>
      <c r="L356" s="928"/>
      <c r="M356" s="1076"/>
      <c r="N356" s="1076"/>
      <c r="O356" s="1076"/>
      <c r="P356" s="1076"/>
      <c r="Q356" s="1076"/>
      <c r="R356" s="1076"/>
      <c r="S356" s="928"/>
      <c r="T356" s="928"/>
      <c r="U356" s="930"/>
      <c r="V356" s="1443"/>
      <c r="W356" s="930"/>
      <c r="X356" s="930"/>
      <c r="Y356" s="1062"/>
      <c r="Z356" s="1062"/>
      <c r="AA356" s="1062"/>
      <c r="AB356" s="1062"/>
      <c r="AC356" s="1062"/>
      <c r="AD356" s="1062"/>
      <c r="AE356" s="1066"/>
      <c r="AF356" s="930"/>
      <c r="AG356" s="1062"/>
      <c r="AH356" s="1062"/>
      <c r="AI356" s="1062"/>
      <c r="AJ356" s="1062"/>
      <c r="AK356" s="1062"/>
      <c r="AL356" s="1062"/>
      <c r="AM356" s="928"/>
      <c r="AN356" s="1043"/>
      <c r="AO356" s="1041"/>
    </row>
    <row r="357" spans="1:41" ht="12" customHeight="1" x14ac:dyDescent="0.2">
      <c r="A357" s="928"/>
      <c r="B357" s="1443"/>
      <c r="C357" s="928"/>
      <c r="D357" s="1054"/>
      <c r="E357" s="1077"/>
      <c r="F357" s="1077"/>
      <c r="G357" s="1077"/>
      <c r="H357" s="1077"/>
      <c r="I357" s="1077"/>
      <c r="J357" s="1077"/>
      <c r="K357" s="1075"/>
      <c r="L357" s="1054"/>
      <c r="M357" s="1077"/>
      <c r="N357" s="1077"/>
      <c r="O357" s="1077"/>
      <c r="P357" s="1077"/>
      <c r="Q357" s="1077"/>
      <c r="R357" s="1077"/>
      <c r="S357" s="928"/>
      <c r="T357" s="928"/>
      <c r="U357" s="930"/>
      <c r="V357" s="1443"/>
      <c r="W357" s="930"/>
      <c r="X357" s="1059"/>
      <c r="Y357" s="1063"/>
      <c r="Z357" s="1063"/>
      <c r="AA357" s="1063"/>
      <c r="AB357" s="1063"/>
      <c r="AC357" s="1063"/>
      <c r="AD357" s="1063"/>
      <c r="AE357" s="1071"/>
      <c r="AF357" s="1059"/>
      <c r="AG357" s="1063"/>
      <c r="AH357" s="1063"/>
      <c r="AI357" s="1063"/>
      <c r="AJ357" s="1063"/>
      <c r="AK357" s="1063"/>
      <c r="AL357" s="1063"/>
      <c r="AM357" s="928"/>
      <c r="AN357" s="1043"/>
      <c r="AO357" s="1041"/>
    </row>
    <row r="358" spans="1:41" ht="12" customHeight="1" x14ac:dyDescent="0.2">
      <c r="A358" s="928"/>
      <c r="B358" s="1443"/>
      <c r="C358" s="928"/>
      <c r="D358" s="1054"/>
      <c r="E358" s="1077"/>
      <c r="F358" s="1077"/>
      <c r="G358" s="1077"/>
      <c r="H358" s="1077"/>
      <c r="I358" s="1077"/>
      <c r="J358" s="1077"/>
      <c r="K358" s="1075"/>
      <c r="L358" s="1054"/>
      <c r="M358" s="1077"/>
      <c r="N358" s="1077"/>
      <c r="O358" s="1077"/>
      <c r="P358" s="1077"/>
      <c r="Q358" s="1077"/>
      <c r="R358" s="1077"/>
      <c r="S358" s="928"/>
      <c r="T358" s="928"/>
      <c r="U358" s="930"/>
      <c r="V358" s="1443"/>
      <c r="W358" s="930"/>
      <c r="X358" s="1059"/>
      <c r="Y358" s="1063"/>
      <c r="Z358" s="1063"/>
      <c r="AA358" s="1063"/>
      <c r="AB358" s="1063"/>
      <c r="AC358" s="1063"/>
      <c r="AD358" s="1063"/>
      <c r="AE358" s="1071"/>
      <c r="AF358" s="1059"/>
      <c r="AG358" s="1063"/>
      <c r="AH358" s="1063"/>
      <c r="AI358" s="1063"/>
      <c r="AJ358" s="1063"/>
      <c r="AK358" s="1063"/>
      <c r="AL358" s="1063"/>
      <c r="AM358" s="928"/>
      <c r="AN358" s="1043"/>
      <c r="AO358" s="1041"/>
    </row>
    <row r="359" spans="1:41" ht="12" customHeight="1" x14ac:dyDescent="0.2">
      <c r="A359" s="928"/>
      <c r="B359" s="1443"/>
      <c r="C359" s="928"/>
      <c r="D359" s="1075"/>
      <c r="E359" s="1078"/>
      <c r="F359" s="1078"/>
      <c r="G359" s="1078"/>
      <c r="H359" s="1078"/>
      <c r="I359" s="1078"/>
      <c r="J359" s="1078"/>
      <c r="K359" s="1075"/>
      <c r="L359" s="1075"/>
      <c r="M359" s="1078"/>
      <c r="N359" s="1078"/>
      <c r="O359" s="1078"/>
      <c r="P359" s="1078"/>
      <c r="Q359" s="1078"/>
      <c r="R359" s="1078"/>
      <c r="S359" s="928"/>
      <c r="T359" s="928"/>
      <c r="U359" s="930"/>
      <c r="V359" s="1443"/>
      <c r="W359" s="930"/>
      <c r="X359" s="977"/>
      <c r="Y359" s="1065"/>
      <c r="Z359" s="1065"/>
      <c r="AA359" s="1065"/>
      <c r="AB359" s="1065"/>
      <c r="AC359" s="1065"/>
      <c r="AD359" s="1065"/>
      <c r="AE359" s="977"/>
      <c r="AF359" s="977"/>
      <c r="AG359" s="1065"/>
      <c r="AH359" s="1065"/>
      <c r="AI359" s="1065"/>
      <c r="AJ359" s="1065"/>
      <c r="AK359" s="1065"/>
      <c r="AL359" s="1065"/>
      <c r="AM359" s="928"/>
      <c r="AN359" s="1043"/>
      <c r="AO359" s="1041"/>
    </row>
    <row r="360" spans="1:41" ht="12" customHeight="1" x14ac:dyDescent="0.2">
      <c r="A360" s="928"/>
      <c r="B360" s="1443"/>
      <c r="C360" s="928"/>
      <c r="D360" s="1086"/>
      <c r="E360" s="1079"/>
      <c r="F360" s="1079"/>
      <c r="G360" s="1079"/>
      <c r="H360" s="1079"/>
      <c r="I360" s="1079"/>
      <c r="J360" s="1079"/>
      <c r="K360" s="933"/>
      <c r="L360" s="1086"/>
      <c r="M360" s="1079"/>
      <c r="N360" s="1079"/>
      <c r="O360" s="1079"/>
      <c r="P360" s="1079"/>
      <c r="Q360" s="1079"/>
      <c r="R360" s="1079"/>
      <c r="S360" s="928"/>
      <c r="T360" s="928"/>
      <c r="U360" s="930"/>
      <c r="V360" s="1443"/>
      <c r="W360" s="930"/>
      <c r="X360" s="1067"/>
      <c r="Y360" s="1068"/>
      <c r="Z360" s="1068"/>
      <c r="AA360" s="1068"/>
      <c r="AB360" s="1068"/>
      <c r="AC360" s="1068"/>
      <c r="AD360" s="1068"/>
      <c r="AE360" s="1072"/>
      <c r="AF360" s="1067"/>
      <c r="AG360" s="1068"/>
      <c r="AH360" s="1068"/>
      <c r="AI360" s="1068"/>
      <c r="AJ360" s="1068"/>
      <c r="AK360" s="1068"/>
      <c r="AL360" s="1068"/>
      <c r="AM360" s="928"/>
      <c r="AN360" s="1043"/>
      <c r="AO360" s="1041"/>
    </row>
    <row r="361" spans="1:41" ht="12" customHeight="1" x14ac:dyDescent="0.2">
      <c r="A361" s="928"/>
      <c r="B361" s="1443"/>
      <c r="C361" s="928"/>
      <c r="D361" s="1084"/>
      <c r="E361" s="1079"/>
      <c r="F361" s="1079"/>
      <c r="G361" s="1079"/>
      <c r="H361" s="1079"/>
      <c r="I361" s="1079"/>
      <c r="J361" s="1079"/>
      <c r="K361" s="1075"/>
      <c r="L361" s="1084"/>
      <c r="M361" s="1079"/>
      <c r="N361" s="1079"/>
      <c r="O361" s="1079"/>
      <c r="P361" s="1079"/>
      <c r="Q361" s="1079"/>
      <c r="R361" s="1079"/>
      <c r="S361" s="928"/>
      <c r="T361" s="928"/>
      <c r="U361" s="930"/>
      <c r="V361" s="1443"/>
      <c r="W361" s="930"/>
      <c r="X361" s="1044"/>
      <c r="Y361" s="1068"/>
      <c r="Z361" s="1068"/>
      <c r="AA361" s="1068"/>
      <c r="AB361" s="1068"/>
      <c r="AC361" s="1068"/>
      <c r="AD361" s="1068"/>
      <c r="AE361" s="1071"/>
      <c r="AF361" s="1044"/>
      <c r="AG361" s="1068"/>
      <c r="AH361" s="1068"/>
      <c r="AI361" s="1068"/>
      <c r="AJ361" s="1068"/>
      <c r="AK361" s="1068"/>
      <c r="AL361" s="1068"/>
      <c r="AM361" s="928"/>
      <c r="AN361" s="1043"/>
      <c r="AO361" s="1041"/>
    </row>
    <row r="362" spans="1:41" ht="12" customHeight="1" x14ac:dyDescent="0.2">
      <c r="A362" s="928"/>
      <c r="B362" s="1443"/>
      <c r="C362" s="928"/>
      <c r="D362" s="1084"/>
      <c r="E362" s="1079"/>
      <c r="F362" s="1079"/>
      <c r="G362" s="1079"/>
      <c r="H362" s="1079"/>
      <c r="I362" s="1079"/>
      <c r="J362" s="1079"/>
      <c r="K362" s="1075"/>
      <c r="L362" s="1084"/>
      <c r="M362" s="1079"/>
      <c r="N362" s="1079"/>
      <c r="O362" s="1079"/>
      <c r="P362" s="1079"/>
      <c r="Q362" s="1079"/>
      <c r="R362" s="1079"/>
      <c r="S362" s="928"/>
      <c r="T362" s="928"/>
      <c r="U362" s="930"/>
      <c r="V362" s="1443"/>
      <c r="W362" s="930"/>
      <c r="X362" s="1044"/>
      <c r="Y362" s="1068"/>
      <c r="Z362" s="1068"/>
      <c r="AA362" s="1068"/>
      <c r="AB362" s="1068"/>
      <c r="AC362" s="1068"/>
      <c r="AD362" s="1068"/>
      <c r="AE362" s="1071"/>
      <c r="AF362" s="1044"/>
      <c r="AG362" s="1068"/>
      <c r="AH362" s="1068"/>
      <c r="AI362" s="1068"/>
      <c r="AJ362" s="1068"/>
      <c r="AK362" s="1068"/>
      <c r="AL362" s="1068"/>
      <c r="AM362" s="928"/>
      <c r="AN362" s="1043"/>
      <c r="AO362" s="1041"/>
    </row>
    <row r="363" spans="1:41" ht="12" customHeight="1" x14ac:dyDescent="0.2">
      <c r="A363" s="928"/>
      <c r="B363" s="1443"/>
      <c r="C363" s="928"/>
      <c r="D363" s="928"/>
      <c r="E363" s="928"/>
      <c r="F363" s="928"/>
      <c r="G363" s="928"/>
      <c r="H363" s="928"/>
      <c r="I363" s="1075"/>
      <c r="J363" s="1075"/>
      <c r="K363" s="1088"/>
      <c r="L363" s="1078"/>
      <c r="M363" s="1070"/>
      <c r="N363" s="1070"/>
      <c r="O363" s="1070"/>
      <c r="P363" s="1070"/>
      <c r="Q363" s="1070"/>
      <c r="R363" s="1070"/>
      <c r="S363" s="928"/>
      <c r="T363" s="928"/>
      <c r="U363" s="930"/>
      <c r="V363" s="1443"/>
      <c r="W363" s="930"/>
      <c r="X363" s="930"/>
      <c r="Y363" s="930"/>
      <c r="Z363" s="930"/>
      <c r="AA363" s="930"/>
      <c r="AB363" s="930"/>
      <c r="AC363" s="977"/>
      <c r="AD363" s="977"/>
      <c r="AE363" s="1073"/>
      <c r="AF363" s="1074"/>
      <c r="AG363" s="1064"/>
      <c r="AH363" s="1066"/>
      <c r="AI363" s="1066"/>
      <c r="AJ363" s="1066"/>
      <c r="AK363" s="1066"/>
      <c r="AL363" s="1066"/>
      <c r="AM363" s="928"/>
      <c r="AN363" s="1043"/>
      <c r="AO363" s="1041"/>
    </row>
    <row r="364" spans="1:41" ht="12" customHeight="1" x14ac:dyDescent="0.2">
      <c r="A364" s="928"/>
      <c r="B364" s="1443"/>
      <c r="C364" s="928"/>
      <c r="D364" s="1089"/>
      <c r="E364" s="1089"/>
      <c r="F364" s="1055"/>
      <c r="G364" s="1055"/>
      <c r="H364" s="1055"/>
      <c r="I364" s="1055"/>
      <c r="J364" s="1080"/>
      <c r="K364" s="1088"/>
      <c r="L364" s="1089"/>
      <c r="M364" s="1089"/>
      <c r="N364" s="1055"/>
      <c r="O364" s="1055"/>
      <c r="P364" s="1055"/>
      <c r="Q364" s="1055"/>
      <c r="R364" s="1080"/>
      <c r="S364" s="928"/>
      <c r="T364" s="928"/>
      <c r="U364" s="930"/>
      <c r="V364" s="1443"/>
      <c r="W364" s="930"/>
      <c r="X364" s="1048"/>
      <c r="Y364" s="1048"/>
      <c r="Z364" s="1049"/>
      <c r="AA364" s="1049"/>
      <c r="AB364" s="1049"/>
      <c r="AC364" s="1049"/>
      <c r="AD364" s="1050"/>
      <c r="AE364" s="1073"/>
      <c r="AF364" s="1048"/>
      <c r="AG364" s="1048"/>
      <c r="AH364" s="1049"/>
      <c r="AI364" s="1049"/>
      <c r="AJ364" s="1049"/>
      <c r="AK364" s="1049"/>
      <c r="AL364" s="1050"/>
      <c r="AM364" s="928"/>
      <c r="AN364" s="1043"/>
      <c r="AO364" s="1041"/>
    </row>
    <row r="365" spans="1:41" ht="12" customHeight="1" x14ac:dyDescent="0.2">
      <c r="A365" s="928"/>
      <c r="B365" s="1443"/>
      <c r="C365" s="928"/>
      <c r="D365" s="1090"/>
      <c r="E365" s="1090"/>
      <c r="F365" s="1055"/>
      <c r="G365" s="1055"/>
      <c r="H365" s="1055"/>
      <c r="I365" s="1055"/>
      <c r="J365" s="1057"/>
      <c r="K365" s="1070"/>
      <c r="L365" s="1090"/>
      <c r="M365" s="1090"/>
      <c r="N365" s="1055"/>
      <c r="O365" s="1055"/>
      <c r="P365" s="1055"/>
      <c r="Q365" s="1055"/>
      <c r="R365" s="1057"/>
      <c r="S365" s="928"/>
      <c r="T365" s="928"/>
      <c r="U365" s="930"/>
      <c r="V365" s="1443"/>
      <c r="W365" s="930"/>
      <c r="X365" s="1051"/>
      <c r="Y365" s="1051"/>
      <c r="Z365" s="1049"/>
      <c r="AA365" s="1049"/>
      <c r="AB365" s="1049"/>
      <c r="AC365" s="1049"/>
      <c r="AD365" s="1052"/>
      <c r="AE365" s="1066"/>
      <c r="AF365" s="1051"/>
      <c r="AG365" s="1051"/>
      <c r="AH365" s="1049"/>
      <c r="AI365" s="1049"/>
      <c r="AJ365" s="1049"/>
      <c r="AK365" s="1049"/>
      <c r="AL365" s="1052"/>
      <c r="AM365" s="928"/>
      <c r="AN365" s="1043"/>
      <c r="AO365" s="1041"/>
    </row>
    <row r="366" spans="1:41" ht="12" customHeight="1" x14ac:dyDescent="0.2">
      <c r="A366" s="928"/>
      <c r="B366" s="1443"/>
      <c r="C366" s="928"/>
      <c r="D366" s="1054"/>
      <c r="E366" s="1054"/>
      <c r="F366" s="1055"/>
      <c r="G366" s="1055"/>
      <c r="H366" s="1055"/>
      <c r="I366" s="1056"/>
      <c r="J366" s="1057"/>
      <c r="K366" s="1075"/>
      <c r="L366" s="1054"/>
      <c r="M366" s="1054"/>
      <c r="N366" s="1055"/>
      <c r="O366" s="1055"/>
      <c r="P366" s="1055"/>
      <c r="Q366" s="1056"/>
      <c r="R366" s="1057"/>
      <c r="S366" s="928"/>
      <c r="T366" s="928"/>
      <c r="U366" s="930"/>
      <c r="V366" s="1443"/>
      <c r="W366" s="930"/>
      <c r="X366" s="1059"/>
      <c r="Y366" s="1059"/>
      <c r="Z366" s="1060"/>
      <c r="AA366" s="1060"/>
      <c r="AB366" s="1060"/>
      <c r="AC366" s="1061"/>
      <c r="AD366" s="1052"/>
      <c r="AE366" s="1071"/>
      <c r="AF366" s="1059"/>
      <c r="AG366" s="1059"/>
      <c r="AH366" s="1060"/>
      <c r="AI366" s="1060"/>
      <c r="AJ366" s="1060"/>
      <c r="AK366" s="1061"/>
      <c r="AL366" s="1052"/>
      <c r="AM366" s="928"/>
      <c r="AN366" s="1043"/>
      <c r="AO366" s="1041"/>
    </row>
    <row r="367" spans="1:41" ht="12" customHeight="1" x14ac:dyDescent="0.2">
      <c r="A367" s="928"/>
      <c r="B367" s="1443"/>
      <c r="C367" s="928"/>
      <c r="D367" s="928"/>
      <c r="E367" s="1076"/>
      <c r="F367" s="1076"/>
      <c r="G367" s="1076"/>
      <c r="H367" s="1076"/>
      <c r="I367" s="1076"/>
      <c r="J367" s="1076"/>
      <c r="K367" s="1075"/>
      <c r="L367" s="928"/>
      <c r="M367" s="1076"/>
      <c r="N367" s="1076"/>
      <c r="O367" s="1076"/>
      <c r="P367" s="1076"/>
      <c r="Q367" s="1076"/>
      <c r="R367" s="1076"/>
      <c r="S367" s="928"/>
      <c r="T367" s="928"/>
      <c r="U367" s="930"/>
      <c r="V367" s="1443"/>
      <c r="W367" s="930"/>
      <c r="X367" s="930"/>
      <c r="Y367" s="1062"/>
      <c r="Z367" s="1062"/>
      <c r="AA367" s="1062"/>
      <c r="AB367" s="1062"/>
      <c r="AC367" s="1062"/>
      <c r="AD367" s="1062"/>
      <c r="AE367" s="1071"/>
      <c r="AF367" s="930"/>
      <c r="AG367" s="1062"/>
      <c r="AH367" s="1062"/>
      <c r="AI367" s="1062"/>
      <c r="AJ367" s="1062"/>
      <c r="AK367" s="1062"/>
      <c r="AL367" s="1062"/>
      <c r="AM367" s="928"/>
      <c r="AN367" s="1043"/>
      <c r="AO367" s="1041"/>
    </row>
    <row r="368" spans="1:41" ht="12" customHeight="1" x14ac:dyDescent="0.2">
      <c r="A368" s="928"/>
      <c r="B368" s="1443"/>
      <c r="C368" s="928"/>
      <c r="D368" s="1054"/>
      <c r="E368" s="1077"/>
      <c r="F368" s="1077"/>
      <c r="G368" s="1077"/>
      <c r="H368" s="1077"/>
      <c r="I368" s="1077"/>
      <c r="J368" s="1077"/>
      <c r="K368" s="1075"/>
      <c r="L368" s="1054"/>
      <c r="M368" s="1077"/>
      <c r="N368" s="1077"/>
      <c r="O368" s="1077"/>
      <c r="P368" s="1077"/>
      <c r="Q368" s="1077"/>
      <c r="R368" s="1077"/>
      <c r="S368" s="928"/>
      <c r="T368" s="928"/>
      <c r="U368" s="930"/>
      <c r="V368" s="1443"/>
      <c r="W368" s="930"/>
      <c r="X368" s="1059"/>
      <c r="Y368" s="1063"/>
      <c r="Z368" s="1063"/>
      <c r="AA368" s="1063"/>
      <c r="AB368" s="1063"/>
      <c r="AC368" s="1063"/>
      <c r="AD368" s="1063"/>
      <c r="AE368" s="977"/>
      <c r="AF368" s="1059"/>
      <c r="AG368" s="1063"/>
      <c r="AH368" s="1063"/>
      <c r="AI368" s="1063"/>
      <c r="AJ368" s="1063"/>
      <c r="AK368" s="1063"/>
      <c r="AL368" s="1063"/>
      <c r="AM368" s="928"/>
      <c r="AN368" s="1043"/>
      <c r="AO368" s="1041"/>
    </row>
    <row r="369" spans="1:41" ht="12" customHeight="1" x14ac:dyDescent="0.2">
      <c r="A369" s="928"/>
      <c r="B369" s="1443"/>
      <c r="C369" s="928"/>
      <c r="D369" s="1054"/>
      <c r="E369" s="1077"/>
      <c r="F369" s="1077"/>
      <c r="G369" s="1077"/>
      <c r="H369" s="1077"/>
      <c r="I369" s="1077"/>
      <c r="J369" s="1077"/>
      <c r="K369" s="933"/>
      <c r="L369" s="1054"/>
      <c r="M369" s="1077"/>
      <c r="N369" s="1077"/>
      <c r="O369" s="1077"/>
      <c r="P369" s="1077"/>
      <c r="Q369" s="1077"/>
      <c r="R369" s="1077"/>
      <c r="S369" s="928"/>
      <c r="T369" s="928"/>
      <c r="U369" s="930"/>
      <c r="V369" s="1443"/>
      <c r="W369" s="930"/>
      <c r="X369" s="1059"/>
      <c r="Y369" s="1063"/>
      <c r="Z369" s="1063"/>
      <c r="AA369" s="1063"/>
      <c r="AB369" s="1063"/>
      <c r="AC369" s="1063"/>
      <c r="AD369" s="1063"/>
      <c r="AE369" s="1072"/>
      <c r="AF369" s="1059"/>
      <c r="AG369" s="1063"/>
      <c r="AH369" s="1063"/>
      <c r="AI369" s="1063"/>
      <c r="AJ369" s="1063"/>
      <c r="AK369" s="1063"/>
      <c r="AL369" s="1063"/>
      <c r="AM369" s="928"/>
      <c r="AN369" s="1043"/>
      <c r="AO369" s="1041"/>
    </row>
    <row r="370" spans="1:41" ht="12" customHeight="1" x14ac:dyDescent="0.2">
      <c r="A370" s="928"/>
      <c r="B370" s="1443"/>
      <c r="C370" s="928"/>
      <c r="D370" s="1075"/>
      <c r="E370" s="1078"/>
      <c r="F370" s="1078"/>
      <c r="G370" s="1078"/>
      <c r="H370" s="1078"/>
      <c r="I370" s="1078"/>
      <c r="J370" s="1078"/>
      <c r="K370" s="1075"/>
      <c r="L370" s="1075"/>
      <c r="M370" s="1078"/>
      <c r="N370" s="1078"/>
      <c r="O370" s="1078"/>
      <c r="P370" s="1078"/>
      <c r="Q370" s="1078"/>
      <c r="R370" s="1078"/>
      <c r="S370" s="928"/>
      <c r="T370" s="928"/>
      <c r="U370" s="930"/>
      <c r="V370" s="1443"/>
      <c r="W370" s="930"/>
      <c r="X370" s="977"/>
      <c r="Y370" s="1065"/>
      <c r="Z370" s="1065"/>
      <c r="AA370" s="1065"/>
      <c r="AB370" s="1065"/>
      <c r="AC370" s="1065"/>
      <c r="AD370" s="1065"/>
      <c r="AE370" s="1071"/>
      <c r="AF370" s="977"/>
      <c r="AG370" s="1065"/>
      <c r="AH370" s="1065"/>
      <c r="AI370" s="1065"/>
      <c r="AJ370" s="1065"/>
      <c r="AK370" s="1065"/>
      <c r="AL370" s="1065"/>
      <c r="AM370" s="928"/>
      <c r="AN370" s="1043"/>
      <c r="AO370" s="1041"/>
    </row>
    <row r="371" spans="1:41" ht="12" customHeight="1" x14ac:dyDescent="0.2">
      <c r="A371" s="928"/>
      <c r="B371" s="1443"/>
      <c r="C371" s="928"/>
      <c r="D371" s="1086"/>
      <c r="E371" s="1079"/>
      <c r="F371" s="1079"/>
      <c r="G371" s="1079"/>
      <c r="H371" s="1079"/>
      <c r="I371" s="1079"/>
      <c r="J371" s="1079"/>
      <c r="K371" s="1075"/>
      <c r="L371" s="1086"/>
      <c r="M371" s="1079"/>
      <c r="N371" s="1079"/>
      <c r="O371" s="1079"/>
      <c r="P371" s="1079"/>
      <c r="Q371" s="1079"/>
      <c r="R371" s="1079"/>
      <c r="S371" s="928"/>
      <c r="T371" s="928"/>
      <c r="U371" s="930"/>
      <c r="V371" s="1443"/>
      <c r="W371" s="930"/>
      <c r="X371" s="1067"/>
      <c r="Y371" s="1068"/>
      <c r="Z371" s="1068"/>
      <c r="AA371" s="1068"/>
      <c r="AB371" s="1068"/>
      <c r="AC371" s="1068"/>
      <c r="AD371" s="1068"/>
      <c r="AE371" s="1071"/>
      <c r="AF371" s="1067"/>
      <c r="AG371" s="1068"/>
      <c r="AH371" s="1068"/>
      <c r="AI371" s="1068"/>
      <c r="AJ371" s="1068"/>
      <c r="AK371" s="1068"/>
      <c r="AL371" s="1068"/>
      <c r="AM371" s="928"/>
      <c r="AN371" s="1043"/>
      <c r="AO371" s="1041"/>
    </row>
    <row r="372" spans="1:41" ht="12" customHeight="1" x14ac:dyDescent="0.2">
      <c r="A372" s="928"/>
      <c r="B372" s="1443"/>
      <c r="C372" s="928"/>
      <c r="D372" s="1084"/>
      <c r="E372" s="1079"/>
      <c r="F372" s="1079"/>
      <c r="G372" s="1079"/>
      <c r="H372" s="1079"/>
      <c r="I372" s="1079"/>
      <c r="J372" s="1079"/>
      <c r="K372" s="1088"/>
      <c r="L372" s="1084"/>
      <c r="M372" s="1079"/>
      <c r="N372" s="1079"/>
      <c r="O372" s="1079"/>
      <c r="P372" s="1079"/>
      <c r="Q372" s="1079"/>
      <c r="R372" s="1079"/>
      <c r="S372" s="928"/>
      <c r="T372" s="928"/>
      <c r="U372" s="930"/>
      <c r="V372" s="1443"/>
      <c r="W372" s="930"/>
      <c r="X372" s="1044"/>
      <c r="Y372" s="1068"/>
      <c r="Z372" s="1068"/>
      <c r="AA372" s="1068"/>
      <c r="AB372" s="1068"/>
      <c r="AC372" s="1068"/>
      <c r="AD372" s="1068"/>
      <c r="AE372" s="1073"/>
      <c r="AF372" s="1044"/>
      <c r="AG372" s="1068"/>
      <c r="AH372" s="1068"/>
      <c r="AI372" s="1068"/>
      <c r="AJ372" s="1068"/>
      <c r="AK372" s="1068"/>
      <c r="AL372" s="1068"/>
      <c r="AM372" s="928"/>
      <c r="AN372" s="1043"/>
      <c r="AO372" s="1041"/>
    </row>
    <row r="373" spans="1:41" ht="12" customHeight="1" x14ac:dyDescent="0.2">
      <c r="A373" s="928"/>
      <c r="B373" s="1443"/>
      <c r="C373" s="928"/>
      <c r="D373" s="1084"/>
      <c r="E373" s="1079"/>
      <c r="F373" s="1079"/>
      <c r="G373" s="1079"/>
      <c r="H373" s="1079"/>
      <c r="I373" s="1079"/>
      <c r="J373" s="1079"/>
      <c r="K373" s="1088"/>
      <c r="L373" s="1084"/>
      <c r="M373" s="1079"/>
      <c r="N373" s="1079"/>
      <c r="O373" s="1079"/>
      <c r="P373" s="1079"/>
      <c r="Q373" s="1079"/>
      <c r="R373" s="1079"/>
      <c r="S373" s="928"/>
      <c r="T373" s="928"/>
      <c r="U373" s="930"/>
      <c r="V373" s="1443"/>
      <c r="W373" s="930"/>
      <c r="X373" s="1044"/>
      <c r="Y373" s="1068"/>
      <c r="Z373" s="1068"/>
      <c r="AA373" s="1068"/>
      <c r="AB373" s="1068"/>
      <c r="AC373" s="1068"/>
      <c r="AD373" s="1068"/>
      <c r="AE373" s="1073"/>
      <c r="AF373" s="1044"/>
      <c r="AG373" s="1068"/>
      <c r="AH373" s="1068"/>
      <c r="AI373" s="1068"/>
      <c r="AJ373" s="1068"/>
      <c r="AK373" s="1068"/>
      <c r="AL373" s="1068"/>
      <c r="AM373" s="928"/>
      <c r="AN373" s="1043"/>
      <c r="AO373" s="1041"/>
    </row>
    <row r="374" spans="1:41" ht="12" customHeight="1" x14ac:dyDescent="0.2">
      <c r="A374" s="928"/>
      <c r="B374" s="1443"/>
      <c r="C374" s="928"/>
      <c r="D374" s="1070"/>
      <c r="E374" s="1070"/>
      <c r="F374" s="1070"/>
      <c r="G374" s="1070"/>
      <c r="H374" s="1070"/>
      <c r="I374" s="1070"/>
      <c r="J374" s="1070"/>
      <c r="K374" s="1070"/>
      <c r="L374" s="1070"/>
      <c r="M374" s="1070"/>
      <c r="N374" s="1070"/>
      <c r="O374" s="1070"/>
      <c r="P374" s="1070"/>
      <c r="Q374" s="1070"/>
      <c r="R374" s="1070"/>
      <c r="S374" s="928"/>
      <c r="T374" s="928"/>
      <c r="U374" s="930"/>
      <c r="V374" s="1443"/>
      <c r="W374" s="930"/>
      <c r="X374" s="1064"/>
      <c r="Y374" s="1064"/>
      <c r="Z374" s="1064"/>
      <c r="AA374" s="1064"/>
      <c r="AB374" s="1064"/>
      <c r="AC374" s="1066"/>
      <c r="AD374" s="1066"/>
      <c r="AE374" s="1066"/>
      <c r="AF374" s="1066"/>
      <c r="AG374" s="1064"/>
      <c r="AH374" s="1066"/>
      <c r="AI374" s="1066"/>
      <c r="AJ374" s="1066"/>
      <c r="AK374" s="1066"/>
      <c r="AL374" s="1066"/>
      <c r="AM374" s="928"/>
      <c r="AN374" s="1043"/>
      <c r="AO374" s="1041"/>
    </row>
    <row r="375" spans="1:41" ht="12" customHeight="1" x14ac:dyDescent="0.2">
      <c r="A375" s="928"/>
      <c r="B375" s="1443"/>
      <c r="C375" s="928"/>
      <c r="D375" s="1089"/>
      <c r="E375" s="1089"/>
      <c r="F375" s="1055"/>
      <c r="G375" s="1055"/>
      <c r="H375" s="1055"/>
      <c r="I375" s="1055"/>
      <c r="J375" s="1080"/>
      <c r="K375" s="928"/>
      <c r="L375" s="1089"/>
      <c r="M375" s="1089"/>
      <c r="N375" s="1055"/>
      <c r="O375" s="1055"/>
      <c r="P375" s="1055"/>
      <c r="Q375" s="1055"/>
      <c r="R375" s="1080"/>
      <c r="S375" s="928"/>
      <c r="T375" s="928"/>
      <c r="U375" s="930"/>
      <c r="V375" s="1443"/>
      <c r="W375" s="930"/>
      <c r="X375" s="1048"/>
      <c r="Y375" s="1048"/>
      <c r="Z375" s="1049"/>
      <c r="AA375" s="1049"/>
      <c r="AB375" s="1049"/>
      <c r="AC375" s="1049"/>
      <c r="AD375" s="1050"/>
      <c r="AE375" s="930"/>
      <c r="AF375" s="1048"/>
      <c r="AG375" s="1048"/>
      <c r="AH375" s="1049"/>
      <c r="AI375" s="1049"/>
      <c r="AJ375" s="1049"/>
      <c r="AK375" s="1049"/>
      <c r="AL375" s="1050"/>
      <c r="AM375" s="928"/>
      <c r="AN375" s="1043"/>
      <c r="AO375" s="1041"/>
    </row>
    <row r="376" spans="1:41" ht="12" customHeight="1" x14ac:dyDescent="0.2">
      <c r="A376" s="928"/>
      <c r="B376" s="1443"/>
      <c r="C376" s="928"/>
      <c r="D376" s="1090"/>
      <c r="E376" s="1090"/>
      <c r="F376" s="1055"/>
      <c r="G376" s="1055"/>
      <c r="H376" s="1055"/>
      <c r="I376" s="1055"/>
      <c r="J376" s="1057"/>
      <c r="K376" s="928"/>
      <c r="L376" s="1090"/>
      <c r="M376" s="1090"/>
      <c r="N376" s="1055"/>
      <c r="O376" s="1055"/>
      <c r="P376" s="1055"/>
      <c r="Q376" s="1055"/>
      <c r="R376" s="1057"/>
      <c r="S376" s="928"/>
      <c r="T376" s="928"/>
      <c r="U376" s="930"/>
      <c r="V376" s="1443"/>
      <c r="W376" s="930"/>
      <c r="X376" s="1051"/>
      <c r="Y376" s="1051"/>
      <c r="Z376" s="1049"/>
      <c r="AA376" s="1049"/>
      <c r="AB376" s="1049"/>
      <c r="AC376" s="1049"/>
      <c r="AD376" s="1052"/>
      <c r="AE376" s="930"/>
      <c r="AF376" s="1051"/>
      <c r="AG376" s="1051"/>
      <c r="AH376" s="1049"/>
      <c r="AI376" s="1049"/>
      <c r="AJ376" s="1049"/>
      <c r="AK376" s="1049"/>
      <c r="AL376" s="1052"/>
      <c r="AM376" s="928"/>
      <c r="AN376" s="1043"/>
      <c r="AO376" s="1041"/>
    </row>
    <row r="377" spans="1:41" ht="12" customHeight="1" x14ac:dyDescent="0.2">
      <c r="A377" s="928"/>
      <c r="B377" s="1443"/>
      <c r="C377" s="928"/>
      <c r="D377" s="1054"/>
      <c r="E377" s="1054"/>
      <c r="F377" s="1055"/>
      <c r="G377" s="1055"/>
      <c r="H377" s="1055"/>
      <c r="I377" s="1056"/>
      <c r="J377" s="1057"/>
      <c r="K377" s="928"/>
      <c r="L377" s="1054"/>
      <c r="M377" s="1054"/>
      <c r="N377" s="1055"/>
      <c r="O377" s="1055"/>
      <c r="P377" s="1055"/>
      <c r="Q377" s="1056"/>
      <c r="R377" s="1057"/>
      <c r="S377" s="928"/>
      <c r="T377" s="928"/>
      <c r="U377" s="930"/>
      <c r="V377" s="1443"/>
      <c r="W377" s="930"/>
      <c r="X377" s="1059"/>
      <c r="Y377" s="1059"/>
      <c r="Z377" s="1060"/>
      <c r="AA377" s="1060"/>
      <c r="AB377" s="1060"/>
      <c r="AC377" s="1061"/>
      <c r="AD377" s="1052"/>
      <c r="AE377" s="930"/>
      <c r="AF377" s="1059"/>
      <c r="AG377" s="1059"/>
      <c r="AH377" s="1060"/>
      <c r="AI377" s="1060"/>
      <c r="AJ377" s="1060"/>
      <c r="AK377" s="1061"/>
      <c r="AL377" s="1052"/>
      <c r="AM377" s="928"/>
      <c r="AN377" s="1043"/>
      <c r="AO377" s="1041"/>
    </row>
    <row r="378" spans="1:41" ht="12" customHeight="1" x14ac:dyDescent="0.2">
      <c r="A378" s="928"/>
      <c r="B378" s="1443"/>
      <c r="C378" s="928"/>
      <c r="D378" s="928"/>
      <c r="E378" s="1076"/>
      <c r="F378" s="1076"/>
      <c r="G378" s="1076"/>
      <c r="H378" s="1076"/>
      <c r="I378" s="1076"/>
      <c r="J378" s="1076"/>
      <c r="K378" s="928"/>
      <c r="L378" s="928"/>
      <c r="M378" s="1076"/>
      <c r="N378" s="1076"/>
      <c r="O378" s="1076"/>
      <c r="P378" s="1076"/>
      <c r="Q378" s="1076"/>
      <c r="R378" s="1076"/>
      <c r="S378" s="928"/>
      <c r="T378" s="928"/>
      <c r="U378" s="930"/>
      <c r="V378" s="1443"/>
      <c r="W378" s="930"/>
      <c r="X378" s="930"/>
      <c r="Y378" s="1062"/>
      <c r="Z378" s="1062"/>
      <c r="AA378" s="1062"/>
      <c r="AB378" s="1062"/>
      <c r="AC378" s="1062"/>
      <c r="AD378" s="1062"/>
      <c r="AE378" s="930"/>
      <c r="AF378" s="930"/>
      <c r="AG378" s="1062"/>
      <c r="AH378" s="1062"/>
      <c r="AI378" s="1062"/>
      <c r="AJ378" s="1062"/>
      <c r="AK378" s="1062"/>
      <c r="AL378" s="1062"/>
      <c r="AM378" s="928"/>
      <c r="AN378" s="1043"/>
      <c r="AO378" s="1041"/>
    </row>
    <row r="379" spans="1:41" ht="12" customHeight="1" x14ac:dyDescent="0.2">
      <c r="A379" s="928"/>
      <c r="B379" s="1443"/>
      <c r="C379" s="928"/>
      <c r="D379" s="1054"/>
      <c r="E379" s="1077"/>
      <c r="F379" s="1077"/>
      <c r="G379" s="1077"/>
      <c r="H379" s="1077"/>
      <c r="I379" s="1077"/>
      <c r="J379" s="1077"/>
      <c r="K379" s="928"/>
      <c r="L379" s="1054"/>
      <c r="M379" s="1077"/>
      <c r="N379" s="1077"/>
      <c r="O379" s="1077"/>
      <c r="P379" s="1077"/>
      <c r="Q379" s="1077"/>
      <c r="R379" s="1077"/>
      <c r="S379" s="928"/>
      <c r="T379" s="928"/>
      <c r="U379" s="930"/>
      <c r="V379" s="1443"/>
      <c r="W379" s="930"/>
      <c r="X379" s="1059"/>
      <c r="Y379" s="1063"/>
      <c r="Z379" s="1063"/>
      <c r="AA379" s="1063"/>
      <c r="AB379" s="1063"/>
      <c r="AC379" s="1063"/>
      <c r="AD379" s="1063"/>
      <c r="AE379" s="930"/>
      <c r="AF379" s="1059"/>
      <c r="AG379" s="1063"/>
      <c r="AH379" s="1063"/>
      <c r="AI379" s="1063"/>
      <c r="AJ379" s="1063"/>
      <c r="AK379" s="1063"/>
      <c r="AL379" s="1063"/>
      <c r="AM379" s="928"/>
      <c r="AN379" s="1043"/>
      <c r="AO379" s="1041"/>
    </row>
    <row r="380" spans="1:41" ht="12" customHeight="1" x14ac:dyDescent="0.2">
      <c r="A380" s="928"/>
      <c r="B380" s="1443"/>
      <c r="C380" s="928"/>
      <c r="D380" s="1054"/>
      <c r="E380" s="1077"/>
      <c r="F380" s="1077"/>
      <c r="G380" s="1077"/>
      <c r="H380" s="1077"/>
      <c r="I380" s="1077"/>
      <c r="J380" s="1077"/>
      <c r="K380" s="928"/>
      <c r="L380" s="1054"/>
      <c r="M380" s="1077"/>
      <c r="N380" s="1077"/>
      <c r="O380" s="1077"/>
      <c r="P380" s="1077"/>
      <c r="Q380" s="1077"/>
      <c r="R380" s="1077"/>
      <c r="S380" s="928"/>
      <c r="T380" s="928"/>
      <c r="U380" s="930"/>
      <c r="V380" s="1443"/>
      <c r="W380" s="930"/>
      <c r="X380" s="1059"/>
      <c r="Y380" s="1063"/>
      <c r="Z380" s="1063"/>
      <c r="AA380" s="1063"/>
      <c r="AB380" s="1063"/>
      <c r="AC380" s="1063"/>
      <c r="AD380" s="1063"/>
      <c r="AE380" s="930"/>
      <c r="AF380" s="1059"/>
      <c r="AG380" s="1063"/>
      <c r="AH380" s="1063"/>
      <c r="AI380" s="1063"/>
      <c r="AJ380" s="1063"/>
      <c r="AK380" s="1063"/>
      <c r="AL380" s="1063"/>
      <c r="AM380" s="928"/>
      <c r="AN380" s="1043"/>
      <c r="AO380" s="1041"/>
    </row>
    <row r="381" spans="1:41" ht="12" customHeight="1" x14ac:dyDescent="0.2">
      <c r="A381" s="928"/>
      <c r="B381" s="1443"/>
      <c r="C381" s="928"/>
      <c r="D381" s="1075"/>
      <c r="E381" s="1078"/>
      <c r="F381" s="1078"/>
      <c r="G381" s="1078"/>
      <c r="H381" s="1078"/>
      <c r="I381" s="1078"/>
      <c r="J381" s="1078"/>
      <c r="K381" s="928"/>
      <c r="L381" s="1075"/>
      <c r="M381" s="1078"/>
      <c r="N381" s="1078"/>
      <c r="O381" s="1078"/>
      <c r="P381" s="1078"/>
      <c r="Q381" s="1078"/>
      <c r="R381" s="1078"/>
      <c r="S381" s="928"/>
      <c r="T381" s="928"/>
      <c r="U381" s="930"/>
      <c r="V381" s="1443"/>
      <c r="W381" s="930"/>
      <c r="X381" s="977"/>
      <c r="Y381" s="1065"/>
      <c r="Z381" s="1065"/>
      <c r="AA381" s="1065"/>
      <c r="AB381" s="1065"/>
      <c r="AC381" s="1065"/>
      <c r="AD381" s="1065"/>
      <c r="AE381" s="930"/>
      <c r="AF381" s="977"/>
      <c r="AG381" s="1065"/>
      <c r="AH381" s="1065"/>
      <c r="AI381" s="1065"/>
      <c r="AJ381" s="1065"/>
      <c r="AK381" s="1065"/>
      <c r="AL381" s="1065"/>
      <c r="AM381" s="928"/>
      <c r="AN381" s="1043"/>
      <c r="AO381" s="1041"/>
    </row>
    <row r="382" spans="1:41" ht="12" customHeight="1" x14ac:dyDescent="0.2">
      <c r="A382" s="928"/>
      <c r="B382" s="1443"/>
      <c r="C382" s="928"/>
      <c r="D382" s="1086"/>
      <c r="E382" s="1079"/>
      <c r="F382" s="1079"/>
      <c r="G382" s="1079"/>
      <c r="H382" s="1079"/>
      <c r="I382" s="1079"/>
      <c r="J382" s="1079"/>
      <c r="K382" s="928"/>
      <c r="L382" s="1086"/>
      <c r="M382" s="1079"/>
      <c r="N382" s="1079"/>
      <c r="O382" s="1079"/>
      <c r="P382" s="1079"/>
      <c r="Q382" s="1079"/>
      <c r="R382" s="1079"/>
      <c r="S382" s="928"/>
      <c r="T382" s="928"/>
      <c r="U382" s="930"/>
      <c r="V382" s="1443"/>
      <c r="W382" s="930"/>
      <c r="X382" s="1067"/>
      <c r="Y382" s="1068"/>
      <c r="Z382" s="1068"/>
      <c r="AA382" s="1068"/>
      <c r="AB382" s="1068"/>
      <c r="AC382" s="1068"/>
      <c r="AD382" s="1068"/>
      <c r="AE382" s="930"/>
      <c r="AF382" s="1067"/>
      <c r="AG382" s="1068"/>
      <c r="AH382" s="1068"/>
      <c r="AI382" s="1068"/>
      <c r="AJ382" s="1068"/>
      <c r="AK382" s="1068"/>
      <c r="AL382" s="1068"/>
      <c r="AM382" s="928"/>
      <c r="AN382" s="1043"/>
      <c r="AO382" s="1041"/>
    </row>
    <row r="383" spans="1:41" ht="12" customHeight="1" x14ac:dyDescent="0.2">
      <c r="A383" s="928"/>
      <c r="B383" s="1443"/>
      <c r="C383" s="928"/>
      <c r="D383" s="1084"/>
      <c r="E383" s="1079"/>
      <c r="F383" s="1079"/>
      <c r="G383" s="1079"/>
      <c r="H383" s="1079"/>
      <c r="I383" s="1079"/>
      <c r="J383" s="1079"/>
      <c r="K383" s="928"/>
      <c r="L383" s="1084"/>
      <c r="M383" s="1079"/>
      <c r="N383" s="1079"/>
      <c r="O383" s="1079"/>
      <c r="P383" s="1079"/>
      <c r="Q383" s="1079"/>
      <c r="R383" s="1079"/>
      <c r="S383" s="928"/>
      <c r="T383" s="928"/>
      <c r="U383" s="930"/>
      <c r="V383" s="1443"/>
      <c r="W383" s="930"/>
      <c r="X383" s="1044"/>
      <c r="Y383" s="1068"/>
      <c r="Z383" s="1068"/>
      <c r="AA383" s="1068"/>
      <c r="AB383" s="1068"/>
      <c r="AC383" s="1068"/>
      <c r="AD383" s="1068"/>
      <c r="AE383" s="930"/>
      <c r="AF383" s="1044"/>
      <c r="AG383" s="1068"/>
      <c r="AH383" s="1068"/>
      <c r="AI383" s="1068"/>
      <c r="AJ383" s="1068"/>
      <c r="AK383" s="1068"/>
      <c r="AL383" s="1068"/>
      <c r="AM383" s="928"/>
      <c r="AN383" s="1043"/>
      <c r="AO383" s="1041"/>
    </row>
    <row r="384" spans="1:41" ht="12" customHeight="1" x14ac:dyDescent="0.2">
      <c r="A384" s="928"/>
      <c r="B384" s="1443"/>
      <c r="C384" s="928"/>
      <c r="D384" s="1084"/>
      <c r="E384" s="1079"/>
      <c r="F384" s="1079"/>
      <c r="G384" s="1079"/>
      <c r="H384" s="1079"/>
      <c r="I384" s="1079"/>
      <c r="J384" s="1079"/>
      <c r="K384" s="928"/>
      <c r="L384" s="1084"/>
      <c r="M384" s="1079"/>
      <c r="N384" s="1079"/>
      <c r="O384" s="1079"/>
      <c r="P384" s="1079"/>
      <c r="Q384" s="1079"/>
      <c r="R384" s="1079"/>
      <c r="S384" s="928"/>
      <c r="T384" s="928"/>
      <c r="U384" s="930"/>
      <c r="V384" s="1443"/>
      <c r="W384" s="930"/>
      <c r="X384" s="1044"/>
      <c r="Y384" s="1068"/>
      <c r="Z384" s="1068"/>
      <c r="AA384" s="1068"/>
      <c r="AB384" s="1068"/>
      <c r="AC384" s="1068"/>
      <c r="AD384" s="1068"/>
      <c r="AE384" s="930"/>
      <c r="AF384" s="1044"/>
      <c r="AG384" s="1068"/>
      <c r="AH384" s="1068"/>
      <c r="AI384" s="1068"/>
      <c r="AJ384" s="1068"/>
      <c r="AK384" s="1068"/>
      <c r="AL384" s="1068"/>
      <c r="AM384" s="928"/>
      <c r="AN384" s="1043"/>
      <c r="AO384" s="1041"/>
    </row>
    <row r="385" spans="1:41" ht="12" customHeight="1" x14ac:dyDescent="0.2">
      <c r="A385" s="928"/>
      <c r="B385" s="1443"/>
      <c r="C385" s="928"/>
      <c r="D385" s="928"/>
      <c r="E385" s="928"/>
      <c r="F385" s="928"/>
      <c r="G385" s="928"/>
      <c r="H385" s="928"/>
      <c r="I385" s="928"/>
      <c r="J385" s="928"/>
      <c r="K385" s="928"/>
      <c r="L385" s="928"/>
      <c r="M385" s="928"/>
      <c r="N385" s="928"/>
      <c r="O385" s="928"/>
      <c r="P385" s="928"/>
      <c r="Q385" s="928"/>
      <c r="R385" s="928"/>
      <c r="S385" s="928"/>
      <c r="T385" s="928"/>
      <c r="U385" s="930"/>
      <c r="V385" s="1443"/>
      <c r="W385" s="930"/>
      <c r="X385" s="930"/>
      <c r="Y385" s="930"/>
      <c r="Z385" s="930"/>
      <c r="AA385" s="930"/>
      <c r="AB385" s="930"/>
      <c r="AC385" s="930"/>
      <c r="AD385" s="930"/>
      <c r="AE385" s="930"/>
      <c r="AF385" s="930"/>
      <c r="AG385" s="930"/>
      <c r="AH385" s="930"/>
      <c r="AI385" s="930"/>
      <c r="AJ385" s="930"/>
      <c r="AK385" s="930"/>
      <c r="AL385" s="930"/>
      <c r="AM385" s="928"/>
      <c r="AN385" s="1043"/>
      <c r="AO385" s="1041"/>
    </row>
    <row r="386" spans="1:41" ht="12" customHeight="1" x14ac:dyDescent="0.2">
      <c r="A386" s="928"/>
      <c r="B386" s="1443"/>
      <c r="C386" s="928"/>
      <c r="D386" s="1089"/>
      <c r="E386" s="1089"/>
      <c r="F386" s="1055"/>
      <c r="G386" s="1055"/>
      <c r="H386" s="1055"/>
      <c r="I386" s="1055"/>
      <c r="J386" s="1080"/>
      <c r="K386" s="1091"/>
      <c r="L386" s="1089"/>
      <c r="M386" s="1089"/>
      <c r="N386" s="1055"/>
      <c r="O386" s="1055"/>
      <c r="P386" s="1055"/>
      <c r="Q386" s="1055"/>
      <c r="R386" s="1080"/>
      <c r="S386" s="928"/>
      <c r="T386" s="928"/>
      <c r="U386" s="930"/>
      <c r="V386" s="1443"/>
      <c r="W386" s="930"/>
      <c r="X386" s="1048"/>
      <c r="Y386" s="1048"/>
      <c r="Z386" s="1049"/>
      <c r="AA386" s="1049"/>
      <c r="AB386" s="1049"/>
      <c r="AC386" s="1049"/>
      <c r="AD386" s="1050"/>
      <c r="AE386" s="1081"/>
      <c r="AF386" s="1048"/>
      <c r="AG386" s="1048"/>
      <c r="AH386" s="1049"/>
      <c r="AI386" s="1049"/>
      <c r="AJ386" s="1049"/>
      <c r="AK386" s="1049"/>
      <c r="AL386" s="1050"/>
      <c r="AM386" s="928"/>
      <c r="AN386" s="1043"/>
      <c r="AO386" s="1041"/>
    </row>
    <row r="387" spans="1:41" ht="12" customHeight="1" x14ac:dyDescent="0.2">
      <c r="A387" s="928"/>
      <c r="B387" s="1443"/>
      <c r="C387" s="928"/>
      <c r="D387" s="1090"/>
      <c r="E387" s="1090"/>
      <c r="F387" s="1055"/>
      <c r="G387" s="1055"/>
      <c r="H387" s="1055"/>
      <c r="I387" s="1055"/>
      <c r="J387" s="1057"/>
      <c r="K387" s="1092"/>
      <c r="L387" s="1090"/>
      <c r="M387" s="1090"/>
      <c r="N387" s="1055"/>
      <c r="O387" s="1055"/>
      <c r="P387" s="1055"/>
      <c r="Q387" s="1055"/>
      <c r="R387" s="1057"/>
      <c r="S387" s="928"/>
      <c r="T387" s="928"/>
      <c r="U387" s="930"/>
      <c r="V387" s="1443"/>
      <c r="W387" s="930"/>
      <c r="X387" s="1051"/>
      <c r="Y387" s="1051"/>
      <c r="Z387" s="1049"/>
      <c r="AA387" s="1049"/>
      <c r="AB387" s="1049"/>
      <c r="AC387" s="1049"/>
      <c r="AD387" s="1052"/>
      <c r="AE387" s="1082"/>
      <c r="AF387" s="1051"/>
      <c r="AG387" s="1051"/>
      <c r="AH387" s="1049"/>
      <c r="AI387" s="1049"/>
      <c r="AJ387" s="1049"/>
      <c r="AK387" s="1049"/>
      <c r="AL387" s="1052"/>
      <c r="AM387" s="928"/>
      <c r="AN387" s="1043"/>
      <c r="AO387" s="1041"/>
    </row>
    <row r="388" spans="1:41" ht="12" customHeight="1" x14ac:dyDescent="0.2">
      <c r="A388" s="928"/>
      <c r="B388" s="1443"/>
      <c r="C388" s="928"/>
      <c r="D388" s="1054"/>
      <c r="E388" s="1054"/>
      <c r="F388" s="1055"/>
      <c r="G388" s="1055"/>
      <c r="H388" s="1055"/>
      <c r="I388" s="1056"/>
      <c r="J388" s="1057"/>
      <c r="K388" s="1055"/>
      <c r="L388" s="1054"/>
      <c r="M388" s="1054"/>
      <c r="N388" s="1055"/>
      <c r="O388" s="1055"/>
      <c r="P388" s="1055"/>
      <c r="Q388" s="1056"/>
      <c r="R388" s="1057"/>
      <c r="S388" s="928"/>
      <c r="T388" s="928"/>
      <c r="U388" s="930"/>
      <c r="V388" s="1443"/>
      <c r="W388" s="930"/>
      <c r="X388" s="1059"/>
      <c r="Y388" s="1059"/>
      <c r="Z388" s="1060"/>
      <c r="AA388" s="1060"/>
      <c r="AB388" s="1060"/>
      <c r="AC388" s="1061"/>
      <c r="AD388" s="1052"/>
      <c r="AE388" s="1060"/>
      <c r="AF388" s="1059"/>
      <c r="AG388" s="1059"/>
      <c r="AH388" s="1060"/>
      <c r="AI388" s="1060"/>
      <c r="AJ388" s="1060"/>
      <c r="AK388" s="1061"/>
      <c r="AL388" s="1052"/>
      <c r="AM388" s="928"/>
      <c r="AN388" s="1043"/>
      <c r="AO388" s="1041"/>
    </row>
    <row r="389" spans="1:41" ht="12" customHeight="1" x14ac:dyDescent="0.2">
      <c r="A389" s="928"/>
      <c r="B389" s="1443"/>
      <c r="C389" s="928"/>
      <c r="D389" s="928"/>
      <c r="E389" s="1076"/>
      <c r="F389" s="1076"/>
      <c r="G389" s="1076"/>
      <c r="H389" s="1076"/>
      <c r="I389" s="1076"/>
      <c r="J389" s="1076"/>
      <c r="K389" s="1055"/>
      <c r="L389" s="928"/>
      <c r="M389" s="1076"/>
      <c r="N389" s="1076"/>
      <c r="O389" s="1076"/>
      <c r="P389" s="1076"/>
      <c r="Q389" s="1076"/>
      <c r="R389" s="1076"/>
      <c r="S389" s="928"/>
      <c r="T389" s="928"/>
      <c r="U389" s="930"/>
      <c r="V389" s="1443"/>
      <c r="W389" s="930"/>
      <c r="X389" s="930"/>
      <c r="Y389" s="1062"/>
      <c r="Z389" s="1062"/>
      <c r="AA389" s="1062"/>
      <c r="AB389" s="1062"/>
      <c r="AC389" s="1062"/>
      <c r="AD389" s="1062"/>
      <c r="AE389" s="1060"/>
      <c r="AF389" s="930"/>
      <c r="AG389" s="1062"/>
      <c r="AH389" s="1062"/>
      <c r="AI389" s="1062"/>
      <c r="AJ389" s="1062"/>
      <c r="AK389" s="1062"/>
      <c r="AL389" s="1062"/>
      <c r="AM389" s="928"/>
      <c r="AN389" s="1043"/>
      <c r="AO389" s="1041"/>
    </row>
    <row r="390" spans="1:41" ht="12" customHeight="1" x14ac:dyDescent="0.2">
      <c r="A390" s="928"/>
      <c r="B390" s="1443"/>
      <c r="C390" s="928"/>
      <c r="D390" s="1054"/>
      <c r="E390" s="1077"/>
      <c r="F390" s="1077"/>
      <c r="G390" s="1077"/>
      <c r="H390" s="1077"/>
      <c r="I390" s="1077"/>
      <c r="J390" s="1077"/>
      <c r="K390" s="1055"/>
      <c r="L390" s="1054"/>
      <c r="M390" s="1077"/>
      <c r="N390" s="1077"/>
      <c r="O390" s="1077"/>
      <c r="P390" s="1077"/>
      <c r="Q390" s="1077"/>
      <c r="R390" s="1077"/>
      <c r="S390" s="928"/>
      <c r="T390" s="928"/>
      <c r="U390" s="930"/>
      <c r="V390" s="1443"/>
      <c r="W390" s="930"/>
      <c r="X390" s="1059"/>
      <c r="Y390" s="1063"/>
      <c r="Z390" s="1063"/>
      <c r="AA390" s="1063"/>
      <c r="AB390" s="1063"/>
      <c r="AC390" s="1063"/>
      <c r="AD390" s="1063"/>
      <c r="AE390" s="1060"/>
      <c r="AF390" s="1059"/>
      <c r="AG390" s="1063"/>
      <c r="AH390" s="1063"/>
      <c r="AI390" s="1063"/>
      <c r="AJ390" s="1063"/>
      <c r="AK390" s="1063"/>
      <c r="AL390" s="1063"/>
      <c r="AM390" s="928"/>
      <c r="AN390" s="1043"/>
      <c r="AO390" s="1041"/>
    </row>
    <row r="391" spans="1:41" ht="12" customHeight="1" x14ac:dyDescent="0.2">
      <c r="A391" s="928"/>
      <c r="B391" s="1443"/>
      <c r="C391" s="928"/>
      <c r="D391" s="1054"/>
      <c r="E391" s="1077"/>
      <c r="F391" s="1077"/>
      <c r="G391" s="1077"/>
      <c r="H391" s="1077"/>
      <c r="I391" s="1077"/>
      <c r="J391" s="1077"/>
      <c r="K391" s="1055"/>
      <c r="L391" s="1054"/>
      <c r="M391" s="1077"/>
      <c r="N391" s="1077"/>
      <c r="O391" s="1077"/>
      <c r="P391" s="1077"/>
      <c r="Q391" s="1077"/>
      <c r="R391" s="1077"/>
      <c r="S391" s="928"/>
      <c r="T391" s="928"/>
      <c r="U391" s="930"/>
      <c r="V391" s="1443"/>
      <c r="W391" s="930"/>
      <c r="X391" s="1059"/>
      <c r="Y391" s="1063"/>
      <c r="Z391" s="1063"/>
      <c r="AA391" s="1063"/>
      <c r="AB391" s="1063"/>
      <c r="AC391" s="1063"/>
      <c r="AD391" s="1063"/>
      <c r="AE391" s="1060"/>
      <c r="AF391" s="1059"/>
      <c r="AG391" s="1063"/>
      <c r="AH391" s="1063"/>
      <c r="AI391" s="1063"/>
      <c r="AJ391" s="1063"/>
      <c r="AK391" s="1063"/>
      <c r="AL391" s="1063"/>
      <c r="AM391" s="928"/>
      <c r="AN391" s="1043"/>
      <c r="AO391" s="1041"/>
    </row>
    <row r="392" spans="1:41" ht="12" customHeight="1" x14ac:dyDescent="0.2">
      <c r="A392" s="928"/>
      <c r="B392" s="1443"/>
      <c r="C392" s="928"/>
      <c r="D392" s="1075"/>
      <c r="E392" s="1078"/>
      <c r="F392" s="1078"/>
      <c r="G392" s="1078"/>
      <c r="H392" s="1078"/>
      <c r="I392" s="1078"/>
      <c r="J392" s="1078"/>
      <c r="K392" s="1055"/>
      <c r="L392" s="1075"/>
      <c r="M392" s="1078"/>
      <c r="N392" s="1078"/>
      <c r="O392" s="1078"/>
      <c r="P392" s="1078"/>
      <c r="Q392" s="1078"/>
      <c r="R392" s="1078"/>
      <c r="S392" s="928"/>
      <c r="T392" s="928"/>
      <c r="U392" s="930"/>
      <c r="V392" s="1443"/>
      <c r="W392" s="930"/>
      <c r="X392" s="977"/>
      <c r="Y392" s="1065"/>
      <c r="Z392" s="1065"/>
      <c r="AA392" s="1065"/>
      <c r="AB392" s="1065"/>
      <c r="AC392" s="1065"/>
      <c r="AD392" s="1065"/>
      <c r="AE392" s="1060"/>
      <c r="AF392" s="977"/>
      <c r="AG392" s="1065"/>
      <c r="AH392" s="1065"/>
      <c r="AI392" s="1065"/>
      <c r="AJ392" s="1065"/>
      <c r="AK392" s="1065"/>
      <c r="AL392" s="1065"/>
      <c r="AM392" s="928"/>
      <c r="AN392" s="1043"/>
      <c r="AO392" s="1041"/>
    </row>
    <row r="393" spans="1:41" ht="12" customHeight="1" x14ac:dyDescent="0.2">
      <c r="A393" s="928"/>
      <c r="B393" s="1443"/>
      <c r="C393" s="928"/>
      <c r="D393" s="1086"/>
      <c r="E393" s="1079"/>
      <c r="F393" s="1079"/>
      <c r="G393" s="1079"/>
      <c r="H393" s="1079"/>
      <c r="I393" s="1079"/>
      <c r="J393" s="1079"/>
      <c r="K393" s="1055"/>
      <c r="L393" s="1086"/>
      <c r="M393" s="1079"/>
      <c r="N393" s="1079"/>
      <c r="O393" s="1079"/>
      <c r="P393" s="1079"/>
      <c r="Q393" s="1079"/>
      <c r="R393" s="1079"/>
      <c r="S393" s="928"/>
      <c r="T393" s="928"/>
      <c r="U393" s="930"/>
      <c r="V393" s="1443"/>
      <c r="W393" s="930"/>
      <c r="X393" s="1067"/>
      <c r="Y393" s="1068"/>
      <c r="Z393" s="1068"/>
      <c r="AA393" s="1068"/>
      <c r="AB393" s="1068"/>
      <c r="AC393" s="1068"/>
      <c r="AD393" s="1068"/>
      <c r="AE393" s="1060"/>
      <c r="AF393" s="1067"/>
      <c r="AG393" s="1068"/>
      <c r="AH393" s="1068"/>
      <c r="AI393" s="1068"/>
      <c r="AJ393" s="1068"/>
      <c r="AK393" s="1068"/>
      <c r="AL393" s="1068"/>
      <c r="AM393" s="928"/>
      <c r="AN393" s="1043"/>
      <c r="AO393" s="1041"/>
    </row>
    <row r="394" spans="1:41" ht="12" customHeight="1" x14ac:dyDescent="0.2">
      <c r="A394" s="928"/>
      <c r="B394" s="1443"/>
      <c r="C394" s="928"/>
      <c r="D394" s="1084"/>
      <c r="E394" s="1079"/>
      <c r="F394" s="1079"/>
      <c r="G394" s="1079"/>
      <c r="H394" s="1079"/>
      <c r="I394" s="1079"/>
      <c r="J394" s="1079"/>
      <c r="K394" s="1055"/>
      <c r="L394" s="1084"/>
      <c r="M394" s="1079"/>
      <c r="N394" s="1079"/>
      <c r="O394" s="1079"/>
      <c r="P394" s="1079"/>
      <c r="Q394" s="1079"/>
      <c r="R394" s="1079"/>
      <c r="S394" s="928"/>
      <c r="T394" s="928"/>
      <c r="U394" s="930"/>
      <c r="V394" s="1443"/>
      <c r="W394" s="930"/>
      <c r="X394" s="1044"/>
      <c r="Y394" s="1068"/>
      <c r="Z394" s="1068"/>
      <c r="AA394" s="1068"/>
      <c r="AB394" s="1068"/>
      <c r="AC394" s="1068"/>
      <c r="AD394" s="1068"/>
      <c r="AE394" s="1060"/>
      <c r="AF394" s="1044"/>
      <c r="AG394" s="1068"/>
      <c r="AH394" s="1068"/>
      <c r="AI394" s="1068"/>
      <c r="AJ394" s="1068"/>
      <c r="AK394" s="1068"/>
      <c r="AL394" s="1068"/>
      <c r="AM394" s="928"/>
      <c r="AN394" s="1043"/>
      <c r="AO394" s="1041"/>
    </row>
    <row r="395" spans="1:41" ht="12" customHeight="1" x14ac:dyDescent="0.2">
      <c r="A395" s="928"/>
      <c r="B395" s="1443"/>
      <c r="C395" s="928"/>
      <c r="D395" s="1084"/>
      <c r="E395" s="1079"/>
      <c r="F395" s="1079"/>
      <c r="G395" s="1079"/>
      <c r="H395" s="1079"/>
      <c r="I395" s="1079"/>
      <c r="J395" s="1079"/>
      <c r="K395" s="1055"/>
      <c r="L395" s="1084"/>
      <c r="M395" s="1079"/>
      <c r="N395" s="1079"/>
      <c r="O395" s="1079"/>
      <c r="P395" s="1079"/>
      <c r="Q395" s="1079"/>
      <c r="R395" s="1079"/>
      <c r="S395" s="928"/>
      <c r="T395" s="928"/>
      <c r="U395" s="930"/>
      <c r="V395" s="1443"/>
      <c r="W395" s="930"/>
      <c r="X395" s="1044"/>
      <c r="Y395" s="1068"/>
      <c r="Z395" s="1068"/>
      <c r="AA395" s="1068"/>
      <c r="AB395" s="1068"/>
      <c r="AC395" s="1068"/>
      <c r="AD395" s="1068"/>
      <c r="AE395" s="1060"/>
      <c r="AF395" s="1044"/>
      <c r="AG395" s="1068"/>
      <c r="AH395" s="1068"/>
      <c r="AI395" s="1068"/>
      <c r="AJ395" s="1068"/>
      <c r="AK395" s="1068"/>
      <c r="AL395" s="1068"/>
      <c r="AM395" s="928"/>
      <c r="AN395" s="1043"/>
      <c r="AO395" s="1041"/>
    </row>
    <row r="396" spans="1:41" ht="12" customHeight="1" x14ac:dyDescent="0.2">
      <c r="A396" s="928"/>
      <c r="B396" s="1443"/>
      <c r="C396" s="928"/>
      <c r="D396" s="1093"/>
      <c r="E396" s="1070"/>
      <c r="F396" s="1070"/>
      <c r="G396" s="1070"/>
      <c r="H396" s="1070"/>
      <c r="I396" s="1075"/>
      <c r="J396" s="1078"/>
      <c r="K396" s="1055"/>
      <c r="L396" s="1093"/>
      <c r="M396" s="1070"/>
      <c r="N396" s="1070"/>
      <c r="O396" s="1070"/>
      <c r="P396" s="1070"/>
      <c r="Q396" s="1075"/>
      <c r="R396" s="1078"/>
      <c r="S396" s="928"/>
      <c r="T396" s="928"/>
      <c r="U396" s="930"/>
      <c r="V396" s="1443"/>
      <c r="W396" s="930"/>
      <c r="X396" s="1083"/>
      <c r="Y396" s="1064"/>
      <c r="Z396" s="1066"/>
      <c r="AA396" s="1066"/>
      <c r="AB396" s="1066"/>
      <c r="AC396" s="977"/>
      <c r="AD396" s="1065"/>
      <c r="AE396" s="1060"/>
      <c r="AF396" s="1083"/>
      <c r="AG396" s="1064"/>
      <c r="AH396" s="1064"/>
      <c r="AI396" s="1064"/>
      <c r="AJ396" s="1064"/>
      <c r="AK396" s="977"/>
      <c r="AL396" s="1065"/>
      <c r="AM396" s="928"/>
      <c r="AN396" s="1043"/>
      <c r="AO396" s="1041"/>
    </row>
    <row r="397" spans="1:41" ht="12" customHeight="1" x14ac:dyDescent="0.2">
      <c r="A397" s="928"/>
      <c r="B397" s="1443"/>
      <c r="C397" s="928"/>
      <c r="D397" s="928"/>
      <c r="E397" s="928"/>
      <c r="F397" s="928"/>
      <c r="G397" s="928"/>
      <c r="H397" s="928"/>
      <c r="I397" s="928"/>
      <c r="J397" s="928"/>
      <c r="K397" s="928"/>
      <c r="L397" s="928"/>
      <c r="M397" s="928"/>
      <c r="N397" s="928"/>
      <c r="O397" s="928"/>
      <c r="P397" s="928"/>
      <c r="Q397" s="928"/>
      <c r="R397" s="928"/>
      <c r="S397" s="1070"/>
      <c r="T397" s="928"/>
      <c r="U397" s="930"/>
      <c r="V397" s="1443"/>
      <c r="W397" s="930"/>
      <c r="X397" s="930"/>
      <c r="Y397" s="930"/>
      <c r="Z397" s="930"/>
      <c r="AA397" s="930"/>
      <c r="AB397" s="930"/>
      <c r="AC397" s="930"/>
      <c r="AD397" s="930"/>
      <c r="AE397" s="930"/>
      <c r="AF397" s="930"/>
      <c r="AG397" s="930"/>
      <c r="AH397" s="930"/>
      <c r="AI397" s="930"/>
      <c r="AJ397" s="930"/>
      <c r="AK397" s="930"/>
      <c r="AL397" s="930"/>
      <c r="AM397" s="1070"/>
      <c r="AN397" s="1043"/>
      <c r="AO397" s="1041"/>
    </row>
    <row r="398" spans="1:41" ht="12" customHeight="1" x14ac:dyDescent="0.2">
      <c r="A398" s="928"/>
      <c r="B398" s="1443"/>
      <c r="C398" s="928"/>
      <c r="D398" s="928"/>
      <c r="E398" s="928"/>
      <c r="F398" s="928"/>
      <c r="G398" s="928"/>
      <c r="H398" s="928"/>
      <c r="I398" s="928"/>
      <c r="J398" s="928"/>
      <c r="K398" s="928"/>
      <c r="L398" s="928"/>
      <c r="M398" s="928"/>
      <c r="N398" s="928"/>
      <c r="O398" s="928"/>
      <c r="P398" s="928"/>
      <c r="Q398" s="928"/>
      <c r="R398" s="928"/>
      <c r="S398" s="1070"/>
      <c r="T398" s="928"/>
      <c r="U398" s="930"/>
      <c r="V398" s="1443"/>
      <c r="W398" s="930"/>
      <c r="X398" s="930"/>
      <c r="Y398" s="930"/>
      <c r="Z398" s="930"/>
      <c r="AA398" s="930"/>
      <c r="AB398" s="930"/>
      <c r="AC398" s="930"/>
      <c r="AD398" s="930"/>
      <c r="AE398" s="930"/>
      <c r="AF398" s="930"/>
      <c r="AG398" s="930"/>
      <c r="AH398" s="930"/>
      <c r="AI398" s="930"/>
      <c r="AJ398" s="930"/>
      <c r="AK398" s="930"/>
      <c r="AL398" s="930"/>
      <c r="AM398" s="1070"/>
      <c r="AN398" s="1043"/>
      <c r="AO398" s="1041"/>
    </row>
    <row r="399" spans="1:41" ht="12" customHeight="1" x14ac:dyDescent="0.2">
      <c r="A399" s="928"/>
      <c r="B399" s="1443"/>
      <c r="C399" s="928"/>
      <c r="D399" s="928"/>
      <c r="E399" s="928"/>
      <c r="F399" s="928"/>
      <c r="G399" s="928"/>
      <c r="H399" s="928"/>
      <c r="I399" s="928"/>
      <c r="J399" s="928"/>
      <c r="K399" s="928"/>
      <c r="L399" s="928"/>
      <c r="M399" s="928"/>
      <c r="N399" s="928"/>
      <c r="O399" s="928"/>
      <c r="P399" s="928"/>
      <c r="Q399" s="928"/>
      <c r="R399" s="928"/>
      <c r="S399" s="928"/>
      <c r="T399" s="928"/>
      <c r="U399" s="930"/>
      <c r="V399" s="1443"/>
      <c r="W399" s="930"/>
      <c r="X399" s="930"/>
      <c r="Y399" s="930"/>
      <c r="Z399" s="930"/>
      <c r="AA399" s="930"/>
      <c r="AB399" s="930"/>
      <c r="AC399" s="930"/>
      <c r="AD399" s="930"/>
      <c r="AE399" s="930"/>
      <c r="AF399" s="930"/>
      <c r="AG399" s="930"/>
      <c r="AH399" s="930"/>
      <c r="AI399" s="930"/>
      <c r="AJ399" s="930"/>
      <c r="AK399" s="930"/>
      <c r="AL399" s="930"/>
      <c r="AM399" s="928"/>
      <c r="AN399" s="1043"/>
      <c r="AO399" s="1041"/>
    </row>
    <row r="400" spans="1:41" ht="12" customHeight="1" x14ac:dyDescent="0.2">
      <c r="A400" s="928"/>
      <c r="B400" s="1443"/>
      <c r="C400" s="928"/>
      <c r="D400" s="928"/>
      <c r="E400" s="928"/>
      <c r="F400" s="928"/>
      <c r="G400" s="928"/>
      <c r="H400" s="928"/>
      <c r="I400" s="928"/>
      <c r="J400" s="928"/>
      <c r="K400" s="928"/>
      <c r="L400" s="928"/>
      <c r="M400" s="928"/>
      <c r="N400" s="928"/>
      <c r="O400" s="928"/>
      <c r="P400" s="928"/>
      <c r="Q400" s="928"/>
      <c r="R400" s="928"/>
      <c r="S400" s="928"/>
      <c r="T400" s="928"/>
      <c r="U400" s="930"/>
      <c r="V400" s="1443"/>
      <c r="W400" s="930"/>
      <c r="X400" s="930"/>
      <c r="Y400" s="930"/>
      <c r="Z400" s="930"/>
      <c r="AA400" s="930"/>
      <c r="AB400" s="930"/>
      <c r="AC400" s="930"/>
      <c r="AD400" s="930"/>
      <c r="AE400" s="930"/>
      <c r="AF400" s="930"/>
      <c r="AG400" s="930"/>
      <c r="AH400" s="930"/>
      <c r="AI400" s="930"/>
      <c r="AJ400" s="930"/>
      <c r="AK400" s="930"/>
      <c r="AL400" s="930"/>
      <c r="AM400" s="928"/>
      <c r="AN400" s="1043"/>
      <c r="AO400" s="1041"/>
    </row>
    <row r="401" spans="1:41" ht="12" customHeight="1" x14ac:dyDescent="0.2">
      <c r="A401" s="928"/>
      <c r="B401" s="1443"/>
      <c r="C401" s="928"/>
      <c r="D401" s="1084"/>
      <c r="E401" s="1084"/>
      <c r="F401" s="1084"/>
      <c r="G401" s="1084"/>
      <c r="H401" s="1084"/>
      <c r="I401" s="1084"/>
      <c r="J401" s="1084"/>
      <c r="K401" s="1084"/>
      <c r="L401" s="1084"/>
      <c r="M401" s="1084"/>
      <c r="N401" s="1084"/>
      <c r="O401" s="1084"/>
      <c r="P401" s="1084"/>
      <c r="Q401" s="1084"/>
      <c r="R401" s="1084"/>
      <c r="S401" s="928"/>
      <c r="T401" s="928"/>
      <c r="U401" s="930"/>
      <c r="V401" s="1443"/>
      <c r="W401" s="930"/>
      <c r="X401" s="1044"/>
      <c r="Y401" s="1044"/>
      <c r="Z401" s="1044"/>
      <c r="AA401" s="1044"/>
      <c r="AB401" s="1044"/>
      <c r="AC401" s="1044"/>
      <c r="AD401" s="1044"/>
      <c r="AE401" s="1044"/>
      <c r="AF401" s="1044"/>
      <c r="AG401" s="1044"/>
      <c r="AH401" s="1044"/>
      <c r="AI401" s="1044"/>
      <c r="AJ401" s="1044"/>
      <c r="AK401" s="1044"/>
      <c r="AL401" s="1044"/>
      <c r="AM401" s="928"/>
      <c r="AN401" s="1043"/>
      <c r="AO401" s="1041"/>
    </row>
    <row r="402" spans="1:41" ht="12" customHeight="1" x14ac:dyDescent="0.2">
      <c r="A402" s="928"/>
      <c r="B402" s="1443"/>
      <c r="C402" s="928"/>
      <c r="D402" s="1084"/>
      <c r="E402" s="1084"/>
      <c r="F402" s="1084"/>
      <c r="G402" s="1084"/>
      <c r="H402" s="1084"/>
      <c r="I402" s="1084"/>
      <c r="J402" s="1084"/>
      <c r="K402" s="1085"/>
      <c r="L402" s="1054"/>
      <c r="M402" s="1054"/>
      <c r="N402" s="1054"/>
      <c r="O402" s="1054"/>
      <c r="P402" s="1054"/>
      <c r="Q402" s="1054"/>
      <c r="R402" s="1076"/>
      <c r="S402" s="928"/>
      <c r="T402" s="928"/>
      <c r="U402" s="930"/>
      <c r="V402" s="1443"/>
      <c r="W402" s="930"/>
      <c r="X402" s="1044"/>
      <c r="Y402" s="1044"/>
      <c r="Z402" s="1044"/>
      <c r="AA402" s="1044"/>
      <c r="AB402" s="1044"/>
      <c r="AC402" s="1044"/>
      <c r="AD402" s="1044"/>
      <c r="AE402" s="1045"/>
      <c r="AF402" s="1046"/>
      <c r="AG402" s="1046"/>
      <c r="AH402" s="1046"/>
      <c r="AI402" s="1046"/>
      <c r="AJ402" s="1046"/>
      <c r="AK402" s="1046"/>
      <c r="AL402" s="1047"/>
      <c r="AM402" s="928"/>
      <c r="AN402" s="1043"/>
      <c r="AO402" s="1041"/>
    </row>
    <row r="403" spans="1:41" ht="12" customHeight="1" x14ac:dyDescent="0.2">
      <c r="A403" s="928"/>
      <c r="B403" s="1443"/>
      <c r="C403" s="928"/>
      <c r="D403" s="1084"/>
      <c r="E403" s="1084"/>
      <c r="F403" s="1084"/>
      <c r="G403" s="1084"/>
      <c r="H403" s="1084"/>
      <c r="I403" s="1084"/>
      <c r="J403" s="1084"/>
      <c r="K403" s="1054"/>
      <c r="L403" s="1054"/>
      <c r="M403" s="1054"/>
      <c r="N403" s="1054"/>
      <c r="O403" s="1054"/>
      <c r="P403" s="1054"/>
      <c r="Q403" s="1054"/>
      <c r="R403" s="1084"/>
      <c r="S403" s="928"/>
      <c r="T403" s="928"/>
      <c r="U403" s="930"/>
      <c r="V403" s="1443"/>
      <c r="W403" s="930"/>
      <c r="X403" s="1044"/>
      <c r="Y403" s="1044"/>
      <c r="Z403" s="1044"/>
      <c r="AA403" s="1044"/>
      <c r="AB403" s="1044"/>
      <c r="AC403" s="1044"/>
      <c r="AD403" s="1044"/>
      <c r="AE403" s="1046"/>
      <c r="AF403" s="1046"/>
      <c r="AG403" s="1046"/>
      <c r="AH403" s="1046"/>
      <c r="AI403" s="1046"/>
      <c r="AJ403" s="1046"/>
      <c r="AK403" s="1046"/>
      <c r="AL403" s="1044"/>
      <c r="AM403" s="928"/>
      <c r="AN403" s="1043"/>
      <c r="AO403" s="1041"/>
    </row>
    <row r="404" spans="1:41" ht="12" customHeight="1" x14ac:dyDescent="0.2">
      <c r="A404" s="928"/>
      <c r="B404" s="1443"/>
      <c r="C404" s="928"/>
      <c r="D404" s="1084"/>
      <c r="E404" s="1084"/>
      <c r="F404" s="1084"/>
      <c r="G404" s="1084"/>
      <c r="H404" s="1084"/>
      <c r="I404" s="1084"/>
      <c r="J404" s="1084"/>
      <c r="K404" s="1085"/>
      <c r="L404" s="1054"/>
      <c r="M404" s="1054"/>
      <c r="N404" s="1054"/>
      <c r="O404" s="1054"/>
      <c r="P404" s="1054"/>
      <c r="Q404" s="1054"/>
      <c r="R404" s="1084"/>
      <c r="S404" s="928"/>
      <c r="T404" s="928"/>
      <c r="U404" s="930"/>
      <c r="V404" s="1443"/>
      <c r="W404" s="930"/>
      <c r="X404" s="1044"/>
      <c r="Y404" s="1044"/>
      <c r="Z404" s="1044"/>
      <c r="AA404" s="1044"/>
      <c r="AB404" s="1044"/>
      <c r="AC404" s="1044"/>
      <c r="AD404" s="1044"/>
      <c r="AE404" s="1045"/>
      <c r="AF404" s="1046"/>
      <c r="AG404" s="1046"/>
      <c r="AH404" s="1046"/>
      <c r="AI404" s="1046"/>
      <c r="AJ404" s="1046"/>
      <c r="AK404" s="1046"/>
      <c r="AL404" s="1044"/>
      <c r="AM404" s="928"/>
      <c r="AN404" s="1043"/>
      <c r="AO404" s="1041"/>
    </row>
    <row r="405" spans="1:41" ht="12" customHeight="1" x14ac:dyDescent="0.2">
      <c r="A405" s="928"/>
      <c r="B405" s="1443"/>
      <c r="C405" s="928"/>
      <c r="D405" s="1084"/>
      <c r="E405" s="1084"/>
      <c r="F405" s="1084"/>
      <c r="G405" s="1084"/>
      <c r="H405" s="1084"/>
      <c r="I405" s="1084"/>
      <c r="J405" s="1084"/>
      <c r="K405" s="1054"/>
      <c r="L405" s="1054"/>
      <c r="M405" s="1054"/>
      <c r="N405" s="1054"/>
      <c r="O405" s="1054"/>
      <c r="P405" s="1054"/>
      <c r="Q405" s="1054"/>
      <c r="R405" s="1084"/>
      <c r="S405" s="928"/>
      <c r="T405" s="928"/>
      <c r="U405" s="930"/>
      <c r="V405" s="1443"/>
      <c r="W405" s="930"/>
      <c r="X405" s="1044"/>
      <c r="Y405" s="1044"/>
      <c r="Z405" s="1044"/>
      <c r="AA405" s="1044"/>
      <c r="AB405" s="1044"/>
      <c r="AC405" s="1044"/>
      <c r="AD405" s="1044"/>
      <c r="AE405" s="1046"/>
      <c r="AF405" s="1046"/>
      <c r="AG405" s="1046"/>
      <c r="AH405" s="1046"/>
      <c r="AI405" s="1046"/>
      <c r="AJ405" s="1046"/>
      <c r="AK405" s="1046"/>
      <c r="AL405" s="1044"/>
      <c r="AM405" s="928"/>
      <c r="AN405" s="1043"/>
      <c r="AO405" s="1041"/>
    </row>
    <row r="406" spans="1:41" ht="12" customHeight="1" x14ac:dyDescent="0.2">
      <c r="A406" s="928"/>
      <c r="B406" s="1443"/>
      <c r="C406" s="928"/>
      <c r="D406" s="1084"/>
      <c r="E406" s="1084"/>
      <c r="F406" s="1084"/>
      <c r="G406" s="1084"/>
      <c r="H406" s="1084"/>
      <c r="I406" s="1084"/>
      <c r="J406" s="1084"/>
      <c r="K406" s="1084"/>
      <c r="L406" s="1084"/>
      <c r="M406" s="1084"/>
      <c r="N406" s="1084"/>
      <c r="O406" s="1084"/>
      <c r="P406" s="1084"/>
      <c r="Q406" s="1084"/>
      <c r="R406" s="1084"/>
      <c r="S406" s="928"/>
      <c r="T406" s="928"/>
      <c r="U406" s="930"/>
      <c r="V406" s="1443"/>
      <c r="W406" s="930"/>
      <c r="X406" s="1044"/>
      <c r="Y406" s="1044"/>
      <c r="Z406" s="1044"/>
      <c r="AA406" s="1044"/>
      <c r="AB406" s="1044"/>
      <c r="AC406" s="1044"/>
      <c r="AD406" s="1044"/>
      <c r="AE406" s="1044"/>
      <c r="AF406" s="1044"/>
      <c r="AG406" s="1044"/>
      <c r="AH406" s="1044"/>
      <c r="AI406" s="1044"/>
      <c r="AJ406" s="1044"/>
      <c r="AK406" s="1044"/>
      <c r="AL406" s="1044"/>
      <c r="AM406" s="928"/>
      <c r="AN406" s="1043"/>
      <c r="AO406" s="1041"/>
    </row>
    <row r="407" spans="1:41" ht="12" customHeight="1" x14ac:dyDescent="0.2">
      <c r="A407" s="928"/>
      <c r="B407" s="1443"/>
      <c r="C407" s="928"/>
      <c r="D407" s="928"/>
      <c r="E407" s="928"/>
      <c r="F407" s="928"/>
      <c r="G407" s="928"/>
      <c r="H407" s="928"/>
      <c r="I407" s="928"/>
      <c r="J407" s="928"/>
      <c r="K407" s="928"/>
      <c r="L407" s="928"/>
      <c r="M407" s="928"/>
      <c r="N407" s="928"/>
      <c r="O407" s="928"/>
      <c r="P407" s="928"/>
      <c r="Q407" s="928"/>
      <c r="R407" s="928"/>
      <c r="S407" s="928"/>
      <c r="T407" s="928"/>
      <c r="U407" s="930"/>
      <c r="V407" s="1443"/>
      <c r="W407" s="930"/>
      <c r="X407" s="930"/>
      <c r="Y407" s="930"/>
      <c r="Z407" s="930"/>
      <c r="AA407" s="930"/>
      <c r="AB407" s="930"/>
      <c r="AC407" s="930"/>
      <c r="AD407" s="930"/>
      <c r="AE407" s="930"/>
      <c r="AF407" s="930"/>
      <c r="AG407" s="930"/>
      <c r="AH407" s="930"/>
      <c r="AI407" s="930"/>
      <c r="AJ407" s="930"/>
      <c r="AK407" s="930"/>
      <c r="AL407" s="930"/>
      <c r="AM407" s="928"/>
      <c r="AN407" s="1043"/>
      <c r="AO407" s="1041"/>
    </row>
    <row r="408" spans="1:41" ht="12" customHeight="1" x14ac:dyDescent="0.2">
      <c r="A408" s="928"/>
      <c r="B408" s="1443"/>
      <c r="C408" s="928"/>
      <c r="D408" s="1089"/>
      <c r="E408" s="1089"/>
      <c r="F408" s="1055"/>
      <c r="G408" s="1055"/>
      <c r="H408" s="1055"/>
      <c r="I408" s="1055"/>
      <c r="J408" s="1080"/>
      <c r="K408" s="928"/>
      <c r="L408" s="1089"/>
      <c r="M408" s="1089"/>
      <c r="N408" s="1055"/>
      <c r="O408" s="1055"/>
      <c r="P408" s="1055"/>
      <c r="Q408" s="1055"/>
      <c r="R408" s="1080"/>
      <c r="S408" s="928"/>
      <c r="T408" s="928"/>
      <c r="U408" s="930"/>
      <c r="V408" s="1443"/>
      <c r="W408" s="930"/>
      <c r="X408" s="1048"/>
      <c r="Y408" s="1048"/>
      <c r="Z408" s="1049"/>
      <c r="AA408" s="1049"/>
      <c r="AB408" s="1049"/>
      <c r="AC408" s="1049"/>
      <c r="AD408" s="1050"/>
      <c r="AE408" s="930"/>
      <c r="AF408" s="1048"/>
      <c r="AG408" s="1048"/>
      <c r="AH408" s="1049"/>
      <c r="AI408" s="1049"/>
      <c r="AJ408" s="1049"/>
      <c r="AK408" s="1049"/>
      <c r="AL408" s="1050"/>
      <c r="AM408" s="928"/>
      <c r="AN408" s="1043"/>
      <c r="AO408" s="1041"/>
    </row>
    <row r="409" spans="1:41" ht="12" customHeight="1" x14ac:dyDescent="0.2">
      <c r="A409" s="928"/>
      <c r="B409" s="1443"/>
      <c r="C409" s="928"/>
      <c r="D409" s="1090"/>
      <c r="E409" s="1090"/>
      <c r="F409" s="1055"/>
      <c r="G409" s="1055"/>
      <c r="H409" s="1055"/>
      <c r="I409" s="1055"/>
      <c r="J409" s="1057"/>
      <c r="K409" s="1058"/>
      <c r="L409" s="1090"/>
      <c r="M409" s="1090"/>
      <c r="N409" s="1055"/>
      <c r="O409" s="1055"/>
      <c r="P409" s="1055"/>
      <c r="Q409" s="1055"/>
      <c r="R409" s="1057"/>
      <c r="S409" s="928"/>
      <c r="T409" s="928"/>
      <c r="U409" s="930"/>
      <c r="V409" s="1443"/>
      <c r="W409" s="930"/>
      <c r="X409" s="1051"/>
      <c r="Y409" s="1051"/>
      <c r="Z409" s="1049"/>
      <c r="AA409" s="1049"/>
      <c r="AB409" s="1049"/>
      <c r="AC409" s="1049"/>
      <c r="AD409" s="1052"/>
      <c r="AE409" s="1053"/>
      <c r="AF409" s="1051"/>
      <c r="AG409" s="1051"/>
      <c r="AH409" s="1049"/>
      <c r="AI409" s="1049"/>
      <c r="AJ409" s="1049"/>
      <c r="AK409" s="1049"/>
      <c r="AL409" s="1052"/>
      <c r="AM409" s="928"/>
      <c r="AN409" s="1043"/>
      <c r="AO409" s="1041"/>
    </row>
    <row r="410" spans="1:41" ht="12" customHeight="1" x14ac:dyDescent="0.2">
      <c r="A410" s="928"/>
      <c r="B410" s="1443"/>
      <c r="C410" s="928"/>
      <c r="D410" s="1054"/>
      <c r="E410" s="1054"/>
      <c r="F410" s="1055"/>
      <c r="G410" s="1055"/>
      <c r="H410" s="1055"/>
      <c r="I410" s="1056"/>
      <c r="J410" s="1057"/>
      <c r="K410" s="1058"/>
      <c r="L410" s="1054"/>
      <c r="M410" s="1054"/>
      <c r="N410" s="1055"/>
      <c r="O410" s="1055"/>
      <c r="P410" s="1055"/>
      <c r="Q410" s="1056"/>
      <c r="R410" s="1057"/>
      <c r="S410" s="928"/>
      <c r="T410" s="928"/>
      <c r="U410" s="930"/>
      <c r="V410" s="1443"/>
      <c r="W410" s="930"/>
      <c r="X410" s="1059"/>
      <c r="Y410" s="1059"/>
      <c r="Z410" s="1060"/>
      <c r="AA410" s="1060"/>
      <c r="AB410" s="1060"/>
      <c r="AC410" s="1061"/>
      <c r="AD410" s="1052"/>
      <c r="AE410" s="1053"/>
      <c r="AF410" s="1059"/>
      <c r="AG410" s="1059"/>
      <c r="AH410" s="1060"/>
      <c r="AI410" s="1060"/>
      <c r="AJ410" s="1060"/>
      <c r="AK410" s="1061"/>
      <c r="AL410" s="1052"/>
      <c r="AM410" s="928"/>
      <c r="AN410" s="1043"/>
      <c r="AO410" s="1041"/>
    </row>
    <row r="411" spans="1:41" ht="12" customHeight="1" x14ac:dyDescent="0.2">
      <c r="A411" s="928"/>
      <c r="B411" s="1443"/>
      <c r="C411" s="928"/>
      <c r="D411" s="928"/>
      <c r="E411" s="1076"/>
      <c r="F411" s="1076"/>
      <c r="G411" s="1076"/>
      <c r="H411" s="1076"/>
      <c r="I411" s="1076"/>
      <c r="J411" s="1076"/>
      <c r="K411" s="1058"/>
      <c r="L411" s="928"/>
      <c r="M411" s="1076"/>
      <c r="N411" s="1076"/>
      <c r="O411" s="1076"/>
      <c r="P411" s="1076"/>
      <c r="Q411" s="1076"/>
      <c r="R411" s="1076"/>
      <c r="S411" s="928"/>
      <c r="T411" s="928"/>
      <c r="U411" s="930"/>
      <c r="V411" s="1443"/>
      <c r="W411" s="930"/>
      <c r="X411" s="930"/>
      <c r="Y411" s="1062"/>
      <c r="Z411" s="1062"/>
      <c r="AA411" s="1062"/>
      <c r="AB411" s="1062"/>
      <c r="AC411" s="1062"/>
      <c r="AD411" s="1062"/>
      <c r="AE411" s="1053"/>
      <c r="AF411" s="930"/>
      <c r="AG411" s="1062"/>
      <c r="AH411" s="1062"/>
      <c r="AI411" s="1062"/>
      <c r="AJ411" s="1062"/>
      <c r="AK411" s="1062"/>
      <c r="AL411" s="1062"/>
      <c r="AM411" s="928"/>
      <c r="AN411" s="1043"/>
      <c r="AO411" s="1041"/>
    </row>
    <row r="412" spans="1:41" ht="12" customHeight="1" x14ac:dyDescent="0.2">
      <c r="A412" s="928"/>
      <c r="B412" s="1443"/>
      <c r="C412" s="928"/>
      <c r="D412" s="1054"/>
      <c r="E412" s="1077"/>
      <c r="F412" s="1077"/>
      <c r="G412" s="1077"/>
      <c r="H412" s="1077"/>
      <c r="I412" s="1077"/>
      <c r="J412" s="1077"/>
      <c r="K412" s="1070"/>
      <c r="L412" s="1054"/>
      <c r="M412" s="1077"/>
      <c r="N412" s="1077"/>
      <c r="O412" s="1077"/>
      <c r="P412" s="1077"/>
      <c r="Q412" s="1077"/>
      <c r="R412" s="1077"/>
      <c r="S412" s="928"/>
      <c r="T412" s="928"/>
      <c r="U412" s="930"/>
      <c r="V412" s="1443"/>
      <c r="W412" s="930"/>
      <c r="X412" s="1059"/>
      <c r="Y412" s="1063"/>
      <c r="Z412" s="1063"/>
      <c r="AA412" s="1063"/>
      <c r="AB412" s="1063"/>
      <c r="AC412" s="1063"/>
      <c r="AD412" s="1063"/>
      <c r="AE412" s="1064"/>
      <c r="AF412" s="1059"/>
      <c r="AG412" s="1063"/>
      <c r="AH412" s="1063"/>
      <c r="AI412" s="1063"/>
      <c r="AJ412" s="1063"/>
      <c r="AK412" s="1063"/>
      <c r="AL412" s="1063"/>
      <c r="AM412" s="928"/>
      <c r="AN412" s="1043"/>
      <c r="AO412" s="1041"/>
    </row>
    <row r="413" spans="1:41" ht="12" customHeight="1" x14ac:dyDescent="0.2">
      <c r="A413" s="928"/>
      <c r="B413" s="1443"/>
      <c r="C413" s="928"/>
      <c r="D413" s="1054"/>
      <c r="E413" s="1077"/>
      <c r="F413" s="1077"/>
      <c r="G413" s="1077"/>
      <c r="H413" s="1077"/>
      <c r="I413" s="1077"/>
      <c r="J413" s="1077"/>
      <c r="K413" s="1075"/>
      <c r="L413" s="1054"/>
      <c r="M413" s="1077"/>
      <c r="N413" s="1077"/>
      <c r="O413" s="1077"/>
      <c r="P413" s="1077"/>
      <c r="Q413" s="1077"/>
      <c r="R413" s="1077"/>
      <c r="S413" s="928"/>
      <c r="T413" s="928"/>
      <c r="U413" s="930"/>
      <c r="V413" s="1443"/>
      <c r="W413" s="930"/>
      <c r="X413" s="1059"/>
      <c r="Y413" s="1063"/>
      <c r="Z413" s="1063"/>
      <c r="AA413" s="1063"/>
      <c r="AB413" s="1063"/>
      <c r="AC413" s="1063"/>
      <c r="AD413" s="1063"/>
      <c r="AE413" s="977"/>
      <c r="AF413" s="1059"/>
      <c r="AG413" s="1063"/>
      <c r="AH413" s="1063"/>
      <c r="AI413" s="1063"/>
      <c r="AJ413" s="1063"/>
      <c r="AK413" s="1063"/>
      <c r="AL413" s="1063"/>
      <c r="AM413" s="928"/>
      <c r="AN413" s="1043"/>
      <c r="AO413" s="1041"/>
    </row>
    <row r="414" spans="1:41" ht="12" customHeight="1" x14ac:dyDescent="0.2">
      <c r="A414" s="928"/>
      <c r="B414" s="1443"/>
      <c r="C414" s="928"/>
      <c r="D414" s="1075"/>
      <c r="E414" s="1078"/>
      <c r="F414" s="1078"/>
      <c r="G414" s="1078"/>
      <c r="H414" s="1078"/>
      <c r="I414" s="1078"/>
      <c r="J414" s="1078"/>
      <c r="K414" s="1070"/>
      <c r="L414" s="1075"/>
      <c r="M414" s="1078"/>
      <c r="N414" s="1078"/>
      <c r="O414" s="1078"/>
      <c r="P414" s="1078"/>
      <c r="Q414" s="1078"/>
      <c r="R414" s="1078"/>
      <c r="S414" s="928"/>
      <c r="T414" s="928"/>
      <c r="U414" s="930"/>
      <c r="V414" s="1443"/>
      <c r="W414" s="930"/>
      <c r="X414" s="977"/>
      <c r="Y414" s="1065"/>
      <c r="Z414" s="1065"/>
      <c r="AA414" s="1065"/>
      <c r="AB414" s="1065"/>
      <c r="AC414" s="1065"/>
      <c r="AD414" s="1065"/>
      <c r="AE414" s="1066"/>
      <c r="AF414" s="977"/>
      <c r="AG414" s="1065"/>
      <c r="AH414" s="1065"/>
      <c r="AI414" s="1065"/>
      <c r="AJ414" s="1065"/>
      <c r="AK414" s="1065"/>
      <c r="AL414" s="1065"/>
      <c r="AM414" s="928"/>
      <c r="AN414" s="1043"/>
      <c r="AO414" s="1041"/>
    </row>
    <row r="415" spans="1:41" ht="12" customHeight="1" x14ac:dyDescent="0.2">
      <c r="A415" s="928"/>
      <c r="B415" s="1443"/>
      <c r="C415" s="928"/>
      <c r="D415" s="1086"/>
      <c r="E415" s="1079"/>
      <c r="F415" s="1079"/>
      <c r="G415" s="1079"/>
      <c r="H415" s="1079"/>
      <c r="I415" s="1079"/>
      <c r="J415" s="1079"/>
      <c r="K415" s="1070"/>
      <c r="L415" s="1086"/>
      <c r="M415" s="1079"/>
      <c r="N415" s="1079"/>
      <c r="O415" s="1079"/>
      <c r="P415" s="1079"/>
      <c r="Q415" s="1079"/>
      <c r="R415" s="1079"/>
      <c r="S415" s="928"/>
      <c r="T415" s="928"/>
      <c r="U415" s="930"/>
      <c r="V415" s="1443"/>
      <c r="W415" s="930"/>
      <c r="X415" s="1067"/>
      <c r="Y415" s="1068"/>
      <c r="Z415" s="1068"/>
      <c r="AA415" s="1068"/>
      <c r="AB415" s="1068"/>
      <c r="AC415" s="1068"/>
      <c r="AD415" s="1068"/>
      <c r="AE415" s="1066"/>
      <c r="AF415" s="1067"/>
      <c r="AG415" s="1068"/>
      <c r="AH415" s="1068"/>
      <c r="AI415" s="1068"/>
      <c r="AJ415" s="1068"/>
      <c r="AK415" s="1068"/>
      <c r="AL415" s="1068"/>
      <c r="AM415" s="928"/>
      <c r="AN415" s="1043"/>
      <c r="AO415" s="1041"/>
    </row>
    <row r="416" spans="1:41" ht="12" customHeight="1" x14ac:dyDescent="0.2">
      <c r="A416" s="928"/>
      <c r="B416" s="1443"/>
      <c r="C416" s="928"/>
      <c r="D416" s="1084"/>
      <c r="E416" s="1079"/>
      <c r="F416" s="1079"/>
      <c r="G416" s="1079"/>
      <c r="H416" s="1079"/>
      <c r="I416" s="1079"/>
      <c r="J416" s="1079"/>
      <c r="K416" s="1070"/>
      <c r="L416" s="1084"/>
      <c r="M416" s="1079"/>
      <c r="N416" s="1079"/>
      <c r="O416" s="1079"/>
      <c r="P416" s="1079"/>
      <c r="Q416" s="1079"/>
      <c r="R416" s="1079"/>
      <c r="S416" s="928"/>
      <c r="T416" s="928"/>
      <c r="U416" s="930"/>
      <c r="V416" s="1443"/>
      <c r="W416" s="930"/>
      <c r="X416" s="1044"/>
      <c r="Y416" s="1068"/>
      <c r="Z416" s="1068"/>
      <c r="AA416" s="1068"/>
      <c r="AB416" s="1068"/>
      <c r="AC416" s="1068"/>
      <c r="AD416" s="1068"/>
      <c r="AE416" s="1066"/>
      <c r="AF416" s="1044"/>
      <c r="AG416" s="1068"/>
      <c r="AH416" s="1068"/>
      <c r="AI416" s="1068"/>
      <c r="AJ416" s="1068"/>
      <c r="AK416" s="1068"/>
      <c r="AL416" s="1068"/>
      <c r="AM416" s="928"/>
      <c r="AN416" s="1043"/>
      <c r="AO416" s="1041"/>
    </row>
    <row r="417" spans="1:41" ht="12" customHeight="1" x14ac:dyDescent="0.2">
      <c r="A417" s="928"/>
      <c r="B417" s="1443"/>
      <c r="C417" s="928"/>
      <c r="D417" s="1084"/>
      <c r="E417" s="1079"/>
      <c r="F417" s="1079"/>
      <c r="G417" s="1079"/>
      <c r="H417" s="1079"/>
      <c r="I417" s="1079"/>
      <c r="J417" s="1079"/>
      <c r="K417" s="1070"/>
      <c r="L417" s="1084"/>
      <c r="M417" s="1079"/>
      <c r="N417" s="1079"/>
      <c r="O417" s="1079"/>
      <c r="P417" s="1079"/>
      <c r="Q417" s="1079"/>
      <c r="R417" s="1079"/>
      <c r="S417" s="928"/>
      <c r="T417" s="928"/>
      <c r="U417" s="930"/>
      <c r="V417" s="1443"/>
      <c r="W417" s="930"/>
      <c r="X417" s="1044"/>
      <c r="Y417" s="1068"/>
      <c r="Z417" s="1068"/>
      <c r="AA417" s="1068"/>
      <c r="AB417" s="1068"/>
      <c r="AC417" s="1068"/>
      <c r="AD417" s="1068"/>
      <c r="AE417" s="1066"/>
      <c r="AF417" s="1044"/>
      <c r="AG417" s="1068"/>
      <c r="AH417" s="1068"/>
      <c r="AI417" s="1068"/>
      <c r="AJ417" s="1068"/>
      <c r="AK417" s="1068"/>
      <c r="AL417" s="1068"/>
      <c r="AM417" s="928"/>
      <c r="AN417" s="1043"/>
      <c r="AO417" s="1041"/>
    </row>
    <row r="418" spans="1:41" ht="12" customHeight="1" x14ac:dyDescent="0.2">
      <c r="A418" s="928"/>
      <c r="B418" s="1443"/>
      <c r="C418" s="928"/>
      <c r="D418" s="1084"/>
      <c r="E418" s="1084"/>
      <c r="F418" s="1084"/>
      <c r="G418" s="1084"/>
      <c r="H418" s="1084"/>
      <c r="I418" s="1084"/>
      <c r="J418" s="1084"/>
      <c r="K418" s="1070"/>
      <c r="L418" s="1070"/>
      <c r="M418" s="1070"/>
      <c r="N418" s="1087"/>
      <c r="O418" s="1070"/>
      <c r="P418" s="1070"/>
      <c r="Q418" s="1070"/>
      <c r="R418" s="1070"/>
      <c r="S418" s="928"/>
      <c r="T418" s="928"/>
      <c r="U418" s="930"/>
      <c r="V418" s="1443"/>
      <c r="W418" s="930"/>
      <c r="X418" s="1044"/>
      <c r="Y418" s="1044"/>
      <c r="Z418" s="1044"/>
      <c r="AA418" s="1044"/>
      <c r="AB418" s="1044"/>
      <c r="AC418" s="1044"/>
      <c r="AD418" s="1044"/>
      <c r="AE418" s="1066"/>
      <c r="AF418" s="1066"/>
      <c r="AG418" s="1064"/>
      <c r="AH418" s="1069"/>
      <c r="AI418" s="1066"/>
      <c r="AJ418" s="1066"/>
      <c r="AK418" s="1066"/>
      <c r="AL418" s="1066"/>
      <c r="AM418" s="928"/>
      <c r="AN418" s="1043"/>
      <c r="AO418" s="1041"/>
    </row>
    <row r="419" spans="1:41" ht="12" customHeight="1" x14ac:dyDescent="0.2">
      <c r="A419" s="928"/>
      <c r="B419" s="1443"/>
      <c r="C419" s="928"/>
      <c r="D419" s="1089"/>
      <c r="E419" s="1089"/>
      <c r="F419" s="1055"/>
      <c r="G419" s="1055"/>
      <c r="H419" s="1055"/>
      <c r="I419" s="1055"/>
      <c r="J419" s="1080"/>
      <c r="K419" s="1070"/>
      <c r="L419" s="1089"/>
      <c r="M419" s="1089"/>
      <c r="N419" s="1055"/>
      <c r="O419" s="1055"/>
      <c r="P419" s="1055"/>
      <c r="Q419" s="1055"/>
      <c r="R419" s="1080"/>
      <c r="S419" s="928"/>
      <c r="T419" s="928"/>
      <c r="U419" s="930"/>
      <c r="V419" s="1443"/>
      <c r="W419" s="930"/>
      <c r="X419" s="1048"/>
      <c r="Y419" s="1048"/>
      <c r="Z419" s="1049"/>
      <c r="AA419" s="1049"/>
      <c r="AB419" s="1049"/>
      <c r="AC419" s="1049"/>
      <c r="AD419" s="1050"/>
      <c r="AE419" s="1066"/>
      <c r="AF419" s="1048"/>
      <c r="AG419" s="1048"/>
      <c r="AH419" s="1049"/>
      <c r="AI419" s="1049"/>
      <c r="AJ419" s="1049"/>
      <c r="AK419" s="1049"/>
      <c r="AL419" s="1050"/>
      <c r="AM419" s="928"/>
      <c r="AN419" s="1043"/>
      <c r="AO419" s="1041"/>
    </row>
    <row r="420" spans="1:41" ht="12" customHeight="1" x14ac:dyDescent="0.2">
      <c r="A420" s="928"/>
      <c r="B420" s="1443"/>
      <c r="C420" s="928"/>
      <c r="D420" s="1090"/>
      <c r="E420" s="1090"/>
      <c r="F420" s="1055"/>
      <c r="G420" s="1055"/>
      <c r="H420" s="1055"/>
      <c r="I420" s="1055"/>
      <c r="J420" s="1057"/>
      <c r="K420" s="1070"/>
      <c r="L420" s="1090"/>
      <c r="M420" s="1090"/>
      <c r="N420" s="1055"/>
      <c r="O420" s="1055"/>
      <c r="P420" s="1055"/>
      <c r="Q420" s="1055"/>
      <c r="R420" s="1057"/>
      <c r="S420" s="928"/>
      <c r="T420" s="928"/>
      <c r="U420" s="930"/>
      <c r="V420" s="1443"/>
      <c r="W420" s="930"/>
      <c r="X420" s="1051"/>
      <c r="Y420" s="1051"/>
      <c r="Z420" s="1049"/>
      <c r="AA420" s="1049"/>
      <c r="AB420" s="1049"/>
      <c r="AC420" s="1049"/>
      <c r="AD420" s="1052"/>
      <c r="AE420" s="1066"/>
      <c r="AF420" s="1051"/>
      <c r="AG420" s="1051"/>
      <c r="AH420" s="1049"/>
      <c r="AI420" s="1049"/>
      <c r="AJ420" s="1049"/>
      <c r="AK420" s="1049"/>
      <c r="AL420" s="1052"/>
      <c r="AM420" s="928"/>
      <c r="AN420" s="1043"/>
      <c r="AO420" s="1041"/>
    </row>
    <row r="421" spans="1:41" ht="12" customHeight="1" x14ac:dyDescent="0.2">
      <c r="A421" s="928"/>
      <c r="B421" s="1443"/>
      <c r="C421" s="928"/>
      <c r="D421" s="1054"/>
      <c r="E421" s="1054"/>
      <c r="F421" s="1055"/>
      <c r="G421" s="1055"/>
      <c r="H421" s="1055"/>
      <c r="I421" s="1056"/>
      <c r="J421" s="1057"/>
      <c r="K421" s="1070"/>
      <c r="L421" s="1054"/>
      <c r="M421" s="1054"/>
      <c r="N421" s="1055"/>
      <c r="O421" s="1055"/>
      <c r="P421" s="1055"/>
      <c r="Q421" s="1056"/>
      <c r="R421" s="1057"/>
      <c r="S421" s="928"/>
      <c r="T421" s="928"/>
      <c r="U421" s="930"/>
      <c r="V421" s="1443"/>
      <c r="W421" s="930"/>
      <c r="X421" s="1059"/>
      <c r="Y421" s="1059"/>
      <c r="Z421" s="1060"/>
      <c r="AA421" s="1060"/>
      <c r="AB421" s="1060"/>
      <c r="AC421" s="1061"/>
      <c r="AD421" s="1052"/>
      <c r="AE421" s="1066"/>
      <c r="AF421" s="1059"/>
      <c r="AG421" s="1059"/>
      <c r="AH421" s="1060"/>
      <c r="AI421" s="1060"/>
      <c r="AJ421" s="1060"/>
      <c r="AK421" s="1061"/>
      <c r="AL421" s="1052"/>
      <c r="AM421" s="928"/>
      <c r="AN421" s="1043"/>
      <c r="AO421" s="1041"/>
    </row>
    <row r="422" spans="1:41" ht="12" customHeight="1" x14ac:dyDescent="0.2">
      <c r="A422" s="928"/>
      <c r="B422" s="1443"/>
      <c r="C422" s="928"/>
      <c r="D422" s="928"/>
      <c r="E422" s="1076"/>
      <c r="F422" s="1076"/>
      <c r="G422" s="1076"/>
      <c r="H422" s="1076"/>
      <c r="I422" s="1076"/>
      <c r="J422" s="1076"/>
      <c r="K422" s="1070"/>
      <c r="L422" s="928"/>
      <c r="M422" s="1076"/>
      <c r="N422" s="1076"/>
      <c r="O422" s="1076"/>
      <c r="P422" s="1076"/>
      <c r="Q422" s="1076"/>
      <c r="R422" s="1076"/>
      <c r="S422" s="928"/>
      <c r="T422" s="928"/>
      <c r="U422" s="930"/>
      <c r="V422" s="1443"/>
      <c r="W422" s="930"/>
      <c r="X422" s="930"/>
      <c r="Y422" s="1062"/>
      <c r="Z422" s="1062"/>
      <c r="AA422" s="1062"/>
      <c r="AB422" s="1062"/>
      <c r="AC422" s="1062"/>
      <c r="AD422" s="1062"/>
      <c r="AE422" s="1066"/>
      <c r="AF422" s="930"/>
      <c r="AG422" s="1062"/>
      <c r="AH422" s="1062"/>
      <c r="AI422" s="1062"/>
      <c r="AJ422" s="1062"/>
      <c r="AK422" s="1062"/>
      <c r="AL422" s="1062"/>
      <c r="AM422" s="928"/>
      <c r="AN422" s="1043"/>
      <c r="AO422" s="1041"/>
    </row>
    <row r="423" spans="1:41" ht="12" customHeight="1" x14ac:dyDescent="0.2">
      <c r="A423" s="928"/>
      <c r="B423" s="1443"/>
      <c r="C423" s="928"/>
      <c r="D423" s="1054"/>
      <c r="E423" s="1077"/>
      <c r="F423" s="1077"/>
      <c r="G423" s="1077"/>
      <c r="H423" s="1077"/>
      <c r="I423" s="1077"/>
      <c r="J423" s="1077"/>
      <c r="K423" s="1075"/>
      <c r="L423" s="1054"/>
      <c r="M423" s="1077"/>
      <c r="N423" s="1077"/>
      <c r="O423" s="1077"/>
      <c r="P423" s="1077"/>
      <c r="Q423" s="1077"/>
      <c r="R423" s="1077"/>
      <c r="S423" s="928"/>
      <c r="T423" s="928"/>
      <c r="U423" s="930"/>
      <c r="V423" s="1443"/>
      <c r="W423" s="930"/>
      <c r="X423" s="1059"/>
      <c r="Y423" s="1063"/>
      <c r="Z423" s="1063"/>
      <c r="AA423" s="1063"/>
      <c r="AB423" s="1063"/>
      <c r="AC423" s="1063"/>
      <c r="AD423" s="1063"/>
      <c r="AE423" s="1071"/>
      <c r="AF423" s="1059"/>
      <c r="AG423" s="1063"/>
      <c r="AH423" s="1063"/>
      <c r="AI423" s="1063"/>
      <c r="AJ423" s="1063"/>
      <c r="AK423" s="1063"/>
      <c r="AL423" s="1063"/>
      <c r="AM423" s="928"/>
      <c r="AN423" s="1043"/>
      <c r="AO423" s="1041"/>
    </row>
    <row r="424" spans="1:41" ht="12" customHeight="1" x14ac:dyDescent="0.2">
      <c r="A424" s="928"/>
      <c r="B424" s="1443"/>
      <c r="C424" s="928"/>
      <c r="D424" s="1054"/>
      <c r="E424" s="1077"/>
      <c r="F424" s="1077"/>
      <c r="G424" s="1077"/>
      <c r="H424" s="1077"/>
      <c r="I424" s="1077"/>
      <c r="J424" s="1077"/>
      <c r="K424" s="1075"/>
      <c r="L424" s="1054"/>
      <c r="M424" s="1077"/>
      <c r="N424" s="1077"/>
      <c r="O424" s="1077"/>
      <c r="P424" s="1077"/>
      <c r="Q424" s="1077"/>
      <c r="R424" s="1077"/>
      <c r="S424" s="928"/>
      <c r="T424" s="928"/>
      <c r="U424" s="930"/>
      <c r="V424" s="1443"/>
      <c r="W424" s="930"/>
      <c r="X424" s="1059"/>
      <c r="Y424" s="1063"/>
      <c r="Z424" s="1063"/>
      <c r="AA424" s="1063"/>
      <c r="AB424" s="1063"/>
      <c r="AC424" s="1063"/>
      <c r="AD424" s="1063"/>
      <c r="AE424" s="1071"/>
      <c r="AF424" s="1059"/>
      <c r="AG424" s="1063"/>
      <c r="AH424" s="1063"/>
      <c r="AI424" s="1063"/>
      <c r="AJ424" s="1063"/>
      <c r="AK424" s="1063"/>
      <c r="AL424" s="1063"/>
      <c r="AM424" s="928"/>
      <c r="AN424" s="1043"/>
      <c r="AO424" s="1041"/>
    </row>
    <row r="425" spans="1:41" ht="12" customHeight="1" x14ac:dyDescent="0.2">
      <c r="A425" s="928"/>
      <c r="B425" s="1443"/>
      <c r="C425" s="928"/>
      <c r="D425" s="1075"/>
      <c r="E425" s="1078"/>
      <c r="F425" s="1078"/>
      <c r="G425" s="1078"/>
      <c r="H425" s="1078"/>
      <c r="I425" s="1078"/>
      <c r="J425" s="1078"/>
      <c r="K425" s="1075"/>
      <c r="L425" s="1075"/>
      <c r="M425" s="1078"/>
      <c r="N425" s="1078"/>
      <c r="O425" s="1078"/>
      <c r="P425" s="1078"/>
      <c r="Q425" s="1078"/>
      <c r="R425" s="1078"/>
      <c r="S425" s="928"/>
      <c r="T425" s="928"/>
      <c r="U425" s="930"/>
      <c r="V425" s="1443"/>
      <c r="W425" s="930"/>
      <c r="X425" s="977"/>
      <c r="Y425" s="1065"/>
      <c r="Z425" s="1065"/>
      <c r="AA425" s="1065"/>
      <c r="AB425" s="1065"/>
      <c r="AC425" s="1065"/>
      <c r="AD425" s="1065"/>
      <c r="AE425" s="977"/>
      <c r="AF425" s="977"/>
      <c r="AG425" s="1065"/>
      <c r="AH425" s="1065"/>
      <c r="AI425" s="1065"/>
      <c r="AJ425" s="1065"/>
      <c r="AK425" s="1065"/>
      <c r="AL425" s="1065"/>
      <c r="AM425" s="928"/>
      <c r="AN425" s="1043"/>
      <c r="AO425" s="1041"/>
    </row>
    <row r="426" spans="1:41" ht="12" customHeight="1" x14ac:dyDescent="0.2">
      <c r="A426" s="928"/>
      <c r="B426" s="1443"/>
      <c r="C426" s="928"/>
      <c r="D426" s="1086"/>
      <c r="E426" s="1079"/>
      <c r="F426" s="1079"/>
      <c r="G426" s="1079"/>
      <c r="H426" s="1079"/>
      <c r="I426" s="1079"/>
      <c r="J426" s="1079"/>
      <c r="K426" s="933"/>
      <c r="L426" s="1086"/>
      <c r="M426" s="1079"/>
      <c r="N426" s="1079"/>
      <c r="O426" s="1079"/>
      <c r="P426" s="1079"/>
      <c r="Q426" s="1079"/>
      <c r="R426" s="1079"/>
      <c r="S426" s="928"/>
      <c r="T426" s="928"/>
      <c r="U426" s="930"/>
      <c r="V426" s="1443"/>
      <c r="W426" s="930"/>
      <c r="X426" s="1067"/>
      <c r="Y426" s="1068"/>
      <c r="Z426" s="1068"/>
      <c r="AA426" s="1068"/>
      <c r="AB426" s="1068"/>
      <c r="AC426" s="1068"/>
      <c r="AD426" s="1068"/>
      <c r="AE426" s="1072"/>
      <c r="AF426" s="1067"/>
      <c r="AG426" s="1068"/>
      <c r="AH426" s="1068"/>
      <c r="AI426" s="1068"/>
      <c r="AJ426" s="1068"/>
      <c r="AK426" s="1068"/>
      <c r="AL426" s="1068"/>
      <c r="AM426" s="928"/>
      <c r="AN426" s="1043"/>
      <c r="AO426" s="1041"/>
    </row>
    <row r="427" spans="1:41" ht="12" customHeight="1" x14ac:dyDescent="0.2">
      <c r="A427" s="928"/>
      <c r="B427" s="1443"/>
      <c r="C427" s="928"/>
      <c r="D427" s="1084"/>
      <c r="E427" s="1079"/>
      <c r="F427" s="1079"/>
      <c r="G427" s="1079"/>
      <c r="H427" s="1079"/>
      <c r="I427" s="1079"/>
      <c r="J427" s="1079"/>
      <c r="K427" s="1075"/>
      <c r="L427" s="1084"/>
      <c r="M427" s="1079"/>
      <c r="N427" s="1079"/>
      <c r="O427" s="1079"/>
      <c r="P427" s="1079"/>
      <c r="Q427" s="1079"/>
      <c r="R427" s="1079"/>
      <c r="S427" s="928"/>
      <c r="T427" s="928"/>
      <c r="U427" s="930"/>
      <c r="V427" s="1443"/>
      <c r="W427" s="930"/>
      <c r="X427" s="1044"/>
      <c r="Y427" s="1068"/>
      <c r="Z427" s="1068"/>
      <c r="AA427" s="1068"/>
      <c r="AB427" s="1068"/>
      <c r="AC427" s="1068"/>
      <c r="AD427" s="1068"/>
      <c r="AE427" s="1071"/>
      <c r="AF427" s="1044"/>
      <c r="AG427" s="1068"/>
      <c r="AH427" s="1068"/>
      <c r="AI427" s="1068"/>
      <c r="AJ427" s="1068"/>
      <c r="AK427" s="1068"/>
      <c r="AL427" s="1068"/>
      <c r="AM427" s="928"/>
      <c r="AN427" s="1043"/>
      <c r="AO427" s="1041"/>
    </row>
    <row r="428" spans="1:41" ht="12" customHeight="1" x14ac:dyDescent="0.2">
      <c r="A428" s="928"/>
      <c r="B428" s="1443"/>
      <c r="C428" s="928"/>
      <c r="D428" s="1084"/>
      <c r="E428" s="1079"/>
      <c r="F428" s="1079"/>
      <c r="G428" s="1079"/>
      <c r="H428" s="1079"/>
      <c r="I428" s="1079"/>
      <c r="J428" s="1079"/>
      <c r="K428" s="1075"/>
      <c r="L428" s="1084"/>
      <c r="M428" s="1079"/>
      <c r="N428" s="1079"/>
      <c r="O428" s="1079"/>
      <c r="P428" s="1079"/>
      <c r="Q428" s="1079"/>
      <c r="R428" s="1079"/>
      <c r="S428" s="928"/>
      <c r="T428" s="928"/>
      <c r="U428" s="930"/>
      <c r="V428" s="1443"/>
      <c r="W428" s="930"/>
      <c r="X428" s="1044"/>
      <c r="Y428" s="1068"/>
      <c r="Z428" s="1068"/>
      <c r="AA428" s="1068"/>
      <c r="AB428" s="1068"/>
      <c r="AC428" s="1068"/>
      <c r="AD428" s="1068"/>
      <c r="AE428" s="1071"/>
      <c r="AF428" s="1044"/>
      <c r="AG428" s="1068"/>
      <c r="AH428" s="1068"/>
      <c r="AI428" s="1068"/>
      <c r="AJ428" s="1068"/>
      <c r="AK428" s="1068"/>
      <c r="AL428" s="1068"/>
      <c r="AM428" s="928"/>
      <c r="AN428" s="1043"/>
      <c r="AO428" s="1041"/>
    </row>
    <row r="429" spans="1:41" ht="12" customHeight="1" x14ac:dyDescent="0.2">
      <c r="A429" s="928"/>
      <c r="B429" s="1443"/>
      <c r="C429" s="928"/>
      <c r="D429" s="928"/>
      <c r="E429" s="928"/>
      <c r="F429" s="928"/>
      <c r="G429" s="928"/>
      <c r="H429" s="928"/>
      <c r="I429" s="1075"/>
      <c r="J429" s="1075"/>
      <c r="K429" s="1088"/>
      <c r="L429" s="1078"/>
      <c r="M429" s="1070"/>
      <c r="N429" s="1070"/>
      <c r="O429" s="1070"/>
      <c r="P429" s="1070"/>
      <c r="Q429" s="1070"/>
      <c r="R429" s="1070"/>
      <c r="S429" s="928"/>
      <c r="T429" s="928"/>
      <c r="U429" s="930"/>
      <c r="V429" s="1443"/>
      <c r="W429" s="930"/>
      <c r="X429" s="930"/>
      <c r="Y429" s="930"/>
      <c r="Z429" s="930"/>
      <c r="AA429" s="930"/>
      <c r="AB429" s="930"/>
      <c r="AC429" s="977"/>
      <c r="AD429" s="977"/>
      <c r="AE429" s="1073"/>
      <c r="AF429" s="1074"/>
      <c r="AG429" s="1064"/>
      <c r="AH429" s="1066"/>
      <c r="AI429" s="1066"/>
      <c r="AJ429" s="1066"/>
      <c r="AK429" s="1066"/>
      <c r="AL429" s="1066"/>
      <c r="AM429" s="928"/>
      <c r="AN429" s="1043"/>
      <c r="AO429" s="1041"/>
    </row>
    <row r="430" spans="1:41" ht="12" customHeight="1" x14ac:dyDescent="0.2">
      <c r="A430" s="928"/>
      <c r="B430" s="1443"/>
      <c r="C430" s="928"/>
      <c r="D430" s="1089"/>
      <c r="E430" s="1089"/>
      <c r="F430" s="1055"/>
      <c r="G430" s="1055"/>
      <c r="H430" s="1055"/>
      <c r="I430" s="1055"/>
      <c r="J430" s="1080"/>
      <c r="K430" s="1088"/>
      <c r="L430" s="1089"/>
      <c r="M430" s="1089"/>
      <c r="N430" s="1055"/>
      <c r="O430" s="1055"/>
      <c r="P430" s="1055"/>
      <c r="Q430" s="1055"/>
      <c r="R430" s="1080"/>
      <c r="S430" s="928"/>
      <c r="T430" s="928"/>
      <c r="U430" s="930"/>
      <c r="V430" s="1443"/>
      <c r="W430" s="930"/>
      <c r="X430" s="1048"/>
      <c r="Y430" s="1048"/>
      <c r="Z430" s="1049"/>
      <c r="AA430" s="1049"/>
      <c r="AB430" s="1049"/>
      <c r="AC430" s="1049"/>
      <c r="AD430" s="1050"/>
      <c r="AE430" s="1073"/>
      <c r="AF430" s="1048"/>
      <c r="AG430" s="1048"/>
      <c r="AH430" s="1049"/>
      <c r="AI430" s="1049"/>
      <c r="AJ430" s="1049"/>
      <c r="AK430" s="1049"/>
      <c r="AL430" s="1050"/>
      <c r="AM430" s="928"/>
      <c r="AN430" s="1043"/>
      <c r="AO430" s="1041"/>
    </row>
    <row r="431" spans="1:41" ht="12" customHeight="1" x14ac:dyDescent="0.2">
      <c r="A431" s="928"/>
      <c r="B431" s="1443"/>
      <c r="C431" s="928"/>
      <c r="D431" s="1090"/>
      <c r="E431" s="1090"/>
      <c r="F431" s="1055"/>
      <c r="G431" s="1055"/>
      <c r="H431" s="1055"/>
      <c r="I431" s="1055"/>
      <c r="J431" s="1057"/>
      <c r="K431" s="1070"/>
      <c r="L431" s="1090"/>
      <c r="M431" s="1090"/>
      <c r="N431" s="1055"/>
      <c r="O431" s="1055"/>
      <c r="P431" s="1055"/>
      <c r="Q431" s="1055"/>
      <c r="R431" s="1057"/>
      <c r="S431" s="928"/>
      <c r="T431" s="928"/>
      <c r="U431" s="930"/>
      <c r="V431" s="1443"/>
      <c r="W431" s="930"/>
      <c r="X431" s="1051"/>
      <c r="Y431" s="1051"/>
      <c r="Z431" s="1049"/>
      <c r="AA431" s="1049"/>
      <c r="AB431" s="1049"/>
      <c r="AC431" s="1049"/>
      <c r="AD431" s="1052"/>
      <c r="AE431" s="1066"/>
      <c r="AF431" s="1051"/>
      <c r="AG431" s="1051"/>
      <c r="AH431" s="1049"/>
      <c r="AI431" s="1049"/>
      <c r="AJ431" s="1049"/>
      <c r="AK431" s="1049"/>
      <c r="AL431" s="1052"/>
      <c r="AM431" s="928"/>
      <c r="AN431" s="1043"/>
      <c r="AO431" s="1041"/>
    </row>
    <row r="432" spans="1:41" ht="12" customHeight="1" x14ac:dyDescent="0.2">
      <c r="A432" s="928"/>
      <c r="B432" s="1443"/>
      <c r="C432" s="928"/>
      <c r="D432" s="1054"/>
      <c r="E432" s="1054"/>
      <c r="F432" s="1055"/>
      <c r="G432" s="1055"/>
      <c r="H432" s="1055"/>
      <c r="I432" s="1056"/>
      <c r="J432" s="1057"/>
      <c r="K432" s="1075"/>
      <c r="L432" s="1054"/>
      <c r="M432" s="1054"/>
      <c r="N432" s="1055"/>
      <c r="O432" s="1055"/>
      <c r="P432" s="1055"/>
      <c r="Q432" s="1056"/>
      <c r="R432" s="1057"/>
      <c r="S432" s="928"/>
      <c r="T432" s="928"/>
      <c r="U432" s="930"/>
      <c r="V432" s="1443"/>
      <c r="W432" s="930"/>
      <c r="X432" s="1059"/>
      <c r="Y432" s="1059"/>
      <c r="Z432" s="1060"/>
      <c r="AA432" s="1060"/>
      <c r="AB432" s="1060"/>
      <c r="AC432" s="1061"/>
      <c r="AD432" s="1052"/>
      <c r="AE432" s="1071"/>
      <c r="AF432" s="1059"/>
      <c r="AG432" s="1059"/>
      <c r="AH432" s="1060"/>
      <c r="AI432" s="1060"/>
      <c r="AJ432" s="1060"/>
      <c r="AK432" s="1061"/>
      <c r="AL432" s="1052"/>
      <c r="AM432" s="928"/>
      <c r="AN432" s="1043"/>
      <c r="AO432" s="1041"/>
    </row>
    <row r="433" spans="1:41" ht="12" customHeight="1" x14ac:dyDescent="0.2">
      <c r="A433" s="928"/>
      <c r="B433" s="1443"/>
      <c r="C433" s="928"/>
      <c r="D433" s="928"/>
      <c r="E433" s="1076"/>
      <c r="F433" s="1076"/>
      <c r="G433" s="1076"/>
      <c r="H433" s="1076"/>
      <c r="I433" s="1076"/>
      <c r="J433" s="1076"/>
      <c r="K433" s="1075"/>
      <c r="L433" s="928"/>
      <c r="M433" s="1076"/>
      <c r="N433" s="1076"/>
      <c r="O433" s="1076"/>
      <c r="P433" s="1076"/>
      <c r="Q433" s="1076"/>
      <c r="R433" s="1076"/>
      <c r="S433" s="928"/>
      <c r="T433" s="928"/>
      <c r="U433" s="930"/>
      <c r="V433" s="1443"/>
      <c r="W433" s="930"/>
      <c r="X433" s="930"/>
      <c r="Y433" s="1062"/>
      <c r="Z433" s="1062"/>
      <c r="AA433" s="1062"/>
      <c r="AB433" s="1062"/>
      <c r="AC433" s="1062"/>
      <c r="AD433" s="1062"/>
      <c r="AE433" s="1071"/>
      <c r="AF433" s="930"/>
      <c r="AG433" s="1062"/>
      <c r="AH433" s="1062"/>
      <c r="AI433" s="1062"/>
      <c r="AJ433" s="1062"/>
      <c r="AK433" s="1062"/>
      <c r="AL433" s="1062"/>
      <c r="AM433" s="928"/>
      <c r="AN433" s="1043"/>
      <c r="AO433" s="1041"/>
    </row>
    <row r="434" spans="1:41" ht="12" customHeight="1" x14ac:dyDescent="0.2">
      <c r="A434" s="928"/>
      <c r="B434" s="1443"/>
      <c r="C434" s="928"/>
      <c r="D434" s="1054"/>
      <c r="E434" s="1077"/>
      <c r="F434" s="1077"/>
      <c r="G434" s="1077"/>
      <c r="H434" s="1077"/>
      <c r="I434" s="1077"/>
      <c r="J434" s="1077"/>
      <c r="K434" s="1075"/>
      <c r="L434" s="1054"/>
      <c r="M434" s="1077"/>
      <c r="N434" s="1077"/>
      <c r="O434" s="1077"/>
      <c r="P434" s="1077"/>
      <c r="Q434" s="1077"/>
      <c r="R434" s="1077"/>
      <c r="S434" s="928"/>
      <c r="T434" s="928"/>
      <c r="U434" s="930"/>
      <c r="V434" s="1443"/>
      <c r="W434" s="930"/>
      <c r="X434" s="1059"/>
      <c r="Y434" s="1063"/>
      <c r="Z434" s="1063"/>
      <c r="AA434" s="1063"/>
      <c r="AB434" s="1063"/>
      <c r="AC434" s="1063"/>
      <c r="AD434" s="1063"/>
      <c r="AE434" s="977"/>
      <c r="AF434" s="1059"/>
      <c r="AG434" s="1063"/>
      <c r="AH434" s="1063"/>
      <c r="AI434" s="1063"/>
      <c r="AJ434" s="1063"/>
      <c r="AK434" s="1063"/>
      <c r="AL434" s="1063"/>
      <c r="AM434" s="928"/>
      <c r="AN434" s="1043"/>
      <c r="AO434" s="1041"/>
    </row>
    <row r="435" spans="1:41" ht="12" customHeight="1" x14ac:dyDescent="0.2">
      <c r="A435" s="928"/>
      <c r="B435" s="1443"/>
      <c r="C435" s="928"/>
      <c r="D435" s="1054"/>
      <c r="E435" s="1077"/>
      <c r="F435" s="1077"/>
      <c r="G435" s="1077"/>
      <c r="H435" s="1077"/>
      <c r="I435" s="1077"/>
      <c r="J435" s="1077"/>
      <c r="K435" s="933"/>
      <c r="L435" s="1054"/>
      <c r="M435" s="1077"/>
      <c r="N435" s="1077"/>
      <c r="O435" s="1077"/>
      <c r="P435" s="1077"/>
      <c r="Q435" s="1077"/>
      <c r="R435" s="1077"/>
      <c r="S435" s="928"/>
      <c r="T435" s="928"/>
      <c r="U435" s="930"/>
      <c r="V435" s="1443"/>
      <c r="W435" s="930"/>
      <c r="X435" s="1059"/>
      <c r="Y435" s="1063"/>
      <c r="Z435" s="1063"/>
      <c r="AA435" s="1063"/>
      <c r="AB435" s="1063"/>
      <c r="AC435" s="1063"/>
      <c r="AD435" s="1063"/>
      <c r="AE435" s="1072"/>
      <c r="AF435" s="1059"/>
      <c r="AG435" s="1063"/>
      <c r="AH435" s="1063"/>
      <c r="AI435" s="1063"/>
      <c r="AJ435" s="1063"/>
      <c r="AK435" s="1063"/>
      <c r="AL435" s="1063"/>
      <c r="AM435" s="928"/>
      <c r="AN435" s="1043"/>
      <c r="AO435" s="1041"/>
    </row>
    <row r="436" spans="1:41" ht="12" customHeight="1" x14ac:dyDescent="0.2">
      <c r="A436" s="928"/>
      <c r="B436" s="1443"/>
      <c r="C436" s="928"/>
      <c r="D436" s="1075"/>
      <c r="E436" s="1078"/>
      <c r="F436" s="1078"/>
      <c r="G436" s="1078"/>
      <c r="H436" s="1078"/>
      <c r="I436" s="1078"/>
      <c r="J436" s="1078"/>
      <c r="K436" s="1075"/>
      <c r="L436" s="1075"/>
      <c r="M436" s="1078"/>
      <c r="N436" s="1078"/>
      <c r="O436" s="1078"/>
      <c r="P436" s="1078"/>
      <c r="Q436" s="1078"/>
      <c r="R436" s="1078"/>
      <c r="S436" s="928"/>
      <c r="T436" s="928"/>
      <c r="U436" s="930"/>
      <c r="V436" s="1443"/>
      <c r="W436" s="930"/>
      <c r="X436" s="977"/>
      <c r="Y436" s="1065"/>
      <c r="Z436" s="1065"/>
      <c r="AA436" s="1065"/>
      <c r="AB436" s="1065"/>
      <c r="AC436" s="1065"/>
      <c r="AD436" s="1065"/>
      <c r="AE436" s="1071"/>
      <c r="AF436" s="977"/>
      <c r="AG436" s="1065"/>
      <c r="AH436" s="1065"/>
      <c r="AI436" s="1065"/>
      <c r="AJ436" s="1065"/>
      <c r="AK436" s="1065"/>
      <c r="AL436" s="1065"/>
      <c r="AM436" s="928"/>
      <c r="AN436" s="1043"/>
      <c r="AO436" s="1041"/>
    </row>
    <row r="437" spans="1:41" ht="12" customHeight="1" x14ac:dyDescent="0.2">
      <c r="A437" s="928"/>
      <c r="B437" s="1443"/>
      <c r="C437" s="928"/>
      <c r="D437" s="1086"/>
      <c r="E437" s="1079"/>
      <c r="F437" s="1079"/>
      <c r="G437" s="1079"/>
      <c r="H437" s="1079"/>
      <c r="I437" s="1079"/>
      <c r="J437" s="1079"/>
      <c r="K437" s="1075"/>
      <c r="L437" s="1086"/>
      <c r="M437" s="1079"/>
      <c r="N437" s="1079"/>
      <c r="O437" s="1079"/>
      <c r="P437" s="1079"/>
      <c r="Q437" s="1079"/>
      <c r="R437" s="1079"/>
      <c r="S437" s="928"/>
      <c r="T437" s="928"/>
      <c r="U437" s="930"/>
      <c r="V437" s="1443"/>
      <c r="W437" s="930"/>
      <c r="X437" s="1067"/>
      <c r="Y437" s="1068"/>
      <c r="Z437" s="1068"/>
      <c r="AA437" s="1068"/>
      <c r="AB437" s="1068"/>
      <c r="AC437" s="1068"/>
      <c r="AD437" s="1068"/>
      <c r="AE437" s="1071"/>
      <c r="AF437" s="1067"/>
      <c r="AG437" s="1068"/>
      <c r="AH437" s="1068"/>
      <c r="AI437" s="1068"/>
      <c r="AJ437" s="1068"/>
      <c r="AK437" s="1068"/>
      <c r="AL437" s="1068"/>
      <c r="AM437" s="928"/>
      <c r="AN437" s="1043"/>
      <c r="AO437" s="1041"/>
    </row>
    <row r="438" spans="1:41" ht="12" customHeight="1" x14ac:dyDescent="0.2">
      <c r="A438" s="928"/>
      <c r="B438" s="1443"/>
      <c r="C438" s="928"/>
      <c r="D438" s="1084"/>
      <c r="E438" s="1079"/>
      <c r="F438" s="1079"/>
      <c r="G438" s="1079"/>
      <c r="H438" s="1079"/>
      <c r="I438" s="1079"/>
      <c r="J438" s="1079"/>
      <c r="K438" s="1088"/>
      <c r="L438" s="1084"/>
      <c r="M438" s="1079"/>
      <c r="N438" s="1079"/>
      <c r="O438" s="1079"/>
      <c r="P438" s="1079"/>
      <c r="Q438" s="1079"/>
      <c r="R438" s="1079"/>
      <c r="S438" s="928"/>
      <c r="T438" s="928"/>
      <c r="U438" s="930"/>
      <c r="V438" s="1443"/>
      <c r="W438" s="930"/>
      <c r="X438" s="1044"/>
      <c r="Y438" s="1068"/>
      <c r="Z438" s="1068"/>
      <c r="AA438" s="1068"/>
      <c r="AB438" s="1068"/>
      <c r="AC438" s="1068"/>
      <c r="AD438" s="1068"/>
      <c r="AE438" s="1073"/>
      <c r="AF438" s="1044"/>
      <c r="AG438" s="1068"/>
      <c r="AH438" s="1068"/>
      <c r="AI438" s="1068"/>
      <c r="AJ438" s="1068"/>
      <c r="AK438" s="1068"/>
      <c r="AL438" s="1068"/>
      <c r="AM438" s="928"/>
      <c r="AN438" s="1043"/>
      <c r="AO438" s="1041"/>
    </row>
    <row r="439" spans="1:41" ht="12" customHeight="1" x14ac:dyDescent="0.2">
      <c r="A439" s="928"/>
      <c r="B439" s="1443"/>
      <c r="C439" s="928"/>
      <c r="D439" s="1084"/>
      <c r="E439" s="1079"/>
      <c r="F439" s="1079"/>
      <c r="G439" s="1079"/>
      <c r="H439" s="1079"/>
      <c r="I439" s="1079"/>
      <c r="J439" s="1079"/>
      <c r="K439" s="1088"/>
      <c r="L439" s="1084"/>
      <c r="M439" s="1079"/>
      <c r="N439" s="1079"/>
      <c r="O439" s="1079"/>
      <c r="P439" s="1079"/>
      <c r="Q439" s="1079"/>
      <c r="R439" s="1079"/>
      <c r="S439" s="928"/>
      <c r="T439" s="928"/>
      <c r="U439" s="930"/>
      <c r="V439" s="1443"/>
      <c r="W439" s="930"/>
      <c r="X439" s="1044"/>
      <c r="Y439" s="1068"/>
      <c r="Z439" s="1068"/>
      <c r="AA439" s="1068"/>
      <c r="AB439" s="1068"/>
      <c r="AC439" s="1068"/>
      <c r="AD439" s="1068"/>
      <c r="AE439" s="1073"/>
      <c r="AF439" s="1044"/>
      <c r="AG439" s="1068"/>
      <c r="AH439" s="1068"/>
      <c r="AI439" s="1068"/>
      <c r="AJ439" s="1068"/>
      <c r="AK439" s="1068"/>
      <c r="AL439" s="1068"/>
      <c r="AM439" s="928"/>
      <c r="AN439" s="1043"/>
      <c r="AO439" s="1041"/>
    </row>
    <row r="440" spans="1:41" ht="12" customHeight="1" x14ac:dyDescent="0.2">
      <c r="A440" s="928"/>
      <c r="B440" s="1443"/>
      <c r="C440" s="928"/>
      <c r="D440" s="1070"/>
      <c r="E440" s="1070"/>
      <c r="F440" s="1070"/>
      <c r="G440" s="1070"/>
      <c r="H440" s="1070"/>
      <c r="I440" s="1070"/>
      <c r="J440" s="1070"/>
      <c r="K440" s="1070"/>
      <c r="L440" s="1070"/>
      <c r="M440" s="1070"/>
      <c r="N440" s="1070"/>
      <c r="O440" s="1070"/>
      <c r="P440" s="1070"/>
      <c r="Q440" s="1070"/>
      <c r="R440" s="1070"/>
      <c r="S440" s="928"/>
      <c r="T440" s="928"/>
      <c r="U440" s="930"/>
      <c r="V440" s="1443"/>
      <c r="W440" s="930"/>
      <c r="X440" s="1064"/>
      <c r="Y440" s="1064"/>
      <c r="Z440" s="1064"/>
      <c r="AA440" s="1064"/>
      <c r="AB440" s="1064"/>
      <c r="AC440" s="1066"/>
      <c r="AD440" s="1066"/>
      <c r="AE440" s="1066"/>
      <c r="AF440" s="1066"/>
      <c r="AG440" s="1064"/>
      <c r="AH440" s="1066"/>
      <c r="AI440" s="1066"/>
      <c r="AJ440" s="1066"/>
      <c r="AK440" s="1066"/>
      <c r="AL440" s="1066"/>
      <c r="AM440" s="928"/>
      <c r="AN440" s="1043"/>
      <c r="AO440" s="1041"/>
    </row>
    <row r="441" spans="1:41" ht="12" customHeight="1" x14ac:dyDescent="0.2">
      <c r="A441" s="928"/>
      <c r="B441" s="1443"/>
      <c r="C441" s="928"/>
      <c r="D441" s="1089"/>
      <c r="E441" s="1089"/>
      <c r="F441" s="1055"/>
      <c r="G441" s="1055"/>
      <c r="H441" s="1055"/>
      <c r="I441" s="1055"/>
      <c r="J441" s="1080"/>
      <c r="K441" s="928"/>
      <c r="L441" s="1089"/>
      <c r="M441" s="1089"/>
      <c r="N441" s="1055"/>
      <c r="O441" s="1055"/>
      <c r="P441" s="1055"/>
      <c r="Q441" s="1055"/>
      <c r="R441" s="1080"/>
      <c r="S441" s="928"/>
      <c r="T441" s="928"/>
      <c r="U441" s="930"/>
      <c r="V441" s="1443"/>
      <c r="W441" s="930"/>
      <c r="X441" s="1048"/>
      <c r="Y441" s="1048"/>
      <c r="Z441" s="1049"/>
      <c r="AA441" s="1049"/>
      <c r="AB441" s="1049"/>
      <c r="AC441" s="1049"/>
      <c r="AD441" s="1050"/>
      <c r="AE441" s="930"/>
      <c r="AF441" s="1048"/>
      <c r="AG441" s="1048"/>
      <c r="AH441" s="1049"/>
      <c r="AI441" s="1049"/>
      <c r="AJ441" s="1049"/>
      <c r="AK441" s="1049"/>
      <c r="AL441" s="1050"/>
      <c r="AM441" s="928"/>
      <c r="AN441" s="1043"/>
      <c r="AO441" s="1041"/>
    </row>
    <row r="442" spans="1:41" ht="12" customHeight="1" x14ac:dyDescent="0.2">
      <c r="A442" s="928"/>
      <c r="B442" s="1443"/>
      <c r="C442" s="928"/>
      <c r="D442" s="1090"/>
      <c r="E442" s="1090"/>
      <c r="F442" s="1055"/>
      <c r="G442" s="1055"/>
      <c r="H442" s="1055"/>
      <c r="I442" s="1055"/>
      <c r="J442" s="1057"/>
      <c r="K442" s="928"/>
      <c r="L442" s="1090"/>
      <c r="M442" s="1090"/>
      <c r="N442" s="1055"/>
      <c r="O442" s="1055"/>
      <c r="P442" s="1055"/>
      <c r="Q442" s="1055"/>
      <c r="R442" s="1057"/>
      <c r="S442" s="928"/>
      <c r="T442" s="928"/>
      <c r="U442" s="930"/>
      <c r="V442" s="1443"/>
      <c r="W442" s="930"/>
      <c r="X442" s="1051"/>
      <c r="Y442" s="1051"/>
      <c r="Z442" s="1049"/>
      <c r="AA442" s="1049"/>
      <c r="AB442" s="1049"/>
      <c r="AC442" s="1049"/>
      <c r="AD442" s="1052"/>
      <c r="AE442" s="930"/>
      <c r="AF442" s="1051"/>
      <c r="AG442" s="1051"/>
      <c r="AH442" s="1049"/>
      <c r="AI442" s="1049"/>
      <c r="AJ442" s="1049"/>
      <c r="AK442" s="1049"/>
      <c r="AL442" s="1052"/>
      <c r="AM442" s="928"/>
      <c r="AN442" s="1043"/>
      <c r="AO442" s="1041"/>
    </row>
    <row r="443" spans="1:41" ht="12" customHeight="1" x14ac:dyDescent="0.2">
      <c r="A443" s="928"/>
      <c r="B443" s="1443"/>
      <c r="C443" s="928"/>
      <c r="D443" s="1054"/>
      <c r="E443" s="1054"/>
      <c r="F443" s="1055"/>
      <c r="G443" s="1055"/>
      <c r="H443" s="1055"/>
      <c r="I443" s="1056"/>
      <c r="J443" s="1057"/>
      <c r="K443" s="928"/>
      <c r="L443" s="1054"/>
      <c r="M443" s="1054"/>
      <c r="N443" s="1055"/>
      <c r="O443" s="1055"/>
      <c r="P443" s="1055"/>
      <c r="Q443" s="1056"/>
      <c r="R443" s="1057"/>
      <c r="S443" s="928"/>
      <c r="T443" s="928"/>
      <c r="U443" s="930"/>
      <c r="V443" s="1443"/>
      <c r="W443" s="930"/>
      <c r="X443" s="1059"/>
      <c r="Y443" s="1059"/>
      <c r="Z443" s="1060"/>
      <c r="AA443" s="1060"/>
      <c r="AB443" s="1060"/>
      <c r="AC443" s="1061"/>
      <c r="AD443" s="1052"/>
      <c r="AE443" s="930"/>
      <c r="AF443" s="1059"/>
      <c r="AG443" s="1059"/>
      <c r="AH443" s="1060"/>
      <c r="AI443" s="1060"/>
      <c r="AJ443" s="1060"/>
      <c r="AK443" s="1061"/>
      <c r="AL443" s="1052"/>
      <c r="AM443" s="928"/>
      <c r="AN443" s="1043"/>
      <c r="AO443" s="1041"/>
    </row>
    <row r="444" spans="1:41" ht="12" customHeight="1" x14ac:dyDescent="0.2">
      <c r="A444" s="928"/>
      <c r="B444" s="1443"/>
      <c r="C444" s="928"/>
      <c r="D444" s="928"/>
      <c r="E444" s="1076"/>
      <c r="F444" s="1076"/>
      <c r="G444" s="1076"/>
      <c r="H444" s="1076"/>
      <c r="I444" s="1076"/>
      <c r="J444" s="1076"/>
      <c r="K444" s="928"/>
      <c r="L444" s="928"/>
      <c r="M444" s="1076"/>
      <c r="N444" s="1076"/>
      <c r="O444" s="1076"/>
      <c r="P444" s="1076"/>
      <c r="Q444" s="1076"/>
      <c r="R444" s="1076"/>
      <c r="S444" s="928"/>
      <c r="T444" s="928"/>
      <c r="U444" s="930"/>
      <c r="V444" s="1443"/>
      <c r="W444" s="930"/>
      <c r="X444" s="930"/>
      <c r="Y444" s="1062"/>
      <c r="Z444" s="1062"/>
      <c r="AA444" s="1062"/>
      <c r="AB444" s="1062"/>
      <c r="AC444" s="1062"/>
      <c r="AD444" s="1062"/>
      <c r="AE444" s="930"/>
      <c r="AF444" s="930"/>
      <c r="AG444" s="1062"/>
      <c r="AH444" s="1062"/>
      <c r="AI444" s="1062"/>
      <c r="AJ444" s="1062"/>
      <c r="AK444" s="1062"/>
      <c r="AL444" s="1062"/>
      <c r="AM444" s="928"/>
      <c r="AN444" s="1043"/>
      <c r="AO444" s="1041"/>
    </row>
    <row r="445" spans="1:41" ht="12" customHeight="1" x14ac:dyDescent="0.2">
      <c r="A445" s="928"/>
      <c r="B445" s="1443"/>
      <c r="C445" s="928"/>
      <c r="D445" s="1054"/>
      <c r="E445" s="1077"/>
      <c r="F445" s="1077"/>
      <c r="G445" s="1077"/>
      <c r="H445" s="1077"/>
      <c r="I445" s="1077"/>
      <c r="J445" s="1077"/>
      <c r="K445" s="928"/>
      <c r="L445" s="1054"/>
      <c r="M445" s="1077"/>
      <c r="N445" s="1077"/>
      <c r="O445" s="1077"/>
      <c r="P445" s="1077"/>
      <c r="Q445" s="1077"/>
      <c r="R445" s="1077"/>
      <c r="S445" s="928"/>
      <c r="T445" s="928"/>
      <c r="U445" s="930"/>
      <c r="V445" s="1443"/>
      <c r="W445" s="930"/>
      <c r="X445" s="1059"/>
      <c r="Y445" s="1063"/>
      <c r="Z445" s="1063"/>
      <c r="AA445" s="1063"/>
      <c r="AB445" s="1063"/>
      <c r="AC445" s="1063"/>
      <c r="AD445" s="1063"/>
      <c r="AE445" s="930"/>
      <c r="AF445" s="1059"/>
      <c r="AG445" s="1063"/>
      <c r="AH445" s="1063"/>
      <c r="AI445" s="1063"/>
      <c r="AJ445" s="1063"/>
      <c r="AK445" s="1063"/>
      <c r="AL445" s="1063"/>
      <c r="AM445" s="928"/>
      <c r="AN445" s="1043"/>
      <c r="AO445" s="1041"/>
    </row>
    <row r="446" spans="1:41" ht="12" customHeight="1" x14ac:dyDescent="0.2">
      <c r="A446" s="928"/>
      <c r="B446" s="1443"/>
      <c r="C446" s="928"/>
      <c r="D446" s="1054"/>
      <c r="E446" s="1077"/>
      <c r="F446" s="1077"/>
      <c r="G446" s="1077"/>
      <c r="H446" s="1077"/>
      <c r="I446" s="1077"/>
      <c r="J446" s="1077"/>
      <c r="K446" s="928"/>
      <c r="L446" s="1054"/>
      <c r="M446" s="1077"/>
      <c r="N446" s="1077"/>
      <c r="O446" s="1077"/>
      <c r="P446" s="1077"/>
      <c r="Q446" s="1077"/>
      <c r="R446" s="1077"/>
      <c r="S446" s="928"/>
      <c r="T446" s="928"/>
      <c r="U446" s="930"/>
      <c r="V446" s="1443"/>
      <c r="W446" s="930"/>
      <c r="X446" s="1059"/>
      <c r="Y446" s="1063"/>
      <c r="Z446" s="1063"/>
      <c r="AA446" s="1063"/>
      <c r="AB446" s="1063"/>
      <c r="AC446" s="1063"/>
      <c r="AD446" s="1063"/>
      <c r="AE446" s="930"/>
      <c r="AF446" s="1059"/>
      <c r="AG446" s="1063"/>
      <c r="AH446" s="1063"/>
      <c r="AI446" s="1063"/>
      <c r="AJ446" s="1063"/>
      <c r="AK446" s="1063"/>
      <c r="AL446" s="1063"/>
      <c r="AM446" s="928"/>
      <c r="AN446" s="1043"/>
      <c r="AO446" s="1041"/>
    </row>
    <row r="447" spans="1:41" ht="12" customHeight="1" x14ac:dyDescent="0.2">
      <c r="A447" s="928"/>
      <c r="B447" s="1443"/>
      <c r="C447" s="928"/>
      <c r="D447" s="1075"/>
      <c r="E447" s="1078"/>
      <c r="F447" s="1078"/>
      <c r="G447" s="1078"/>
      <c r="H447" s="1078"/>
      <c r="I447" s="1078"/>
      <c r="J447" s="1078"/>
      <c r="K447" s="928"/>
      <c r="L447" s="1075"/>
      <c r="M447" s="1078"/>
      <c r="N447" s="1078"/>
      <c r="O447" s="1078"/>
      <c r="P447" s="1078"/>
      <c r="Q447" s="1078"/>
      <c r="R447" s="1078"/>
      <c r="S447" s="928"/>
      <c r="T447" s="928"/>
      <c r="U447" s="930"/>
      <c r="V447" s="1443"/>
      <c r="W447" s="930"/>
      <c r="X447" s="977"/>
      <c r="Y447" s="1065"/>
      <c r="Z447" s="1065"/>
      <c r="AA447" s="1065"/>
      <c r="AB447" s="1065"/>
      <c r="AC447" s="1065"/>
      <c r="AD447" s="1065"/>
      <c r="AE447" s="930"/>
      <c r="AF447" s="977"/>
      <c r="AG447" s="1065"/>
      <c r="AH447" s="1065"/>
      <c r="AI447" s="1065"/>
      <c r="AJ447" s="1065"/>
      <c r="AK447" s="1065"/>
      <c r="AL447" s="1065"/>
      <c r="AM447" s="928"/>
      <c r="AN447" s="1043"/>
      <c r="AO447" s="1041"/>
    </row>
    <row r="448" spans="1:41" ht="12" customHeight="1" x14ac:dyDescent="0.2">
      <c r="A448" s="928"/>
      <c r="B448" s="1443"/>
      <c r="C448" s="928"/>
      <c r="D448" s="1086"/>
      <c r="E448" s="1079"/>
      <c r="F448" s="1079"/>
      <c r="G448" s="1079"/>
      <c r="H448" s="1079"/>
      <c r="I448" s="1079"/>
      <c r="J448" s="1079"/>
      <c r="K448" s="928"/>
      <c r="L448" s="1086"/>
      <c r="M448" s="1079"/>
      <c r="N448" s="1079"/>
      <c r="O448" s="1079"/>
      <c r="P448" s="1079"/>
      <c r="Q448" s="1079"/>
      <c r="R448" s="1079"/>
      <c r="S448" s="928"/>
      <c r="T448" s="928"/>
      <c r="U448" s="930"/>
      <c r="V448" s="1443"/>
      <c r="W448" s="930"/>
      <c r="X448" s="1067"/>
      <c r="Y448" s="1068"/>
      <c r="Z448" s="1068"/>
      <c r="AA448" s="1068"/>
      <c r="AB448" s="1068"/>
      <c r="AC448" s="1068"/>
      <c r="AD448" s="1068"/>
      <c r="AE448" s="930"/>
      <c r="AF448" s="1067"/>
      <c r="AG448" s="1068"/>
      <c r="AH448" s="1068"/>
      <c r="AI448" s="1068"/>
      <c r="AJ448" s="1068"/>
      <c r="AK448" s="1068"/>
      <c r="AL448" s="1068"/>
      <c r="AM448" s="928"/>
      <c r="AN448" s="1043"/>
      <c r="AO448" s="1041"/>
    </row>
    <row r="449" spans="1:41" ht="12" customHeight="1" x14ac:dyDescent="0.2">
      <c r="A449" s="928"/>
      <c r="B449" s="1443"/>
      <c r="C449" s="928"/>
      <c r="D449" s="1084"/>
      <c r="E449" s="1079"/>
      <c r="F449" s="1079"/>
      <c r="G449" s="1079"/>
      <c r="H449" s="1079"/>
      <c r="I449" s="1079"/>
      <c r="J449" s="1079"/>
      <c r="K449" s="928"/>
      <c r="L449" s="1084"/>
      <c r="M449" s="1079"/>
      <c r="N449" s="1079"/>
      <c r="O449" s="1079"/>
      <c r="P449" s="1079"/>
      <c r="Q449" s="1079"/>
      <c r="R449" s="1079"/>
      <c r="S449" s="928"/>
      <c r="T449" s="928"/>
      <c r="U449" s="930"/>
      <c r="V449" s="1443"/>
      <c r="W449" s="930"/>
      <c r="X449" s="1044"/>
      <c r="Y449" s="1068"/>
      <c r="Z449" s="1068"/>
      <c r="AA449" s="1068"/>
      <c r="AB449" s="1068"/>
      <c r="AC449" s="1068"/>
      <c r="AD449" s="1068"/>
      <c r="AE449" s="930"/>
      <c r="AF449" s="1044"/>
      <c r="AG449" s="1068"/>
      <c r="AH449" s="1068"/>
      <c r="AI449" s="1068"/>
      <c r="AJ449" s="1068"/>
      <c r="AK449" s="1068"/>
      <c r="AL449" s="1068"/>
      <c r="AM449" s="928"/>
      <c r="AN449" s="1043"/>
      <c r="AO449" s="1041"/>
    </row>
    <row r="450" spans="1:41" ht="12" customHeight="1" x14ac:dyDescent="0.2">
      <c r="A450" s="928"/>
      <c r="B450" s="1443"/>
      <c r="C450" s="928"/>
      <c r="D450" s="1084"/>
      <c r="E450" s="1079"/>
      <c r="F450" s="1079"/>
      <c r="G450" s="1079"/>
      <c r="H450" s="1079"/>
      <c r="I450" s="1079"/>
      <c r="J450" s="1079"/>
      <c r="K450" s="928"/>
      <c r="L450" s="1084"/>
      <c r="M450" s="1079"/>
      <c r="N450" s="1079"/>
      <c r="O450" s="1079"/>
      <c r="P450" s="1079"/>
      <c r="Q450" s="1079"/>
      <c r="R450" s="1079"/>
      <c r="S450" s="928"/>
      <c r="T450" s="928"/>
      <c r="U450" s="930"/>
      <c r="V450" s="1443"/>
      <c r="W450" s="930"/>
      <c r="X450" s="1044"/>
      <c r="Y450" s="1068"/>
      <c r="Z450" s="1068"/>
      <c r="AA450" s="1068"/>
      <c r="AB450" s="1068"/>
      <c r="AC450" s="1068"/>
      <c r="AD450" s="1068"/>
      <c r="AE450" s="930"/>
      <c r="AF450" s="1044"/>
      <c r="AG450" s="1068"/>
      <c r="AH450" s="1068"/>
      <c r="AI450" s="1068"/>
      <c r="AJ450" s="1068"/>
      <c r="AK450" s="1068"/>
      <c r="AL450" s="1068"/>
      <c r="AM450" s="928"/>
      <c r="AN450" s="1043"/>
      <c r="AO450" s="1041"/>
    </row>
    <row r="451" spans="1:41" ht="12" customHeight="1" x14ac:dyDescent="0.2">
      <c r="A451" s="928"/>
      <c r="B451" s="1443"/>
      <c r="C451" s="928"/>
      <c r="D451" s="928"/>
      <c r="E451" s="928"/>
      <c r="F451" s="928"/>
      <c r="G451" s="928"/>
      <c r="H451" s="928"/>
      <c r="I451" s="928"/>
      <c r="J451" s="928"/>
      <c r="K451" s="928"/>
      <c r="L451" s="928"/>
      <c r="M451" s="928"/>
      <c r="N451" s="928"/>
      <c r="O451" s="928"/>
      <c r="P451" s="928"/>
      <c r="Q451" s="928"/>
      <c r="R451" s="928"/>
      <c r="S451" s="928"/>
      <c r="T451" s="928"/>
      <c r="U451" s="930"/>
      <c r="V451" s="1443"/>
      <c r="W451" s="930"/>
      <c r="X451" s="930"/>
      <c r="Y451" s="930"/>
      <c r="Z451" s="930"/>
      <c r="AA451" s="930"/>
      <c r="AB451" s="930"/>
      <c r="AC451" s="930"/>
      <c r="AD451" s="930"/>
      <c r="AE451" s="930"/>
      <c r="AF451" s="930"/>
      <c r="AG451" s="930"/>
      <c r="AH451" s="930"/>
      <c r="AI451" s="930"/>
      <c r="AJ451" s="930"/>
      <c r="AK451" s="930"/>
      <c r="AL451" s="930"/>
      <c r="AM451" s="928"/>
      <c r="AN451" s="1043"/>
      <c r="AO451" s="1041"/>
    </row>
    <row r="452" spans="1:41" ht="12" customHeight="1" x14ac:dyDescent="0.2">
      <c r="A452" s="928"/>
      <c r="B452" s="1443"/>
      <c r="C452" s="928"/>
      <c r="D452" s="1089"/>
      <c r="E452" s="1089"/>
      <c r="F452" s="1055"/>
      <c r="G452" s="1055"/>
      <c r="H452" s="1055"/>
      <c r="I452" s="1055"/>
      <c r="J452" s="1080"/>
      <c r="K452" s="1091"/>
      <c r="L452" s="1089"/>
      <c r="M452" s="1089"/>
      <c r="N452" s="1055"/>
      <c r="O452" s="1055"/>
      <c r="P452" s="1055"/>
      <c r="Q452" s="1055"/>
      <c r="R452" s="1080"/>
      <c r="S452" s="928"/>
      <c r="T452" s="928"/>
      <c r="U452" s="930"/>
      <c r="V452" s="1443"/>
      <c r="W452" s="930"/>
      <c r="X452" s="1048"/>
      <c r="Y452" s="1048"/>
      <c r="Z452" s="1049"/>
      <c r="AA452" s="1049"/>
      <c r="AB452" s="1049"/>
      <c r="AC452" s="1049"/>
      <c r="AD452" s="1050"/>
      <c r="AE452" s="1081"/>
      <c r="AF452" s="1048"/>
      <c r="AG452" s="1048"/>
      <c r="AH452" s="1049"/>
      <c r="AI452" s="1049"/>
      <c r="AJ452" s="1049"/>
      <c r="AK452" s="1049"/>
      <c r="AL452" s="1050"/>
      <c r="AM452" s="928"/>
      <c r="AN452" s="1043"/>
      <c r="AO452" s="1041"/>
    </row>
    <row r="453" spans="1:41" ht="12" customHeight="1" x14ac:dyDescent="0.2">
      <c r="A453" s="928"/>
      <c r="B453" s="1443"/>
      <c r="C453" s="928"/>
      <c r="D453" s="1090"/>
      <c r="E453" s="1090"/>
      <c r="F453" s="1055"/>
      <c r="G453" s="1055"/>
      <c r="H453" s="1055"/>
      <c r="I453" s="1055"/>
      <c r="J453" s="1057"/>
      <c r="K453" s="1092"/>
      <c r="L453" s="1090"/>
      <c r="M453" s="1090"/>
      <c r="N453" s="1055"/>
      <c r="O453" s="1055"/>
      <c r="P453" s="1055"/>
      <c r="Q453" s="1055"/>
      <c r="R453" s="1057"/>
      <c r="S453" s="928"/>
      <c r="T453" s="928"/>
      <c r="U453" s="930"/>
      <c r="V453" s="1443"/>
      <c r="W453" s="930"/>
      <c r="X453" s="1051"/>
      <c r="Y453" s="1051"/>
      <c r="Z453" s="1049"/>
      <c r="AA453" s="1049"/>
      <c r="AB453" s="1049"/>
      <c r="AC453" s="1049"/>
      <c r="AD453" s="1052"/>
      <c r="AE453" s="1082"/>
      <c r="AF453" s="1051"/>
      <c r="AG453" s="1051"/>
      <c r="AH453" s="1049"/>
      <c r="AI453" s="1049"/>
      <c r="AJ453" s="1049"/>
      <c r="AK453" s="1049"/>
      <c r="AL453" s="1052"/>
      <c r="AM453" s="928"/>
      <c r="AN453" s="1043"/>
      <c r="AO453" s="1041"/>
    </row>
    <row r="454" spans="1:41" ht="12" customHeight="1" x14ac:dyDescent="0.2">
      <c r="A454" s="928"/>
      <c r="B454" s="1443"/>
      <c r="C454" s="928"/>
      <c r="D454" s="1054"/>
      <c r="E454" s="1054"/>
      <c r="F454" s="1055"/>
      <c r="G454" s="1055"/>
      <c r="H454" s="1055"/>
      <c r="I454" s="1056"/>
      <c r="J454" s="1057"/>
      <c r="K454" s="1055"/>
      <c r="L454" s="1054"/>
      <c r="M454" s="1054"/>
      <c r="N454" s="1055"/>
      <c r="O454" s="1055"/>
      <c r="P454" s="1055"/>
      <c r="Q454" s="1056"/>
      <c r="R454" s="1057"/>
      <c r="S454" s="928"/>
      <c r="T454" s="928"/>
      <c r="U454" s="930"/>
      <c r="V454" s="1443"/>
      <c r="W454" s="930"/>
      <c r="X454" s="1059"/>
      <c r="Y454" s="1059"/>
      <c r="Z454" s="1060"/>
      <c r="AA454" s="1060"/>
      <c r="AB454" s="1060"/>
      <c r="AC454" s="1061"/>
      <c r="AD454" s="1052"/>
      <c r="AE454" s="1060"/>
      <c r="AF454" s="1059"/>
      <c r="AG454" s="1059"/>
      <c r="AH454" s="1060"/>
      <c r="AI454" s="1060"/>
      <c r="AJ454" s="1060"/>
      <c r="AK454" s="1061"/>
      <c r="AL454" s="1052"/>
      <c r="AM454" s="928"/>
      <c r="AN454" s="1043"/>
      <c r="AO454" s="1041"/>
    </row>
    <row r="455" spans="1:41" ht="12" customHeight="1" x14ac:dyDescent="0.2">
      <c r="A455" s="928"/>
      <c r="B455" s="1443"/>
      <c r="C455" s="928"/>
      <c r="D455" s="928"/>
      <c r="E455" s="1076"/>
      <c r="F455" s="1076"/>
      <c r="G455" s="1076"/>
      <c r="H455" s="1076"/>
      <c r="I455" s="1076"/>
      <c r="J455" s="1076"/>
      <c r="K455" s="1055"/>
      <c r="L455" s="928"/>
      <c r="M455" s="1076"/>
      <c r="N455" s="1076"/>
      <c r="O455" s="1076"/>
      <c r="P455" s="1076"/>
      <c r="Q455" s="1076"/>
      <c r="R455" s="1076"/>
      <c r="S455" s="928"/>
      <c r="T455" s="928"/>
      <c r="U455" s="930"/>
      <c r="V455" s="1443"/>
      <c r="W455" s="930"/>
      <c r="X455" s="930"/>
      <c r="Y455" s="1062"/>
      <c r="Z455" s="1062"/>
      <c r="AA455" s="1062"/>
      <c r="AB455" s="1062"/>
      <c r="AC455" s="1062"/>
      <c r="AD455" s="1062"/>
      <c r="AE455" s="1060"/>
      <c r="AF455" s="930"/>
      <c r="AG455" s="1062"/>
      <c r="AH455" s="1062"/>
      <c r="AI455" s="1062"/>
      <c r="AJ455" s="1062"/>
      <c r="AK455" s="1062"/>
      <c r="AL455" s="1062"/>
      <c r="AM455" s="928"/>
      <c r="AN455" s="1043"/>
      <c r="AO455" s="1041"/>
    </row>
    <row r="456" spans="1:41" ht="12" customHeight="1" x14ac:dyDescent="0.2">
      <c r="A456" s="928"/>
      <c r="B456" s="1443"/>
      <c r="C456" s="928"/>
      <c r="D456" s="1054"/>
      <c r="E456" s="1077"/>
      <c r="F456" s="1077"/>
      <c r="G456" s="1077"/>
      <c r="H456" s="1077"/>
      <c r="I456" s="1077"/>
      <c r="J456" s="1077"/>
      <c r="K456" s="1055"/>
      <c r="L456" s="1054"/>
      <c r="M456" s="1077"/>
      <c r="N456" s="1077"/>
      <c r="O456" s="1077"/>
      <c r="P456" s="1077"/>
      <c r="Q456" s="1077"/>
      <c r="R456" s="1077"/>
      <c r="S456" s="928"/>
      <c r="T456" s="928"/>
      <c r="U456" s="930"/>
      <c r="V456" s="1443"/>
      <c r="W456" s="930"/>
      <c r="X456" s="1059"/>
      <c r="Y456" s="1063"/>
      <c r="Z456" s="1063"/>
      <c r="AA456" s="1063"/>
      <c r="AB456" s="1063"/>
      <c r="AC456" s="1063"/>
      <c r="AD456" s="1063"/>
      <c r="AE456" s="1060"/>
      <c r="AF456" s="1059"/>
      <c r="AG456" s="1063"/>
      <c r="AH456" s="1063"/>
      <c r="AI456" s="1063"/>
      <c r="AJ456" s="1063"/>
      <c r="AK456" s="1063"/>
      <c r="AL456" s="1063"/>
      <c r="AM456" s="928"/>
      <c r="AN456" s="1043"/>
      <c r="AO456" s="1041"/>
    </row>
    <row r="457" spans="1:41" ht="12" customHeight="1" x14ac:dyDescent="0.2">
      <c r="A457" s="928"/>
      <c r="B457" s="1443"/>
      <c r="C457" s="928"/>
      <c r="D457" s="1054"/>
      <c r="E457" s="1077"/>
      <c r="F457" s="1077"/>
      <c r="G457" s="1077"/>
      <c r="H457" s="1077"/>
      <c r="I457" s="1077"/>
      <c r="J457" s="1077"/>
      <c r="K457" s="1055"/>
      <c r="L457" s="1054"/>
      <c r="M457" s="1077"/>
      <c r="N457" s="1077"/>
      <c r="O457" s="1077"/>
      <c r="P457" s="1077"/>
      <c r="Q457" s="1077"/>
      <c r="R457" s="1077"/>
      <c r="S457" s="928"/>
      <c r="T457" s="928"/>
      <c r="U457" s="930"/>
      <c r="V457" s="1443"/>
      <c r="W457" s="930"/>
      <c r="X457" s="1059"/>
      <c r="Y457" s="1063"/>
      <c r="Z457" s="1063"/>
      <c r="AA457" s="1063"/>
      <c r="AB457" s="1063"/>
      <c r="AC457" s="1063"/>
      <c r="AD457" s="1063"/>
      <c r="AE457" s="1060"/>
      <c r="AF457" s="1059"/>
      <c r="AG457" s="1063"/>
      <c r="AH457" s="1063"/>
      <c r="AI457" s="1063"/>
      <c r="AJ457" s="1063"/>
      <c r="AK457" s="1063"/>
      <c r="AL457" s="1063"/>
      <c r="AM457" s="928"/>
      <c r="AN457" s="1043"/>
      <c r="AO457" s="1041"/>
    </row>
    <row r="458" spans="1:41" ht="12" customHeight="1" x14ac:dyDescent="0.2">
      <c r="A458" s="928"/>
      <c r="B458" s="1443"/>
      <c r="C458" s="928"/>
      <c r="D458" s="1075"/>
      <c r="E458" s="1078"/>
      <c r="F458" s="1078"/>
      <c r="G458" s="1078"/>
      <c r="H458" s="1078"/>
      <c r="I458" s="1078"/>
      <c r="J458" s="1078"/>
      <c r="K458" s="1055"/>
      <c r="L458" s="1075"/>
      <c r="M458" s="1078"/>
      <c r="N458" s="1078"/>
      <c r="O458" s="1078"/>
      <c r="P458" s="1078"/>
      <c r="Q458" s="1078"/>
      <c r="R458" s="1078"/>
      <c r="S458" s="928"/>
      <c r="T458" s="928"/>
      <c r="U458" s="930"/>
      <c r="V458" s="1443"/>
      <c r="W458" s="930"/>
      <c r="X458" s="977"/>
      <c r="Y458" s="1065"/>
      <c r="Z458" s="1065"/>
      <c r="AA458" s="1065"/>
      <c r="AB458" s="1065"/>
      <c r="AC458" s="1065"/>
      <c r="AD458" s="1065"/>
      <c r="AE458" s="1060"/>
      <c r="AF458" s="977"/>
      <c r="AG458" s="1065"/>
      <c r="AH458" s="1065"/>
      <c r="AI458" s="1065"/>
      <c r="AJ458" s="1065"/>
      <c r="AK458" s="1065"/>
      <c r="AL458" s="1065"/>
      <c r="AM458" s="928"/>
      <c r="AN458" s="1043"/>
      <c r="AO458" s="1041"/>
    </row>
    <row r="459" spans="1:41" ht="12" customHeight="1" x14ac:dyDescent="0.2">
      <c r="A459" s="928"/>
      <c r="B459" s="1443"/>
      <c r="C459" s="928"/>
      <c r="D459" s="1086"/>
      <c r="E459" s="1079"/>
      <c r="F459" s="1079"/>
      <c r="G459" s="1079"/>
      <c r="H459" s="1079"/>
      <c r="I459" s="1079"/>
      <c r="J459" s="1079"/>
      <c r="K459" s="1055"/>
      <c r="L459" s="1086"/>
      <c r="M459" s="1079"/>
      <c r="N459" s="1079"/>
      <c r="O459" s="1079"/>
      <c r="P459" s="1079"/>
      <c r="Q459" s="1079"/>
      <c r="R459" s="1079"/>
      <c r="S459" s="928"/>
      <c r="T459" s="928"/>
      <c r="U459" s="930"/>
      <c r="V459" s="1443"/>
      <c r="W459" s="930"/>
      <c r="X459" s="1067"/>
      <c r="Y459" s="1068"/>
      <c r="Z459" s="1068"/>
      <c r="AA459" s="1068"/>
      <c r="AB459" s="1068"/>
      <c r="AC459" s="1068"/>
      <c r="AD459" s="1068"/>
      <c r="AE459" s="1060"/>
      <c r="AF459" s="1067"/>
      <c r="AG459" s="1068"/>
      <c r="AH459" s="1068"/>
      <c r="AI459" s="1068"/>
      <c r="AJ459" s="1068"/>
      <c r="AK459" s="1068"/>
      <c r="AL459" s="1068"/>
      <c r="AM459" s="928"/>
      <c r="AN459" s="1043"/>
      <c r="AO459" s="1041"/>
    </row>
    <row r="460" spans="1:41" ht="12" customHeight="1" x14ac:dyDescent="0.2">
      <c r="A460" s="928"/>
      <c r="B460" s="1443"/>
      <c r="C460" s="928"/>
      <c r="D460" s="1084"/>
      <c r="E460" s="1079"/>
      <c r="F460" s="1079"/>
      <c r="G460" s="1079"/>
      <c r="H460" s="1079"/>
      <c r="I460" s="1079"/>
      <c r="J460" s="1079"/>
      <c r="K460" s="1055"/>
      <c r="L460" s="1084"/>
      <c r="M460" s="1079"/>
      <c r="N460" s="1079"/>
      <c r="O460" s="1079"/>
      <c r="P460" s="1079"/>
      <c r="Q460" s="1079"/>
      <c r="R460" s="1079"/>
      <c r="S460" s="928"/>
      <c r="T460" s="928"/>
      <c r="U460" s="930"/>
      <c r="V460" s="1443"/>
      <c r="W460" s="930"/>
      <c r="X460" s="1044"/>
      <c r="Y460" s="1068"/>
      <c r="Z460" s="1068"/>
      <c r="AA460" s="1068"/>
      <c r="AB460" s="1068"/>
      <c r="AC460" s="1068"/>
      <c r="AD460" s="1068"/>
      <c r="AE460" s="1060"/>
      <c r="AF460" s="1044"/>
      <c r="AG460" s="1068"/>
      <c r="AH460" s="1068"/>
      <c r="AI460" s="1068"/>
      <c r="AJ460" s="1068"/>
      <c r="AK460" s="1068"/>
      <c r="AL460" s="1068"/>
      <c r="AM460" s="928"/>
      <c r="AN460" s="1043"/>
      <c r="AO460" s="1041"/>
    </row>
    <row r="461" spans="1:41" ht="12" customHeight="1" x14ac:dyDescent="0.2">
      <c r="A461" s="928"/>
      <c r="B461" s="1443"/>
      <c r="C461" s="928"/>
      <c r="D461" s="1084"/>
      <c r="E461" s="1079"/>
      <c r="F461" s="1079"/>
      <c r="G461" s="1079"/>
      <c r="H461" s="1079"/>
      <c r="I461" s="1079"/>
      <c r="J461" s="1079"/>
      <c r="K461" s="1055"/>
      <c r="L461" s="1084"/>
      <c r="M461" s="1079"/>
      <c r="N461" s="1079"/>
      <c r="O461" s="1079"/>
      <c r="P461" s="1079"/>
      <c r="Q461" s="1079"/>
      <c r="R461" s="1079"/>
      <c r="S461" s="928"/>
      <c r="T461" s="928"/>
      <c r="U461" s="930"/>
      <c r="V461" s="1443"/>
      <c r="W461" s="930"/>
      <c r="X461" s="1044"/>
      <c r="Y461" s="1068"/>
      <c r="Z461" s="1068"/>
      <c r="AA461" s="1068"/>
      <c r="AB461" s="1068"/>
      <c r="AC461" s="1068"/>
      <c r="AD461" s="1068"/>
      <c r="AE461" s="1060"/>
      <c r="AF461" s="1044"/>
      <c r="AG461" s="1068"/>
      <c r="AH461" s="1068"/>
      <c r="AI461" s="1068"/>
      <c r="AJ461" s="1068"/>
      <c r="AK461" s="1068"/>
      <c r="AL461" s="1068"/>
      <c r="AM461" s="928"/>
      <c r="AN461" s="1043"/>
      <c r="AO461" s="1041"/>
    </row>
    <row r="462" spans="1:41" ht="12" customHeight="1" x14ac:dyDescent="0.2">
      <c r="A462" s="928"/>
      <c r="B462" s="1443"/>
      <c r="C462" s="928"/>
      <c r="D462" s="1093"/>
      <c r="E462" s="1070"/>
      <c r="F462" s="1070"/>
      <c r="G462" s="1070"/>
      <c r="H462" s="1070"/>
      <c r="I462" s="1075"/>
      <c r="J462" s="1078"/>
      <c r="K462" s="1055"/>
      <c r="L462" s="1093"/>
      <c r="M462" s="1070"/>
      <c r="N462" s="1070"/>
      <c r="O462" s="1070"/>
      <c r="P462" s="1070"/>
      <c r="Q462" s="1075"/>
      <c r="R462" s="1078"/>
      <c r="S462" s="928"/>
      <c r="T462" s="928"/>
      <c r="U462" s="930"/>
      <c r="V462" s="1443"/>
      <c r="W462" s="930"/>
      <c r="X462" s="1083"/>
      <c r="Y462" s="1064"/>
      <c r="Z462" s="1066"/>
      <c r="AA462" s="1066"/>
      <c r="AB462" s="1066"/>
      <c r="AC462" s="977"/>
      <c r="AD462" s="1065"/>
      <c r="AE462" s="1060"/>
      <c r="AF462" s="1083"/>
      <c r="AG462" s="1064"/>
      <c r="AH462" s="1064"/>
      <c r="AI462" s="1064"/>
      <c r="AJ462" s="1064"/>
      <c r="AK462" s="977"/>
      <c r="AL462" s="1065"/>
      <c r="AM462" s="928"/>
      <c r="AN462" s="1043"/>
      <c r="AO462" s="1041"/>
    </row>
    <row r="463" spans="1:41" ht="12" customHeight="1" x14ac:dyDescent="0.2">
      <c r="A463" s="928"/>
      <c r="B463" s="1443"/>
      <c r="C463" s="928"/>
      <c r="D463" s="928"/>
      <c r="E463" s="928"/>
      <c r="F463" s="928"/>
      <c r="G463" s="928"/>
      <c r="H463" s="928"/>
      <c r="I463" s="928"/>
      <c r="J463" s="928"/>
      <c r="K463" s="928"/>
      <c r="L463" s="928"/>
      <c r="M463" s="928"/>
      <c r="N463" s="928"/>
      <c r="O463" s="928"/>
      <c r="P463" s="928"/>
      <c r="Q463" s="928"/>
      <c r="R463" s="928"/>
      <c r="S463" s="1070"/>
      <c r="T463" s="928"/>
      <c r="U463" s="930"/>
      <c r="V463" s="1443"/>
      <c r="W463" s="930"/>
      <c r="X463" s="930"/>
      <c r="Y463" s="930"/>
      <c r="Z463" s="930"/>
      <c r="AA463" s="930"/>
      <c r="AB463" s="930"/>
      <c r="AC463" s="930"/>
      <c r="AD463" s="930"/>
      <c r="AE463" s="930"/>
      <c r="AF463" s="930"/>
      <c r="AG463" s="930"/>
      <c r="AH463" s="930"/>
      <c r="AI463" s="930"/>
      <c r="AJ463" s="930"/>
      <c r="AK463" s="930"/>
      <c r="AL463" s="930"/>
      <c r="AM463" s="1070"/>
      <c r="AN463" s="1043"/>
      <c r="AO463" s="1041"/>
    </row>
    <row r="464" spans="1:41" ht="12" customHeight="1" x14ac:dyDescent="0.2">
      <c r="A464" s="928"/>
      <c r="B464" s="1443"/>
      <c r="C464" s="928"/>
      <c r="D464" s="928"/>
      <c r="E464" s="928"/>
      <c r="F464" s="928"/>
      <c r="G464" s="928"/>
      <c r="H464" s="928"/>
      <c r="I464" s="928"/>
      <c r="J464" s="928"/>
      <c r="K464" s="928"/>
      <c r="L464" s="928"/>
      <c r="M464" s="928"/>
      <c r="N464" s="928"/>
      <c r="O464" s="928"/>
      <c r="P464" s="928"/>
      <c r="Q464" s="928"/>
      <c r="R464" s="928"/>
      <c r="S464" s="1070"/>
      <c r="T464" s="928"/>
      <c r="U464" s="930"/>
      <c r="V464" s="1443"/>
      <c r="W464" s="930"/>
      <c r="X464" s="930"/>
      <c r="Y464" s="930"/>
      <c r="Z464" s="930"/>
      <c r="AA464" s="930"/>
      <c r="AB464" s="930"/>
      <c r="AC464" s="930"/>
      <c r="AD464" s="930"/>
      <c r="AE464" s="930"/>
      <c r="AF464" s="930"/>
      <c r="AG464" s="930"/>
      <c r="AH464" s="930"/>
      <c r="AI464" s="930"/>
      <c r="AJ464" s="930"/>
      <c r="AK464" s="930"/>
      <c r="AL464" s="930"/>
      <c r="AM464" s="1070"/>
      <c r="AN464" s="1043"/>
      <c r="AO464" s="1041"/>
    </row>
    <row r="465" spans="41:41" ht="12" customHeight="1" x14ac:dyDescent="0.2">
      <c r="AO465" s="1041"/>
    </row>
    <row r="466" spans="41:41" ht="12" customHeight="1" x14ac:dyDescent="0.2">
      <c r="AO466" s="1041"/>
    </row>
    <row r="467" spans="41:41" ht="12" customHeight="1" x14ac:dyDescent="0.2">
      <c r="AO467" s="1041"/>
    </row>
    <row r="468" spans="41:41" ht="12" customHeight="1" x14ac:dyDescent="0.2">
      <c r="AO468" s="1041"/>
    </row>
    <row r="469" spans="41:41" ht="12" customHeight="1" x14ac:dyDescent="0.2">
      <c r="AO469" s="1041"/>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64" customWidth="1"/>
    <col min="2" max="18" width="5.7109375" style="764"/>
    <col min="19" max="20" width="1.7109375" style="764" customWidth="1"/>
    <col min="21" max="37" width="5.7109375" style="764"/>
    <col min="38" max="38" width="1.7109375" style="764" customWidth="1"/>
    <col min="39" max="16384" width="5.7109375" style="764"/>
  </cols>
  <sheetData>
    <row r="1" spans="1:45" ht="12" customHeight="1" thickBot="1" x14ac:dyDescent="0.25">
      <c r="A1" s="1289"/>
      <c r="B1" s="1289"/>
      <c r="C1" s="1289"/>
      <c r="D1" s="1289"/>
      <c r="E1" s="1289"/>
      <c r="F1" s="1289"/>
      <c r="G1" s="1289"/>
      <c r="H1" s="1289"/>
      <c r="I1" s="1289"/>
      <c r="J1" s="1289"/>
      <c r="K1" s="1289"/>
      <c r="L1" s="1289"/>
      <c r="M1" s="1289"/>
      <c r="N1" s="1289"/>
      <c r="O1" s="1289"/>
      <c r="P1" s="1289"/>
      <c r="Q1" s="1289"/>
      <c r="R1" s="1289"/>
      <c r="S1" s="1289"/>
      <c r="T1" s="1289"/>
      <c r="U1" s="1289"/>
      <c r="V1" s="1289"/>
      <c r="W1" s="1289"/>
      <c r="X1" s="1289"/>
      <c r="Y1" s="1289"/>
      <c r="Z1" s="1289"/>
      <c r="AA1" s="1289"/>
      <c r="AB1" s="1289"/>
      <c r="AC1" s="1289"/>
      <c r="AD1" s="1289"/>
      <c r="AE1" s="1289"/>
      <c r="AF1" s="1289"/>
      <c r="AG1" s="1289"/>
      <c r="AH1" s="1289"/>
      <c r="AI1" s="1289"/>
      <c r="AJ1" s="1289"/>
      <c r="AK1" s="1289"/>
      <c r="AL1" s="1289"/>
      <c r="AM1" s="777"/>
      <c r="AN1" s="777"/>
      <c r="AO1" s="777"/>
      <c r="AP1" s="777"/>
      <c r="AQ1" s="777"/>
      <c r="AR1" s="777"/>
      <c r="AS1" s="777"/>
    </row>
    <row r="2" spans="1:45" ht="12" customHeight="1" thickBot="1" x14ac:dyDescent="0.25">
      <c r="A2" s="1289"/>
      <c r="B2" s="1290"/>
      <c r="C2" s="1291"/>
      <c r="D2" s="1291"/>
      <c r="E2" s="1291"/>
      <c r="F2" s="1291"/>
      <c r="G2" s="1291"/>
      <c r="H2" s="1291"/>
      <c r="I2" s="1291"/>
      <c r="J2" s="1291"/>
      <c r="K2" s="1291"/>
      <c r="L2" s="1291"/>
      <c r="M2" s="1291"/>
      <c r="N2" s="1291"/>
      <c r="O2" s="1291"/>
      <c r="P2" s="1291"/>
      <c r="Q2" s="1291"/>
      <c r="R2" s="1292"/>
      <c r="S2" s="1289"/>
      <c r="T2" s="1289"/>
      <c r="U2" s="1290"/>
      <c r="V2" s="1291"/>
      <c r="W2" s="1291"/>
      <c r="X2" s="1291"/>
      <c r="Y2" s="1291"/>
      <c r="Z2" s="1291"/>
      <c r="AA2" s="1291"/>
      <c r="AB2" s="1291"/>
      <c r="AC2" s="1291"/>
      <c r="AD2" s="1291"/>
      <c r="AE2" s="1291"/>
      <c r="AF2" s="1291"/>
      <c r="AG2" s="1291"/>
      <c r="AH2" s="1291"/>
      <c r="AI2" s="1291"/>
      <c r="AJ2" s="1291"/>
      <c r="AK2" s="1292"/>
      <c r="AL2" s="1289"/>
      <c r="AM2" s="777"/>
      <c r="AN2" s="777"/>
      <c r="AO2" s="777"/>
      <c r="AP2" s="777"/>
      <c r="AQ2" s="777"/>
      <c r="AR2" s="777"/>
      <c r="AS2" s="777"/>
    </row>
    <row r="3" spans="1:45" ht="12" customHeight="1" x14ac:dyDescent="0.2">
      <c r="A3" s="1289"/>
      <c r="B3" s="693"/>
      <c r="C3" s="4298"/>
      <c r="D3" s="4299"/>
      <c r="E3" s="4299"/>
      <c r="F3" s="4299"/>
      <c r="G3" s="4299"/>
      <c r="H3" s="4299"/>
      <c r="I3" s="1293"/>
      <c r="J3" s="1293"/>
      <c r="K3" s="1293"/>
      <c r="L3" s="1293"/>
      <c r="M3" s="1293"/>
      <c r="N3" s="1293"/>
      <c r="O3" s="1293"/>
      <c r="P3" s="1293"/>
      <c r="Q3" s="1294"/>
      <c r="R3" s="1295"/>
      <c r="S3" s="1289"/>
      <c r="T3" s="1289"/>
      <c r="U3" s="693"/>
      <c r="V3" s="4298"/>
      <c r="W3" s="4299"/>
      <c r="X3" s="4299"/>
      <c r="Y3" s="4299"/>
      <c r="Z3" s="4299"/>
      <c r="AA3" s="4299"/>
      <c r="AB3" s="1293"/>
      <c r="AC3" s="1293"/>
      <c r="AD3" s="1293"/>
      <c r="AE3" s="1293"/>
      <c r="AF3" s="1293"/>
      <c r="AG3" s="1293"/>
      <c r="AH3" s="1293"/>
      <c r="AI3" s="1293"/>
      <c r="AJ3" s="1294"/>
      <c r="AK3" s="1295"/>
      <c r="AL3" s="1289"/>
      <c r="AM3" s="1296"/>
      <c r="AN3" s="1296"/>
      <c r="AO3" s="1296"/>
      <c r="AP3" s="1296"/>
      <c r="AQ3" s="1296"/>
      <c r="AR3" s="1297"/>
      <c r="AS3" s="777"/>
    </row>
    <row r="4" spans="1:45" ht="12" customHeight="1" x14ac:dyDescent="0.2">
      <c r="A4" s="1289"/>
      <c r="B4" s="693"/>
      <c r="C4" s="4300"/>
      <c r="D4" s="4301"/>
      <c r="E4" s="4301"/>
      <c r="F4" s="4301"/>
      <c r="G4" s="4301"/>
      <c r="H4" s="4301"/>
      <c r="I4" s="1298"/>
      <c r="J4" s="4304" t="s">
        <v>2169</v>
      </c>
      <c r="K4" s="4305"/>
      <c r="L4" s="2964" t="str">
        <f>IF(OR(General!$G$22="",General!$G$22=0),"",General!$G$22)</f>
        <v/>
      </c>
      <c r="M4" s="2964"/>
      <c r="N4" s="2964"/>
      <c r="O4" s="2964"/>
      <c r="P4" s="2964"/>
      <c r="Q4" s="892"/>
      <c r="R4" s="1295"/>
      <c r="S4" s="1289"/>
      <c r="T4" s="1289"/>
      <c r="U4" s="693"/>
      <c r="V4" s="4300"/>
      <c r="W4" s="4301"/>
      <c r="X4" s="4301"/>
      <c r="Y4" s="4301"/>
      <c r="Z4" s="4301"/>
      <c r="AA4" s="4301"/>
      <c r="AB4" s="1298"/>
      <c r="AC4" s="4296" t="s">
        <v>2666</v>
      </c>
      <c r="AD4" s="4297"/>
      <c r="AE4" s="4297"/>
      <c r="AF4" s="4297"/>
      <c r="AG4" s="4297"/>
      <c r="AH4" s="4297"/>
      <c r="AI4" s="4297"/>
      <c r="AJ4" s="892"/>
      <c r="AK4" s="1295"/>
      <c r="AL4" s="1289"/>
      <c r="AM4" s="1296"/>
      <c r="AN4" s="1296"/>
      <c r="AO4" s="1296"/>
      <c r="AP4" s="1299"/>
      <c r="AQ4" s="1299"/>
      <c r="AR4" s="1297"/>
      <c r="AS4" s="777"/>
    </row>
    <row r="5" spans="1:45" ht="12" customHeight="1" x14ac:dyDescent="0.2">
      <c r="A5" s="1289"/>
      <c r="B5" s="693"/>
      <c r="C5" s="4300"/>
      <c r="D5" s="4301"/>
      <c r="E5" s="4301"/>
      <c r="F5" s="4301"/>
      <c r="G5" s="4301"/>
      <c r="H5" s="4301"/>
      <c r="I5" s="1298"/>
      <c r="J5" s="4292" t="s">
        <v>2170</v>
      </c>
      <c r="K5" s="4293"/>
      <c r="L5" s="4294" t="str">
        <f>Principal!$L$5</f>
        <v>Hechicero</v>
      </c>
      <c r="M5" s="4295"/>
      <c r="N5" s="4295"/>
      <c r="O5" s="1300" t="s">
        <v>2171</v>
      </c>
      <c r="P5" s="1301" t="str">
        <f>Principal!$P$5</f>
        <v>1 + 2</v>
      </c>
      <c r="Q5" s="1302"/>
      <c r="R5" s="1295"/>
      <c r="S5" s="1289"/>
      <c r="T5" s="1289"/>
      <c r="U5" s="693"/>
      <c r="V5" s="4300"/>
      <c r="W5" s="4301"/>
      <c r="X5" s="4301"/>
      <c r="Y5" s="4301"/>
      <c r="Z5" s="4301"/>
      <c r="AA5" s="4301"/>
      <c r="AB5" s="1298"/>
      <c r="AC5" s="4297"/>
      <c r="AD5" s="4297"/>
      <c r="AE5" s="4297"/>
      <c r="AF5" s="4297"/>
      <c r="AG5" s="4297"/>
      <c r="AH5" s="4297"/>
      <c r="AI5" s="4297"/>
      <c r="AJ5" s="1302"/>
      <c r="AK5" s="1295"/>
      <c r="AL5" s="1289"/>
      <c r="AM5" s="1303"/>
      <c r="AN5" s="1303"/>
      <c r="AO5" s="1303"/>
      <c r="AP5" s="1304"/>
      <c r="AQ5" s="1304"/>
      <c r="AR5" s="1297"/>
      <c r="AS5" s="777"/>
    </row>
    <row r="6" spans="1:45" ht="12" customHeight="1" x14ac:dyDescent="0.2">
      <c r="A6" s="1289"/>
      <c r="B6" s="693"/>
      <c r="C6" s="4300"/>
      <c r="D6" s="4301"/>
      <c r="E6" s="4301"/>
      <c r="F6" s="4301"/>
      <c r="G6" s="4301"/>
      <c r="H6" s="4301"/>
      <c r="I6" s="1298"/>
      <c r="J6" s="4296" t="s">
        <v>8720</v>
      </c>
      <c r="K6" s="4297"/>
      <c r="L6" s="4297"/>
      <c r="M6" s="4297"/>
      <c r="N6" s="4297"/>
      <c r="O6" s="4297"/>
      <c r="P6" s="4297"/>
      <c r="Q6" s="1302"/>
      <c r="R6" s="1295"/>
      <c r="S6" s="1289"/>
      <c r="T6" s="1289"/>
      <c r="U6" s="693"/>
      <c r="V6" s="4300"/>
      <c r="W6" s="4301"/>
      <c r="X6" s="4301"/>
      <c r="Y6" s="4301"/>
      <c r="Z6" s="4301"/>
      <c r="AA6" s="4301"/>
      <c r="AB6" s="1298"/>
      <c r="AC6" s="5020"/>
      <c r="AD6" s="5021"/>
      <c r="AE6" s="5021"/>
      <c r="AF6" s="5021"/>
      <c r="AG6" s="5021"/>
      <c r="AH6" s="5021"/>
      <c r="AI6" s="5021"/>
      <c r="AJ6" s="1302"/>
      <c r="AK6" s="1295"/>
      <c r="AL6" s="1289"/>
      <c r="AM6" s="1305"/>
      <c r="AN6" s="1305"/>
      <c r="AO6" s="1305"/>
      <c r="AP6" s="1306"/>
      <c r="AQ6" s="1306"/>
      <c r="AR6" s="1297"/>
      <c r="AS6" s="777"/>
    </row>
    <row r="7" spans="1:45" ht="12" customHeight="1" x14ac:dyDescent="0.2">
      <c r="A7" s="1289"/>
      <c r="B7" s="693"/>
      <c r="C7" s="4300"/>
      <c r="D7" s="4301"/>
      <c r="E7" s="4301"/>
      <c r="F7" s="4301"/>
      <c r="G7" s="4301"/>
      <c r="H7" s="4301"/>
      <c r="I7" s="1298"/>
      <c r="J7" s="4297"/>
      <c r="K7" s="4297"/>
      <c r="L7" s="4297"/>
      <c r="M7" s="4297"/>
      <c r="N7" s="4297"/>
      <c r="O7" s="4297"/>
      <c r="P7" s="4297"/>
      <c r="Q7" s="1302"/>
      <c r="R7" s="1295"/>
      <c r="S7" s="1289"/>
      <c r="T7" s="1289"/>
      <c r="U7" s="693"/>
      <c r="V7" s="4300"/>
      <c r="W7" s="4301"/>
      <c r="X7" s="4301"/>
      <c r="Y7" s="4301"/>
      <c r="Z7" s="4301"/>
      <c r="AA7" s="4301"/>
      <c r="AB7" s="1298"/>
      <c r="AC7" s="5021"/>
      <c r="AD7" s="5021"/>
      <c r="AE7" s="5021"/>
      <c r="AF7" s="5021"/>
      <c r="AG7" s="5021"/>
      <c r="AH7" s="5021"/>
      <c r="AI7" s="5021"/>
      <c r="AJ7" s="1302"/>
      <c r="AK7" s="1295"/>
      <c r="AL7" s="1289"/>
      <c r="AM7" s="1303"/>
      <c r="AN7" s="1303"/>
      <c r="AO7" s="1303"/>
      <c r="AP7" s="1304"/>
      <c r="AQ7" s="1304"/>
      <c r="AR7" s="1297"/>
      <c r="AS7" s="777"/>
    </row>
    <row r="8" spans="1:45" ht="12" customHeight="1" thickBot="1" x14ac:dyDescent="0.25">
      <c r="A8" s="1289"/>
      <c r="B8" s="693"/>
      <c r="C8" s="4302"/>
      <c r="D8" s="4303"/>
      <c r="E8" s="4303"/>
      <c r="F8" s="4303"/>
      <c r="G8" s="4303"/>
      <c r="H8" s="4303"/>
      <c r="I8" s="1307"/>
      <c r="J8" s="1307"/>
      <c r="K8" s="1307"/>
      <c r="L8" s="1307"/>
      <c r="M8" s="1307"/>
      <c r="N8" s="1307"/>
      <c r="O8" s="1307"/>
      <c r="P8" s="1307"/>
      <c r="Q8" s="1308"/>
      <c r="R8" s="1295"/>
      <c r="S8" s="1289"/>
      <c r="T8" s="1289"/>
      <c r="U8" s="693"/>
      <c r="V8" s="4302"/>
      <c r="W8" s="4303"/>
      <c r="X8" s="4303"/>
      <c r="Y8" s="4303"/>
      <c r="Z8" s="4303"/>
      <c r="AA8" s="4303"/>
      <c r="AB8" s="1307"/>
      <c r="AC8" s="1307"/>
      <c r="AD8" s="1307"/>
      <c r="AE8" s="1307"/>
      <c r="AF8" s="1307"/>
      <c r="AG8" s="1307"/>
      <c r="AH8" s="1307"/>
      <c r="AI8" s="1307"/>
      <c r="AJ8" s="1308"/>
      <c r="AK8" s="1295"/>
      <c r="AL8" s="1289"/>
      <c r="AM8" s="1305"/>
      <c r="AN8" s="1305"/>
      <c r="AO8" s="1305"/>
      <c r="AP8" s="1306"/>
      <c r="AQ8" s="1306"/>
      <c r="AR8" s="1297"/>
      <c r="AS8" s="777"/>
    </row>
    <row r="9" spans="1:45" ht="12" customHeight="1" thickBot="1" x14ac:dyDescent="0.25">
      <c r="A9" s="1289"/>
      <c r="B9" s="693"/>
      <c r="C9" s="820"/>
      <c r="D9" s="820"/>
      <c r="E9" s="820"/>
      <c r="F9" s="820"/>
      <c r="G9" s="820"/>
      <c r="H9" s="820"/>
      <c r="I9" s="820"/>
      <c r="J9" s="820"/>
      <c r="K9" s="820"/>
      <c r="L9" s="820"/>
      <c r="M9" s="820"/>
      <c r="N9" s="820"/>
      <c r="O9" s="820"/>
      <c r="P9" s="820"/>
      <c r="Q9" s="820"/>
      <c r="R9" s="1295"/>
      <c r="S9" s="1289"/>
      <c r="T9" s="1289"/>
      <c r="U9" s="693"/>
      <c r="V9" s="820"/>
      <c r="W9" s="820"/>
      <c r="X9" s="820"/>
      <c r="Y9" s="820"/>
      <c r="Z9" s="820"/>
      <c r="AA9" s="820"/>
      <c r="AB9" s="820"/>
      <c r="AC9" s="820"/>
      <c r="AD9" s="820"/>
      <c r="AE9" s="820"/>
      <c r="AF9" s="820"/>
      <c r="AG9" s="820"/>
      <c r="AH9" s="820"/>
      <c r="AI9" s="820"/>
      <c r="AJ9" s="820"/>
      <c r="AK9" s="1295"/>
      <c r="AL9" s="1289"/>
      <c r="AM9" s="1303"/>
      <c r="AN9" s="1303"/>
      <c r="AO9" s="1303"/>
      <c r="AP9" s="1304"/>
      <c r="AQ9" s="1304"/>
      <c r="AR9" s="1297"/>
      <c r="AS9" s="777"/>
    </row>
    <row r="10" spans="1:45" ht="12" customHeight="1" x14ac:dyDescent="0.2">
      <c r="A10" s="1289"/>
      <c r="B10" s="693"/>
      <c r="C10" s="5015"/>
      <c r="D10" s="5016"/>
      <c r="E10" s="5016"/>
      <c r="F10" s="5016"/>
      <c r="G10" s="5016"/>
      <c r="H10" s="5016"/>
      <c r="I10" s="1342" t="s">
        <v>2256</v>
      </c>
      <c r="K10" s="5015"/>
      <c r="L10" s="5016"/>
      <c r="M10" s="5016"/>
      <c r="N10" s="5016"/>
      <c r="O10" s="5016"/>
      <c r="P10" s="5016"/>
      <c r="Q10" s="1342" t="s">
        <v>2256</v>
      </c>
      <c r="R10" s="1295"/>
      <c r="S10" s="1289"/>
      <c r="T10" s="1289"/>
      <c r="U10" s="693"/>
      <c r="V10" s="5015"/>
      <c r="W10" s="5016"/>
      <c r="X10" s="5016"/>
      <c r="Y10" s="5016"/>
      <c r="Z10" s="5016"/>
      <c r="AA10" s="5016"/>
      <c r="AB10" s="1342" t="s">
        <v>2256</v>
      </c>
      <c r="AC10" s="1343"/>
      <c r="AD10" s="5015"/>
      <c r="AE10" s="5016"/>
      <c r="AF10" s="5016"/>
      <c r="AG10" s="5016"/>
      <c r="AH10" s="5016"/>
      <c r="AI10" s="5016"/>
      <c r="AJ10" s="1342" t="s">
        <v>2256</v>
      </c>
      <c r="AK10" s="1295"/>
      <c r="AL10" s="1289"/>
      <c r="AM10" s="1305"/>
      <c r="AN10" s="1305"/>
      <c r="AO10" s="1305"/>
      <c r="AP10" s="1306"/>
      <c r="AQ10" s="1306"/>
      <c r="AR10" s="1297"/>
      <c r="AS10" s="777"/>
    </row>
    <row r="11" spans="1:45" ht="12" customHeight="1" x14ac:dyDescent="0.2">
      <c r="A11" s="1289"/>
      <c r="B11" s="693"/>
      <c r="C11" s="5119" t="str">
        <f>IF(C10=0,"",VLOOKUP(C10,'Tablas psiquica'!$D$7:$R$145,2,FALSE))</f>
        <v/>
      </c>
      <c r="D11" s="5120"/>
      <c r="E11" s="5120"/>
      <c r="F11" s="5120"/>
      <c r="G11" s="5120"/>
      <c r="H11" s="5120"/>
      <c r="I11" s="1344" t="str">
        <f>IF(C10=0,"",VLOOKUP(C10,'Tablas psiquica'!$D$7:$R$145,3,FALSE))</f>
        <v/>
      </c>
      <c r="K11" s="5119" t="str">
        <f>IF(K10=0,"",VLOOKUP(K10,'Tablas psiquica'!$D$7:$R$145,2,FALSE))</f>
        <v/>
      </c>
      <c r="L11" s="5120"/>
      <c r="M11" s="5120"/>
      <c r="N11" s="5120"/>
      <c r="O11" s="5120"/>
      <c r="P11" s="5120"/>
      <c r="Q11" s="1344" t="str">
        <f>IF(K10=0,"",VLOOKUP(K10,'Tablas psiquica'!$D$7:$R$145,3,FALSE))</f>
        <v/>
      </c>
      <c r="R11" s="1295"/>
      <c r="S11" s="1289"/>
      <c r="T11" s="1289"/>
      <c r="U11" s="693"/>
      <c r="V11" s="5119" t="str">
        <f>IF(V10=0,"",VLOOKUP(V10,'Tablas psiquica'!$D$7:$R$145,2,FALSE))</f>
        <v/>
      </c>
      <c r="W11" s="5120"/>
      <c r="X11" s="5120"/>
      <c r="Y11" s="5120"/>
      <c r="Z11" s="5120"/>
      <c r="AA11" s="5120"/>
      <c r="AB11" s="1344" t="str">
        <f>IF(V10=0,"",VLOOKUP(V10,'Tablas psiquica'!$D$7:$R$145,3,FALSE))</f>
        <v/>
      </c>
      <c r="AC11" s="820"/>
      <c r="AD11" s="5119" t="str">
        <f>IF(AD10=0,"",VLOOKUP(AD10,'Tablas psiquica'!$D$7:$R$145,2,FALSE))</f>
        <v/>
      </c>
      <c r="AE11" s="5120"/>
      <c r="AF11" s="5120"/>
      <c r="AG11" s="5120"/>
      <c r="AH11" s="5120"/>
      <c r="AI11" s="5120"/>
      <c r="AJ11" s="1344" t="str">
        <f>IF(AD10=0,"",VLOOKUP(AD10,'Tablas psiquica'!$D$7:$R$145,3,FALSE))</f>
        <v/>
      </c>
      <c r="AK11" s="1295"/>
      <c r="AL11" s="1289"/>
      <c r="AM11" s="1303"/>
      <c r="AN11" s="1303"/>
      <c r="AO11" s="1303"/>
      <c r="AP11" s="1304"/>
      <c r="AQ11" s="1304"/>
      <c r="AR11" s="1297"/>
      <c r="AS11" s="777"/>
    </row>
    <row r="12" spans="1:45" ht="12" customHeight="1" x14ac:dyDescent="0.2">
      <c r="A12" s="1289"/>
      <c r="B12" s="693"/>
      <c r="C12" s="1345">
        <v>20</v>
      </c>
      <c r="D12" s="5121" t="s">
        <v>2596</v>
      </c>
      <c r="E12" s="5028"/>
      <c r="F12" s="5122" t="str">
        <f>IF(C10=0,"",VLOOKUP(C10,'Tablas psiquica'!$D$7:$R$145,6,FALSE))</f>
        <v/>
      </c>
      <c r="G12" s="5123"/>
      <c r="H12" s="5123"/>
      <c r="I12" s="5124"/>
      <c r="K12" s="1345">
        <v>20</v>
      </c>
      <c r="L12" s="5121" t="s">
        <v>2596</v>
      </c>
      <c r="M12" s="5028"/>
      <c r="N12" s="5122" t="str">
        <f>IF(K10=0,"",VLOOKUP(K10,'Tablas psiquica'!$D$7:$R$145,6,FALSE))</f>
        <v/>
      </c>
      <c r="O12" s="5123"/>
      <c r="P12" s="5123"/>
      <c r="Q12" s="5124"/>
      <c r="R12" s="1295"/>
      <c r="S12" s="1289"/>
      <c r="T12" s="1289"/>
      <c r="U12" s="693"/>
      <c r="V12" s="1345">
        <v>20</v>
      </c>
      <c r="W12" s="5121" t="s">
        <v>2596</v>
      </c>
      <c r="X12" s="5028"/>
      <c r="Y12" s="5122" t="str">
        <f>IF(V10=0,"",VLOOKUP(V10,'Tablas psiquica'!$D$7:$R$145,6,FALSE))</f>
        <v/>
      </c>
      <c r="Z12" s="5123"/>
      <c r="AA12" s="5123"/>
      <c r="AB12" s="5124"/>
      <c r="AC12" s="1346"/>
      <c r="AD12" s="1345">
        <v>20</v>
      </c>
      <c r="AE12" s="5121" t="s">
        <v>2596</v>
      </c>
      <c r="AF12" s="5028"/>
      <c r="AG12" s="5122" t="str">
        <f>IF(AD10=0,"",VLOOKUP(AD10,'Tablas psiquica'!$D$7:$R$145,6,FALSE))</f>
        <v/>
      </c>
      <c r="AH12" s="5123"/>
      <c r="AI12" s="5123"/>
      <c r="AJ12" s="5124"/>
      <c r="AK12" s="1295"/>
      <c r="AL12" s="1289"/>
      <c r="AM12" s="1305"/>
      <c r="AN12" s="1305"/>
      <c r="AO12" s="1305"/>
      <c r="AP12" s="1306"/>
      <c r="AQ12" s="1306"/>
      <c r="AR12" s="1297"/>
      <c r="AS12" s="777"/>
    </row>
    <row r="13" spans="1:45" ht="12" customHeight="1" x14ac:dyDescent="0.2">
      <c r="A13" s="1289"/>
      <c r="B13" s="693"/>
      <c r="C13" s="1347">
        <v>40</v>
      </c>
      <c r="D13" s="5125" t="s">
        <v>2600</v>
      </c>
      <c r="E13" s="5023"/>
      <c r="F13" s="5126" t="str">
        <f>IF(C10=0,"",VLOOKUP(C10,'Tablas psiquica'!$D$7:$R$145,7,FALSE))</f>
        <v/>
      </c>
      <c r="G13" s="5127"/>
      <c r="H13" s="5127"/>
      <c r="I13" s="5128"/>
      <c r="K13" s="1347">
        <v>40</v>
      </c>
      <c r="L13" s="5125" t="s">
        <v>2600</v>
      </c>
      <c r="M13" s="5023"/>
      <c r="N13" s="5126" t="str">
        <f>IF(K10=0,"",VLOOKUP(K10,'Tablas psiquica'!$D$7:$R$145,7,FALSE))</f>
        <v/>
      </c>
      <c r="O13" s="5127"/>
      <c r="P13" s="5127"/>
      <c r="Q13" s="5128"/>
      <c r="R13" s="1295"/>
      <c r="S13" s="1289"/>
      <c r="T13" s="1289"/>
      <c r="U13" s="693"/>
      <c r="V13" s="1347">
        <v>40</v>
      </c>
      <c r="W13" s="5125" t="s">
        <v>2600</v>
      </c>
      <c r="X13" s="5023"/>
      <c r="Y13" s="5126" t="str">
        <f>IF(V10=0,"",VLOOKUP(V10,'Tablas psiquica'!$D$7:$R$145,7,FALSE))</f>
        <v/>
      </c>
      <c r="Z13" s="5127"/>
      <c r="AA13" s="5127"/>
      <c r="AB13" s="5128"/>
      <c r="AC13" s="1346"/>
      <c r="AD13" s="1347">
        <v>40</v>
      </c>
      <c r="AE13" s="5125" t="s">
        <v>2600</v>
      </c>
      <c r="AF13" s="5023"/>
      <c r="AG13" s="5126" t="str">
        <f>IF(AD10=0,"",VLOOKUP(AD10,'Tablas psiquica'!$D$7:$R$145,7,FALSE))</f>
        <v/>
      </c>
      <c r="AH13" s="5127"/>
      <c r="AI13" s="5127"/>
      <c r="AJ13" s="5128"/>
      <c r="AK13" s="1295"/>
      <c r="AL13" s="1289"/>
      <c r="AM13" s="1303"/>
      <c r="AP13" s="1304"/>
      <c r="AQ13" s="1304"/>
      <c r="AR13" s="1297"/>
      <c r="AS13" s="777"/>
    </row>
    <row r="14" spans="1:45" ht="12" customHeight="1" x14ac:dyDescent="0.2">
      <c r="A14" s="1289"/>
      <c r="B14" s="693"/>
      <c r="C14" s="1345">
        <v>80</v>
      </c>
      <c r="D14" s="5121" t="s">
        <v>2603</v>
      </c>
      <c r="E14" s="5028"/>
      <c r="F14" s="5122" t="str">
        <f>IF(C10=0,"",VLOOKUP(C10,'Tablas psiquica'!$D$7:$R$145,8,FALSE))</f>
        <v/>
      </c>
      <c r="G14" s="5123"/>
      <c r="H14" s="5123"/>
      <c r="I14" s="5124"/>
      <c r="K14" s="1345">
        <v>80</v>
      </c>
      <c r="L14" s="5121" t="s">
        <v>2603</v>
      </c>
      <c r="M14" s="5028"/>
      <c r="N14" s="5122" t="str">
        <f>IF(K10=0,"",VLOOKUP(K10,'Tablas psiquica'!$D$7:$R$145,8,FALSE))</f>
        <v/>
      </c>
      <c r="O14" s="5123"/>
      <c r="P14" s="5123"/>
      <c r="Q14" s="5124"/>
      <c r="R14" s="1295"/>
      <c r="S14" s="1289"/>
      <c r="T14" s="1289"/>
      <c r="U14" s="693"/>
      <c r="V14" s="1345">
        <v>80</v>
      </c>
      <c r="W14" s="5121" t="s">
        <v>2603</v>
      </c>
      <c r="X14" s="5028"/>
      <c r="Y14" s="5122" t="str">
        <f>IF(V10=0,"",VLOOKUP(V10,'Tablas psiquica'!$D$7:$R$145,8,FALSE))</f>
        <v/>
      </c>
      <c r="Z14" s="5123"/>
      <c r="AA14" s="5123"/>
      <c r="AB14" s="5124"/>
      <c r="AC14" s="1346"/>
      <c r="AD14" s="1345">
        <v>80</v>
      </c>
      <c r="AE14" s="5121" t="s">
        <v>2603</v>
      </c>
      <c r="AF14" s="5028"/>
      <c r="AG14" s="5122" t="str">
        <f>IF(AD10=0,"",VLOOKUP(AD10,'Tablas psiquica'!$D$7:$R$145,8,FALSE))</f>
        <v/>
      </c>
      <c r="AH14" s="5123"/>
      <c r="AI14" s="5123"/>
      <c r="AJ14" s="5124"/>
      <c r="AK14" s="1295"/>
      <c r="AL14" s="1289"/>
      <c r="AM14" s="1305"/>
      <c r="AN14" s="1305"/>
      <c r="AO14" s="1305"/>
      <c r="AP14" s="1306"/>
      <c r="AQ14" s="1306"/>
      <c r="AR14" s="1297"/>
      <c r="AS14" s="777"/>
    </row>
    <row r="15" spans="1:45" ht="12" customHeight="1" x14ac:dyDescent="0.2">
      <c r="A15" s="1289"/>
      <c r="B15" s="693"/>
      <c r="C15" s="1347">
        <v>120</v>
      </c>
      <c r="D15" s="5125" t="s">
        <v>2607</v>
      </c>
      <c r="E15" s="5023"/>
      <c r="F15" s="5126" t="str">
        <f>IF(C10=0,"",VLOOKUP(C10,'Tablas psiquica'!$D$7:$R$145,9,FALSE))</f>
        <v/>
      </c>
      <c r="G15" s="5127"/>
      <c r="H15" s="5127"/>
      <c r="I15" s="5128"/>
      <c r="K15" s="1347">
        <v>120</v>
      </c>
      <c r="L15" s="5125" t="s">
        <v>2607</v>
      </c>
      <c r="M15" s="5023"/>
      <c r="N15" s="5126" t="str">
        <f>IF(K10=0,"",VLOOKUP(K10,'Tablas psiquica'!$D$7:$R$145,9,FALSE))</f>
        <v/>
      </c>
      <c r="O15" s="5127"/>
      <c r="P15" s="5127"/>
      <c r="Q15" s="5128"/>
      <c r="R15" s="1295"/>
      <c r="S15" s="1289"/>
      <c r="T15" s="1289"/>
      <c r="U15" s="693"/>
      <c r="V15" s="1347">
        <v>120</v>
      </c>
      <c r="W15" s="5125" t="s">
        <v>2607</v>
      </c>
      <c r="X15" s="5023"/>
      <c r="Y15" s="5126" t="str">
        <f>IF(V10=0,"",VLOOKUP(V10,'Tablas psiquica'!$D$7:$R$145,9,FALSE))</f>
        <v/>
      </c>
      <c r="Z15" s="5127"/>
      <c r="AA15" s="5127"/>
      <c r="AB15" s="5128"/>
      <c r="AC15" s="1348"/>
      <c r="AD15" s="1347">
        <v>120</v>
      </c>
      <c r="AE15" s="5125" t="s">
        <v>2607</v>
      </c>
      <c r="AF15" s="5023"/>
      <c r="AG15" s="5126" t="str">
        <f>IF(AD10=0,"",VLOOKUP(AD10,'Tablas psiquica'!$D$7:$R$145,9,FALSE))</f>
        <v/>
      </c>
      <c r="AH15" s="5127"/>
      <c r="AI15" s="5127"/>
      <c r="AJ15" s="5128"/>
      <c r="AK15" s="1295"/>
      <c r="AL15" s="1289"/>
      <c r="AM15" s="1303"/>
      <c r="AN15" s="1303"/>
      <c r="AO15" s="1303"/>
      <c r="AP15" s="1304"/>
      <c r="AQ15" s="1304"/>
      <c r="AR15" s="1297"/>
      <c r="AS15" s="777"/>
    </row>
    <row r="16" spans="1:45" ht="12" customHeight="1" x14ac:dyDescent="0.2">
      <c r="A16" s="1289"/>
      <c r="B16" s="693"/>
      <c r="C16" s="1345">
        <v>140</v>
      </c>
      <c r="D16" s="5121" t="s">
        <v>8721</v>
      </c>
      <c r="E16" s="5028"/>
      <c r="F16" s="5122" t="str">
        <f>IF(C10=0,"",VLOOKUP(C10,'Tablas psiquica'!$D$7:$R$145,10,FALSE))</f>
        <v/>
      </c>
      <c r="G16" s="5123"/>
      <c r="H16" s="5123"/>
      <c r="I16" s="5124"/>
      <c r="K16" s="1345">
        <v>140</v>
      </c>
      <c r="L16" s="5121" t="s">
        <v>8721</v>
      </c>
      <c r="M16" s="5028"/>
      <c r="N16" s="5122" t="str">
        <f>IF(K10=0,"",VLOOKUP(K10,'Tablas psiquica'!$D$7:$R$145,10,FALSE))</f>
        <v/>
      </c>
      <c r="O16" s="5123"/>
      <c r="P16" s="5123"/>
      <c r="Q16" s="5124"/>
      <c r="R16" s="1295"/>
      <c r="S16" s="1289"/>
      <c r="T16" s="1289"/>
      <c r="U16" s="693"/>
      <c r="V16" s="1345">
        <v>140</v>
      </c>
      <c r="W16" s="5121" t="s">
        <v>8721</v>
      </c>
      <c r="X16" s="5028"/>
      <c r="Y16" s="5122" t="str">
        <f>IF(V10=0,"",VLOOKUP(V10,'Tablas psiquica'!$D$7:$R$145,10,FALSE))</f>
        <v/>
      </c>
      <c r="Z16" s="5123"/>
      <c r="AA16" s="5123"/>
      <c r="AB16" s="5124"/>
      <c r="AC16" s="1349"/>
      <c r="AD16" s="1345">
        <v>140</v>
      </c>
      <c r="AE16" s="5121" t="s">
        <v>8721</v>
      </c>
      <c r="AF16" s="5028"/>
      <c r="AG16" s="5122" t="str">
        <f>IF(AD10=0,"",VLOOKUP(AD10,'Tablas psiquica'!$D$7:$R$145,10,FALSE))</f>
        <v/>
      </c>
      <c r="AH16" s="5123"/>
      <c r="AI16" s="5123"/>
      <c r="AJ16" s="5124"/>
      <c r="AK16" s="1295"/>
      <c r="AL16" s="1289"/>
      <c r="AM16" s="1305"/>
      <c r="AN16" s="1305"/>
      <c r="AO16" s="1305"/>
      <c r="AP16" s="1306"/>
      <c r="AQ16" s="1306"/>
      <c r="AR16" s="1297"/>
      <c r="AS16" s="777"/>
    </row>
    <row r="17" spans="1:45" ht="12" customHeight="1" x14ac:dyDescent="0.2">
      <c r="A17" s="1289"/>
      <c r="B17" s="693"/>
      <c r="C17" s="1347">
        <v>180</v>
      </c>
      <c r="D17" s="5125" t="s">
        <v>2612</v>
      </c>
      <c r="E17" s="5023"/>
      <c r="F17" s="5126" t="str">
        <f>IF(C10=0,"",VLOOKUP(C10,'Tablas psiquica'!$D$7:$R$145,11,FALSE))</f>
        <v/>
      </c>
      <c r="G17" s="5127"/>
      <c r="H17" s="5127"/>
      <c r="I17" s="5128"/>
      <c r="K17" s="1347">
        <v>180</v>
      </c>
      <c r="L17" s="5125" t="s">
        <v>2612</v>
      </c>
      <c r="M17" s="5023"/>
      <c r="N17" s="5126" t="str">
        <f>IF(K10=0,"",VLOOKUP(K10,'Tablas psiquica'!$D$7:$R$145,11,FALSE))</f>
        <v/>
      </c>
      <c r="O17" s="5127"/>
      <c r="P17" s="5127"/>
      <c r="Q17" s="5128"/>
      <c r="R17" s="1295"/>
      <c r="S17" s="1289"/>
      <c r="T17" s="1289"/>
      <c r="U17" s="693"/>
      <c r="V17" s="1347">
        <v>180</v>
      </c>
      <c r="W17" s="5125" t="s">
        <v>2612</v>
      </c>
      <c r="X17" s="5023"/>
      <c r="Y17" s="5126" t="str">
        <f>IF(V10=0,"",VLOOKUP(V10,'Tablas psiquica'!$D$7:$R$145,11,FALSE))</f>
        <v/>
      </c>
      <c r="Z17" s="5127"/>
      <c r="AA17" s="5127"/>
      <c r="AB17" s="5128"/>
      <c r="AC17" s="1337"/>
      <c r="AD17" s="1347">
        <v>180</v>
      </c>
      <c r="AE17" s="5125" t="s">
        <v>2612</v>
      </c>
      <c r="AF17" s="5023"/>
      <c r="AG17" s="5126" t="str">
        <f>IF(AD10=0,"",VLOOKUP(AD10,'Tablas psiquica'!$D$7:$R$145,11,FALSE))</f>
        <v/>
      </c>
      <c r="AH17" s="5127"/>
      <c r="AI17" s="5127"/>
      <c r="AJ17" s="5128"/>
      <c r="AK17" s="1295"/>
      <c r="AL17" s="1289"/>
      <c r="AM17" s="1303"/>
      <c r="AP17" s="1304"/>
      <c r="AQ17" s="1304"/>
      <c r="AR17" s="1297"/>
      <c r="AS17" s="777"/>
    </row>
    <row r="18" spans="1:45" ht="12" customHeight="1" x14ac:dyDescent="0.2">
      <c r="A18" s="1289"/>
      <c r="B18" s="693"/>
      <c r="C18" s="1345">
        <v>240</v>
      </c>
      <c r="D18" s="5121" t="s">
        <v>8722</v>
      </c>
      <c r="E18" s="5028"/>
      <c r="F18" s="5122" t="str">
        <f>IF(C10=0,"",VLOOKUP(C10,'Tablas psiquica'!$D$7:$R$145,12,FALSE))</f>
        <v/>
      </c>
      <c r="G18" s="5123"/>
      <c r="H18" s="5123"/>
      <c r="I18" s="5124"/>
      <c r="K18" s="1345">
        <v>240</v>
      </c>
      <c r="L18" s="5121" t="s">
        <v>8722</v>
      </c>
      <c r="M18" s="5028"/>
      <c r="N18" s="5122" t="str">
        <f>IF(K10=0,"",VLOOKUP(K10,'Tablas psiquica'!$D$7:$R$145,12,FALSE))</f>
        <v/>
      </c>
      <c r="O18" s="5123"/>
      <c r="P18" s="5123"/>
      <c r="Q18" s="5124"/>
      <c r="R18" s="1295"/>
      <c r="S18" s="1289"/>
      <c r="T18" s="1289"/>
      <c r="U18" s="693"/>
      <c r="V18" s="1345">
        <v>240</v>
      </c>
      <c r="W18" s="5121" t="s">
        <v>8722</v>
      </c>
      <c r="X18" s="5028"/>
      <c r="Y18" s="5122" t="str">
        <f>IF(V10=0,"",VLOOKUP(V10,'Tablas psiquica'!$D$7:$R$145,12,FALSE))</f>
        <v/>
      </c>
      <c r="Z18" s="5123"/>
      <c r="AA18" s="5123"/>
      <c r="AB18" s="5124"/>
      <c r="AC18" s="1337"/>
      <c r="AD18" s="1345">
        <v>240</v>
      </c>
      <c r="AE18" s="5121" t="s">
        <v>8722</v>
      </c>
      <c r="AF18" s="5028"/>
      <c r="AG18" s="5122" t="str">
        <f>IF(AD10=0,"",VLOOKUP(AD10,'Tablas psiquica'!$D$7:$R$145,12,FALSE))</f>
        <v/>
      </c>
      <c r="AH18" s="5123"/>
      <c r="AI18" s="5123"/>
      <c r="AJ18" s="5124"/>
      <c r="AK18" s="1295"/>
      <c r="AL18" s="1289"/>
      <c r="AM18" s="1305"/>
      <c r="AP18" s="1306"/>
      <c r="AQ18" s="1306"/>
      <c r="AR18" s="1297"/>
      <c r="AS18" s="777"/>
    </row>
    <row r="19" spans="1:45" ht="12" customHeight="1" x14ac:dyDescent="0.2">
      <c r="A19" s="1289"/>
      <c r="B19" s="693"/>
      <c r="C19" s="1347">
        <v>280</v>
      </c>
      <c r="D19" s="5125" t="s">
        <v>2617</v>
      </c>
      <c r="E19" s="5023"/>
      <c r="F19" s="5126" t="str">
        <f>IF(C10=0,"",VLOOKUP(C10,'Tablas psiquica'!$D$7:$R$145,13,FALSE))</f>
        <v/>
      </c>
      <c r="G19" s="5127"/>
      <c r="H19" s="5127"/>
      <c r="I19" s="5128"/>
      <c r="K19" s="1347">
        <v>280</v>
      </c>
      <c r="L19" s="5125" t="s">
        <v>2617</v>
      </c>
      <c r="M19" s="5023"/>
      <c r="N19" s="5126" t="str">
        <f>IF(K10=0,"",VLOOKUP(K10,'Tablas psiquica'!$D$7:$R$145,13,FALSE))</f>
        <v/>
      </c>
      <c r="O19" s="5127"/>
      <c r="P19" s="5127"/>
      <c r="Q19" s="5128"/>
      <c r="R19" s="1295"/>
      <c r="S19" s="1289"/>
      <c r="T19" s="1289"/>
      <c r="U19" s="693"/>
      <c r="V19" s="1347">
        <v>280</v>
      </c>
      <c r="W19" s="5125" t="s">
        <v>2617</v>
      </c>
      <c r="X19" s="5023"/>
      <c r="Y19" s="5126" t="str">
        <f>IF(V10=0,"",VLOOKUP(V10,'Tablas psiquica'!$D$7:$R$145,13,FALSE))</f>
        <v/>
      </c>
      <c r="Z19" s="5127"/>
      <c r="AA19" s="5127"/>
      <c r="AB19" s="5128"/>
      <c r="AC19" s="1337"/>
      <c r="AD19" s="1347">
        <v>280</v>
      </c>
      <c r="AE19" s="5125" t="s">
        <v>2617</v>
      </c>
      <c r="AF19" s="5023"/>
      <c r="AG19" s="5126" t="str">
        <f>IF(AD10=0,"",VLOOKUP(AD10,'Tablas psiquica'!$D$7:$R$145,13,FALSE))</f>
        <v/>
      </c>
      <c r="AH19" s="5127"/>
      <c r="AI19" s="5127"/>
      <c r="AJ19" s="5128"/>
      <c r="AK19" s="1295"/>
      <c r="AL19" s="1289"/>
      <c r="AM19" s="1303"/>
      <c r="AP19" s="1304"/>
      <c r="AQ19" s="1304"/>
      <c r="AR19" s="1297"/>
      <c r="AS19" s="777"/>
    </row>
    <row r="20" spans="1:45" ht="12" customHeight="1" x14ac:dyDescent="0.2">
      <c r="A20" s="1289"/>
      <c r="B20" s="693"/>
      <c r="C20" s="1345">
        <v>320</v>
      </c>
      <c r="D20" s="5121" t="s">
        <v>2619</v>
      </c>
      <c r="E20" s="5028"/>
      <c r="F20" s="5122" t="str">
        <f>IF(C10=0,"",VLOOKUP(C10,'Tablas psiquica'!$D$7:$R$145,14,FALSE))</f>
        <v/>
      </c>
      <c r="G20" s="5123"/>
      <c r="H20" s="5123"/>
      <c r="I20" s="5124"/>
      <c r="K20" s="1345">
        <v>320</v>
      </c>
      <c r="L20" s="5121" t="s">
        <v>2619</v>
      </c>
      <c r="M20" s="5028"/>
      <c r="N20" s="5122" t="str">
        <f>IF(K10=0,"",VLOOKUP(K10,'Tablas psiquica'!$D$7:$R$145,14,FALSE))</f>
        <v/>
      </c>
      <c r="O20" s="5123"/>
      <c r="P20" s="5123"/>
      <c r="Q20" s="5124"/>
      <c r="R20" s="1295"/>
      <c r="S20" s="1289"/>
      <c r="T20" s="1289"/>
      <c r="U20" s="693"/>
      <c r="V20" s="1345">
        <v>320</v>
      </c>
      <c r="W20" s="5121" t="s">
        <v>2619</v>
      </c>
      <c r="X20" s="5028"/>
      <c r="Y20" s="5122" t="str">
        <f>IF(V10=0,"",VLOOKUP(V10,'Tablas psiquica'!$D$7:$R$145,14,FALSE))</f>
        <v/>
      </c>
      <c r="Z20" s="5123"/>
      <c r="AA20" s="5123"/>
      <c r="AB20" s="5124"/>
      <c r="AC20" s="1337"/>
      <c r="AD20" s="1345">
        <v>320</v>
      </c>
      <c r="AE20" s="5121" t="s">
        <v>2619</v>
      </c>
      <c r="AF20" s="5028"/>
      <c r="AG20" s="5122" t="str">
        <f>IF(AD10=0,"",VLOOKUP(AD10,'Tablas psiquica'!$D$7:$R$145,14,FALSE))</f>
        <v/>
      </c>
      <c r="AH20" s="5123"/>
      <c r="AI20" s="5123"/>
      <c r="AJ20" s="5124"/>
      <c r="AK20" s="1295"/>
      <c r="AL20" s="1289"/>
      <c r="AM20" s="1305"/>
      <c r="AP20" s="1306"/>
      <c r="AQ20" s="1306"/>
      <c r="AR20" s="1297"/>
      <c r="AS20" s="777"/>
    </row>
    <row r="21" spans="1:45" ht="12" customHeight="1" x14ac:dyDescent="0.2">
      <c r="A21" s="1289"/>
      <c r="B21" s="693"/>
      <c r="C21" s="1350">
        <v>440</v>
      </c>
      <c r="D21" s="5129" t="s">
        <v>2553</v>
      </c>
      <c r="E21" s="5130"/>
      <c r="F21" s="5131" t="str">
        <f>IF(C10=0,"",VLOOKUP(C10,'Tablas psiquica'!$D$7:$R$145,15,FALSE))</f>
        <v/>
      </c>
      <c r="G21" s="5132"/>
      <c r="H21" s="5132"/>
      <c r="I21" s="5133"/>
      <c r="K21" s="1350">
        <v>440</v>
      </c>
      <c r="L21" s="5129" t="s">
        <v>2553</v>
      </c>
      <c r="M21" s="5130"/>
      <c r="N21" s="5131" t="str">
        <f>IF(K10=0,"",VLOOKUP(K10,'Tablas psiquica'!$D$7:$R$145,15,FALSE))</f>
        <v/>
      </c>
      <c r="O21" s="5132"/>
      <c r="P21" s="5132"/>
      <c r="Q21" s="5133"/>
      <c r="R21" s="1295"/>
      <c r="S21" s="1289"/>
      <c r="T21" s="1289"/>
      <c r="U21" s="693"/>
      <c r="V21" s="1350">
        <v>440</v>
      </c>
      <c r="W21" s="5129" t="s">
        <v>2553</v>
      </c>
      <c r="X21" s="5130"/>
      <c r="Y21" s="5131" t="str">
        <f>IF(V10=0,"",VLOOKUP(V10,'Tablas psiquica'!$D$7:$R$145,15,FALSE))</f>
        <v/>
      </c>
      <c r="Z21" s="5132"/>
      <c r="AA21" s="5132"/>
      <c r="AB21" s="5133"/>
      <c r="AC21" s="1337"/>
      <c r="AD21" s="1350">
        <v>440</v>
      </c>
      <c r="AE21" s="5129" t="s">
        <v>2553</v>
      </c>
      <c r="AF21" s="5130"/>
      <c r="AG21" s="5131" t="str">
        <f>IF(AD10=0,"",VLOOKUP(AD10,'Tablas psiquica'!$D$7:$R$145,15,FALSE))</f>
        <v/>
      </c>
      <c r="AH21" s="5132"/>
      <c r="AI21" s="5132"/>
      <c r="AJ21" s="5133"/>
      <c r="AK21" s="1295"/>
      <c r="AL21" s="1289"/>
      <c r="AM21" s="1303"/>
      <c r="AP21" s="1304"/>
      <c r="AQ21" s="1304"/>
      <c r="AR21" s="1297"/>
      <c r="AS21" s="777"/>
    </row>
    <row r="22" spans="1:45" ht="12" customHeight="1" thickBot="1" x14ac:dyDescent="0.25">
      <c r="A22" s="1289"/>
      <c r="B22" s="693"/>
      <c r="C22" s="5134" t="s">
        <v>8723</v>
      </c>
      <c r="D22" s="5135"/>
      <c r="E22" s="1351" t="str">
        <f>IF(C10=0,"",VLOOKUP(C10,'Tablas psiquica'!$D$7:$R$145,4,FALSE))</f>
        <v/>
      </c>
      <c r="F22" s="5136" t="s">
        <v>8718</v>
      </c>
      <c r="G22" s="5136"/>
      <c r="H22" s="4170" t="str">
        <f>IF(C10=0,"",VLOOKUP(C10,'Tablas psiquica'!$D$7:$R$145,5,FALSE))</f>
        <v/>
      </c>
      <c r="I22" s="4171"/>
      <c r="K22" s="5134" t="s">
        <v>8723</v>
      </c>
      <c r="L22" s="5135"/>
      <c r="M22" s="1351" t="str">
        <f>IF(K10=0,"",VLOOKUP(K10,'Tablas psiquica'!$D$7:$R$145,4,FALSE))</f>
        <v/>
      </c>
      <c r="N22" s="5136" t="s">
        <v>8718</v>
      </c>
      <c r="O22" s="5136"/>
      <c r="P22" s="4170" t="str">
        <f>IF(K10=0,"",VLOOKUP(K10,'Tablas psiquica'!$D$7:$R$145,5,FALSE))</f>
        <v/>
      </c>
      <c r="Q22" s="4171"/>
      <c r="R22" s="1295"/>
      <c r="S22" s="1289"/>
      <c r="T22" s="1289"/>
      <c r="U22" s="693"/>
      <c r="V22" s="5134" t="s">
        <v>8723</v>
      </c>
      <c r="W22" s="5135"/>
      <c r="X22" s="1351" t="str">
        <f>IF(V10=0,"",VLOOKUP(V10,'Tablas psiquica'!$D$7:$R$145,4,FALSE))</f>
        <v/>
      </c>
      <c r="Y22" s="5136" t="s">
        <v>8718</v>
      </c>
      <c r="Z22" s="5136"/>
      <c r="AA22" s="4170" t="str">
        <f>IF(V10=0,"",VLOOKUP(V10,'Tablas psiquica'!$D$7:$R$145,5,FALSE))</f>
        <v/>
      </c>
      <c r="AB22" s="4171"/>
      <c r="AC22" s="1337"/>
      <c r="AD22" s="5134" t="s">
        <v>8723</v>
      </c>
      <c r="AE22" s="5135"/>
      <c r="AF22" s="1351" t="str">
        <f>IF(AD10=0,"",VLOOKUP(AD10,'Tablas psiquica'!$D$7:$R$145,4,FALSE))</f>
        <v/>
      </c>
      <c r="AG22" s="5136" t="s">
        <v>8718</v>
      </c>
      <c r="AH22" s="5136"/>
      <c r="AI22" s="4170" t="str">
        <f>IF(AD10=0,"",VLOOKUP(AD10,'Tablas psiquica'!$D$7:$R$145,5,FALSE))</f>
        <v/>
      </c>
      <c r="AJ22" s="4171"/>
      <c r="AK22" s="1295"/>
      <c r="AL22" s="1289"/>
      <c r="AM22" s="1305"/>
      <c r="AP22" s="1306"/>
      <c r="AQ22" s="1306"/>
      <c r="AR22" s="1297"/>
      <c r="AS22" s="777"/>
    </row>
    <row r="23" spans="1:45" ht="12" customHeight="1" thickBot="1" x14ac:dyDescent="0.25">
      <c r="A23" s="1289"/>
      <c r="B23" s="693"/>
      <c r="M23" s="1331"/>
      <c r="R23" s="1295"/>
      <c r="S23" s="1289"/>
      <c r="T23" s="1289"/>
      <c r="U23" s="693"/>
      <c r="V23" s="1323"/>
      <c r="W23" s="1323"/>
      <c r="X23" s="1352"/>
      <c r="Y23" s="1353"/>
      <c r="Z23" s="1354"/>
      <c r="AA23" s="1321"/>
      <c r="AB23" s="1316"/>
      <c r="AC23" s="1337"/>
      <c r="AD23" s="820"/>
      <c r="AE23" s="820"/>
      <c r="AF23" s="820"/>
      <c r="AG23" s="820"/>
      <c r="AH23" s="820"/>
      <c r="AI23" s="820"/>
      <c r="AJ23" s="820"/>
      <c r="AK23" s="1295"/>
      <c r="AL23" s="1289"/>
      <c r="AM23" s="1303"/>
      <c r="AN23" s="1303"/>
      <c r="AO23" s="1303"/>
      <c r="AP23" s="1304"/>
      <c r="AQ23" s="1304"/>
      <c r="AR23" s="1297"/>
      <c r="AS23" s="777"/>
    </row>
    <row r="24" spans="1:45" ht="12" customHeight="1" x14ac:dyDescent="0.2">
      <c r="A24" s="1289"/>
      <c r="B24" s="693"/>
      <c r="C24" s="5015"/>
      <c r="D24" s="5016"/>
      <c r="E24" s="5016"/>
      <c r="F24" s="5016"/>
      <c r="G24" s="5016"/>
      <c r="H24" s="5016"/>
      <c r="I24" s="1342" t="s">
        <v>2256</v>
      </c>
      <c r="K24" s="5015"/>
      <c r="L24" s="5016"/>
      <c r="M24" s="5016"/>
      <c r="N24" s="5016"/>
      <c r="O24" s="5016"/>
      <c r="P24" s="5016"/>
      <c r="Q24" s="1342" t="s">
        <v>2256</v>
      </c>
      <c r="R24" s="1295"/>
      <c r="S24" s="1289"/>
      <c r="T24" s="1289"/>
      <c r="U24" s="693"/>
      <c r="V24" s="5015"/>
      <c r="W24" s="5016"/>
      <c r="X24" s="5016"/>
      <c r="Y24" s="5016"/>
      <c r="Z24" s="5016"/>
      <c r="AA24" s="5016"/>
      <c r="AB24" s="1342" t="s">
        <v>2256</v>
      </c>
      <c r="AC24" s="1337"/>
      <c r="AD24" s="5015"/>
      <c r="AE24" s="5016"/>
      <c r="AF24" s="5016"/>
      <c r="AG24" s="5016"/>
      <c r="AH24" s="5016"/>
      <c r="AI24" s="5016"/>
      <c r="AJ24" s="1342" t="s">
        <v>2256</v>
      </c>
      <c r="AK24" s="1295"/>
      <c r="AL24" s="1289"/>
      <c r="AM24" s="1305"/>
      <c r="AN24" s="1305"/>
      <c r="AO24" s="1305"/>
      <c r="AP24" s="1306"/>
      <c r="AQ24" s="1306"/>
      <c r="AR24" s="1297"/>
      <c r="AS24" s="777"/>
    </row>
    <row r="25" spans="1:45" ht="12" customHeight="1" x14ac:dyDescent="0.2">
      <c r="A25" s="1289"/>
      <c r="B25" s="693"/>
      <c r="C25" s="5119" t="str">
        <f>IF(C24=0,"",VLOOKUP(C24,'Tablas psiquica'!$D$7:$R$145,2,FALSE))</f>
        <v/>
      </c>
      <c r="D25" s="5120"/>
      <c r="E25" s="5120"/>
      <c r="F25" s="5120"/>
      <c r="G25" s="5120"/>
      <c r="H25" s="5120"/>
      <c r="I25" s="1344" t="str">
        <f>IF(C24=0,"",VLOOKUP(C24,'Tablas psiquica'!$D$7:$R$145,3,FALSE))</f>
        <v/>
      </c>
      <c r="K25" s="5119" t="str">
        <f>IF(K24=0,"",VLOOKUP(K24,'Tablas psiquica'!$D$7:$R$145,2,FALSE))</f>
        <v/>
      </c>
      <c r="L25" s="5120"/>
      <c r="M25" s="5120"/>
      <c r="N25" s="5120"/>
      <c r="O25" s="5120"/>
      <c r="P25" s="5120"/>
      <c r="Q25" s="1344" t="str">
        <f>IF(K24=0,"",VLOOKUP(K24,'Tablas psiquica'!$D$7:$R$145,3,FALSE))</f>
        <v/>
      </c>
      <c r="R25" s="1295"/>
      <c r="S25" s="1289"/>
      <c r="T25" s="1289"/>
      <c r="U25" s="693"/>
      <c r="V25" s="5119" t="str">
        <f>IF(V24=0,"",VLOOKUP(V24,'Tablas psiquica'!$D$7:$R$145,2,FALSE))</f>
        <v/>
      </c>
      <c r="W25" s="5120"/>
      <c r="X25" s="5120"/>
      <c r="Y25" s="5120"/>
      <c r="Z25" s="5120"/>
      <c r="AA25" s="5120"/>
      <c r="AB25" s="1344" t="str">
        <f>IF(V24=0,"",VLOOKUP(V24,'Tablas psiquica'!$D$7:$R$145,3,FALSE))</f>
        <v/>
      </c>
      <c r="AC25" s="1337"/>
      <c r="AD25" s="5119" t="str">
        <f>IF(AD24=0,"",VLOOKUP(AD24,'Tablas psiquica'!$D$7:$R$145,2,FALSE))</f>
        <v/>
      </c>
      <c r="AE25" s="5120"/>
      <c r="AF25" s="5120"/>
      <c r="AG25" s="5120"/>
      <c r="AH25" s="5120"/>
      <c r="AI25" s="5120"/>
      <c r="AJ25" s="1344" t="str">
        <f>IF(AD24=0,"",VLOOKUP(AD24,'Tablas psiquica'!$D$7:$R$145,3,FALSE))</f>
        <v/>
      </c>
      <c r="AK25" s="1295"/>
      <c r="AL25" s="1289"/>
      <c r="AM25" s="1323"/>
      <c r="AN25" s="1296"/>
      <c r="AO25" s="1296"/>
      <c r="AP25" s="1296"/>
      <c r="AQ25" s="1324"/>
      <c r="AR25" s="1297"/>
      <c r="AS25" s="777"/>
    </row>
    <row r="26" spans="1:45" ht="12" customHeight="1" x14ac:dyDescent="0.2">
      <c r="A26" s="1289"/>
      <c r="B26" s="693"/>
      <c r="C26" s="1345">
        <v>20</v>
      </c>
      <c r="D26" s="5121" t="s">
        <v>2596</v>
      </c>
      <c r="E26" s="5028"/>
      <c r="F26" s="5122" t="str">
        <f>IF(C24=0,"",VLOOKUP(C24,'Tablas psiquica'!$D$7:$R$145,6,FALSE))</f>
        <v/>
      </c>
      <c r="G26" s="5123"/>
      <c r="H26" s="5123"/>
      <c r="I26" s="5124"/>
      <c r="K26" s="1345">
        <v>20</v>
      </c>
      <c r="L26" s="5121" t="s">
        <v>2596</v>
      </c>
      <c r="M26" s="5028"/>
      <c r="N26" s="5122" t="str">
        <f>IF(K24=0,"",VLOOKUP(K24,'Tablas psiquica'!$D$7:$R$145,6,FALSE))</f>
        <v/>
      </c>
      <c r="O26" s="5123"/>
      <c r="P26" s="5123"/>
      <c r="Q26" s="5124"/>
      <c r="R26" s="1295"/>
      <c r="S26" s="1289"/>
      <c r="T26" s="1289"/>
      <c r="U26" s="693"/>
      <c r="V26" s="1345">
        <v>20</v>
      </c>
      <c r="W26" s="5121" t="s">
        <v>2596</v>
      </c>
      <c r="X26" s="5028"/>
      <c r="Y26" s="5122" t="str">
        <f>IF(V24=0,"",VLOOKUP(V24,'Tablas psiquica'!$D$7:$R$145,6,FALSE))</f>
        <v/>
      </c>
      <c r="Z26" s="5123"/>
      <c r="AA26" s="5123"/>
      <c r="AB26" s="5124"/>
      <c r="AC26" s="1355"/>
      <c r="AD26" s="1345">
        <v>20</v>
      </c>
      <c r="AE26" s="5121" t="s">
        <v>2596</v>
      </c>
      <c r="AF26" s="5028"/>
      <c r="AG26" s="5122" t="str">
        <f>IF(AD24=0,"",VLOOKUP(AD24,'Tablas psiquica'!$D$7:$R$145,6,FALSE))</f>
        <v/>
      </c>
      <c r="AH26" s="5123"/>
      <c r="AI26" s="5123"/>
      <c r="AJ26" s="5124"/>
      <c r="AK26" s="1295"/>
      <c r="AL26" s="1289"/>
      <c r="AM26" s="777"/>
      <c r="AN26" s="1325"/>
      <c r="AO26" s="1325"/>
      <c r="AP26" s="1325"/>
      <c r="AQ26" s="1325"/>
      <c r="AR26" s="777"/>
      <c r="AS26" s="777"/>
    </row>
    <row r="27" spans="1:45" ht="12" customHeight="1" x14ac:dyDescent="0.2">
      <c r="A27" s="1289"/>
      <c r="B27" s="693"/>
      <c r="C27" s="1347">
        <v>40</v>
      </c>
      <c r="D27" s="5125" t="s">
        <v>2600</v>
      </c>
      <c r="E27" s="5023"/>
      <c r="F27" s="5126" t="str">
        <f>IF(C24=0,"",VLOOKUP(C24,'Tablas psiquica'!$D$7:$R$145,7,FALSE))</f>
        <v/>
      </c>
      <c r="G27" s="5127"/>
      <c r="H27" s="5127"/>
      <c r="I27" s="5128"/>
      <c r="K27" s="1347">
        <v>40</v>
      </c>
      <c r="L27" s="5125" t="s">
        <v>2600</v>
      </c>
      <c r="M27" s="5023"/>
      <c r="N27" s="5126" t="str">
        <f>IF(K24=0,"",VLOOKUP(K24,'Tablas psiquica'!$D$7:$R$145,7,FALSE))</f>
        <v/>
      </c>
      <c r="O27" s="5127"/>
      <c r="P27" s="5127"/>
      <c r="Q27" s="5128"/>
      <c r="R27" s="1295"/>
      <c r="S27" s="1289"/>
      <c r="T27" s="1289"/>
      <c r="U27" s="693"/>
      <c r="V27" s="1347">
        <v>40</v>
      </c>
      <c r="W27" s="5125" t="s">
        <v>2600</v>
      </c>
      <c r="X27" s="5023"/>
      <c r="Y27" s="5126" t="str">
        <f>IF(V24=0,"",VLOOKUP(V24,'Tablas psiquica'!$D$7:$R$145,7,FALSE))</f>
        <v/>
      </c>
      <c r="Z27" s="5127"/>
      <c r="AA27" s="5127"/>
      <c r="AB27" s="5128"/>
      <c r="AC27" s="1355"/>
      <c r="AD27" s="1347">
        <v>40</v>
      </c>
      <c r="AE27" s="5125" t="s">
        <v>2600</v>
      </c>
      <c r="AF27" s="5023"/>
      <c r="AG27" s="5126" t="str">
        <f>IF(AD24=0,"",VLOOKUP(AD24,'Tablas psiquica'!$D$7:$R$145,7,FALSE))</f>
        <v/>
      </c>
      <c r="AH27" s="5127"/>
      <c r="AI27" s="5127"/>
      <c r="AJ27" s="5128"/>
      <c r="AK27" s="1295"/>
      <c r="AL27" s="1289"/>
      <c r="AM27" s="777"/>
      <c r="AN27" s="777"/>
      <c r="AO27" s="777"/>
      <c r="AP27" s="777"/>
      <c r="AQ27" s="1296"/>
      <c r="AR27" s="1296"/>
      <c r="AS27" s="777"/>
    </row>
    <row r="28" spans="1:45" ht="12" customHeight="1" x14ac:dyDescent="0.2">
      <c r="A28" s="1289"/>
      <c r="B28" s="693"/>
      <c r="C28" s="1345">
        <v>80</v>
      </c>
      <c r="D28" s="5121" t="s">
        <v>2603</v>
      </c>
      <c r="E28" s="5028"/>
      <c r="F28" s="5122" t="str">
        <f>IF(C24=0,"",VLOOKUP(C24,'Tablas psiquica'!$D$7:$R$145,8,FALSE))</f>
        <v/>
      </c>
      <c r="G28" s="5123"/>
      <c r="H28" s="5123"/>
      <c r="I28" s="5124"/>
      <c r="K28" s="1345">
        <v>80</v>
      </c>
      <c r="L28" s="5121" t="s">
        <v>2603</v>
      </c>
      <c r="M28" s="5028"/>
      <c r="N28" s="5122" t="str">
        <f>IF(K24=0,"",VLOOKUP(K24,'Tablas psiquica'!$D$7:$R$145,8,FALSE))</f>
        <v/>
      </c>
      <c r="O28" s="5123"/>
      <c r="P28" s="5123"/>
      <c r="Q28" s="5124"/>
      <c r="R28" s="1295"/>
      <c r="S28" s="1289"/>
      <c r="T28" s="1289"/>
      <c r="U28" s="693"/>
      <c r="V28" s="1345">
        <v>80</v>
      </c>
      <c r="W28" s="5121" t="s">
        <v>2603</v>
      </c>
      <c r="X28" s="5028"/>
      <c r="Y28" s="5122" t="str">
        <f>IF(V24=0,"",VLOOKUP(V24,'Tablas psiquica'!$D$7:$R$145,8,FALSE))</f>
        <v/>
      </c>
      <c r="Z28" s="5123"/>
      <c r="AA28" s="5123"/>
      <c r="AB28" s="5124"/>
      <c r="AC28" s="1349"/>
      <c r="AD28" s="1345">
        <v>80</v>
      </c>
      <c r="AE28" s="5121" t="s">
        <v>2603</v>
      </c>
      <c r="AF28" s="5028"/>
      <c r="AG28" s="5122" t="str">
        <f>IF(AD24=0,"",VLOOKUP(AD24,'Tablas psiquica'!$D$7:$R$145,8,FALSE))</f>
        <v/>
      </c>
      <c r="AH28" s="5123"/>
      <c r="AI28" s="5123"/>
      <c r="AJ28" s="5124"/>
      <c r="AK28" s="1295"/>
      <c r="AL28" s="1289"/>
      <c r="AM28" s="777"/>
      <c r="AN28" s="777"/>
      <c r="AO28" s="777"/>
      <c r="AP28" s="777"/>
      <c r="AQ28" s="1297"/>
      <c r="AR28" s="1299"/>
      <c r="AS28" s="777"/>
    </row>
    <row r="29" spans="1:45" ht="12" customHeight="1" x14ac:dyDescent="0.2">
      <c r="A29" s="1289"/>
      <c r="B29" s="693"/>
      <c r="C29" s="1347">
        <v>120</v>
      </c>
      <c r="D29" s="5125" t="s">
        <v>2607</v>
      </c>
      <c r="E29" s="5023"/>
      <c r="F29" s="5126" t="str">
        <f>IF(C24=0,"",VLOOKUP(C24,'Tablas psiquica'!$D$7:$R$145,9,FALSE))</f>
        <v/>
      </c>
      <c r="G29" s="5127"/>
      <c r="H29" s="5127"/>
      <c r="I29" s="5128"/>
      <c r="K29" s="1347">
        <v>120</v>
      </c>
      <c r="L29" s="5125" t="s">
        <v>2607</v>
      </c>
      <c r="M29" s="5023"/>
      <c r="N29" s="5126" t="str">
        <f>IF(K24=0,"",VLOOKUP(K24,'Tablas psiquica'!$D$7:$R$145,9,FALSE))</f>
        <v/>
      </c>
      <c r="O29" s="5127"/>
      <c r="P29" s="5127"/>
      <c r="Q29" s="5128"/>
      <c r="R29" s="1295"/>
      <c r="S29" s="1289"/>
      <c r="T29" s="1289"/>
      <c r="U29" s="693"/>
      <c r="V29" s="1347">
        <v>120</v>
      </c>
      <c r="W29" s="5125" t="s">
        <v>2607</v>
      </c>
      <c r="X29" s="5023"/>
      <c r="Y29" s="5126" t="str">
        <f>IF(V24=0,"",VLOOKUP(V24,'Tablas psiquica'!$D$7:$R$145,9,FALSE))</f>
        <v/>
      </c>
      <c r="Z29" s="5127"/>
      <c r="AA29" s="5127"/>
      <c r="AB29" s="5128"/>
      <c r="AC29" s="1356"/>
      <c r="AD29" s="1347">
        <v>120</v>
      </c>
      <c r="AE29" s="5125" t="s">
        <v>2607</v>
      </c>
      <c r="AF29" s="5023"/>
      <c r="AG29" s="5126" t="str">
        <f>IF(AD24=0,"",VLOOKUP(AD24,'Tablas psiquica'!$D$7:$R$145,9,FALSE))</f>
        <v/>
      </c>
      <c r="AH29" s="5127"/>
      <c r="AI29" s="5127"/>
      <c r="AJ29" s="5128"/>
      <c r="AK29" s="1295"/>
      <c r="AL29" s="1289"/>
      <c r="AM29" s="777"/>
      <c r="AN29" s="777"/>
      <c r="AO29" s="777"/>
      <c r="AP29" s="777"/>
      <c r="AQ29" s="1297"/>
      <c r="AR29" s="1326"/>
      <c r="AS29" s="777"/>
    </row>
    <row r="30" spans="1:45" ht="12" customHeight="1" x14ac:dyDescent="0.2">
      <c r="A30" s="1289"/>
      <c r="B30" s="693"/>
      <c r="C30" s="1345">
        <v>140</v>
      </c>
      <c r="D30" s="5121" t="s">
        <v>8721</v>
      </c>
      <c r="E30" s="5028"/>
      <c r="F30" s="5122" t="str">
        <f>IF(C24=0,"",VLOOKUP(C24,'Tablas psiquica'!$D$7:$R$145,10,FALSE))</f>
        <v/>
      </c>
      <c r="G30" s="5123"/>
      <c r="H30" s="5123"/>
      <c r="I30" s="5124"/>
      <c r="K30" s="1345">
        <v>140</v>
      </c>
      <c r="L30" s="5121" t="s">
        <v>8721</v>
      </c>
      <c r="M30" s="5028"/>
      <c r="N30" s="5122" t="str">
        <f>IF(K24=0,"",VLOOKUP(K24,'Tablas psiquica'!$D$7:$R$145,10,FALSE))</f>
        <v/>
      </c>
      <c r="O30" s="5123"/>
      <c r="P30" s="5123"/>
      <c r="Q30" s="5124"/>
      <c r="R30" s="1295"/>
      <c r="S30" s="1289"/>
      <c r="T30" s="1289"/>
      <c r="U30" s="693"/>
      <c r="V30" s="1345">
        <v>140</v>
      </c>
      <c r="W30" s="5121" t="s">
        <v>8721</v>
      </c>
      <c r="X30" s="5028"/>
      <c r="Y30" s="5122" t="str">
        <f>IF(V24=0,"",VLOOKUP(V24,'Tablas psiquica'!$D$7:$R$145,10,FALSE))</f>
        <v/>
      </c>
      <c r="Z30" s="5123"/>
      <c r="AA30" s="5123"/>
      <c r="AB30" s="5124"/>
      <c r="AC30" s="1355"/>
      <c r="AD30" s="1345">
        <v>140</v>
      </c>
      <c r="AE30" s="5121" t="s">
        <v>8721</v>
      </c>
      <c r="AF30" s="5028"/>
      <c r="AG30" s="5122" t="str">
        <f>IF(AD24=0,"",VLOOKUP(AD24,'Tablas psiquica'!$D$7:$R$145,10,FALSE))</f>
        <v/>
      </c>
      <c r="AH30" s="5123"/>
      <c r="AI30" s="5123"/>
      <c r="AJ30" s="5124"/>
      <c r="AK30" s="1295"/>
      <c r="AL30" s="1289"/>
      <c r="AM30" s="777"/>
      <c r="AN30" s="777"/>
      <c r="AO30" s="777"/>
      <c r="AP30" s="777"/>
      <c r="AQ30" s="1297"/>
      <c r="AR30" s="1326"/>
      <c r="AS30" s="777"/>
    </row>
    <row r="31" spans="1:45" ht="12" customHeight="1" x14ac:dyDescent="0.2">
      <c r="A31" s="1289"/>
      <c r="B31" s="693"/>
      <c r="C31" s="1347">
        <v>180</v>
      </c>
      <c r="D31" s="5125" t="s">
        <v>2612</v>
      </c>
      <c r="E31" s="5023"/>
      <c r="F31" s="5126" t="str">
        <f>IF(C24=0,"",VLOOKUP(C24,'Tablas psiquica'!$D$7:$R$145,11,FALSE))</f>
        <v/>
      </c>
      <c r="G31" s="5127"/>
      <c r="H31" s="5127"/>
      <c r="I31" s="5128"/>
      <c r="K31" s="1347">
        <v>180</v>
      </c>
      <c r="L31" s="5125" t="s">
        <v>2612</v>
      </c>
      <c r="M31" s="5023"/>
      <c r="N31" s="5126" t="str">
        <f>IF(K24=0,"",VLOOKUP(K24,'Tablas psiquica'!$D$7:$R$145,11,FALSE))</f>
        <v/>
      </c>
      <c r="O31" s="5127"/>
      <c r="P31" s="5127"/>
      <c r="Q31" s="5128"/>
      <c r="R31" s="1295"/>
      <c r="S31" s="1289"/>
      <c r="T31" s="1289"/>
      <c r="U31" s="693"/>
      <c r="V31" s="1347">
        <v>180</v>
      </c>
      <c r="W31" s="5125" t="s">
        <v>2612</v>
      </c>
      <c r="X31" s="5023"/>
      <c r="Y31" s="5126" t="str">
        <f>IF(V24=0,"",VLOOKUP(V24,'Tablas psiquica'!$D$7:$R$145,11,FALSE))</f>
        <v/>
      </c>
      <c r="Z31" s="5127"/>
      <c r="AA31" s="5127"/>
      <c r="AB31" s="5128"/>
      <c r="AC31" s="1355"/>
      <c r="AD31" s="1347">
        <v>180</v>
      </c>
      <c r="AE31" s="5125" t="s">
        <v>2612</v>
      </c>
      <c r="AF31" s="5023"/>
      <c r="AG31" s="5126" t="str">
        <f>IF(AD24=0,"",VLOOKUP(AD24,'Tablas psiquica'!$D$7:$R$145,11,FALSE))</f>
        <v/>
      </c>
      <c r="AH31" s="5127"/>
      <c r="AI31" s="5127"/>
      <c r="AJ31" s="5128"/>
      <c r="AK31" s="1295"/>
      <c r="AL31" s="1289"/>
      <c r="AM31" s="777"/>
      <c r="AN31" s="777"/>
      <c r="AO31" s="777"/>
      <c r="AP31" s="777"/>
      <c r="AQ31" s="1297"/>
      <c r="AR31" s="1326"/>
      <c r="AS31" s="777"/>
    </row>
    <row r="32" spans="1:45" ht="12" customHeight="1" x14ac:dyDescent="0.2">
      <c r="A32" s="1289"/>
      <c r="B32" s="693"/>
      <c r="C32" s="1345">
        <v>240</v>
      </c>
      <c r="D32" s="5121" t="s">
        <v>8722</v>
      </c>
      <c r="E32" s="5028"/>
      <c r="F32" s="5122" t="str">
        <f>IF(C24=0,"",VLOOKUP(C24,'Tablas psiquica'!$D$7:$R$145,12,FALSE))</f>
        <v/>
      </c>
      <c r="G32" s="5123"/>
      <c r="H32" s="5123"/>
      <c r="I32" s="5124"/>
      <c r="K32" s="1345">
        <v>240</v>
      </c>
      <c r="L32" s="5121" t="s">
        <v>8722</v>
      </c>
      <c r="M32" s="5028"/>
      <c r="N32" s="5122" t="str">
        <f>IF(K24=0,"",VLOOKUP(K24,'Tablas psiquica'!$D$7:$R$145,12,FALSE))</f>
        <v/>
      </c>
      <c r="O32" s="5123"/>
      <c r="P32" s="5123"/>
      <c r="Q32" s="5124"/>
      <c r="R32" s="1295"/>
      <c r="S32" s="1289"/>
      <c r="T32" s="1289"/>
      <c r="U32" s="693"/>
      <c r="V32" s="1345">
        <v>240</v>
      </c>
      <c r="W32" s="5121" t="s">
        <v>8722</v>
      </c>
      <c r="X32" s="5028"/>
      <c r="Y32" s="5122" t="str">
        <f>IF(V24=0,"",VLOOKUP(V24,'Tablas psiquica'!$D$7:$R$145,12,FALSE))</f>
        <v/>
      </c>
      <c r="Z32" s="5123"/>
      <c r="AA32" s="5123"/>
      <c r="AB32" s="5124"/>
      <c r="AC32" s="1357"/>
      <c r="AD32" s="1345">
        <v>240</v>
      </c>
      <c r="AE32" s="5121" t="s">
        <v>8722</v>
      </c>
      <c r="AF32" s="5028"/>
      <c r="AG32" s="5122" t="str">
        <f>IF(AD24=0,"",VLOOKUP(AD24,'Tablas psiquica'!$D$7:$R$145,12,FALSE))</f>
        <v/>
      </c>
      <c r="AH32" s="5123"/>
      <c r="AI32" s="5123"/>
      <c r="AJ32" s="5124"/>
      <c r="AK32" s="1295"/>
      <c r="AL32" s="1289"/>
      <c r="AM32" s="777"/>
      <c r="AN32" s="777"/>
      <c r="AO32" s="777"/>
      <c r="AP32" s="777"/>
      <c r="AQ32" s="1297"/>
      <c r="AR32" s="1326"/>
      <c r="AS32" s="777"/>
    </row>
    <row r="33" spans="1:45" ht="12" customHeight="1" x14ac:dyDescent="0.2">
      <c r="A33" s="1289"/>
      <c r="B33" s="693"/>
      <c r="C33" s="1347">
        <v>280</v>
      </c>
      <c r="D33" s="5125" t="s">
        <v>2617</v>
      </c>
      <c r="E33" s="5023"/>
      <c r="F33" s="5126" t="str">
        <f>IF(C24=0,"",VLOOKUP(C24,'Tablas psiquica'!$D$7:$R$145,13,FALSE))</f>
        <v/>
      </c>
      <c r="G33" s="5127"/>
      <c r="H33" s="5127"/>
      <c r="I33" s="5128"/>
      <c r="K33" s="1347">
        <v>280</v>
      </c>
      <c r="L33" s="5125" t="s">
        <v>2617</v>
      </c>
      <c r="M33" s="5023"/>
      <c r="N33" s="5126" t="str">
        <f>IF(K24=0,"",VLOOKUP(K24,'Tablas psiquica'!$D$7:$R$145,13,FALSE))</f>
        <v/>
      </c>
      <c r="O33" s="5127"/>
      <c r="P33" s="5127"/>
      <c r="Q33" s="5128"/>
      <c r="R33" s="1295"/>
      <c r="S33" s="1289"/>
      <c r="T33" s="1289"/>
      <c r="U33" s="693"/>
      <c r="V33" s="1347">
        <v>280</v>
      </c>
      <c r="W33" s="5125" t="s">
        <v>2617</v>
      </c>
      <c r="X33" s="5023"/>
      <c r="Y33" s="5126" t="str">
        <f>IF(V24=0,"",VLOOKUP(V24,'Tablas psiquica'!$D$7:$R$145,13,FALSE))</f>
        <v/>
      </c>
      <c r="Z33" s="5127"/>
      <c r="AA33" s="5127"/>
      <c r="AB33" s="5128"/>
      <c r="AC33" s="1357"/>
      <c r="AD33" s="1347">
        <v>280</v>
      </c>
      <c r="AE33" s="5125" t="s">
        <v>2617</v>
      </c>
      <c r="AF33" s="5023"/>
      <c r="AG33" s="5126" t="str">
        <f>IF(AD24=0,"",VLOOKUP(AD24,'Tablas psiquica'!$D$7:$R$145,13,FALSE))</f>
        <v/>
      </c>
      <c r="AH33" s="5127"/>
      <c r="AI33" s="5127"/>
      <c r="AJ33" s="5128"/>
      <c r="AK33" s="1295"/>
      <c r="AL33" s="1289"/>
      <c r="AM33" s="777"/>
      <c r="AN33" s="777"/>
      <c r="AO33" s="777"/>
      <c r="AP33" s="777"/>
      <c r="AQ33" s="1297"/>
      <c r="AR33" s="1326"/>
      <c r="AS33" s="777"/>
    </row>
    <row r="34" spans="1:45" ht="12" customHeight="1" x14ac:dyDescent="0.2">
      <c r="A34" s="1289"/>
      <c r="B34" s="693"/>
      <c r="C34" s="1345">
        <v>320</v>
      </c>
      <c r="D34" s="5121" t="s">
        <v>2619</v>
      </c>
      <c r="E34" s="5028"/>
      <c r="F34" s="5122" t="str">
        <f>IF(C24=0,"",VLOOKUP(C24,'Tablas psiquica'!$D$7:$R$145,14,FALSE))</f>
        <v/>
      </c>
      <c r="G34" s="5123"/>
      <c r="H34" s="5123"/>
      <c r="I34" s="5124"/>
      <c r="K34" s="1345">
        <v>320</v>
      </c>
      <c r="L34" s="5121" t="s">
        <v>2619</v>
      </c>
      <c r="M34" s="5028"/>
      <c r="N34" s="5122" t="str">
        <f>IF(K24=0,"",VLOOKUP(K24,'Tablas psiquica'!$D$7:$R$145,14,FALSE))</f>
        <v/>
      </c>
      <c r="O34" s="5123"/>
      <c r="P34" s="5123"/>
      <c r="Q34" s="5124"/>
      <c r="R34" s="1295"/>
      <c r="S34" s="1289"/>
      <c r="T34" s="1289"/>
      <c r="U34" s="693"/>
      <c r="V34" s="1345">
        <v>320</v>
      </c>
      <c r="W34" s="5121" t="s">
        <v>2619</v>
      </c>
      <c r="X34" s="5028"/>
      <c r="Y34" s="5122" t="str">
        <f>IF(V24=0,"",VLOOKUP(V24,'Tablas psiquica'!$D$7:$R$145,14,FALSE))</f>
        <v/>
      </c>
      <c r="Z34" s="5123"/>
      <c r="AA34" s="5123"/>
      <c r="AB34" s="5124"/>
      <c r="AC34" s="1337"/>
      <c r="AD34" s="1345">
        <v>320</v>
      </c>
      <c r="AE34" s="5121" t="s">
        <v>2619</v>
      </c>
      <c r="AF34" s="5028"/>
      <c r="AG34" s="5122" t="str">
        <f>IF(AD24=0,"",VLOOKUP(AD24,'Tablas psiquica'!$D$7:$R$145,14,FALSE))</f>
        <v/>
      </c>
      <c r="AH34" s="5123"/>
      <c r="AI34" s="5123"/>
      <c r="AJ34" s="5124"/>
      <c r="AK34" s="1295"/>
      <c r="AL34" s="1289"/>
      <c r="AM34" s="777"/>
      <c r="AN34" s="777"/>
      <c r="AO34" s="777"/>
      <c r="AP34" s="777"/>
      <c r="AQ34" s="1297"/>
      <c r="AR34" s="1326"/>
      <c r="AS34" s="777"/>
    </row>
    <row r="35" spans="1:45" ht="12" customHeight="1" x14ac:dyDescent="0.2">
      <c r="A35" s="1289"/>
      <c r="B35" s="693"/>
      <c r="C35" s="1350">
        <v>440</v>
      </c>
      <c r="D35" s="5129" t="s">
        <v>2553</v>
      </c>
      <c r="E35" s="5130"/>
      <c r="F35" s="5131" t="str">
        <f>IF(C24=0,"",VLOOKUP(C24,'Tablas psiquica'!$D$7:$R$145,15,FALSE))</f>
        <v/>
      </c>
      <c r="G35" s="5132"/>
      <c r="H35" s="5132"/>
      <c r="I35" s="5133"/>
      <c r="K35" s="1350">
        <v>440</v>
      </c>
      <c r="L35" s="5129" t="s">
        <v>2553</v>
      </c>
      <c r="M35" s="5130"/>
      <c r="N35" s="5131" t="str">
        <f>IF(K24=0,"",VLOOKUP(K24,'Tablas psiquica'!$D$7:$R$145,15,FALSE))</f>
        <v/>
      </c>
      <c r="O35" s="5132"/>
      <c r="P35" s="5132"/>
      <c r="Q35" s="5133"/>
      <c r="R35" s="1295"/>
      <c r="S35" s="1289"/>
      <c r="T35" s="1289"/>
      <c r="U35" s="693"/>
      <c r="V35" s="1350">
        <v>440</v>
      </c>
      <c r="W35" s="5129" t="s">
        <v>2553</v>
      </c>
      <c r="X35" s="5130"/>
      <c r="Y35" s="5131" t="str">
        <f>IF(V24=0,"",VLOOKUP(V24,'Tablas psiquica'!$D$7:$R$145,15,FALSE))</f>
        <v/>
      </c>
      <c r="Z35" s="5132"/>
      <c r="AA35" s="5132"/>
      <c r="AB35" s="5133"/>
      <c r="AC35" s="1355"/>
      <c r="AD35" s="1350">
        <v>440</v>
      </c>
      <c r="AE35" s="5129" t="s">
        <v>2553</v>
      </c>
      <c r="AF35" s="5130"/>
      <c r="AG35" s="5131" t="str">
        <f>IF(AD24=0,"",VLOOKUP(AD24,'Tablas psiquica'!$D$7:$R$145,15,FALSE))</f>
        <v/>
      </c>
      <c r="AH35" s="5132"/>
      <c r="AI35" s="5132"/>
      <c r="AJ35" s="5133"/>
      <c r="AK35" s="1295"/>
      <c r="AL35" s="1289"/>
      <c r="AM35" s="777"/>
      <c r="AN35" s="777"/>
      <c r="AO35" s="777"/>
      <c r="AP35" s="777"/>
      <c r="AQ35" s="1297"/>
      <c r="AR35" s="1326"/>
      <c r="AS35" s="777"/>
    </row>
    <row r="36" spans="1:45" ht="12" customHeight="1" thickBot="1" x14ac:dyDescent="0.25">
      <c r="A36" s="1289"/>
      <c r="B36" s="693"/>
      <c r="C36" s="5134" t="s">
        <v>8723</v>
      </c>
      <c r="D36" s="5135"/>
      <c r="E36" s="1351" t="str">
        <f>IF(C24=0,"",VLOOKUP(C24,'Tablas psiquica'!$D$7:$R$145,4,FALSE))</f>
        <v/>
      </c>
      <c r="F36" s="5136" t="s">
        <v>8718</v>
      </c>
      <c r="G36" s="5136"/>
      <c r="H36" s="4170" t="str">
        <f>IF(C24=0,"",VLOOKUP(C24,'Tablas psiquica'!$D$7:$R$145,5,FALSE))</f>
        <v/>
      </c>
      <c r="I36" s="4171"/>
      <c r="K36" s="5134" t="s">
        <v>8723</v>
      </c>
      <c r="L36" s="5135"/>
      <c r="M36" s="1351" t="str">
        <f>IF(K24=0,"",VLOOKUP(K24,'Tablas psiquica'!$D$7:$R$145,4,FALSE))</f>
        <v/>
      </c>
      <c r="N36" s="5136" t="s">
        <v>8718</v>
      </c>
      <c r="O36" s="5136"/>
      <c r="P36" s="4170" t="str">
        <f>IF(K24=0,"",VLOOKUP(K24,'Tablas psiquica'!$D$7:$R$145,5,FALSE))</f>
        <v/>
      </c>
      <c r="Q36" s="4171"/>
      <c r="R36" s="1295"/>
      <c r="S36" s="1289"/>
      <c r="T36" s="1289"/>
      <c r="U36" s="693"/>
      <c r="V36" s="5134" t="s">
        <v>8723</v>
      </c>
      <c r="W36" s="5135"/>
      <c r="X36" s="1351" t="str">
        <f>IF(V24=0,"",VLOOKUP(V24,'Tablas psiquica'!$D$7:$R$145,4,FALSE))</f>
        <v/>
      </c>
      <c r="Y36" s="5136" t="s">
        <v>8718</v>
      </c>
      <c r="Z36" s="5136"/>
      <c r="AA36" s="4170" t="str">
        <f>IF(V24=0,"",VLOOKUP(V24,'Tablas psiquica'!$D$7:$R$145,5,FALSE))</f>
        <v/>
      </c>
      <c r="AB36" s="4171"/>
      <c r="AC36" s="1355"/>
      <c r="AD36" s="5134" t="s">
        <v>8723</v>
      </c>
      <c r="AE36" s="5135"/>
      <c r="AF36" s="1351" t="str">
        <f>IF(AD24=0,"",VLOOKUP(AD24,'Tablas psiquica'!$D$7:$R$145,4,FALSE))</f>
        <v/>
      </c>
      <c r="AG36" s="5136" t="s">
        <v>8718</v>
      </c>
      <c r="AH36" s="5136"/>
      <c r="AI36" s="4170" t="str">
        <f>IF(AD24=0,"",VLOOKUP(AD24,'Tablas psiquica'!$D$7:$R$145,5,FALSE))</f>
        <v/>
      </c>
      <c r="AJ36" s="4171"/>
      <c r="AK36" s="1295"/>
      <c r="AL36" s="1289"/>
      <c r="AQ36" s="820"/>
      <c r="AR36" s="1329"/>
    </row>
    <row r="37" spans="1:45" ht="12" customHeight="1" thickBot="1" x14ac:dyDescent="0.25">
      <c r="A37" s="1289"/>
      <c r="B37" s="693"/>
      <c r="R37" s="1295"/>
      <c r="S37" s="1289"/>
      <c r="T37" s="1289"/>
      <c r="U37" s="693"/>
      <c r="V37" s="1340"/>
      <c r="W37" s="1330"/>
      <c r="X37" s="1330"/>
      <c r="Y37" s="1341"/>
      <c r="Z37" s="1358"/>
      <c r="AA37" s="1337"/>
      <c r="AB37" s="1337"/>
      <c r="AC37" s="1349"/>
      <c r="AD37" s="1340"/>
      <c r="AE37" s="1330"/>
      <c r="AF37" s="1330"/>
      <c r="AG37" s="1341"/>
      <c r="AH37" s="1337"/>
      <c r="AI37" s="1337"/>
      <c r="AJ37" s="1337"/>
      <c r="AK37" s="1295"/>
      <c r="AL37" s="1289"/>
      <c r="AQ37" s="820"/>
      <c r="AR37" s="1329"/>
    </row>
    <row r="38" spans="1:45" ht="12" customHeight="1" x14ac:dyDescent="0.2">
      <c r="A38" s="1289"/>
      <c r="B38" s="693"/>
      <c r="C38" s="5015"/>
      <c r="D38" s="5016"/>
      <c r="E38" s="5016"/>
      <c r="F38" s="5016"/>
      <c r="G38" s="5016"/>
      <c r="H38" s="5016"/>
      <c r="I38" s="1342" t="s">
        <v>2256</v>
      </c>
      <c r="K38" s="5015"/>
      <c r="L38" s="5016"/>
      <c r="M38" s="5016"/>
      <c r="N38" s="5016"/>
      <c r="O38" s="5016"/>
      <c r="P38" s="5016"/>
      <c r="Q38" s="1342" t="s">
        <v>2256</v>
      </c>
      <c r="R38" s="1295"/>
      <c r="S38" s="1289"/>
      <c r="T38" s="1289"/>
      <c r="U38" s="693"/>
      <c r="V38" s="5015"/>
      <c r="W38" s="5016"/>
      <c r="X38" s="5016"/>
      <c r="Y38" s="5016"/>
      <c r="Z38" s="5016"/>
      <c r="AA38" s="5016"/>
      <c r="AB38" s="1342" t="s">
        <v>2256</v>
      </c>
      <c r="AC38" s="1356"/>
      <c r="AD38" s="5015"/>
      <c r="AE38" s="5016"/>
      <c r="AF38" s="5016"/>
      <c r="AG38" s="5016"/>
      <c r="AH38" s="5016"/>
      <c r="AI38" s="5016"/>
      <c r="AJ38" s="1342" t="s">
        <v>2256</v>
      </c>
      <c r="AK38" s="1295"/>
      <c r="AL38" s="1289"/>
      <c r="AQ38" s="820"/>
      <c r="AR38" s="1329"/>
    </row>
    <row r="39" spans="1:45" ht="12" customHeight="1" x14ac:dyDescent="0.2">
      <c r="A39" s="1289"/>
      <c r="B39" s="693"/>
      <c r="C39" s="5119" t="str">
        <f>IF(C38=0,"",VLOOKUP(C38,'Tablas psiquica'!$D$7:$R$145,2,FALSE))</f>
        <v/>
      </c>
      <c r="D39" s="5120"/>
      <c r="E39" s="5120"/>
      <c r="F39" s="5120"/>
      <c r="G39" s="5120"/>
      <c r="H39" s="5120"/>
      <c r="I39" s="1344" t="str">
        <f>IF(C38=0,"",VLOOKUP(C38,'Tablas psiquica'!$D$7:$R$145,3,FALSE))</f>
        <v/>
      </c>
      <c r="K39" s="5119" t="str">
        <f>IF(K38=0,"",VLOOKUP(K38,'Tablas psiquica'!$D$7:$R$145,2,FALSE))</f>
        <v/>
      </c>
      <c r="L39" s="5120"/>
      <c r="M39" s="5120"/>
      <c r="N39" s="5120"/>
      <c r="O39" s="5120"/>
      <c r="P39" s="5120"/>
      <c r="Q39" s="1344" t="str">
        <f>IF(K38=0,"",VLOOKUP(K38,'Tablas psiquica'!$D$7:$R$145,3,FALSE))</f>
        <v/>
      </c>
      <c r="R39" s="1295"/>
      <c r="S39" s="1289"/>
      <c r="T39" s="1289"/>
      <c r="U39" s="693"/>
      <c r="V39" s="5119" t="str">
        <f>IF(V38=0,"",VLOOKUP(V38,'Tablas psiquica'!$D$7:$R$145,2,FALSE))</f>
        <v/>
      </c>
      <c r="W39" s="5120"/>
      <c r="X39" s="5120"/>
      <c r="Y39" s="5120"/>
      <c r="Z39" s="5120"/>
      <c r="AA39" s="5120"/>
      <c r="AB39" s="1344" t="str">
        <f>IF(V38=0,"",VLOOKUP(V38,'Tablas psiquica'!$D$7:$R$145,3,FALSE))</f>
        <v/>
      </c>
      <c r="AC39" s="1355"/>
      <c r="AD39" s="5119" t="str">
        <f>IF(AD38=0,"",VLOOKUP(AD38,'Tablas psiquica'!$D$7:$R$145,2,FALSE))</f>
        <v/>
      </c>
      <c r="AE39" s="5120"/>
      <c r="AF39" s="5120"/>
      <c r="AG39" s="5120"/>
      <c r="AH39" s="5120"/>
      <c r="AI39" s="5120"/>
      <c r="AJ39" s="1344" t="str">
        <f>IF(AD38=0,"",VLOOKUP(AD38,'Tablas psiquica'!$D$7:$R$145,3,FALSE))</f>
        <v/>
      </c>
      <c r="AK39" s="1295"/>
      <c r="AL39" s="1289"/>
      <c r="AQ39" s="820"/>
      <c r="AR39" s="1329"/>
    </row>
    <row r="40" spans="1:45" ht="12" customHeight="1" x14ac:dyDescent="0.2">
      <c r="A40" s="1289"/>
      <c r="B40" s="693"/>
      <c r="C40" s="1345">
        <v>20</v>
      </c>
      <c r="D40" s="5121" t="s">
        <v>2596</v>
      </c>
      <c r="E40" s="5028"/>
      <c r="F40" s="5122" t="str">
        <f>IF(C38=0,"",VLOOKUP(C38,'Tablas psiquica'!$D$7:$R$145,6,FALSE))</f>
        <v/>
      </c>
      <c r="G40" s="5123"/>
      <c r="H40" s="5123"/>
      <c r="I40" s="5124"/>
      <c r="K40" s="1345">
        <v>20</v>
      </c>
      <c r="L40" s="5121" t="s">
        <v>2596</v>
      </c>
      <c r="M40" s="5028"/>
      <c r="N40" s="5122" t="str">
        <f>IF(K38=0,"",VLOOKUP(K38,'Tablas psiquica'!$D$7:$R$145,6,FALSE))</f>
        <v/>
      </c>
      <c r="O40" s="5123"/>
      <c r="P40" s="5123"/>
      <c r="Q40" s="5124"/>
      <c r="R40" s="1295"/>
      <c r="S40" s="1289"/>
      <c r="T40" s="1289"/>
      <c r="U40" s="693"/>
      <c r="V40" s="1345">
        <v>20</v>
      </c>
      <c r="W40" s="5121" t="s">
        <v>2596</v>
      </c>
      <c r="X40" s="5028"/>
      <c r="Y40" s="5122" t="str">
        <f>IF(V38=0,"",VLOOKUP(V38,'Tablas psiquica'!$D$7:$R$145,6,FALSE))</f>
        <v/>
      </c>
      <c r="Z40" s="5123"/>
      <c r="AA40" s="5123"/>
      <c r="AB40" s="5124"/>
      <c r="AC40" s="1355"/>
      <c r="AD40" s="1345">
        <v>20</v>
      </c>
      <c r="AE40" s="5121" t="s">
        <v>2596</v>
      </c>
      <c r="AF40" s="5028"/>
      <c r="AG40" s="5122" t="str">
        <f>IF(AD38=0,"",VLOOKUP(AD38,'Tablas psiquica'!$D$7:$R$145,6,FALSE))</f>
        <v/>
      </c>
      <c r="AH40" s="5123"/>
      <c r="AI40" s="5123"/>
      <c r="AJ40" s="5124"/>
      <c r="AK40" s="1295"/>
      <c r="AL40" s="1289"/>
      <c r="AQ40" s="820"/>
      <c r="AR40" s="1329"/>
    </row>
    <row r="41" spans="1:45" ht="12" customHeight="1" x14ac:dyDescent="0.2">
      <c r="A41" s="1289"/>
      <c r="B41" s="693"/>
      <c r="C41" s="1347">
        <v>40</v>
      </c>
      <c r="D41" s="5125" t="s">
        <v>2600</v>
      </c>
      <c r="E41" s="5023"/>
      <c r="F41" s="5126" t="str">
        <f>IF(C38=0,"",VLOOKUP(C38,'Tablas psiquica'!$D$7:$R$145,7,FALSE))</f>
        <v/>
      </c>
      <c r="G41" s="5127"/>
      <c r="H41" s="5127"/>
      <c r="I41" s="5128"/>
      <c r="K41" s="1347">
        <v>40</v>
      </c>
      <c r="L41" s="5125" t="s">
        <v>2600</v>
      </c>
      <c r="M41" s="5023"/>
      <c r="N41" s="5126" t="str">
        <f>IF(K38=0,"",VLOOKUP(K38,'Tablas psiquica'!$D$7:$R$145,7,FALSE))</f>
        <v/>
      </c>
      <c r="O41" s="5127"/>
      <c r="P41" s="5127"/>
      <c r="Q41" s="5128"/>
      <c r="R41" s="1295"/>
      <c r="S41" s="1289"/>
      <c r="T41" s="1289"/>
      <c r="U41" s="693"/>
      <c r="V41" s="1347">
        <v>40</v>
      </c>
      <c r="W41" s="5125" t="s">
        <v>2600</v>
      </c>
      <c r="X41" s="5023"/>
      <c r="Y41" s="5126" t="str">
        <f>IF(V38=0,"",VLOOKUP(V38,'Tablas psiquica'!$D$7:$R$145,7,FALSE))</f>
        <v/>
      </c>
      <c r="Z41" s="5127"/>
      <c r="AA41" s="5127"/>
      <c r="AB41" s="5128"/>
      <c r="AC41" s="1357"/>
      <c r="AD41" s="1347">
        <v>40</v>
      </c>
      <c r="AE41" s="5125" t="s">
        <v>2600</v>
      </c>
      <c r="AF41" s="5023"/>
      <c r="AG41" s="5126" t="str">
        <f>IF(AD38=0,"",VLOOKUP(AD38,'Tablas psiquica'!$D$7:$R$145,7,FALSE))</f>
        <v/>
      </c>
      <c r="AH41" s="5127"/>
      <c r="AI41" s="5127"/>
      <c r="AJ41" s="5128"/>
      <c r="AK41" s="1295"/>
      <c r="AL41" s="1289"/>
      <c r="AQ41" s="820"/>
      <c r="AR41" s="1329"/>
    </row>
    <row r="42" spans="1:45" ht="12" customHeight="1" x14ac:dyDescent="0.2">
      <c r="A42" s="1289"/>
      <c r="B42" s="693"/>
      <c r="C42" s="1345">
        <v>80</v>
      </c>
      <c r="D42" s="5121" t="s">
        <v>2603</v>
      </c>
      <c r="E42" s="5028"/>
      <c r="F42" s="5122" t="str">
        <f>IF(C38=0,"",VLOOKUP(C38,'Tablas psiquica'!$D$7:$R$145,8,FALSE))</f>
        <v/>
      </c>
      <c r="G42" s="5123"/>
      <c r="H42" s="5123"/>
      <c r="I42" s="5124"/>
      <c r="K42" s="1345">
        <v>80</v>
      </c>
      <c r="L42" s="5121" t="s">
        <v>2603</v>
      </c>
      <c r="M42" s="5028"/>
      <c r="N42" s="5122" t="str">
        <f>IF(K38=0,"",VLOOKUP(K38,'Tablas psiquica'!$D$7:$R$145,8,FALSE))</f>
        <v/>
      </c>
      <c r="O42" s="5123"/>
      <c r="P42" s="5123"/>
      <c r="Q42" s="5124"/>
      <c r="R42" s="1295"/>
      <c r="S42" s="1289"/>
      <c r="T42" s="1289"/>
      <c r="U42" s="693"/>
      <c r="V42" s="1345">
        <v>80</v>
      </c>
      <c r="W42" s="5121" t="s">
        <v>2603</v>
      </c>
      <c r="X42" s="5028"/>
      <c r="Y42" s="5122" t="str">
        <f>IF(V38=0,"",VLOOKUP(V38,'Tablas psiquica'!$D$7:$R$145,8,FALSE))</f>
        <v/>
      </c>
      <c r="Z42" s="5123"/>
      <c r="AA42" s="5123"/>
      <c r="AB42" s="5124"/>
      <c r="AC42" s="1357"/>
      <c r="AD42" s="1345">
        <v>80</v>
      </c>
      <c r="AE42" s="5121" t="s">
        <v>2603</v>
      </c>
      <c r="AF42" s="5028"/>
      <c r="AG42" s="5122" t="str">
        <f>IF(AD38=0,"",VLOOKUP(AD38,'Tablas psiquica'!$D$7:$R$145,8,FALSE))</f>
        <v/>
      </c>
      <c r="AH42" s="5123"/>
      <c r="AI42" s="5123"/>
      <c r="AJ42" s="5124"/>
      <c r="AK42" s="1295"/>
      <c r="AL42" s="1289"/>
      <c r="AQ42" s="820"/>
      <c r="AR42" s="1329"/>
    </row>
    <row r="43" spans="1:45" ht="12" customHeight="1" x14ac:dyDescent="0.2">
      <c r="A43" s="1289"/>
      <c r="B43" s="693"/>
      <c r="C43" s="1347">
        <v>120</v>
      </c>
      <c r="D43" s="5125" t="s">
        <v>2607</v>
      </c>
      <c r="E43" s="5023"/>
      <c r="F43" s="5126" t="str">
        <f>IF(C38=0,"",VLOOKUP(C38,'Tablas psiquica'!$D$7:$R$145,9,FALSE))</f>
        <v/>
      </c>
      <c r="G43" s="5127"/>
      <c r="H43" s="5127"/>
      <c r="I43" s="5128"/>
      <c r="K43" s="1347">
        <v>120</v>
      </c>
      <c r="L43" s="5125" t="s">
        <v>2607</v>
      </c>
      <c r="M43" s="5023"/>
      <c r="N43" s="5126" t="str">
        <f>IF(K38=0,"",VLOOKUP(K38,'Tablas psiquica'!$D$7:$R$145,9,FALSE))</f>
        <v/>
      </c>
      <c r="O43" s="5127"/>
      <c r="P43" s="5127"/>
      <c r="Q43" s="5128"/>
      <c r="R43" s="1295"/>
      <c r="S43" s="1289"/>
      <c r="T43" s="1289"/>
      <c r="U43" s="693"/>
      <c r="V43" s="1347">
        <v>120</v>
      </c>
      <c r="W43" s="5125" t="s">
        <v>2607</v>
      </c>
      <c r="X43" s="5023"/>
      <c r="Y43" s="5126" t="str">
        <f>IF(V38=0,"",VLOOKUP(V38,'Tablas psiquica'!$D$7:$R$145,9,FALSE))</f>
        <v/>
      </c>
      <c r="Z43" s="5127"/>
      <c r="AA43" s="5127"/>
      <c r="AB43" s="5128"/>
      <c r="AC43" s="1337"/>
      <c r="AD43" s="1347">
        <v>120</v>
      </c>
      <c r="AE43" s="5125" t="s">
        <v>2607</v>
      </c>
      <c r="AF43" s="5023"/>
      <c r="AG43" s="5126" t="str">
        <f>IF(AD38=0,"",VLOOKUP(AD38,'Tablas psiquica'!$D$7:$R$145,9,FALSE))</f>
        <v/>
      </c>
      <c r="AH43" s="5127"/>
      <c r="AI43" s="5127"/>
      <c r="AJ43" s="5128"/>
      <c r="AK43" s="1295"/>
      <c r="AL43" s="1289"/>
      <c r="AQ43" s="820"/>
      <c r="AR43" s="1329"/>
    </row>
    <row r="44" spans="1:45" ht="12" customHeight="1" x14ac:dyDescent="0.2">
      <c r="A44" s="1289"/>
      <c r="B44" s="693"/>
      <c r="C44" s="1345">
        <v>140</v>
      </c>
      <c r="D44" s="5121" t="s">
        <v>8721</v>
      </c>
      <c r="E44" s="5028"/>
      <c r="F44" s="5122" t="str">
        <f>IF(C38=0,"",VLOOKUP(C38,'Tablas psiquica'!$D$7:$R$145,10,FALSE))</f>
        <v/>
      </c>
      <c r="G44" s="5123"/>
      <c r="H44" s="5123"/>
      <c r="I44" s="5124"/>
      <c r="K44" s="1345">
        <v>140</v>
      </c>
      <c r="L44" s="5121" t="s">
        <v>8721</v>
      </c>
      <c r="M44" s="5028"/>
      <c r="N44" s="5122" t="str">
        <f>IF(K38=0,"",VLOOKUP(K38,'Tablas psiquica'!$D$7:$R$145,10,FALSE))</f>
        <v/>
      </c>
      <c r="O44" s="5123"/>
      <c r="P44" s="5123"/>
      <c r="Q44" s="5124"/>
      <c r="R44" s="1295"/>
      <c r="S44" s="1289"/>
      <c r="T44" s="1289"/>
      <c r="U44" s="693"/>
      <c r="V44" s="1345">
        <v>140</v>
      </c>
      <c r="W44" s="5121" t="s">
        <v>8721</v>
      </c>
      <c r="X44" s="5028"/>
      <c r="Y44" s="5122" t="str">
        <f>IF(V38=0,"",VLOOKUP(V38,'Tablas psiquica'!$D$7:$R$145,10,FALSE))</f>
        <v/>
      </c>
      <c r="Z44" s="5123"/>
      <c r="AA44" s="5123"/>
      <c r="AB44" s="5124"/>
      <c r="AC44" s="820"/>
      <c r="AD44" s="1345">
        <v>140</v>
      </c>
      <c r="AE44" s="5121" t="s">
        <v>8721</v>
      </c>
      <c r="AF44" s="5028"/>
      <c r="AG44" s="5122" t="str">
        <f>IF(AD38=0,"",VLOOKUP(AD38,'Tablas psiquica'!$D$7:$R$145,10,FALSE))</f>
        <v/>
      </c>
      <c r="AH44" s="5123"/>
      <c r="AI44" s="5123"/>
      <c r="AJ44" s="5124"/>
      <c r="AK44" s="1295"/>
      <c r="AL44" s="1289"/>
      <c r="AQ44" s="820"/>
      <c r="AR44" s="1329"/>
    </row>
    <row r="45" spans="1:45" ht="12" customHeight="1" x14ac:dyDescent="0.2">
      <c r="A45" s="1289"/>
      <c r="B45" s="693"/>
      <c r="C45" s="1347">
        <v>180</v>
      </c>
      <c r="D45" s="5125" t="s">
        <v>2612</v>
      </c>
      <c r="E45" s="5023"/>
      <c r="F45" s="5126" t="str">
        <f>IF(C38=0,"",VLOOKUP(C38,'Tablas psiquica'!$D$7:$R$145,11,FALSE))</f>
        <v/>
      </c>
      <c r="G45" s="5127"/>
      <c r="H45" s="5127"/>
      <c r="I45" s="5128"/>
      <c r="K45" s="1347">
        <v>180</v>
      </c>
      <c r="L45" s="5125" t="s">
        <v>2612</v>
      </c>
      <c r="M45" s="5023"/>
      <c r="N45" s="5126" t="str">
        <f>IF(K38=0,"",VLOOKUP(K38,'Tablas psiquica'!$D$7:$R$145,11,FALSE))</f>
        <v/>
      </c>
      <c r="O45" s="5127"/>
      <c r="P45" s="5127"/>
      <c r="Q45" s="5128"/>
      <c r="R45" s="1295"/>
      <c r="S45" s="1289"/>
      <c r="T45" s="1289"/>
      <c r="U45" s="693"/>
      <c r="V45" s="1347">
        <v>180</v>
      </c>
      <c r="W45" s="5125" t="s">
        <v>2612</v>
      </c>
      <c r="X45" s="5023"/>
      <c r="Y45" s="5126" t="str">
        <f>IF(V38=0,"",VLOOKUP(V38,'Tablas psiquica'!$D$7:$R$145,11,FALSE))</f>
        <v/>
      </c>
      <c r="Z45" s="5127"/>
      <c r="AA45" s="5127"/>
      <c r="AB45" s="5128"/>
      <c r="AC45" s="820"/>
      <c r="AD45" s="1347">
        <v>180</v>
      </c>
      <c r="AE45" s="5125" t="s">
        <v>2612</v>
      </c>
      <c r="AF45" s="5023"/>
      <c r="AG45" s="5126" t="str">
        <f>IF(AD38=0,"",VLOOKUP(AD38,'Tablas psiquica'!$D$7:$R$145,11,FALSE))</f>
        <v/>
      </c>
      <c r="AH45" s="5127"/>
      <c r="AI45" s="5127"/>
      <c r="AJ45" s="5128"/>
      <c r="AK45" s="1295"/>
      <c r="AL45" s="1289"/>
      <c r="AQ45" s="820"/>
      <c r="AR45" s="1329"/>
    </row>
    <row r="46" spans="1:45" ht="12" customHeight="1" x14ac:dyDescent="0.2">
      <c r="A46" s="1289"/>
      <c r="B46" s="693"/>
      <c r="C46" s="1345">
        <v>240</v>
      </c>
      <c r="D46" s="5121" t="s">
        <v>8722</v>
      </c>
      <c r="E46" s="5028"/>
      <c r="F46" s="5122" t="str">
        <f>IF(C38=0,"",VLOOKUP(C38,'Tablas psiquica'!$D$7:$R$145,12,FALSE))</f>
        <v/>
      </c>
      <c r="G46" s="5123"/>
      <c r="H46" s="5123"/>
      <c r="I46" s="5124"/>
      <c r="K46" s="1345">
        <v>240</v>
      </c>
      <c r="L46" s="5121" t="s">
        <v>8722</v>
      </c>
      <c r="M46" s="5028"/>
      <c r="N46" s="5122" t="str">
        <f>IF(K38=0,"",VLOOKUP(K38,'Tablas psiquica'!$D$7:$R$145,12,FALSE))</f>
        <v/>
      </c>
      <c r="O46" s="5123"/>
      <c r="P46" s="5123"/>
      <c r="Q46" s="5124"/>
      <c r="R46" s="1295"/>
      <c r="S46" s="1289"/>
      <c r="T46" s="1289"/>
      <c r="U46" s="693"/>
      <c r="V46" s="1345">
        <v>240</v>
      </c>
      <c r="W46" s="5121" t="s">
        <v>8722</v>
      </c>
      <c r="X46" s="5028"/>
      <c r="Y46" s="5122" t="str">
        <f>IF(V38=0,"",VLOOKUP(V38,'Tablas psiquica'!$D$7:$R$145,12,FALSE))</f>
        <v/>
      </c>
      <c r="Z46" s="5123"/>
      <c r="AA46" s="5123"/>
      <c r="AB46" s="5124"/>
      <c r="AC46" s="820"/>
      <c r="AD46" s="1345">
        <v>240</v>
      </c>
      <c r="AE46" s="5121" t="s">
        <v>8722</v>
      </c>
      <c r="AF46" s="5028"/>
      <c r="AG46" s="5122" t="str">
        <f>IF(AD38=0,"",VLOOKUP(AD38,'Tablas psiquica'!$D$7:$R$145,12,FALSE))</f>
        <v/>
      </c>
      <c r="AH46" s="5123"/>
      <c r="AI46" s="5123"/>
      <c r="AJ46" s="5124"/>
      <c r="AK46" s="1295"/>
      <c r="AL46" s="1289"/>
      <c r="AQ46" s="820"/>
      <c r="AR46" s="1329"/>
    </row>
    <row r="47" spans="1:45" ht="12" customHeight="1" x14ac:dyDescent="0.2">
      <c r="A47" s="1289"/>
      <c r="B47" s="693"/>
      <c r="C47" s="1347">
        <v>280</v>
      </c>
      <c r="D47" s="5125" t="s">
        <v>2617</v>
      </c>
      <c r="E47" s="5023"/>
      <c r="F47" s="5126" t="str">
        <f>IF(C38=0,"",VLOOKUP(C38,'Tablas psiquica'!$D$7:$R$145,13,FALSE))</f>
        <v/>
      </c>
      <c r="G47" s="5127"/>
      <c r="H47" s="5127"/>
      <c r="I47" s="5128"/>
      <c r="K47" s="1347">
        <v>280</v>
      </c>
      <c r="L47" s="5125" t="s">
        <v>2617</v>
      </c>
      <c r="M47" s="5023"/>
      <c r="N47" s="5126" t="str">
        <f>IF(K38=0,"",VLOOKUP(K38,'Tablas psiquica'!$D$7:$R$145,13,FALSE))</f>
        <v/>
      </c>
      <c r="O47" s="5127"/>
      <c r="P47" s="5127"/>
      <c r="Q47" s="5128"/>
      <c r="R47" s="1295"/>
      <c r="S47" s="1289"/>
      <c r="T47" s="1289"/>
      <c r="U47" s="693"/>
      <c r="V47" s="1347">
        <v>280</v>
      </c>
      <c r="W47" s="5125" t="s">
        <v>2617</v>
      </c>
      <c r="X47" s="5023"/>
      <c r="Y47" s="5126" t="str">
        <f>IF(V38=0,"",VLOOKUP(V38,'Tablas psiquica'!$D$7:$R$145,13,FALSE))</f>
        <v/>
      </c>
      <c r="Z47" s="5127"/>
      <c r="AA47" s="5127"/>
      <c r="AB47" s="5128"/>
      <c r="AC47" s="820"/>
      <c r="AD47" s="1347">
        <v>280</v>
      </c>
      <c r="AE47" s="5125" t="s">
        <v>2617</v>
      </c>
      <c r="AF47" s="5023"/>
      <c r="AG47" s="5126" t="str">
        <f>IF(AD38=0,"",VLOOKUP(AD38,'Tablas psiquica'!$D$7:$R$145,13,FALSE))</f>
        <v/>
      </c>
      <c r="AH47" s="5127"/>
      <c r="AI47" s="5127"/>
      <c r="AJ47" s="5128"/>
      <c r="AK47" s="1295"/>
      <c r="AL47" s="1289"/>
      <c r="AQ47" s="820"/>
      <c r="AR47" s="1329"/>
    </row>
    <row r="48" spans="1:45" ht="12" customHeight="1" x14ac:dyDescent="0.2">
      <c r="A48" s="1289"/>
      <c r="B48" s="693"/>
      <c r="C48" s="1345">
        <v>320</v>
      </c>
      <c r="D48" s="5121" t="s">
        <v>2619</v>
      </c>
      <c r="E48" s="5028"/>
      <c r="F48" s="5122" t="str">
        <f>IF(C38=0,"",VLOOKUP(C38,'Tablas psiquica'!$D$7:$R$145,14,FALSE))</f>
        <v/>
      </c>
      <c r="G48" s="5123"/>
      <c r="H48" s="5123"/>
      <c r="I48" s="5124"/>
      <c r="K48" s="1345">
        <v>320</v>
      </c>
      <c r="L48" s="5121" t="s">
        <v>2619</v>
      </c>
      <c r="M48" s="5028"/>
      <c r="N48" s="5122" t="str">
        <f>IF(K38=0,"",VLOOKUP(K38,'Tablas psiquica'!$D$7:$R$145,14,FALSE))</f>
        <v/>
      </c>
      <c r="O48" s="5123"/>
      <c r="P48" s="5123"/>
      <c r="Q48" s="5124"/>
      <c r="R48" s="1295"/>
      <c r="S48" s="1289"/>
      <c r="T48" s="1289"/>
      <c r="U48" s="693"/>
      <c r="V48" s="1345">
        <v>320</v>
      </c>
      <c r="W48" s="5121" t="s">
        <v>2619</v>
      </c>
      <c r="X48" s="5028"/>
      <c r="Y48" s="5122" t="str">
        <f>IF(V38=0,"",VLOOKUP(V38,'Tablas psiquica'!$D$7:$R$145,14,FALSE))</f>
        <v/>
      </c>
      <c r="Z48" s="5123"/>
      <c r="AA48" s="5123"/>
      <c r="AB48" s="5124"/>
      <c r="AC48" s="820"/>
      <c r="AD48" s="1345">
        <v>320</v>
      </c>
      <c r="AE48" s="5121" t="s">
        <v>2619</v>
      </c>
      <c r="AF48" s="5028"/>
      <c r="AG48" s="5122" t="str">
        <f>IF(AD38=0,"",VLOOKUP(AD38,'Tablas psiquica'!$D$7:$R$145,14,FALSE))</f>
        <v/>
      </c>
      <c r="AH48" s="5123"/>
      <c r="AI48" s="5123"/>
      <c r="AJ48" s="5124"/>
      <c r="AK48" s="1295"/>
      <c r="AL48" s="1289"/>
      <c r="AQ48" s="820"/>
      <c r="AR48" s="1329"/>
    </row>
    <row r="49" spans="1:44" ht="12" customHeight="1" x14ac:dyDescent="0.2">
      <c r="A49" s="1289"/>
      <c r="B49" s="693"/>
      <c r="C49" s="1350">
        <v>440</v>
      </c>
      <c r="D49" s="5129" t="s">
        <v>2553</v>
      </c>
      <c r="E49" s="5130"/>
      <c r="F49" s="5131" t="str">
        <f>IF(C38=0,"",VLOOKUP(C38,'Tablas psiquica'!$D$7:$R$145,15,FALSE))</f>
        <v/>
      </c>
      <c r="G49" s="5132"/>
      <c r="H49" s="5132"/>
      <c r="I49" s="5133"/>
      <c r="K49" s="1350">
        <v>440</v>
      </c>
      <c r="L49" s="5129" t="s">
        <v>2553</v>
      </c>
      <c r="M49" s="5130"/>
      <c r="N49" s="5131" t="str">
        <f>IF(K38=0,"",VLOOKUP(K38,'Tablas psiquica'!$D$7:$R$145,15,FALSE))</f>
        <v/>
      </c>
      <c r="O49" s="5132"/>
      <c r="P49" s="5132"/>
      <c r="Q49" s="5133"/>
      <c r="R49" s="1295"/>
      <c r="S49" s="1289"/>
      <c r="T49" s="1289"/>
      <c r="U49" s="693"/>
      <c r="V49" s="1350">
        <v>440</v>
      </c>
      <c r="W49" s="5129" t="s">
        <v>2553</v>
      </c>
      <c r="X49" s="5130"/>
      <c r="Y49" s="5131" t="str">
        <f>IF(V38=0,"",VLOOKUP(V38,'Tablas psiquica'!$D$7:$R$145,15,FALSE))</f>
        <v/>
      </c>
      <c r="Z49" s="5132"/>
      <c r="AA49" s="5132"/>
      <c r="AB49" s="5133"/>
      <c r="AC49" s="820"/>
      <c r="AD49" s="1350">
        <v>440</v>
      </c>
      <c r="AE49" s="5129" t="s">
        <v>2553</v>
      </c>
      <c r="AF49" s="5130"/>
      <c r="AG49" s="5131" t="str">
        <f>IF(AD38=0,"",VLOOKUP(AD38,'Tablas psiquica'!$D$7:$R$145,15,FALSE))</f>
        <v/>
      </c>
      <c r="AH49" s="5132"/>
      <c r="AI49" s="5132"/>
      <c r="AJ49" s="5133"/>
      <c r="AK49" s="1295"/>
      <c r="AL49" s="1289"/>
      <c r="AQ49" s="820"/>
      <c r="AR49" s="1329"/>
    </row>
    <row r="50" spans="1:44" ht="12" customHeight="1" thickBot="1" x14ac:dyDescent="0.25">
      <c r="A50" s="1289"/>
      <c r="B50" s="693"/>
      <c r="C50" s="5134" t="s">
        <v>8723</v>
      </c>
      <c r="D50" s="5135"/>
      <c r="E50" s="1351" t="str">
        <f>IF(C38=0,"",VLOOKUP(C38,'Tablas psiquica'!$D$7:$R$145,4,FALSE))</f>
        <v/>
      </c>
      <c r="F50" s="5136" t="s">
        <v>8718</v>
      </c>
      <c r="G50" s="5136"/>
      <c r="H50" s="4170" t="str">
        <f>IF(C38=0,"",VLOOKUP(C38,'Tablas psiquica'!$D$7:$R$145,5,FALSE))</f>
        <v/>
      </c>
      <c r="I50" s="4171"/>
      <c r="K50" s="5134" t="s">
        <v>8723</v>
      </c>
      <c r="L50" s="5135"/>
      <c r="M50" s="1351" t="str">
        <f>IF(K38=0,"",VLOOKUP(K38,'Tablas psiquica'!$D$7:$R$145,4,FALSE))</f>
        <v/>
      </c>
      <c r="N50" s="5136" t="s">
        <v>8718</v>
      </c>
      <c r="O50" s="5136"/>
      <c r="P50" s="4170" t="str">
        <f>IF(K38=0,"",VLOOKUP(K38,'Tablas psiquica'!$D$7:$R$145,5,FALSE))</f>
        <v/>
      </c>
      <c r="Q50" s="4171"/>
      <c r="R50" s="1295"/>
      <c r="S50" s="1289"/>
      <c r="T50" s="1289"/>
      <c r="U50" s="693"/>
      <c r="V50" s="5134" t="s">
        <v>8723</v>
      </c>
      <c r="W50" s="5135"/>
      <c r="X50" s="1351" t="str">
        <f>IF(V38=0,"",VLOOKUP(V38,'Tablas psiquica'!$D$7:$R$145,4,FALSE))</f>
        <v/>
      </c>
      <c r="Y50" s="5136" t="s">
        <v>8718</v>
      </c>
      <c r="Z50" s="5136"/>
      <c r="AA50" s="4170" t="str">
        <f>IF(V38=0,"",VLOOKUP(V38,'Tablas psiquica'!$D$7:$R$145,5,FALSE))</f>
        <v/>
      </c>
      <c r="AB50" s="4171"/>
      <c r="AC50" s="820"/>
      <c r="AD50" s="5134" t="s">
        <v>8723</v>
      </c>
      <c r="AE50" s="5135"/>
      <c r="AF50" s="1351" t="str">
        <f>IF(AD38=0,"",VLOOKUP(AD38,'Tablas psiquica'!$D$7:$R$145,4,FALSE))</f>
        <v/>
      </c>
      <c r="AG50" s="5136" t="s">
        <v>8718</v>
      </c>
      <c r="AH50" s="5136"/>
      <c r="AI50" s="4170" t="str">
        <f>IF(AD38=0,"",VLOOKUP(AD38,'Tablas psiquica'!$D$7:$R$145,5,FALSE))</f>
        <v/>
      </c>
      <c r="AJ50" s="4171"/>
      <c r="AK50" s="1295"/>
      <c r="AL50" s="1289"/>
      <c r="AQ50" s="820"/>
      <c r="AR50" s="1329"/>
    </row>
    <row r="51" spans="1:44" ht="12" customHeight="1" thickBot="1" x14ac:dyDescent="0.25">
      <c r="A51" s="1289"/>
      <c r="B51" s="693"/>
      <c r="R51" s="1295"/>
      <c r="S51" s="1289"/>
      <c r="T51" s="1289"/>
      <c r="U51" s="693"/>
      <c r="V51" s="1340"/>
      <c r="W51" s="1330"/>
      <c r="X51" s="1330"/>
      <c r="Y51" s="1341"/>
      <c r="Z51" s="1337"/>
      <c r="AA51" s="1337"/>
      <c r="AB51" s="1337"/>
      <c r="AC51" s="820"/>
      <c r="AD51" s="1340"/>
      <c r="AE51" s="1330"/>
      <c r="AF51" s="1330"/>
      <c r="AG51" s="1341"/>
      <c r="AH51" s="1337"/>
      <c r="AI51" s="1337"/>
      <c r="AJ51" s="1337"/>
      <c r="AK51" s="1295"/>
      <c r="AL51" s="1289"/>
      <c r="AQ51" s="820"/>
      <c r="AR51" s="1329"/>
    </row>
    <row r="52" spans="1:44" ht="12" customHeight="1" x14ac:dyDescent="0.2">
      <c r="A52" s="1289"/>
      <c r="B52" s="693"/>
      <c r="C52" s="5015"/>
      <c r="D52" s="5016"/>
      <c r="E52" s="5016"/>
      <c r="F52" s="5016"/>
      <c r="G52" s="5016"/>
      <c r="H52" s="5016"/>
      <c r="I52" s="1342" t="s">
        <v>2256</v>
      </c>
      <c r="K52" s="5015"/>
      <c r="L52" s="5016"/>
      <c r="M52" s="5016"/>
      <c r="N52" s="5016"/>
      <c r="O52" s="5016"/>
      <c r="P52" s="5016"/>
      <c r="Q52" s="1342" t="s">
        <v>2256</v>
      </c>
      <c r="R52" s="1295"/>
      <c r="S52" s="1289"/>
      <c r="T52" s="1289"/>
      <c r="U52" s="693"/>
      <c r="V52" s="5015"/>
      <c r="W52" s="5016"/>
      <c r="X52" s="5016"/>
      <c r="Y52" s="5016"/>
      <c r="Z52" s="5016"/>
      <c r="AA52" s="5016"/>
      <c r="AB52" s="1342" t="s">
        <v>2256</v>
      </c>
      <c r="AC52" s="820"/>
      <c r="AD52" s="5015"/>
      <c r="AE52" s="5016"/>
      <c r="AF52" s="5016"/>
      <c r="AG52" s="5016"/>
      <c r="AH52" s="5016"/>
      <c r="AI52" s="5016"/>
      <c r="AJ52" s="1342" t="s">
        <v>2256</v>
      </c>
      <c r="AK52" s="1295"/>
      <c r="AL52" s="1289"/>
      <c r="AQ52" s="820"/>
      <c r="AR52" s="1329"/>
    </row>
    <row r="53" spans="1:44" ht="12" customHeight="1" x14ac:dyDescent="0.2">
      <c r="A53" s="1289"/>
      <c r="B53" s="693"/>
      <c r="C53" s="5119" t="str">
        <f>IF(C52=0,"",VLOOKUP(C52,'Tablas psiquica'!$D$7:$R$145,2,FALSE))</f>
        <v/>
      </c>
      <c r="D53" s="5120"/>
      <c r="E53" s="5120"/>
      <c r="F53" s="5120"/>
      <c r="G53" s="5120"/>
      <c r="H53" s="5120"/>
      <c r="I53" s="1344" t="str">
        <f>IF(C52=0,"",VLOOKUP(C52,'Tablas psiquica'!$D$7:$R$145,3,FALSE))</f>
        <v/>
      </c>
      <c r="K53" s="5119" t="str">
        <f>IF(K52=0,"",VLOOKUP(K52,'Tablas psiquica'!$D$7:$R$145,2,FALSE))</f>
        <v/>
      </c>
      <c r="L53" s="5120"/>
      <c r="M53" s="5120"/>
      <c r="N53" s="5120"/>
      <c r="O53" s="5120"/>
      <c r="P53" s="5120"/>
      <c r="Q53" s="1344" t="str">
        <f>IF(K52=0,"",VLOOKUP(K52,'Tablas psiquica'!$D$7:$R$145,3,FALSE))</f>
        <v/>
      </c>
      <c r="R53" s="1295"/>
      <c r="S53" s="1289"/>
      <c r="T53" s="1289"/>
      <c r="U53" s="693"/>
      <c r="V53" s="5119" t="str">
        <f>IF(V52=0,"",VLOOKUP(V52,'Tablas psiquica'!$D$7:$R$145,2,FALSE))</f>
        <v/>
      </c>
      <c r="W53" s="5120"/>
      <c r="X53" s="5120"/>
      <c r="Y53" s="5120"/>
      <c r="Z53" s="5120"/>
      <c r="AA53" s="5120"/>
      <c r="AB53" s="1344" t="str">
        <f>IF(V52=0,"",VLOOKUP(V52,'Tablas psiquica'!$D$7:$R$145,3,FALSE))</f>
        <v/>
      </c>
      <c r="AC53" s="820"/>
      <c r="AD53" s="5119" t="str">
        <f>IF(AD52=0,"",VLOOKUP(AD52,'Tablas psiquica'!$D$7:$R$145,2,FALSE))</f>
        <v/>
      </c>
      <c r="AE53" s="5120"/>
      <c r="AF53" s="5120"/>
      <c r="AG53" s="5120"/>
      <c r="AH53" s="5120"/>
      <c r="AI53" s="5120"/>
      <c r="AJ53" s="1344" t="str">
        <f>IF(AD52=0,"",VLOOKUP(AD52,'Tablas psiquica'!$D$7:$R$145,3,FALSE))</f>
        <v/>
      </c>
      <c r="AK53" s="1295"/>
      <c r="AL53" s="1289"/>
      <c r="AQ53" s="820"/>
      <c r="AR53" s="1329"/>
    </row>
    <row r="54" spans="1:44" ht="12" customHeight="1" x14ac:dyDescent="0.2">
      <c r="A54" s="1289"/>
      <c r="B54" s="693"/>
      <c r="C54" s="1345">
        <v>20</v>
      </c>
      <c r="D54" s="5121" t="s">
        <v>2596</v>
      </c>
      <c r="E54" s="5028"/>
      <c r="F54" s="5122" t="str">
        <f>IF(C52=0,"",VLOOKUP(C52,'Tablas psiquica'!$D$7:$R$145,6,FALSE))</f>
        <v/>
      </c>
      <c r="G54" s="5123"/>
      <c r="H54" s="5123"/>
      <c r="I54" s="5124"/>
      <c r="K54" s="1345">
        <v>20</v>
      </c>
      <c r="L54" s="5121" t="s">
        <v>2596</v>
      </c>
      <c r="M54" s="5028"/>
      <c r="N54" s="5122" t="str">
        <f>IF(K52=0,"",VLOOKUP(K52,'Tablas psiquica'!$D$7:$R$145,6,FALSE))</f>
        <v/>
      </c>
      <c r="O54" s="5123"/>
      <c r="P54" s="5123"/>
      <c r="Q54" s="5124"/>
      <c r="R54" s="1295"/>
      <c r="S54" s="1289"/>
      <c r="T54" s="1289"/>
      <c r="U54" s="693"/>
      <c r="V54" s="1345">
        <v>20</v>
      </c>
      <c r="W54" s="5121" t="s">
        <v>2596</v>
      </c>
      <c r="X54" s="5028"/>
      <c r="Y54" s="5122" t="str">
        <f>IF(V52=0,"",VLOOKUP(V52,'Tablas psiquica'!$D$7:$R$145,6,FALSE))</f>
        <v/>
      </c>
      <c r="Z54" s="5123"/>
      <c r="AA54" s="5123"/>
      <c r="AB54" s="5124"/>
      <c r="AC54" s="820"/>
      <c r="AD54" s="1345">
        <v>20</v>
      </c>
      <c r="AE54" s="5121" t="s">
        <v>2596</v>
      </c>
      <c r="AF54" s="5028"/>
      <c r="AG54" s="5122" t="str">
        <f>IF(AD52=0,"",VLOOKUP(AD52,'Tablas psiquica'!$D$7:$R$145,6,FALSE))</f>
        <v/>
      </c>
      <c r="AH54" s="5123"/>
      <c r="AI54" s="5123"/>
      <c r="AJ54" s="5124"/>
      <c r="AK54" s="1295"/>
      <c r="AL54" s="1289"/>
      <c r="AQ54" s="820"/>
      <c r="AR54" s="1329"/>
    </row>
    <row r="55" spans="1:44" ht="12" customHeight="1" x14ac:dyDescent="0.2">
      <c r="A55" s="1289"/>
      <c r="B55" s="693"/>
      <c r="C55" s="1347">
        <v>40</v>
      </c>
      <c r="D55" s="5125" t="s">
        <v>2600</v>
      </c>
      <c r="E55" s="5023"/>
      <c r="F55" s="5126" t="str">
        <f>IF(C52=0,"",VLOOKUP(C52,'Tablas psiquica'!$D$7:$R$145,7,FALSE))</f>
        <v/>
      </c>
      <c r="G55" s="5127"/>
      <c r="H55" s="5127"/>
      <c r="I55" s="5128"/>
      <c r="K55" s="1347">
        <v>40</v>
      </c>
      <c r="L55" s="5125" t="s">
        <v>2600</v>
      </c>
      <c r="M55" s="5023"/>
      <c r="N55" s="5126" t="str">
        <f>IF(K52=0,"",VLOOKUP(K52,'Tablas psiquica'!$D$7:$R$145,7,FALSE))</f>
        <v/>
      </c>
      <c r="O55" s="5127"/>
      <c r="P55" s="5127"/>
      <c r="Q55" s="5128"/>
      <c r="R55" s="1295"/>
      <c r="S55" s="1289"/>
      <c r="T55" s="1289"/>
      <c r="U55" s="693"/>
      <c r="V55" s="1347">
        <v>40</v>
      </c>
      <c r="W55" s="5125" t="s">
        <v>2600</v>
      </c>
      <c r="X55" s="5023"/>
      <c r="Y55" s="5126" t="str">
        <f>IF(V52=0,"",VLOOKUP(V52,'Tablas psiquica'!$D$7:$R$145,7,FALSE))</f>
        <v/>
      </c>
      <c r="Z55" s="5127"/>
      <c r="AA55" s="5127"/>
      <c r="AB55" s="5128"/>
      <c r="AC55" s="820"/>
      <c r="AD55" s="1347">
        <v>40</v>
      </c>
      <c r="AE55" s="5125" t="s">
        <v>2600</v>
      </c>
      <c r="AF55" s="5023"/>
      <c r="AG55" s="5126" t="str">
        <f>IF(AD52=0,"",VLOOKUP(AD52,'Tablas psiquica'!$D$7:$R$145,7,FALSE))</f>
        <v/>
      </c>
      <c r="AH55" s="5127"/>
      <c r="AI55" s="5127"/>
      <c r="AJ55" s="5128"/>
      <c r="AK55" s="1295"/>
      <c r="AL55" s="1289"/>
      <c r="AQ55" s="820"/>
      <c r="AR55" s="1329"/>
    </row>
    <row r="56" spans="1:44" ht="12" customHeight="1" x14ac:dyDescent="0.2">
      <c r="A56" s="1289"/>
      <c r="B56" s="693"/>
      <c r="C56" s="1345">
        <v>80</v>
      </c>
      <c r="D56" s="5121" t="s">
        <v>2603</v>
      </c>
      <c r="E56" s="5028"/>
      <c r="F56" s="5122" t="str">
        <f>IF(C52=0,"",VLOOKUP(C52,'Tablas psiquica'!$D$7:$R$145,8,FALSE))</f>
        <v/>
      </c>
      <c r="G56" s="5123"/>
      <c r="H56" s="5123"/>
      <c r="I56" s="5124"/>
      <c r="K56" s="1345">
        <v>80</v>
      </c>
      <c r="L56" s="5121" t="s">
        <v>2603</v>
      </c>
      <c r="M56" s="5028"/>
      <c r="N56" s="5122" t="str">
        <f>IF(K52=0,"",VLOOKUP(K52,'Tablas psiquica'!$D$7:$R$145,8,FALSE))</f>
        <v/>
      </c>
      <c r="O56" s="5123"/>
      <c r="P56" s="5123"/>
      <c r="Q56" s="5124"/>
      <c r="R56" s="1295"/>
      <c r="S56" s="1289"/>
      <c r="T56" s="1289"/>
      <c r="U56" s="693"/>
      <c r="V56" s="1345">
        <v>80</v>
      </c>
      <c r="W56" s="5121" t="s">
        <v>2603</v>
      </c>
      <c r="X56" s="5028"/>
      <c r="Y56" s="5122" t="str">
        <f>IF(V52=0,"",VLOOKUP(V52,'Tablas psiquica'!$D$7:$R$145,8,FALSE))</f>
        <v/>
      </c>
      <c r="Z56" s="5123"/>
      <c r="AA56" s="5123"/>
      <c r="AB56" s="5124"/>
      <c r="AC56" s="820"/>
      <c r="AD56" s="1345">
        <v>80</v>
      </c>
      <c r="AE56" s="5121" t="s">
        <v>2603</v>
      </c>
      <c r="AF56" s="5028"/>
      <c r="AG56" s="5122" t="str">
        <f>IF(AD52=0,"",VLOOKUP(AD52,'Tablas psiquica'!$D$7:$R$145,8,FALSE))</f>
        <v/>
      </c>
      <c r="AH56" s="5123"/>
      <c r="AI56" s="5123"/>
      <c r="AJ56" s="5124"/>
      <c r="AK56" s="1295"/>
      <c r="AL56" s="1289"/>
      <c r="AQ56" s="820"/>
      <c r="AR56" s="1329"/>
    </row>
    <row r="57" spans="1:44" ht="12" customHeight="1" x14ac:dyDescent="0.2">
      <c r="A57" s="1289"/>
      <c r="B57" s="693"/>
      <c r="C57" s="1347">
        <v>120</v>
      </c>
      <c r="D57" s="5125" t="s">
        <v>2607</v>
      </c>
      <c r="E57" s="5023"/>
      <c r="F57" s="5126" t="str">
        <f>IF(C52=0,"",VLOOKUP(C52,'Tablas psiquica'!$D$7:$R$145,9,FALSE))</f>
        <v/>
      </c>
      <c r="G57" s="5127"/>
      <c r="H57" s="5127"/>
      <c r="I57" s="5128"/>
      <c r="K57" s="1347">
        <v>120</v>
      </c>
      <c r="L57" s="5125" t="s">
        <v>2607</v>
      </c>
      <c r="M57" s="5023"/>
      <c r="N57" s="5126" t="str">
        <f>IF(K52=0,"",VLOOKUP(K52,'Tablas psiquica'!$D$7:$R$145,9,FALSE))</f>
        <v/>
      </c>
      <c r="O57" s="5127"/>
      <c r="P57" s="5127"/>
      <c r="Q57" s="5128"/>
      <c r="R57" s="1295"/>
      <c r="S57" s="1289"/>
      <c r="T57" s="1289"/>
      <c r="U57" s="693"/>
      <c r="V57" s="1347">
        <v>120</v>
      </c>
      <c r="W57" s="5125" t="s">
        <v>2607</v>
      </c>
      <c r="X57" s="5023"/>
      <c r="Y57" s="5126" t="str">
        <f>IF(V52=0,"",VLOOKUP(V52,'Tablas psiquica'!$D$7:$R$145,9,FALSE))</f>
        <v/>
      </c>
      <c r="Z57" s="5127"/>
      <c r="AA57" s="5127"/>
      <c r="AB57" s="5128"/>
      <c r="AC57" s="820"/>
      <c r="AD57" s="1347">
        <v>120</v>
      </c>
      <c r="AE57" s="5125" t="s">
        <v>2607</v>
      </c>
      <c r="AF57" s="5023"/>
      <c r="AG57" s="5126" t="str">
        <f>IF(AD52=0,"",VLOOKUP(AD52,'Tablas psiquica'!$D$7:$R$145,9,FALSE))</f>
        <v/>
      </c>
      <c r="AH57" s="5127"/>
      <c r="AI57" s="5127"/>
      <c r="AJ57" s="5128"/>
      <c r="AK57" s="1295"/>
      <c r="AL57" s="1289"/>
      <c r="AQ57" s="820"/>
      <c r="AR57" s="1329"/>
    </row>
    <row r="58" spans="1:44" ht="12" customHeight="1" x14ac:dyDescent="0.2">
      <c r="A58" s="1289"/>
      <c r="B58" s="693"/>
      <c r="C58" s="1345">
        <v>140</v>
      </c>
      <c r="D58" s="5121" t="s">
        <v>8721</v>
      </c>
      <c r="E58" s="5028"/>
      <c r="F58" s="5122" t="str">
        <f>IF(C52=0,"",VLOOKUP(C52,'Tablas psiquica'!$D$7:$R$145,10,FALSE))</f>
        <v/>
      </c>
      <c r="G58" s="5123"/>
      <c r="H58" s="5123"/>
      <c r="I58" s="5124"/>
      <c r="K58" s="1345">
        <v>140</v>
      </c>
      <c r="L58" s="5121" t="s">
        <v>8721</v>
      </c>
      <c r="M58" s="5028"/>
      <c r="N58" s="5122" t="str">
        <f>IF(K52=0,"",VLOOKUP(K52,'Tablas psiquica'!$D$7:$R$145,10,FALSE))</f>
        <v/>
      </c>
      <c r="O58" s="5123"/>
      <c r="P58" s="5123"/>
      <c r="Q58" s="5124"/>
      <c r="R58" s="1295"/>
      <c r="S58" s="1289"/>
      <c r="T58" s="1289"/>
      <c r="U58" s="693"/>
      <c r="V58" s="1345">
        <v>140</v>
      </c>
      <c r="W58" s="5121" t="s">
        <v>8721</v>
      </c>
      <c r="X58" s="5028"/>
      <c r="Y58" s="5122" t="str">
        <f>IF(V52=0,"",VLOOKUP(V52,'Tablas psiquica'!$D$7:$R$145,10,FALSE))</f>
        <v/>
      </c>
      <c r="Z58" s="5123"/>
      <c r="AA58" s="5123"/>
      <c r="AB58" s="5124"/>
      <c r="AC58" s="1355"/>
      <c r="AD58" s="1345">
        <v>140</v>
      </c>
      <c r="AE58" s="5121" t="s">
        <v>8721</v>
      </c>
      <c r="AF58" s="5028"/>
      <c r="AG58" s="5122" t="str">
        <f>IF(AD52=0,"",VLOOKUP(AD52,'Tablas psiquica'!$D$7:$R$145,10,FALSE))</f>
        <v/>
      </c>
      <c r="AH58" s="5123"/>
      <c r="AI58" s="5123"/>
      <c r="AJ58" s="5124"/>
      <c r="AK58" s="1295"/>
      <c r="AL58" s="1289"/>
      <c r="AQ58" s="820"/>
      <c r="AR58" s="1329"/>
    </row>
    <row r="59" spans="1:44" ht="12" customHeight="1" x14ac:dyDescent="0.2">
      <c r="A59" s="1289"/>
      <c r="B59" s="693"/>
      <c r="C59" s="1347">
        <v>180</v>
      </c>
      <c r="D59" s="5125" t="s">
        <v>2612</v>
      </c>
      <c r="E59" s="5023"/>
      <c r="F59" s="5126" t="str">
        <f>IF(C52=0,"",VLOOKUP(C52,'Tablas psiquica'!$D$7:$R$145,11,FALSE))</f>
        <v/>
      </c>
      <c r="G59" s="5127"/>
      <c r="H59" s="5127"/>
      <c r="I59" s="5128"/>
      <c r="K59" s="1347">
        <v>180</v>
      </c>
      <c r="L59" s="5125" t="s">
        <v>2612</v>
      </c>
      <c r="M59" s="5023"/>
      <c r="N59" s="5126" t="str">
        <f>IF(K52=0,"",VLOOKUP(K52,'Tablas psiquica'!$D$7:$R$145,11,FALSE))</f>
        <v/>
      </c>
      <c r="O59" s="5127"/>
      <c r="P59" s="5127"/>
      <c r="Q59" s="5128"/>
      <c r="R59" s="1295"/>
      <c r="S59" s="1289"/>
      <c r="T59" s="1289"/>
      <c r="U59" s="693"/>
      <c r="V59" s="1347">
        <v>180</v>
      </c>
      <c r="W59" s="5125" t="s">
        <v>2612</v>
      </c>
      <c r="X59" s="5023"/>
      <c r="Y59" s="5126" t="str">
        <f>IF(V52=0,"",VLOOKUP(V52,'Tablas psiquica'!$D$7:$R$145,11,FALSE))</f>
        <v/>
      </c>
      <c r="Z59" s="5127"/>
      <c r="AA59" s="5127"/>
      <c r="AB59" s="5128"/>
      <c r="AC59" s="820"/>
      <c r="AD59" s="1347">
        <v>180</v>
      </c>
      <c r="AE59" s="5125" t="s">
        <v>2612</v>
      </c>
      <c r="AF59" s="5023"/>
      <c r="AG59" s="5126" t="str">
        <f>IF(AD52=0,"",VLOOKUP(AD52,'Tablas psiquica'!$D$7:$R$145,11,FALSE))</f>
        <v/>
      </c>
      <c r="AH59" s="5127"/>
      <c r="AI59" s="5127"/>
      <c r="AJ59" s="5128"/>
      <c r="AK59" s="1295"/>
      <c r="AL59" s="1289"/>
      <c r="AQ59" s="820"/>
      <c r="AR59" s="1329"/>
    </row>
    <row r="60" spans="1:44" ht="12" customHeight="1" x14ac:dyDescent="0.2">
      <c r="A60" s="1289"/>
      <c r="B60" s="693"/>
      <c r="C60" s="1345">
        <v>240</v>
      </c>
      <c r="D60" s="5121" t="s">
        <v>8722</v>
      </c>
      <c r="E60" s="5028"/>
      <c r="F60" s="5122" t="str">
        <f>IF(C52=0,"",VLOOKUP(C52,'Tablas psiquica'!$D$7:$R$145,12,FALSE))</f>
        <v/>
      </c>
      <c r="G60" s="5123"/>
      <c r="H60" s="5123"/>
      <c r="I60" s="5124"/>
      <c r="K60" s="1345">
        <v>240</v>
      </c>
      <c r="L60" s="5121" t="s">
        <v>8722</v>
      </c>
      <c r="M60" s="5028"/>
      <c r="N60" s="5122" t="str">
        <f>IF(K52=0,"",VLOOKUP(K52,'Tablas psiquica'!$D$7:$R$145,12,FALSE))</f>
        <v/>
      </c>
      <c r="O60" s="5123"/>
      <c r="P60" s="5123"/>
      <c r="Q60" s="5124"/>
      <c r="R60" s="1295"/>
      <c r="S60" s="1289"/>
      <c r="T60" s="1289"/>
      <c r="U60" s="693"/>
      <c r="V60" s="1345">
        <v>240</v>
      </c>
      <c r="W60" s="5121" t="s">
        <v>8722</v>
      </c>
      <c r="X60" s="5028"/>
      <c r="Y60" s="5122" t="str">
        <f>IF(V52=0,"",VLOOKUP(V52,'Tablas psiquica'!$D$7:$R$145,12,FALSE))</f>
        <v/>
      </c>
      <c r="Z60" s="5123"/>
      <c r="AA60" s="5123"/>
      <c r="AB60" s="5124"/>
      <c r="AC60" s="820"/>
      <c r="AD60" s="1345">
        <v>240</v>
      </c>
      <c r="AE60" s="5121" t="s">
        <v>8722</v>
      </c>
      <c r="AF60" s="5028"/>
      <c r="AG60" s="5122" t="str">
        <f>IF(AD52=0,"",VLOOKUP(AD52,'Tablas psiquica'!$D$7:$R$145,12,FALSE))</f>
        <v/>
      </c>
      <c r="AH60" s="5123"/>
      <c r="AI60" s="5123"/>
      <c r="AJ60" s="5124"/>
      <c r="AK60" s="1295"/>
      <c r="AL60" s="1289"/>
      <c r="AQ60" s="820"/>
      <c r="AR60" s="1329"/>
    </row>
    <row r="61" spans="1:44" ht="12" customHeight="1" x14ac:dyDescent="0.2">
      <c r="A61" s="1289"/>
      <c r="B61" s="693"/>
      <c r="C61" s="1347">
        <v>280</v>
      </c>
      <c r="D61" s="5125" t="s">
        <v>2617</v>
      </c>
      <c r="E61" s="5023"/>
      <c r="F61" s="5126" t="str">
        <f>IF(C52=0,"",VLOOKUP(C52,'Tablas psiquica'!$D$7:$R$145,13,FALSE))</f>
        <v/>
      </c>
      <c r="G61" s="5127"/>
      <c r="H61" s="5127"/>
      <c r="I61" s="5128"/>
      <c r="K61" s="1347">
        <v>280</v>
      </c>
      <c r="L61" s="5125" t="s">
        <v>2617</v>
      </c>
      <c r="M61" s="5023"/>
      <c r="N61" s="5126" t="str">
        <f>IF(K52=0,"",VLOOKUP(K52,'Tablas psiquica'!$D$7:$R$145,13,FALSE))</f>
        <v/>
      </c>
      <c r="O61" s="5127"/>
      <c r="P61" s="5127"/>
      <c r="Q61" s="5128"/>
      <c r="R61" s="1295"/>
      <c r="S61" s="1289"/>
      <c r="T61" s="1289"/>
      <c r="U61" s="693"/>
      <c r="V61" s="1347">
        <v>280</v>
      </c>
      <c r="W61" s="5125" t="s">
        <v>2617</v>
      </c>
      <c r="X61" s="5023"/>
      <c r="Y61" s="5126" t="str">
        <f>IF(V52=0,"",VLOOKUP(V52,'Tablas psiquica'!$D$7:$R$145,13,FALSE))</f>
        <v/>
      </c>
      <c r="Z61" s="5127"/>
      <c r="AA61" s="5127"/>
      <c r="AB61" s="5128"/>
      <c r="AC61" s="820"/>
      <c r="AD61" s="1347">
        <v>280</v>
      </c>
      <c r="AE61" s="5125" t="s">
        <v>2617</v>
      </c>
      <c r="AF61" s="5023"/>
      <c r="AG61" s="5126" t="str">
        <f>IF(AD52=0,"",VLOOKUP(AD52,'Tablas psiquica'!$D$7:$R$145,13,FALSE))</f>
        <v/>
      </c>
      <c r="AH61" s="5127"/>
      <c r="AI61" s="5127"/>
      <c r="AJ61" s="5128"/>
      <c r="AK61" s="1295"/>
      <c r="AL61" s="1289"/>
      <c r="AQ61" s="820"/>
      <c r="AR61" s="1329"/>
    </row>
    <row r="62" spans="1:44" ht="12" customHeight="1" x14ac:dyDescent="0.2">
      <c r="A62" s="1289"/>
      <c r="B62" s="693"/>
      <c r="C62" s="1345">
        <v>320</v>
      </c>
      <c r="D62" s="5121" t="s">
        <v>2619</v>
      </c>
      <c r="E62" s="5028"/>
      <c r="F62" s="5122" t="str">
        <f>IF(C52=0,"",VLOOKUP(C52,'Tablas psiquica'!$D$7:$R$145,14,FALSE))</f>
        <v/>
      </c>
      <c r="G62" s="5123"/>
      <c r="H62" s="5123"/>
      <c r="I62" s="5124"/>
      <c r="K62" s="1345">
        <v>320</v>
      </c>
      <c r="L62" s="5121" t="s">
        <v>2619</v>
      </c>
      <c r="M62" s="5028"/>
      <c r="N62" s="5122" t="str">
        <f>IF(K52=0,"",VLOOKUP(K52,'Tablas psiquica'!$D$7:$R$145,14,FALSE))</f>
        <v/>
      </c>
      <c r="O62" s="5123"/>
      <c r="P62" s="5123"/>
      <c r="Q62" s="5124"/>
      <c r="R62" s="1295"/>
      <c r="S62" s="1289"/>
      <c r="T62" s="1289"/>
      <c r="U62" s="693"/>
      <c r="V62" s="1345">
        <v>320</v>
      </c>
      <c r="W62" s="5121" t="s">
        <v>2619</v>
      </c>
      <c r="X62" s="5028"/>
      <c r="Y62" s="5122" t="str">
        <f>IF(V52=0,"",VLOOKUP(V52,'Tablas psiquica'!$D$7:$R$145,14,FALSE))</f>
        <v/>
      </c>
      <c r="Z62" s="5123"/>
      <c r="AA62" s="5123"/>
      <c r="AB62" s="5124"/>
      <c r="AC62" s="820"/>
      <c r="AD62" s="1345">
        <v>320</v>
      </c>
      <c r="AE62" s="5121" t="s">
        <v>2619</v>
      </c>
      <c r="AF62" s="5028"/>
      <c r="AG62" s="5122" t="str">
        <f>IF(AD52=0,"",VLOOKUP(AD52,'Tablas psiquica'!$D$7:$R$145,14,FALSE))</f>
        <v/>
      </c>
      <c r="AH62" s="5123"/>
      <c r="AI62" s="5123"/>
      <c r="AJ62" s="5124"/>
      <c r="AK62" s="1295"/>
      <c r="AL62" s="1289"/>
      <c r="AQ62" s="820"/>
      <c r="AR62" s="1329"/>
    </row>
    <row r="63" spans="1:44" ht="12" customHeight="1" x14ac:dyDescent="0.2">
      <c r="A63" s="1289"/>
      <c r="B63" s="693"/>
      <c r="C63" s="1350">
        <v>440</v>
      </c>
      <c r="D63" s="5129" t="s">
        <v>2553</v>
      </c>
      <c r="E63" s="5130"/>
      <c r="F63" s="5131" t="str">
        <f>IF(C52=0,"",VLOOKUP(C52,'Tablas psiquica'!$D$7:$R$145,15,FALSE))</f>
        <v/>
      </c>
      <c r="G63" s="5132"/>
      <c r="H63" s="5132"/>
      <c r="I63" s="5133"/>
      <c r="K63" s="1350">
        <v>440</v>
      </c>
      <c r="L63" s="5129" t="s">
        <v>2553</v>
      </c>
      <c r="M63" s="5130"/>
      <c r="N63" s="5131" t="str">
        <f>IF(K52=0,"",VLOOKUP(K52,'Tablas psiquica'!$D$7:$R$145,15,FALSE))</f>
        <v/>
      </c>
      <c r="O63" s="5132"/>
      <c r="P63" s="5132"/>
      <c r="Q63" s="5133"/>
      <c r="R63" s="1295"/>
      <c r="S63" s="1289"/>
      <c r="T63" s="1289"/>
      <c r="U63" s="693"/>
      <c r="V63" s="1350">
        <v>440</v>
      </c>
      <c r="W63" s="5129" t="s">
        <v>2553</v>
      </c>
      <c r="X63" s="5130"/>
      <c r="Y63" s="5131" t="str">
        <f>IF(V52=0,"",VLOOKUP(V52,'Tablas psiquica'!$D$7:$R$145,15,FALSE))</f>
        <v/>
      </c>
      <c r="Z63" s="5132"/>
      <c r="AA63" s="5132"/>
      <c r="AB63" s="5133"/>
      <c r="AC63" s="1337"/>
      <c r="AD63" s="1350">
        <v>440</v>
      </c>
      <c r="AE63" s="5129" t="s">
        <v>2553</v>
      </c>
      <c r="AF63" s="5130"/>
      <c r="AG63" s="5131" t="str">
        <f>IF(AD52=0,"",VLOOKUP(AD52,'Tablas psiquica'!$D$7:$R$145,15,FALSE))</f>
        <v/>
      </c>
      <c r="AH63" s="5132"/>
      <c r="AI63" s="5132"/>
      <c r="AJ63" s="5133"/>
      <c r="AK63" s="1295"/>
      <c r="AL63" s="1289"/>
      <c r="AQ63" s="820"/>
      <c r="AR63" s="1329"/>
    </row>
    <row r="64" spans="1:44" ht="12" customHeight="1" thickBot="1" x14ac:dyDescent="0.25">
      <c r="A64" s="1289"/>
      <c r="B64" s="693"/>
      <c r="C64" s="5134" t="s">
        <v>8723</v>
      </c>
      <c r="D64" s="5135"/>
      <c r="E64" s="1351" t="str">
        <f>IF(C52=0,"",VLOOKUP(C52,'Tablas psiquica'!$D$7:$R$145,4,FALSE))</f>
        <v/>
      </c>
      <c r="F64" s="5136" t="s">
        <v>8718</v>
      </c>
      <c r="G64" s="5136"/>
      <c r="H64" s="4170" t="str">
        <f>IF(C52=0,"",VLOOKUP(C52,'Tablas psiquica'!$D$7:$R$145,5,FALSE))</f>
        <v/>
      </c>
      <c r="I64" s="4171"/>
      <c r="K64" s="5134" t="s">
        <v>8723</v>
      </c>
      <c r="L64" s="5135"/>
      <c r="M64" s="1351" t="str">
        <f>IF(K52=0,"",VLOOKUP(K52,'Tablas psiquica'!$D$7:$R$145,4,FALSE))</f>
        <v/>
      </c>
      <c r="N64" s="5136" t="s">
        <v>8718</v>
      </c>
      <c r="O64" s="5136"/>
      <c r="P64" s="4170" t="str">
        <f>IF(K52=0,"",VLOOKUP(K52,'Tablas psiquica'!$D$7:$R$145,5,FALSE))</f>
        <v/>
      </c>
      <c r="Q64" s="4171"/>
      <c r="R64" s="1295"/>
      <c r="S64" s="1289"/>
      <c r="T64" s="1289"/>
      <c r="U64" s="693"/>
      <c r="V64" s="5134" t="s">
        <v>8723</v>
      </c>
      <c r="W64" s="5135"/>
      <c r="X64" s="1351" t="str">
        <f>IF(V52=0,"",VLOOKUP(V52,'Tablas psiquica'!$D$7:$R$145,4,FALSE))</f>
        <v/>
      </c>
      <c r="Y64" s="5136" t="s">
        <v>8718</v>
      </c>
      <c r="Z64" s="5136"/>
      <c r="AA64" s="4170" t="str">
        <f>IF(V52=0,"",VLOOKUP(V52,'Tablas psiquica'!$D$7:$R$145,5,FALSE))</f>
        <v/>
      </c>
      <c r="AB64" s="4171"/>
      <c r="AC64" s="1337"/>
      <c r="AD64" s="5134" t="s">
        <v>8723</v>
      </c>
      <c r="AE64" s="5135"/>
      <c r="AF64" s="1351" t="str">
        <f>IF(AD52=0,"",VLOOKUP(AD52,'Tablas psiquica'!$D$7:$R$145,4,FALSE))</f>
        <v/>
      </c>
      <c r="AG64" s="5136" t="s">
        <v>8718</v>
      </c>
      <c r="AH64" s="5136"/>
      <c r="AI64" s="4170" t="str">
        <f>IF(AD52=0,"",VLOOKUP(AD52,'Tablas psiquica'!$D$7:$R$145,5,FALSE))</f>
        <v/>
      </c>
      <c r="AJ64" s="4171"/>
      <c r="AK64" s="1295"/>
      <c r="AL64" s="1289"/>
      <c r="AQ64" s="820"/>
      <c r="AR64" s="1329"/>
    </row>
    <row r="65" spans="1:44" ht="12" customHeight="1" thickBot="1" x14ac:dyDescent="0.25">
      <c r="A65" s="1289"/>
      <c r="B65" s="694"/>
      <c r="C65" s="1332"/>
      <c r="D65" s="1332"/>
      <c r="E65" s="1332"/>
      <c r="F65" s="1332"/>
      <c r="G65" s="1332"/>
      <c r="H65" s="1332"/>
      <c r="I65" s="1332"/>
      <c r="J65" s="1332"/>
      <c r="K65" s="1332"/>
      <c r="L65" s="1332"/>
      <c r="M65" s="1332"/>
      <c r="N65" s="1332"/>
      <c r="O65" s="1332"/>
      <c r="P65" s="1332"/>
      <c r="Q65" s="1332"/>
      <c r="R65" s="1333"/>
      <c r="S65" s="1289"/>
      <c r="T65" s="1289"/>
      <c r="U65" s="694"/>
      <c r="V65" s="1332"/>
      <c r="W65" s="1332"/>
      <c r="X65" s="1332"/>
      <c r="Y65" s="1332"/>
      <c r="Z65" s="1332"/>
      <c r="AA65" s="1332"/>
      <c r="AB65" s="1332"/>
      <c r="AC65" s="1332"/>
      <c r="AD65" s="1332"/>
      <c r="AE65" s="1332"/>
      <c r="AF65" s="1332"/>
      <c r="AG65" s="1332"/>
      <c r="AH65" s="1332"/>
      <c r="AI65" s="1332"/>
      <c r="AJ65" s="1332"/>
      <c r="AK65" s="1333"/>
      <c r="AL65" s="1289"/>
      <c r="AM65" s="1334"/>
      <c r="AN65" s="1334"/>
      <c r="AO65" s="1335"/>
      <c r="AP65" s="1335"/>
      <c r="AQ65" s="820"/>
      <c r="AR65" s="820"/>
    </row>
    <row r="66" spans="1:44" ht="12" customHeight="1" x14ac:dyDescent="0.2">
      <c r="A66" s="1289"/>
      <c r="B66" s="1289"/>
      <c r="C66" s="1289"/>
      <c r="D66" s="1289"/>
      <c r="E66" s="1289"/>
      <c r="F66" s="1289"/>
      <c r="G66" s="1289"/>
      <c r="H66" s="1289"/>
      <c r="I66" s="1289"/>
      <c r="J66" s="1289"/>
      <c r="K66" s="1289"/>
      <c r="L66" s="1289"/>
      <c r="M66" s="1289"/>
      <c r="N66" s="1289"/>
      <c r="O66" s="1289"/>
      <c r="P66" s="1289"/>
      <c r="Q66" s="1289"/>
      <c r="R66" s="1289"/>
      <c r="S66" s="1289"/>
      <c r="T66" s="1289"/>
      <c r="U66" s="1289"/>
      <c r="V66" s="1289"/>
      <c r="W66" s="1289"/>
      <c r="X66" s="1289"/>
      <c r="Y66" s="1289"/>
      <c r="Z66" s="1289"/>
      <c r="AA66" s="1289"/>
      <c r="AB66" s="1289"/>
      <c r="AC66" s="1289"/>
      <c r="AD66" s="1289"/>
      <c r="AE66" s="1289"/>
      <c r="AF66" s="1289"/>
      <c r="AG66" s="1289"/>
      <c r="AH66" s="1289"/>
      <c r="AI66" s="1289"/>
      <c r="AJ66" s="1289"/>
      <c r="AK66" s="1289"/>
      <c r="AL66" s="1289"/>
      <c r="AM66" s="1334"/>
      <c r="AN66" s="1334"/>
      <c r="AO66" s="1334"/>
      <c r="AP66" s="1334"/>
      <c r="AQ66" s="1336"/>
      <c r="AR66" s="820"/>
    </row>
    <row r="67" spans="1:44" ht="12" customHeight="1" x14ac:dyDescent="0.2">
      <c r="A67" s="781"/>
      <c r="B67" s="781"/>
      <c r="C67" s="781"/>
      <c r="D67" s="781"/>
      <c r="E67" s="781"/>
      <c r="F67" s="781"/>
      <c r="G67" s="781"/>
      <c r="H67" s="781"/>
      <c r="I67" s="781"/>
      <c r="J67" s="781"/>
      <c r="K67" s="781"/>
      <c r="L67" s="781"/>
      <c r="M67" s="781"/>
      <c r="N67" s="781"/>
      <c r="O67" s="781"/>
      <c r="P67" s="781"/>
      <c r="Q67" s="781"/>
      <c r="R67" s="781"/>
      <c r="S67" s="781"/>
      <c r="T67" s="781"/>
      <c r="U67" s="781"/>
      <c r="V67" s="781"/>
      <c r="Y67" s="820"/>
      <c r="Z67" s="1337"/>
      <c r="AD67" s="1334"/>
      <c r="AE67" s="1334"/>
      <c r="AI67" s="1336"/>
      <c r="AJ67" s="1336"/>
      <c r="AK67" s="1338"/>
      <c r="AL67" s="1338"/>
      <c r="AM67" s="1338"/>
      <c r="AN67" s="1339"/>
      <c r="AO67" s="1339"/>
      <c r="AP67" s="1339"/>
      <c r="AQ67" s="1339"/>
      <c r="AR67" s="820"/>
    </row>
    <row r="68" spans="1:44" ht="12" customHeight="1" x14ac:dyDescent="0.2">
      <c r="A68" s="781"/>
      <c r="B68" s="832"/>
      <c r="C68" s="781"/>
      <c r="D68" s="781"/>
      <c r="E68" s="781"/>
      <c r="F68" s="781"/>
      <c r="G68" s="781"/>
      <c r="H68" s="781"/>
      <c r="I68" s="781"/>
      <c r="J68" s="781"/>
      <c r="K68" s="781"/>
      <c r="L68" s="781"/>
      <c r="M68" s="781"/>
      <c r="N68" s="781"/>
      <c r="O68" s="781"/>
      <c r="P68" s="781"/>
      <c r="Q68" s="781"/>
      <c r="R68" s="781"/>
      <c r="S68" s="781"/>
      <c r="T68" s="781"/>
      <c r="U68" s="781"/>
      <c r="V68" s="781"/>
      <c r="AD68" s="1334"/>
      <c r="AE68" s="1334"/>
      <c r="AI68" s="1336"/>
      <c r="AJ68" s="1336"/>
      <c r="AK68" s="1338"/>
      <c r="AL68" s="1338"/>
      <c r="AM68" s="1338"/>
      <c r="AN68" s="1339"/>
      <c r="AO68" s="1339"/>
      <c r="AP68" s="1339"/>
      <c r="AQ68" s="1339"/>
      <c r="AR68" s="820"/>
    </row>
    <row r="69" spans="1:44" ht="12" customHeight="1" x14ac:dyDescent="0.2">
      <c r="A69" s="781"/>
      <c r="B69" s="832"/>
      <c r="C69" s="781"/>
      <c r="D69" s="781"/>
      <c r="E69" s="781"/>
      <c r="F69" s="781"/>
      <c r="G69" s="781"/>
      <c r="H69" s="781"/>
      <c r="I69" s="781"/>
      <c r="J69" s="781"/>
      <c r="K69" s="781"/>
      <c r="L69" s="781"/>
      <c r="M69" s="781"/>
      <c r="N69" s="781"/>
      <c r="O69" s="781"/>
      <c r="P69" s="781"/>
      <c r="Q69" s="781"/>
      <c r="R69" s="781"/>
      <c r="S69" s="781"/>
      <c r="T69" s="781"/>
      <c r="U69" s="781"/>
      <c r="V69" s="781"/>
      <c r="AA69" s="1337"/>
      <c r="AB69" s="1337"/>
      <c r="AC69" s="820"/>
      <c r="AI69" s="820"/>
      <c r="AJ69" s="820"/>
      <c r="AK69" s="820"/>
      <c r="AL69" s="820"/>
      <c r="AM69" s="820"/>
      <c r="AN69" s="820"/>
      <c r="AO69" s="820"/>
      <c r="AP69" s="820"/>
      <c r="AQ69" s="820"/>
      <c r="AR69" s="820"/>
    </row>
    <row r="70" spans="1:44" ht="12" customHeight="1" x14ac:dyDescent="0.2">
      <c r="A70" s="781"/>
      <c r="B70" s="832"/>
      <c r="C70" s="781"/>
      <c r="J70" s="781"/>
      <c r="K70" s="781"/>
      <c r="R70" s="781"/>
      <c r="S70" s="781"/>
      <c r="T70" s="781"/>
      <c r="U70" s="781"/>
      <c r="V70" s="781"/>
      <c r="AA70" s="1337"/>
      <c r="AB70" s="1337"/>
      <c r="AC70" s="820"/>
      <c r="AI70" s="820"/>
      <c r="AJ70" s="820"/>
      <c r="AK70" s="820"/>
      <c r="AL70" s="820"/>
      <c r="AM70" s="820"/>
      <c r="AN70" s="820"/>
      <c r="AO70" s="820"/>
      <c r="AP70" s="820"/>
      <c r="AQ70" s="820"/>
      <c r="AR70" s="820"/>
    </row>
    <row r="71" spans="1:44" ht="12" customHeight="1" x14ac:dyDescent="0.2">
      <c r="A71" s="781"/>
      <c r="B71" s="832"/>
      <c r="C71" s="781"/>
      <c r="J71" s="781"/>
      <c r="K71" s="781"/>
      <c r="R71" s="781"/>
      <c r="S71" s="781"/>
      <c r="T71" s="781"/>
      <c r="U71" s="781"/>
      <c r="V71" s="781"/>
      <c r="AA71" s="1337"/>
      <c r="AB71" s="1337"/>
      <c r="AC71" s="820"/>
      <c r="AI71" s="820"/>
      <c r="AJ71" s="820"/>
      <c r="AK71" s="820"/>
      <c r="AL71" s="820"/>
      <c r="AM71" s="820"/>
      <c r="AN71" s="820"/>
      <c r="AO71" s="820"/>
      <c r="AP71" s="820"/>
      <c r="AQ71" s="820"/>
      <c r="AR71" s="820"/>
    </row>
    <row r="72" spans="1:44" ht="12" customHeight="1" x14ac:dyDescent="0.2">
      <c r="A72" s="781"/>
      <c r="B72" s="832"/>
      <c r="C72" s="781"/>
      <c r="J72" s="781"/>
      <c r="K72" s="781"/>
      <c r="R72" s="781"/>
      <c r="S72" s="781"/>
      <c r="T72" s="781"/>
      <c r="U72" s="781"/>
      <c r="V72" s="781"/>
      <c r="AA72" s="1337"/>
      <c r="AB72" s="1337"/>
      <c r="AC72" s="820"/>
      <c r="AI72" s="820"/>
      <c r="AJ72" s="820"/>
      <c r="AK72" s="820"/>
      <c r="AL72" s="820"/>
      <c r="AM72" s="820"/>
      <c r="AN72" s="820"/>
      <c r="AO72" s="820"/>
      <c r="AP72" s="820"/>
      <c r="AQ72" s="820"/>
      <c r="AR72" s="820"/>
    </row>
    <row r="73" spans="1:44" ht="12" customHeight="1" x14ac:dyDescent="0.2">
      <c r="A73" s="781"/>
      <c r="B73" s="832"/>
      <c r="C73" s="781"/>
      <c r="J73" s="781"/>
      <c r="K73" s="781"/>
      <c r="R73" s="781"/>
      <c r="S73" s="781"/>
      <c r="T73" s="781"/>
      <c r="U73" s="781"/>
      <c r="V73" s="781"/>
      <c r="AA73" s="1337"/>
      <c r="AB73" s="1337"/>
      <c r="AC73" s="820"/>
      <c r="AI73" s="820"/>
      <c r="AJ73" s="820"/>
      <c r="AK73" s="820"/>
      <c r="AL73" s="820"/>
      <c r="AM73" s="820"/>
      <c r="AN73" s="820"/>
      <c r="AO73" s="820"/>
      <c r="AP73" s="820"/>
      <c r="AQ73" s="820"/>
      <c r="AR73" s="820"/>
    </row>
    <row r="74" spans="1:44" ht="12" customHeight="1" x14ac:dyDescent="0.2">
      <c r="A74" s="781"/>
      <c r="B74" s="832"/>
      <c r="C74" s="781"/>
      <c r="J74" s="781"/>
      <c r="K74" s="781"/>
      <c r="R74" s="781"/>
      <c r="S74" s="781"/>
      <c r="T74" s="781"/>
      <c r="U74" s="781"/>
      <c r="V74" s="781"/>
      <c r="AA74" s="1337"/>
      <c r="AB74" s="1337"/>
      <c r="AC74" s="820"/>
      <c r="AI74" s="820"/>
      <c r="AJ74" s="820"/>
      <c r="AK74" s="820"/>
      <c r="AL74" s="820"/>
      <c r="AM74" s="820"/>
      <c r="AN74" s="820"/>
      <c r="AO74" s="820"/>
      <c r="AP74" s="820"/>
      <c r="AQ74" s="820"/>
      <c r="AR74" s="820"/>
    </row>
    <row r="75" spans="1:44" ht="12" customHeight="1" x14ac:dyDescent="0.2">
      <c r="A75" s="781"/>
      <c r="B75" s="832"/>
      <c r="C75" s="781"/>
      <c r="J75" s="781"/>
      <c r="K75" s="781"/>
      <c r="R75" s="781"/>
      <c r="S75" s="781"/>
      <c r="T75" s="781"/>
      <c r="U75" s="781"/>
      <c r="V75" s="781"/>
      <c r="AA75" s="1337"/>
      <c r="AB75" s="1337"/>
      <c r="AC75" s="820"/>
    </row>
    <row r="76" spans="1:44" ht="12" customHeight="1" x14ac:dyDescent="0.2">
      <c r="A76" s="781"/>
      <c r="B76" s="832"/>
      <c r="C76" s="781"/>
      <c r="J76" s="781"/>
      <c r="K76" s="781"/>
      <c r="R76" s="781"/>
      <c r="S76" s="781"/>
      <c r="T76" s="781"/>
      <c r="U76" s="781"/>
      <c r="V76" s="781"/>
      <c r="AA76" s="1337"/>
      <c r="AB76" s="1337"/>
      <c r="AC76" s="820"/>
    </row>
    <row r="77" spans="1:44" ht="12" customHeight="1" x14ac:dyDescent="0.2">
      <c r="A77" s="781"/>
      <c r="B77" s="781"/>
      <c r="C77" s="781"/>
      <c r="J77" s="781"/>
      <c r="K77" s="781"/>
      <c r="R77" s="781"/>
      <c r="S77" s="781"/>
      <c r="T77" s="781"/>
      <c r="U77" s="781"/>
      <c r="V77" s="781"/>
      <c r="Y77" s="820"/>
      <c r="Z77" s="1337"/>
      <c r="AA77" s="1337"/>
      <c r="AB77" s="1337"/>
      <c r="AC77" s="820"/>
    </row>
    <row r="78" spans="1:44" ht="12" customHeight="1" x14ac:dyDescent="0.2">
      <c r="A78" s="781"/>
      <c r="B78" s="781"/>
      <c r="C78" s="781"/>
      <c r="J78" s="781"/>
      <c r="K78" s="781"/>
      <c r="R78" s="781"/>
      <c r="S78" s="781"/>
      <c r="T78" s="781"/>
      <c r="U78" s="781"/>
      <c r="V78" s="781"/>
      <c r="Y78" s="820"/>
      <c r="Z78" s="1337"/>
      <c r="AA78" s="1337"/>
      <c r="AB78" s="1337"/>
      <c r="AC78" s="820"/>
    </row>
    <row r="79" spans="1:44" ht="12" customHeight="1" x14ac:dyDescent="0.2">
      <c r="A79" s="781"/>
      <c r="B79" s="781"/>
      <c r="C79" s="781"/>
      <c r="J79" s="781"/>
      <c r="K79" s="781"/>
      <c r="R79" s="781"/>
      <c r="S79" s="781"/>
      <c r="T79" s="781"/>
      <c r="U79" s="781"/>
      <c r="V79" s="781"/>
      <c r="Y79" s="820"/>
      <c r="Z79" s="1337"/>
      <c r="AA79" s="1337"/>
      <c r="AB79" s="1337"/>
      <c r="AC79" s="820"/>
    </row>
    <row r="80" spans="1:44" ht="12" customHeight="1" x14ac:dyDescent="0.2">
      <c r="A80" s="781"/>
      <c r="B80" s="781"/>
      <c r="C80" s="781"/>
      <c r="J80" s="781"/>
      <c r="K80" s="781"/>
      <c r="R80" s="781"/>
      <c r="S80" s="781"/>
      <c r="T80" s="781"/>
      <c r="U80" s="781"/>
      <c r="V80" s="781"/>
      <c r="Y80" s="820"/>
      <c r="Z80" s="1337"/>
      <c r="AA80" s="1337"/>
      <c r="AB80" s="1337"/>
      <c r="AC80" s="820"/>
    </row>
    <row r="81" spans="1:29" ht="12" customHeight="1" x14ac:dyDescent="0.2">
      <c r="A81" s="781"/>
      <c r="B81" s="781"/>
      <c r="C81" s="781"/>
      <c r="J81" s="781"/>
      <c r="K81" s="781"/>
      <c r="R81" s="781"/>
      <c r="S81" s="781"/>
      <c r="T81" s="781"/>
      <c r="U81" s="781"/>
      <c r="V81" s="781"/>
      <c r="Y81" s="820"/>
      <c r="Z81" s="1337"/>
      <c r="AA81" s="1337"/>
      <c r="AB81" s="1337"/>
      <c r="AC81" s="820"/>
    </row>
    <row r="82" spans="1:29" ht="12" customHeight="1" x14ac:dyDescent="0.2">
      <c r="A82" s="781"/>
      <c r="B82" s="781"/>
    </row>
    <row r="83" spans="1:29" ht="12" customHeight="1" x14ac:dyDescent="0.2">
      <c r="A83" s="781"/>
      <c r="B83" s="781"/>
    </row>
    <row r="84" spans="1:29" ht="12" customHeight="1" x14ac:dyDescent="0.2">
      <c r="A84" s="781"/>
      <c r="B84" s="781"/>
    </row>
    <row r="85" spans="1:29" ht="12" customHeight="1" x14ac:dyDescent="0.2">
      <c r="A85" s="781"/>
      <c r="B85" s="781"/>
    </row>
    <row r="86" spans="1:29" ht="12" customHeight="1" x14ac:dyDescent="0.2">
      <c r="A86" s="781"/>
      <c r="B86" s="781"/>
    </row>
    <row r="87" spans="1:29" ht="12" customHeight="1" x14ac:dyDescent="0.2">
      <c r="A87" s="781"/>
      <c r="B87" s="781"/>
    </row>
    <row r="88" spans="1:29" ht="12" customHeight="1" x14ac:dyDescent="0.2">
      <c r="A88" s="781"/>
      <c r="B88" s="781"/>
    </row>
    <row r="89" spans="1:29" ht="12" customHeight="1" x14ac:dyDescent="0.2">
      <c r="A89" s="781"/>
      <c r="B89" s="781"/>
    </row>
    <row r="90" spans="1:29" ht="12" customHeight="1" x14ac:dyDescent="0.2">
      <c r="A90" s="781"/>
      <c r="B90" s="781"/>
    </row>
    <row r="91" spans="1:29" ht="12" customHeight="1" x14ac:dyDescent="0.2">
      <c r="A91" s="781"/>
      <c r="B91" s="781"/>
    </row>
    <row r="92" spans="1:29" ht="12" customHeight="1" x14ac:dyDescent="0.2">
      <c r="A92" s="781"/>
      <c r="B92" s="781"/>
    </row>
    <row r="93" spans="1:29" ht="12" customHeight="1" x14ac:dyDescent="0.2">
      <c r="A93" s="781"/>
      <c r="B93" s="781"/>
    </row>
    <row r="94" spans="1:29" ht="12" customHeight="1" x14ac:dyDescent="0.2">
      <c r="A94" s="781"/>
      <c r="B94" s="781"/>
    </row>
    <row r="95" spans="1:29" ht="12" customHeight="1" x14ac:dyDescent="0.2">
      <c r="A95" s="781"/>
      <c r="B95" s="781"/>
    </row>
    <row r="96" spans="1:29" ht="12" customHeight="1" x14ac:dyDescent="0.2">
      <c r="A96" s="781"/>
      <c r="B96" s="781"/>
    </row>
    <row r="97" spans="1:2" ht="12" customHeight="1" x14ac:dyDescent="0.2">
      <c r="A97" s="781"/>
      <c r="B97" s="781"/>
    </row>
    <row r="98" spans="1:2" ht="12" customHeight="1" x14ac:dyDescent="0.2">
      <c r="A98" s="781"/>
      <c r="B98" s="781"/>
    </row>
    <row r="99" spans="1:2" ht="12" customHeight="1" x14ac:dyDescent="0.2">
      <c r="A99" s="781"/>
      <c r="B99" s="781"/>
    </row>
    <row r="100" spans="1:2" ht="12" customHeight="1" x14ac:dyDescent="0.2">
      <c r="A100" s="781"/>
      <c r="B100" s="781"/>
    </row>
    <row r="101" spans="1:2" ht="12" customHeight="1" x14ac:dyDescent="0.2">
      <c r="A101" s="781"/>
      <c r="B101" s="781"/>
    </row>
    <row r="102" spans="1:2" ht="12" customHeight="1" x14ac:dyDescent="0.2">
      <c r="A102" s="781"/>
      <c r="B102" s="781"/>
    </row>
    <row r="103" spans="1:2" ht="12" customHeight="1" x14ac:dyDescent="0.2">
      <c r="A103" s="781"/>
      <c r="B103" s="781"/>
    </row>
    <row r="104" spans="1:2" ht="12" customHeight="1" x14ac:dyDescent="0.2">
      <c r="A104" s="781"/>
      <c r="B104" s="781"/>
    </row>
    <row r="105" spans="1:2" ht="12" customHeight="1" x14ac:dyDescent="0.2">
      <c r="A105" s="781"/>
      <c r="B105" s="781"/>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342</vt:i4>
      </vt:variant>
    </vt:vector>
  </HeadingPairs>
  <TitlesOfParts>
    <vt:vector size="363"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Armas_Desarrolladas</vt:lpstr>
      <vt:lpstr>Armas_Desarrolladas_10</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Cercanía_Dragón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Nephilims</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Tabla_Armaduras</vt:lpstr>
      <vt:lpstr>Tabla_ArmasArquetípicas</vt:lpstr>
      <vt:lpstr>Tabla_ArmasEnormes</vt:lpstr>
      <vt:lpstr>Tabla_ArmasyEscudos</vt:lpstr>
      <vt:lpstr>Tabla_Ars_Magnus</vt:lpstr>
      <vt:lpstr>Tabla_ArsMagnus</vt:lpstr>
      <vt:lpstr>Tabla_Artes_Marciales</vt:lpstr>
      <vt:lpstr>Tabla_ArtesM_Armas</vt:lpstr>
      <vt:lpstr>Tabla_BonoStats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Tabla_PenPorTipo</vt:lpstr>
      <vt:lpstr>Tabla_PodCriatura</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Tabla_Yelmos</vt:lpstr>
      <vt:lpstr>Tablas_Armas_AM</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2018-08-23T07:12:55Z</dcterms:modified>
</cp:coreProperties>
</file>